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2.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drawings/drawing5.xml" ContentType="application/vnd.openxmlformats-officedocument.drawing+xml"/>
  <Override PartName="/xl/charts/colors2.xml" ContentType="application/vnd.ms-office.chartcolorstyle+xml"/>
  <Override PartName="/xl/charts/style2.xml" ContentType="application/vnd.ms-office.chartstyle+xml"/>
  <Override PartName="/xl/worksheets/sheet1.xml" ContentType="application/vnd.openxmlformats-officedocument.spreadsheetml.worksheet+xml"/>
  <Override PartName="/xl/worksheets/sheet2.xml" ContentType="application/vnd.openxmlformats-officedocument.spreadsheetml.worksheet+xml"/>
  <Override PartName="/xl/charts/chart2.xml" ContentType="application/vnd.openxmlformats-officedocument.drawingml.chart+xml"/>
  <Override PartName="/xl/sharedStrings.xml" ContentType="application/vnd.openxmlformats-officedocument.spreadsheetml.sharedStrings+xml"/>
  <Override PartName="/xl/charts/style1.xml" ContentType="application/vnd.ms-office.chartstyle+xml"/>
  <Override PartName="/xl/drawings/drawing3.xml" ContentType="application/vnd.openxmlformats-officedocument.drawing+xml"/>
  <Override PartName="/xl/drawings/drawing1.xml" ContentType="application/vnd.openxmlformats-officedocument.drawing+xml"/>
  <Override PartName="/xl/charts/colors1.xml" ContentType="application/vnd.ms-office.chartcolorstyle+xml"/>
  <Override PartName="/xl/charts/chart1.xml" ContentType="application/vnd.openxmlformats-officedocument.drawingml.chart+xml"/>
  <Override PartName="/xl/theme/theme1.xml" ContentType="application/vnd.openxmlformats-officedocument.theme+xml"/>
  <Override PartName="/xl/comments2.xml" ContentType="application/vnd.openxmlformats-officedocument.spreadsheetml.comments+xml"/>
  <Override PartName="/xl/tables/table1.xml" ContentType="application/vnd.openxmlformats-officedocument.spreadsheetml.table+xml"/>
  <Override PartName="/xl/ctrlProps/ctrlProp2.xml" ContentType="application/vnd.ms-excel.controlproperties+xml"/>
  <Override PartName="/xl/ctrlProps/ctrlProp1.xml" ContentType="application/vnd.ms-excel.controlproperties+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codeName="ThisWorkbook" defaultThemeVersion="166925"/>
  <mc:AlternateContent xmlns:mc="http://schemas.openxmlformats.org/markup-compatibility/2006">
    <mc:Choice Requires="x15">
      <x15ac:absPath xmlns:x15ac="http://schemas.microsoft.com/office/spreadsheetml/2010/11/ac" url="C:\Users\a0504716\TI Drive\Projects\Applications\Design Tools\BQ2575X Taurus Design Tool\"/>
    </mc:Choice>
  </mc:AlternateContent>
  <xr:revisionPtr revIDLastSave="0" documentId="13_ncr:1_{62C21CBD-3874-48DE-9B5F-309890A6922D}" xr6:coauthVersionLast="36" xr6:coauthVersionMax="36" xr10:uidLastSave="{00000000-0000-0000-0000-000000000000}"/>
  <workbookProtection workbookAlgorithmName="SHA-512" workbookHashValue="w2S5iRXMMqD9vJd9+34T3i/umRPNGN9G/rPRdtaHEYhDYF8D0pKCxgrk8IGOb7KH9Nx+bUgu0v8+5lqoIXDUAw==" workbookSaltValue="cJPsas6qmueoUqcltnl3gQ==" workbookSpinCount="100000" lockStructure="1"/>
  <bookViews>
    <workbookView xWindow="0" yWindow="0" windowWidth="19200" windowHeight="11370" xr2:uid="{6E72E8D2-090D-40D8-BCD3-EF302D03C35C}"/>
  </bookViews>
  <sheets>
    <sheet name="BQ2575X Design Calculator" sheetId="1" r:id="rId1"/>
    <sheet name="Thermistor Qualification" sheetId="3" r:id="rId2"/>
    <sheet name="StdResVals" sheetId="2" state="hidden" r:id="rId3"/>
  </sheets>
  <externalReferences>
    <externalReference r:id="rId4"/>
  </externalReferences>
  <definedNames>
    <definedName name="ACOV_D">'BQ2575X Design Calculator'!$E$58</definedName>
    <definedName name="ACUV_D">'BQ2575X Design Calculator'!$E$59</definedName>
    <definedName name="Buck_Boost">'BQ2575X Design Calculator'!$H$88</definedName>
    <definedName name="Buck_Only">'BQ2575X Design Calculator'!$I$88</definedName>
    <definedName name="C_MOSFET_S_gFS_H_BO">'BQ2575X Design Calculator'!$N$184</definedName>
    <definedName name="C_MOSFET_S_gFS_H_BU">'BQ2575X Design Calculator'!$N$170</definedName>
    <definedName name="C_MOSFET_S_gFS_L_BO">'BQ2575X Design Calculator'!$O$184</definedName>
    <definedName name="C_MOSFET_S_gFS_L_BU">'BQ2575X Design Calculator'!$O$170</definedName>
    <definedName name="C_MOSFET_S_QG_H_BO">'BQ2575X Design Calculator'!$N$179</definedName>
    <definedName name="C_MOSFET_S_QG_H_BU">'BQ2575X Design Calculator'!$N$165</definedName>
    <definedName name="C_MOSFET_S_QG_L_BO">'BQ2575X Design Calculator'!$O$179</definedName>
    <definedName name="C_MOSFET_S_QG_L_BU">'BQ2575X Design Calculator'!$O$165</definedName>
    <definedName name="C_MOSFET_S_QGD_H_BO">'BQ2575X Design Calculator'!$N$180</definedName>
    <definedName name="C_MOSFET_S_QGD_H_BU">'BQ2575X Design Calculator'!$N$166</definedName>
    <definedName name="C_MOSFET_S_QGD_L_BO">'BQ2575X Design Calculator'!$O$180</definedName>
    <definedName name="C_MOSFET_S_QGD_L_BU">'BQ2575X Design Calculator'!$O$166</definedName>
    <definedName name="C_MOSFET_S_QGS_H_BO">'BQ2575X Design Calculator'!$N$181</definedName>
    <definedName name="C_MOSFET_S_QGS_H_BU">'BQ2575X Design Calculator'!$N$167</definedName>
    <definedName name="C_MOSFET_S_QGS_L_BO">'BQ2575X Design Calculator'!$O$181</definedName>
    <definedName name="C_MOSFET_S_QGS_L_BU">'BQ2575X Design Calculator'!$O$167</definedName>
    <definedName name="C_MOSFET_S_QOSS_H_BO">'BQ2575X Design Calculator'!$N$182</definedName>
    <definedName name="C_MOSFET_S_QOSS_H_BU">'BQ2575X Design Calculator'!$N$168</definedName>
    <definedName name="C_MOSFET_S_QOSS_L_BO">'BQ2575X Design Calculator'!$O$182</definedName>
    <definedName name="C_MOSFET_S_QOSS_L_BU">'BQ2575X Design Calculator'!$O$168</definedName>
    <definedName name="C_MOSFET_S_QRR_H_BO">'BQ2575X Design Calculator'!$N$187</definedName>
    <definedName name="C_MOSFET_S_QRR_L_BU">'BQ2575X Design Calculator'!$O$173</definedName>
    <definedName name="C_MOSFET_S_RDSON_H_BO">'BQ2575X Design Calculator'!$N$178</definedName>
    <definedName name="C_MOSFET_S_RDSON_H_BU">'BQ2575X Design Calculator'!$N$164</definedName>
    <definedName name="C_MOSFET_S_RDSON_L_BO">'BQ2575X Design Calculator'!$O$178</definedName>
    <definedName name="C_MOSFET_S_RDSON_L_BU">'BQ2575X Design Calculator'!$O$164</definedName>
    <definedName name="C_MOSFET_S_VSD_H_BO">'BQ2575X Design Calculator'!$N$186</definedName>
    <definedName name="C_MOSFET_S_VSD_H_BU">'BQ2575X Design Calculator'!$N$172</definedName>
    <definedName name="C_MOSFET_S_VSD_L_BO">'BQ2575X Design Calculator'!$O$186</definedName>
    <definedName name="C_MOSFET_S_VSD_L_BU">'BQ2575X Design Calculator'!$O$172</definedName>
    <definedName name="C_MOSFET_S_VTH_H_BO">'BQ2575X Design Calculator'!$N$185</definedName>
    <definedName name="C_MOSFET_S_VTH_H_BU">'BQ2575X Design Calculator'!$N$171</definedName>
    <definedName name="C_MOSFET_S_VTH_L_BO">'BQ2575X Design Calculator'!$O$185</definedName>
    <definedName name="C_MOSFET_S_VTH_L_BU">'BQ2575X Design Calculator'!$O$171</definedName>
    <definedName name="C_OUT">'BQ2575X Design Calculator'!$E$106</definedName>
    <definedName name="C_QG_10_H_BO">'BQ2575X Design Calculator'!$E$139</definedName>
    <definedName name="C_QG_10_H_BU">'BQ2575X Design Calculator'!$E$121</definedName>
    <definedName name="C_QG_10_L_BO">'BQ2575X Design Calculator'!$F$139</definedName>
    <definedName name="C_QG_10_L_BU">'BQ2575X Design Calculator'!$F$121</definedName>
    <definedName name="C_QG_4P5_H_BO">'BQ2575X Design Calculator'!$E$138</definedName>
    <definedName name="C_QG_4P5_H_BU">'BQ2575X Design Calculator'!$E$120</definedName>
    <definedName name="C_QG_4P5_L_BO">'BQ2575X Design Calculator'!$F$138</definedName>
    <definedName name="C_QG_4P5_L_BU">'BQ2575X Design Calculator'!$F$120</definedName>
    <definedName name="C_QG_C_H_BO">'BQ2575X Design Calculator'!$E$140</definedName>
    <definedName name="C_QG_C_H_BU">'BQ2575X Design Calculator'!$E$122</definedName>
    <definedName name="C_QG_C_L_BO">'BQ2575X Design Calculator'!$F$140</definedName>
    <definedName name="C_QG_C_L_BU">'BQ2575X Design Calculator'!$F$122</definedName>
    <definedName name="C_QGD_H_BO">'BQ2575X Design Calculator'!$E$141</definedName>
    <definedName name="C_QGD_H_BU">'BQ2575X Design Calculator'!$E$123</definedName>
    <definedName name="C_QGD_L_BO">'BQ2575X Design Calculator'!$F$141</definedName>
    <definedName name="C_QGD_L_BU">'BQ2575X Design Calculator'!$F$123</definedName>
    <definedName name="C_RDS_10_H_BO">'BQ2575X Design Calculator'!$E$136</definedName>
    <definedName name="C_RDS_10_H_BU">'BQ2575X Design Calculator'!$E$118</definedName>
    <definedName name="C_RDS_10_L_BO">'BQ2575X Design Calculator'!$F$136</definedName>
    <definedName name="C_RDS_10_L_BU">'BQ2575X Design Calculator'!$F$118</definedName>
    <definedName name="C_RDS_4P5_H_BO">'BQ2575X Design Calculator'!$E$135</definedName>
    <definedName name="C_RDS_4P5_H_BU">'BQ2575X Design Calculator'!$E$117</definedName>
    <definedName name="C_RDS_4P5_L_BO">'BQ2575X Design Calculator'!$F$135</definedName>
    <definedName name="C_RDS_4P5_L_BU">'BQ2575X Design Calculator'!$F$117</definedName>
    <definedName name="C_RDS_C_H_BO">'BQ2575X Design Calculator'!$E$137</definedName>
    <definedName name="C_RDS_C_H_BU">'BQ2575X Design Calculator'!$E$119</definedName>
    <definedName name="C_RDS_C_L_BO">'BQ2575X Design Calculator'!$F$137</definedName>
    <definedName name="C_RDS_C_L_BU">'BQ2575X Design Calculator'!$F$119</definedName>
    <definedName name="CLR_Save">'BQ2575X Design Calculator'!$J$159</definedName>
    <definedName name="Compare_MOSFET">'BQ2575X Design Calculator'!$K$157</definedName>
    <definedName name="COUT_ESR">'BQ2575X Design Calculator'!$E$107</definedName>
    <definedName name="Custom_MOSFET">'BQ2575X Design Calculator'!$J$157</definedName>
    <definedName name="Desired_Fsw">'BQ2575X Design Calculator'!$E$13</definedName>
    <definedName name="Desired_Operation">'BQ2575X Design Calculator'!$E$88</definedName>
    <definedName name="DITHER">'[1]Variable Management'!$O$10</definedName>
    <definedName name="Fsw">'BQ2575X Design Calculator'!$E$16</definedName>
    <definedName name="ILmax">'BQ2575X Design Calculator'!$E$23</definedName>
    <definedName name="Ioutmax">'BQ2575X Design Calculator'!$E$10</definedName>
    <definedName name="Ipkpk_VACnom">'BQ2575X Design Calculator'!$E$31</definedName>
    <definedName name="Isat">'BQ2575X Design Calculator'!$E$24</definedName>
    <definedName name="L">'BQ2575X Design Calculator'!$E$26</definedName>
    <definedName name="L_DRC">'BQ2575X Design Calculator'!$E$29</definedName>
    <definedName name="MOSFET_S">'BQ2575X Design Calculator'!$E$157</definedName>
    <definedName name="R_FB_BOT">'BQ2575X Design Calculator'!$E$75</definedName>
    <definedName name="R_FB_BOT_Ideal">'BQ2575X Design Calculator'!$H$72</definedName>
    <definedName name="R_FB_TOP">'BQ2575X Design Calculator'!$E$74</definedName>
    <definedName name="R_FBG">'BQ2575X Design Calculator'!$H$71</definedName>
    <definedName name="RAC_SNS">'BQ2575X Design Calculator'!$E$40</definedName>
    <definedName name="RAC1_R">'BQ2575X Design Calculator'!$E$60</definedName>
    <definedName name="RAC1_S">'BQ2575X Design Calculator'!$E$63</definedName>
    <definedName name="RAC2_R">'BQ2575X Design Calculator'!$E$61</definedName>
    <definedName name="RAC2_S">'BQ2575X Design Calculator'!$E$64</definedName>
    <definedName name="RAC3_R">'BQ2575X Design Calculator'!$E$62</definedName>
    <definedName name="RAC3_S">'BQ2575X Design Calculator'!$E$65</definedName>
    <definedName name="RBAT_SNS">'BQ2575X Design Calculator'!$E$49</definedName>
    <definedName name="RFB_BOT_R">'BQ2575X Design Calculator'!$E$72</definedName>
    <definedName name="RFB_TOP_R">'BQ2575X Design Calculator'!$E$71</definedName>
    <definedName name="RIIN">'BQ2575X Design Calculator'!$E$45</definedName>
    <definedName name="RIOUT">'BQ2575X Design Calculator'!$E$54</definedName>
    <definedName name="RT1_Ideal_TH">'Thermistor Qualification'!$E$12</definedName>
    <definedName name="RT1_R">'BQ2575X Design Calculator'!$E$84</definedName>
    <definedName name="RT1_TH_S">'Thermistor Qualification'!$F$16</definedName>
    <definedName name="RT1_TH_S_MAX">'Thermistor Qualification'!$G$16</definedName>
    <definedName name="RT1_TH_S_MIN">'Thermistor Qualification'!$E$16</definedName>
    <definedName name="RT2_Ideal_TH">'Thermistor Qualification'!$E$13</definedName>
    <definedName name="RT2_R">'BQ2575X Design Calculator'!$E$85</definedName>
    <definedName name="RT2_TH_MIN">'Thermistor Qualification'!$E$17</definedName>
    <definedName name="RT2_TH_S">'Thermistor Qualification'!$F$17</definedName>
    <definedName name="RT2_TH_S_MAX">'Thermistor Qualification'!$G$17</definedName>
    <definedName name="RTHCOLD">'BQ2575X Design Calculator'!$E$82</definedName>
    <definedName name="RTHCOLD_TH">'Thermistor Qualification'!$E$10</definedName>
    <definedName name="RTHHOT">'BQ2575X Design Calculator'!$E$83</definedName>
    <definedName name="RTHHOT_TH">'Thermistor Qualification'!$E$11</definedName>
    <definedName name="Save">'BQ2575X Design Calculator'!$I$159</definedName>
    <definedName name="Save_Sel">'BQ2575X Design Calculator'!$E$159</definedName>
    <definedName name="T_50_P">'BQ2575X Design Calculator'!$L$81</definedName>
    <definedName name="T_60">'BQ2575X Design Calculator'!$J$81</definedName>
    <definedName name="T_600">'BQ2575X Design Calculator'!$J$81</definedName>
    <definedName name="T_65">'BQ2575X Design Calculator'!$K$81</definedName>
    <definedName name="T1_0">'BQ2575X Design Calculator'!$J$80</definedName>
    <definedName name="T1_0_P">'BQ2575X Design Calculator'!$N$80</definedName>
    <definedName name="T1_0_PERCENT">'Thermistor Qualification'!$N$6</definedName>
    <definedName name="T1_0_TEMP">'Thermistor Qualification'!$J$6</definedName>
    <definedName name="T1_5">'BQ2575X Design Calculator'!$K$80</definedName>
    <definedName name="T1_5_P">'BQ2575X Design Calculator'!$O$80</definedName>
    <definedName name="T1_5_PERCENT">'Thermistor Qualification'!$O$6</definedName>
    <definedName name="T1_5_TEMP">'Thermistor Qualification'!$K$6</definedName>
    <definedName name="T1_N_TEMP">'Thermistor Qualification'!$I$6</definedName>
    <definedName name="T1_N10">'BQ2575X Design Calculator'!$H$80</definedName>
    <definedName name="T1_N10_P">'BQ2575X Design Calculator'!$L$80</definedName>
    <definedName name="T1_N10_PERCENT">'Thermistor Qualification'!$L$6</definedName>
    <definedName name="T1_N10_TEMP">'Thermistor Qualification'!$H$6</definedName>
    <definedName name="T1_N5">'BQ2575X Design Calculator'!$I$80</definedName>
    <definedName name="T1_N5_P">'BQ2575X Design Calculator'!$M$80</definedName>
    <definedName name="T1_N5_PERCENT">'Thermistor Qualification'!$M$6</definedName>
    <definedName name="T1_P_Select">'BQ2575X Design Calculator'!$P$80</definedName>
    <definedName name="T1_S">'Thermistor Qualification'!$E$6</definedName>
    <definedName name="T1_T_N10">'BQ2575X Design Calculator'!$H$80</definedName>
    <definedName name="T1_TE">'BQ2575X Design Calculator'!$H$80</definedName>
    <definedName name="T1_TEMP">'BQ2575X Design Calculator'!$H$80</definedName>
    <definedName name="T1_TEMP__10">'BQ2575X Design Calculator'!$H$80</definedName>
    <definedName name="T1_TEMP_0">'BQ2575X Design Calculator'!$I$80</definedName>
    <definedName name="T1_TEMP_N10">'BQ2575X Design Calculator'!$H$80</definedName>
    <definedName name="T1_TEMP_Neg_5">'BQ2575X Design Calculator'!$I$80</definedName>
    <definedName name="T2_10_PERCENT">'Thermistor Qualification'!$M$7</definedName>
    <definedName name="T2_10_TEMP">'Thermistor Qualification'!$I$7</definedName>
    <definedName name="T2_15_PERCENT">'Thermistor Qualification'!$N$7</definedName>
    <definedName name="T2_15_TEMP">'Thermistor Qualification'!$J$7</definedName>
    <definedName name="T2_20_PERCENT">'Thermistor Qualification'!$O$7</definedName>
    <definedName name="T2_20_TEMP">'Thermistor Qualification'!$K$7</definedName>
    <definedName name="T2_5_PERCENT">'Thermistor Qualification'!$L$7</definedName>
    <definedName name="T2_5_TEMP">'Thermistor Qualification'!$H$7</definedName>
    <definedName name="T2_S">'Thermistor Qualification'!$E$7</definedName>
    <definedName name="T3_40_PERCENT">'Thermistor Qualification'!$L$8</definedName>
    <definedName name="T3_40_TEMP">'Thermistor Qualification'!$H$8</definedName>
    <definedName name="T3_45_PERCENT">'Thermistor Qualification'!$M$8</definedName>
    <definedName name="T3_45_TEMP">'Thermistor Qualification'!$I$8</definedName>
    <definedName name="T3_50_PERCENT">'Thermistor Qualification'!$N$8</definedName>
    <definedName name="T3_50_TEMP">'Thermistor Qualification'!$J$8</definedName>
    <definedName name="T3_55_PERCENT">'Thermistor Qualification'!$O$8</definedName>
    <definedName name="T3_55_TEMP">'Thermistor Qualification'!$K$8</definedName>
    <definedName name="T3_S">'Thermistor Qualification'!$E$8</definedName>
    <definedName name="T5_50">'BQ2575X Design Calculator'!$H$81</definedName>
    <definedName name="T5_50_PERCENT">'Thermistor Qualification'!$L$9</definedName>
    <definedName name="T5_50_TEMP">'Thermistor Qualification'!$H$9</definedName>
    <definedName name="T5_55">'BQ2575X Design Calculator'!$I$81</definedName>
    <definedName name="T5_55_P">'BQ2575X Design Calculator'!$M$81</definedName>
    <definedName name="T5_55_PERCENT">'Thermistor Qualification'!$M$9</definedName>
    <definedName name="T5_55_TEMP">'Thermistor Qualification'!$I$9</definedName>
    <definedName name="T5_60">'BQ2575X Design Calculator'!$J$81</definedName>
    <definedName name="T5_60_P">'BQ2575X Design Calculator'!$N$81</definedName>
    <definedName name="T5_60_PERCENT">'Thermistor Qualification'!$N$9</definedName>
    <definedName name="T5_60_TEMP">'Thermistor Qualification'!$J$9</definedName>
    <definedName name="T5_65">'BQ2575X Design Calculator'!$K$81</definedName>
    <definedName name="T5_65_P">'BQ2575X Design Calculator'!$O$81</definedName>
    <definedName name="T5_65_PERCENT">'Thermistor Qualification'!$O$9</definedName>
    <definedName name="T5_65_TEMP">'Thermistor Qualification'!$K$9</definedName>
    <definedName name="T5_P_Select">'BQ2575X Design Calculator'!$P$81</definedName>
    <definedName name="T5_S">'Thermistor Qualification'!$E$9</definedName>
    <definedName name="TCOLD">'BQ2575X Design Calculator'!$E$80</definedName>
    <definedName name="THOT">'BQ2575X Design Calculator'!$E$81</definedName>
    <definedName name="TI_MOSFET">'BQ2575X Design Calculator'!$I$157</definedName>
    <definedName name="TI_MOSFET_S_gFS_H_BO">'BQ2575X Design Calculator'!$E$184</definedName>
    <definedName name="TI_MOSFET_S_gFS_H_BU">'BQ2575X Design Calculator'!$E$170</definedName>
    <definedName name="TI_MOSFET_S_gFS_L_BO">'BQ2575X Design Calculator'!$F$184</definedName>
    <definedName name="TI_MOSFET_S_gFS_L_BU">'BQ2575X Design Calculator'!$F$170</definedName>
    <definedName name="TI_MOSFET_S_QG_H_BO">'BQ2575X Design Calculator'!$E$179</definedName>
    <definedName name="TI_MOSFET_S_QG_H_BU">'BQ2575X Design Calculator'!$E$165</definedName>
    <definedName name="TI_MOSFET_S_QG_L_BO">'BQ2575X Design Calculator'!$F$179</definedName>
    <definedName name="TI_MOSFET_S_QG_L_BU">'BQ2575X Design Calculator'!$F$165</definedName>
    <definedName name="TI_MOSFET_S_QGD_H_BO">'BQ2575X Design Calculator'!$E$180</definedName>
    <definedName name="TI_MOSFET_S_QGD_H_BU">'BQ2575X Design Calculator'!$E$166</definedName>
    <definedName name="TI_MOSFET_S_QGD_L_BO">'BQ2575X Design Calculator'!$F$180</definedName>
    <definedName name="TI_MOSFET_S_QGD_L_BU">'BQ2575X Design Calculator'!$F$166</definedName>
    <definedName name="TI_MOSFET_S_QGS_H_BO">'BQ2575X Design Calculator'!$E$181</definedName>
    <definedName name="TI_MOSFET_S_QGS_H_BU">'BQ2575X Design Calculator'!$E$167</definedName>
    <definedName name="TI_MOSFET_S_QGS_L_BO">'BQ2575X Design Calculator'!$F$181</definedName>
    <definedName name="TI_MOSFET_S_QGS_L_BU">'BQ2575X Design Calculator'!$F$167</definedName>
    <definedName name="TI_MOSFET_S_QOSS_H_BO">'BQ2575X Design Calculator'!$E$182</definedName>
    <definedName name="TI_MOSFET_S_QOSS_H_BU">'BQ2575X Design Calculator'!$E$168</definedName>
    <definedName name="TI_MOSFET_S_QOSS_L_BO">'BQ2575X Design Calculator'!$F$182</definedName>
    <definedName name="TI_MOSFET_S_QOSS_L_BU">'BQ2575X Design Calculator'!$F$168</definedName>
    <definedName name="TI_MOSFET_S_QRR_H_BO">'BQ2575X Design Calculator'!$E$187</definedName>
    <definedName name="TI_MOSFET_S_QRR_L_BU">'BQ2575X Design Calculator'!$F$173</definedName>
    <definedName name="TI_MOSFET_S_RDSON_H_BO">'BQ2575X Design Calculator'!$E$178</definedName>
    <definedName name="TI_MOSFET_S_RDSON_H_BU">'BQ2575X Design Calculator'!$E$164</definedName>
    <definedName name="TI_MOSFET_S_RDSON_L_BO">'BQ2575X Design Calculator'!$F$178</definedName>
    <definedName name="TI_MOSFET_S_RDSON_L_BU">'BQ2575X Design Calculator'!$F$164</definedName>
    <definedName name="TI_MOSFET_S_VSD_H_BO">'BQ2575X Design Calculator'!$E$186</definedName>
    <definedName name="TI_MOSFET_S_VSD_H_BU">'BQ2575X Design Calculator'!$E$172</definedName>
    <definedName name="TI_MOSFET_S_VSD_L_BO">'BQ2575X Design Calculator'!$F$186</definedName>
    <definedName name="TI_MOSFET_S_VSD_L_BU">'BQ2575X Design Calculator'!$F$172</definedName>
    <definedName name="TI_MOSFET_S_VTH_H_BO">'BQ2575X Design Calculator'!$E$185</definedName>
    <definedName name="TI_MOSFET_S_VTH_H_BU">'BQ2575X Design Calculator'!$E$171</definedName>
    <definedName name="TI_MOSFET_S_VTH_L_BO">'BQ2575X Design Calculator'!$F$185</definedName>
    <definedName name="TI_MOSFET_S_VTH_L_BU">'BQ2575X Design Calculator'!$F$171</definedName>
    <definedName name="TI_QG_10_H_BO">'BQ2575X Design Calculator'!$N$139</definedName>
    <definedName name="TI_QG_10_H_BU">'BQ2575X Design Calculator'!$N$121</definedName>
    <definedName name="TI_QG_10_L_BO">'BQ2575X Design Calculator'!$O$139</definedName>
    <definedName name="TI_QG_10_L_BU">'BQ2575X Design Calculator'!$O$121</definedName>
    <definedName name="TI_QG_4P5_H_BO">'BQ2575X Design Calculator'!$N$138</definedName>
    <definedName name="TI_QG_4P5_H_BU">'BQ2575X Design Calculator'!$N$120</definedName>
    <definedName name="TI_QG_4P5_L_BO">'BQ2575X Design Calculator'!$O$138</definedName>
    <definedName name="TI_QG_4P5_L_BU">'BQ2575X Design Calculator'!$O$120</definedName>
    <definedName name="TI_QG_C_H_BO">'BQ2575X Design Calculator'!$N$140</definedName>
    <definedName name="TI_QG_C_H_BU">'BQ2575X Design Calculator'!$N$122</definedName>
    <definedName name="TI_QG_C_L_BO">'BQ2575X Design Calculator'!$O$140</definedName>
    <definedName name="TI_QG_C_L_BU">'BQ2575X Design Calculator'!$O$122</definedName>
    <definedName name="TI_QGD_H_BO">'BQ2575X Design Calculator'!$N$141</definedName>
    <definedName name="TI_QGD_H_BU">'BQ2575X Design Calculator'!$N$123</definedName>
    <definedName name="TI_QGD_L_BO">'BQ2575X Design Calculator'!$O$141</definedName>
    <definedName name="TI_QGD_L_BU">'BQ2575X Design Calculator'!$O$123</definedName>
    <definedName name="TI_RDS_10_H_BO">'BQ2575X Design Calculator'!$N$136</definedName>
    <definedName name="TI_RDS_10_H_BU">'BQ2575X Design Calculator'!$N$118</definedName>
    <definedName name="TI_RDS_10_L_BO">'BQ2575X Design Calculator'!$O$136</definedName>
    <definedName name="TI_RDS_10_L_BU">'BQ2575X Design Calculator'!$O$118</definedName>
    <definedName name="TI_RDS_4P5_H_BO">'BQ2575X Design Calculator'!$N$135</definedName>
    <definedName name="TI_RDS_4P5_H_BU">'BQ2575X Design Calculator'!$N$117</definedName>
    <definedName name="TI_RDS_4P5_L_BO">'BQ2575X Design Calculator'!$O$135</definedName>
    <definedName name="TI_RDS_4P5_L_BU">'BQ2575X Design Calculator'!$O$117</definedName>
    <definedName name="TI_RDS_C_H_BO">'BQ2575X Design Calculator'!$N$137</definedName>
    <definedName name="TI_RDS_C_H_BU">'BQ2575X Design Calculator'!$N$119</definedName>
    <definedName name="TI_RDS_C_L_BO">'BQ2575X Design Calculator'!$O$137</definedName>
    <definedName name="TI_RDS_C_L_BU">'BQ2575X Design Calculator'!$O$119</definedName>
    <definedName name="V_FB_CEILING">'BQ2575X Design Calculator'!$K$73</definedName>
    <definedName name="V_FB_FLOOR">'BQ2575X Design Calculator'!$J$73</definedName>
    <definedName name="V_FB_Ideal">'BQ2575X Design Calculator'!$H$73</definedName>
    <definedName name="V_FB_Step">'BQ2575X Design Calculator'!$I$73</definedName>
    <definedName name="VACmax">'BQ2575X Design Calculator'!$E$8</definedName>
    <definedName name="VACmin">'BQ2575X Design Calculator'!$E$6</definedName>
    <definedName name="VACnom">'BQ2575X Design Calculator'!$E$7</definedName>
    <definedName name="Vbat">'BQ2575X Design Calculator'!$E$9</definedName>
    <definedName name="VBATREG">'BQ2575X Design Calculator'!$E$77</definedName>
    <definedName name="VBATREG_CEILING">'BQ2575X Design Calculator'!$M$73</definedName>
    <definedName name="VBATREG_D">'BQ2575X Design Calculator'!$E$70</definedName>
    <definedName name="VBATREG_FLOOR">'BQ2575X Design Calculator'!$L$73</definedName>
    <definedName name="VFB_Default">'BQ2575X Design Calculator'!$I$71</definedName>
    <definedName name="VFB_S">'BQ2575X Design Calculator'!$E$76</definedName>
    <definedName name="Vgs_10">'BQ2575X Design Calculator'!$J$158</definedName>
    <definedName name="Vgs_4P5">'BQ2575X Design Calculator'!$I$158</definedName>
    <definedName name="Vgs_C">'BQ2575X Design Calculator'!$K$158</definedName>
    <definedName name="VGS_S">'BQ2575X Design Calculator'!$E$158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4" i="1" l="1"/>
  <c r="E55" i="1"/>
  <c r="E53" i="1"/>
  <c r="E51" i="1" l="1"/>
  <c r="E41" i="1"/>
  <c r="E50" i="1"/>
  <c r="E30" i="1" l="1"/>
  <c r="E25" i="1"/>
  <c r="E89" i="1"/>
  <c r="E90" i="1"/>
  <c r="E91" i="1"/>
  <c r="I16" i="1" l="1"/>
  <c r="H16" i="1"/>
  <c r="H100" i="1" l="1"/>
  <c r="H106" i="1"/>
  <c r="D22" i="3"/>
  <c r="D26" i="3"/>
  <c r="A161" i="1"/>
  <c r="BB13" i="3"/>
  <c r="AQ13" i="3" s="1"/>
  <c r="AZ13" i="3"/>
  <c r="AC13" i="3" s="1"/>
  <c r="BA13" i="3"/>
  <c r="AJ13" i="3" s="1"/>
  <c r="AZ14" i="3"/>
  <c r="AC14" i="3" s="1"/>
  <c r="BB14" i="3"/>
  <c r="AQ14" i="3" s="1"/>
  <c r="BA14" i="3"/>
  <c r="AJ14" i="3" s="1"/>
  <c r="BA11" i="3"/>
  <c r="AJ11" i="3" s="1"/>
  <c r="AZ11" i="3"/>
  <c r="AC11" i="3" s="1"/>
  <c r="BB11" i="3"/>
  <c r="AQ11" i="3" s="1"/>
  <c r="BB12" i="3"/>
  <c r="AQ12" i="3" s="1"/>
  <c r="AZ12" i="3"/>
  <c r="AC12" i="3" s="1"/>
  <c r="BA12" i="3"/>
  <c r="AJ12" i="3" s="1"/>
  <c r="AZ10" i="3"/>
  <c r="AC10" i="3" s="1"/>
  <c r="BB10" i="3"/>
  <c r="AQ10" i="3" s="1"/>
  <c r="BA10" i="3"/>
  <c r="AJ10" i="3" s="1"/>
  <c r="BA9" i="3"/>
  <c r="AJ9" i="3" s="1"/>
  <c r="AZ9" i="3"/>
  <c r="AC9" i="3" s="1"/>
  <c r="BB9" i="3"/>
  <c r="AQ9" i="3" s="1"/>
  <c r="BB8" i="3"/>
  <c r="AQ8" i="3" s="1"/>
  <c r="AZ8" i="3"/>
  <c r="AC8" i="3" s="1"/>
  <c r="BA8" i="3"/>
  <c r="AJ8" i="3" s="1"/>
  <c r="BB7" i="3"/>
  <c r="AQ7" i="3" s="1"/>
  <c r="AZ7" i="3"/>
  <c r="AC7" i="3" s="1"/>
  <c r="BA7" i="3"/>
  <c r="AJ7" i="3" s="1"/>
  <c r="BD9" i="3" l="1"/>
  <c r="D21" i="3" l="1"/>
  <c r="E11" i="3"/>
  <c r="L15" i="2"/>
  <c r="R117" i="1" l="1"/>
  <c r="E10" i="3"/>
  <c r="Q9" i="3" l="1"/>
  <c r="Q6" i="3"/>
  <c r="E13" i="3" s="1"/>
  <c r="AC20"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F20" i="3"/>
  <c r="AF105" i="3"/>
  <c r="AF180" i="3"/>
  <c r="AD105" i="3"/>
  <c r="AD180" i="3"/>
  <c r="AD20"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06" i="3"/>
  <c r="D23" i="3"/>
  <c r="D24" i="3"/>
  <c r="D25"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C20" i="3"/>
  <c r="A21" i="3"/>
  <c r="AC21" i="3" s="1"/>
  <c r="G11" i="3"/>
  <c r="G10" i="3"/>
  <c r="C21" i="3" l="1"/>
  <c r="E12" i="3"/>
  <c r="AF110" i="3"/>
  <c r="AF39" i="3"/>
  <c r="AD39" i="3"/>
  <c r="AD174" i="3"/>
  <c r="AF174" i="3"/>
  <c r="AD142" i="3"/>
  <c r="AF142" i="3"/>
  <c r="AD118" i="3"/>
  <c r="AF118" i="3"/>
  <c r="AD102" i="3"/>
  <c r="AF102" i="3"/>
  <c r="AD94" i="3"/>
  <c r="AF94" i="3"/>
  <c r="AD86" i="3"/>
  <c r="AF86" i="3"/>
  <c r="AF78" i="3"/>
  <c r="AD70" i="3"/>
  <c r="AF70" i="3"/>
  <c r="AD62" i="3"/>
  <c r="AF62" i="3"/>
  <c r="AD54" i="3"/>
  <c r="AF54" i="3"/>
  <c r="AD46" i="3"/>
  <c r="AF46" i="3"/>
  <c r="AD38" i="3"/>
  <c r="AF38" i="3"/>
  <c r="AD30" i="3"/>
  <c r="AF30" i="3"/>
  <c r="AD22" i="3"/>
  <c r="AF22" i="3"/>
  <c r="AD173" i="3"/>
  <c r="AF173" i="3"/>
  <c r="AD165" i="3"/>
  <c r="AF165" i="3"/>
  <c r="AD157" i="3"/>
  <c r="AF157" i="3"/>
  <c r="AD149" i="3"/>
  <c r="AF149" i="3"/>
  <c r="AD141" i="3"/>
  <c r="AF141" i="3"/>
  <c r="AD133" i="3"/>
  <c r="AF133" i="3"/>
  <c r="AD125" i="3"/>
  <c r="AF125" i="3"/>
  <c r="AD117" i="3"/>
  <c r="AF117" i="3"/>
  <c r="AD109" i="3"/>
  <c r="AF109" i="3"/>
  <c r="AD21" i="3"/>
  <c r="AF21" i="3"/>
  <c r="AD97" i="3"/>
  <c r="AF97" i="3"/>
  <c r="AD81" i="3"/>
  <c r="AF81" i="3"/>
  <c r="AD65" i="3"/>
  <c r="AF65" i="3"/>
  <c r="AD49" i="3"/>
  <c r="AF49" i="3"/>
  <c r="AD33" i="3"/>
  <c r="AF33" i="3"/>
  <c r="AD176" i="3"/>
  <c r="AF176" i="3"/>
  <c r="AD160" i="3"/>
  <c r="AF160" i="3"/>
  <c r="AD144" i="3"/>
  <c r="AF144" i="3"/>
  <c r="AD136" i="3"/>
  <c r="AF136" i="3"/>
  <c r="AD120" i="3"/>
  <c r="AF120" i="3"/>
  <c r="AD104" i="3"/>
  <c r="AF104" i="3"/>
  <c r="AD88" i="3"/>
  <c r="AF88" i="3"/>
  <c r="AD72" i="3"/>
  <c r="AF72" i="3"/>
  <c r="AD64" i="3"/>
  <c r="AF64" i="3"/>
  <c r="AD48" i="3"/>
  <c r="AF48" i="3"/>
  <c r="AD32" i="3"/>
  <c r="AF32" i="3"/>
  <c r="AF175" i="3"/>
  <c r="AD175" i="3"/>
  <c r="AF167" i="3"/>
  <c r="AD167" i="3"/>
  <c r="AD151" i="3"/>
  <c r="AF151" i="3"/>
  <c r="AF135" i="3"/>
  <c r="AD135" i="3"/>
  <c r="AF119" i="3"/>
  <c r="AD119" i="3"/>
  <c r="AF95" i="3"/>
  <c r="AF79" i="3"/>
  <c r="AD79" i="3"/>
  <c r="AD63" i="3"/>
  <c r="AF63" i="3"/>
  <c r="AF47" i="3"/>
  <c r="AD47" i="3"/>
  <c r="AF23" i="3"/>
  <c r="AD23" i="3"/>
  <c r="AD158" i="3"/>
  <c r="AF158" i="3"/>
  <c r="AD134" i="3"/>
  <c r="AF134" i="3"/>
  <c r="AD101" i="3"/>
  <c r="AF101" i="3"/>
  <c r="AD93" i="3"/>
  <c r="AF93" i="3"/>
  <c r="AD85" i="3"/>
  <c r="AF85" i="3"/>
  <c r="AD77" i="3"/>
  <c r="AF77" i="3"/>
  <c r="AD69" i="3"/>
  <c r="AF69" i="3"/>
  <c r="AD61" i="3"/>
  <c r="AF61" i="3"/>
  <c r="AD53" i="3"/>
  <c r="AF53" i="3"/>
  <c r="AD45" i="3"/>
  <c r="AF45" i="3"/>
  <c r="AD37" i="3"/>
  <c r="AF37" i="3"/>
  <c r="AD29" i="3"/>
  <c r="AF29" i="3"/>
  <c r="AD106" i="3"/>
  <c r="AF106" i="3"/>
  <c r="AD172" i="3"/>
  <c r="AF172" i="3"/>
  <c r="AD164" i="3"/>
  <c r="AF164" i="3"/>
  <c r="AD156" i="3"/>
  <c r="AF156" i="3"/>
  <c r="AD148" i="3"/>
  <c r="AF148" i="3"/>
  <c r="AD140" i="3"/>
  <c r="AF140" i="3"/>
  <c r="AD132" i="3"/>
  <c r="AF132" i="3"/>
  <c r="AD124" i="3"/>
  <c r="AF124" i="3"/>
  <c r="AD116" i="3"/>
  <c r="AF116" i="3"/>
  <c r="AD108" i="3"/>
  <c r="AF108" i="3"/>
  <c r="AD89" i="3"/>
  <c r="AF89" i="3"/>
  <c r="AD73" i="3"/>
  <c r="AF73" i="3"/>
  <c r="AD57" i="3"/>
  <c r="AF57" i="3"/>
  <c r="AD41" i="3"/>
  <c r="AF41" i="3"/>
  <c r="AD25" i="3"/>
  <c r="AF25" i="3"/>
  <c r="AD168" i="3"/>
  <c r="AF168" i="3"/>
  <c r="AD152" i="3"/>
  <c r="AF152" i="3"/>
  <c r="AD128" i="3"/>
  <c r="AF128" i="3"/>
  <c r="AD96" i="3"/>
  <c r="AF96" i="3"/>
  <c r="AD80" i="3"/>
  <c r="AF80" i="3"/>
  <c r="AD56" i="3"/>
  <c r="AF56" i="3"/>
  <c r="AD40" i="3"/>
  <c r="AF40" i="3"/>
  <c r="AD24" i="3"/>
  <c r="AF24" i="3"/>
  <c r="AF159" i="3"/>
  <c r="AF143" i="3"/>
  <c r="AD143" i="3"/>
  <c r="AF127" i="3"/>
  <c r="AD127" i="3"/>
  <c r="AF103" i="3"/>
  <c r="AD103" i="3"/>
  <c r="AD87" i="3"/>
  <c r="AF87" i="3"/>
  <c r="AF71" i="3"/>
  <c r="AD71" i="3"/>
  <c r="AF55" i="3"/>
  <c r="AD55" i="3"/>
  <c r="AD31" i="3"/>
  <c r="AF31" i="3"/>
  <c r="AD166" i="3"/>
  <c r="AF166" i="3"/>
  <c r="AD150" i="3"/>
  <c r="AF150" i="3"/>
  <c r="AD126" i="3"/>
  <c r="AF126" i="3"/>
  <c r="AD100" i="3"/>
  <c r="AF100" i="3"/>
  <c r="AD92" i="3"/>
  <c r="AF92" i="3"/>
  <c r="AD84" i="3"/>
  <c r="AF84" i="3"/>
  <c r="AD76" i="3"/>
  <c r="AF76" i="3"/>
  <c r="AD68" i="3"/>
  <c r="AF68" i="3"/>
  <c r="AD60" i="3"/>
  <c r="AF60" i="3"/>
  <c r="AD52" i="3"/>
  <c r="AF52" i="3"/>
  <c r="AD44" i="3"/>
  <c r="AF44" i="3"/>
  <c r="AD36" i="3"/>
  <c r="AF36" i="3"/>
  <c r="AD28" i="3"/>
  <c r="AF28" i="3"/>
  <c r="AD179" i="3"/>
  <c r="AF179" i="3"/>
  <c r="AF171" i="3"/>
  <c r="AD171" i="3"/>
  <c r="AF163" i="3"/>
  <c r="AD163" i="3"/>
  <c r="AF155" i="3"/>
  <c r="AD155" i="3"/>
  <c r="AF147" i="3"/>
  <c r="AD147" i="3"/>
  <c r="AF139" i="3"/>
  <c r="AD139" i="3"/>
  <c r="AD131" i="3"/>
  <c r="AF131" i="3"/>
  <c r="AF123" i="3"/>
  <c r="AD123" i="3"/>
  <c r="AF115" i="3"/>
  <c r="AD115" i="3"/>
  <c r="AD107" i="3"/>
  <c r="AD114" i="3"/>
  <c r="AF114" i="3"/>
  <c r="AF99" i="3"/>
  <c r="AD99" i="3"/>
  <c r="AF91" i="3"/>
  <c r="AD91" i="3"/>
  <c r="AF83" i="3"/>
  <c r="AD83" i="3"/>
  <c r="AF75" i="3"/>
  <c r="AD75" i="3"/>
  <c r="AF67" i="3"/>
  <c r="AD67" i="3"/>
  <c r="AF59" i="3"/>
  <c r="AD59" i="3"/>
  <c r="AF51" i="3"/>
  <c r="AD51" i="3"/>
  <c r="AF43" i="3"/>
  <c r="AD43" i="3"/>
  <c r="AF35" i="3"/>
  <c r="AD35" i="3"/>
  <c r="AF27" i="3"/>
  <c r="AD27" i="3"/>
  <c r="AD178" i="3"/>
  <c r="AF178" i="3"/>
  <c r="AD170" i="3"/>
  <c r="AF170" i="3"/>
  <c r="AD162" i="3"/>
  <c r="AF162" i="3"/>
  <c r="AD154" i="3"/>
  <c r="AF154" i="3"/>
  <c r="AD146" i="3"/>
  <c r="AF146" i="3"/>
  <c r="AD138" i="3"/>
  <c r="AF138" i="3"/>
  <c r="AD130" i="3"/>
  <c r="AF130" i="3"/>
  <c r="AD122" i="3"/>
  <c r="AF122" i="3"/>
  <c r="AD98" i="3"/>
  <c r="AF98" i="3"/>
  <c r="AD90" i="3"/>
  <c r="AF90" i="3"/>
  <c r="AD82" i="3"/>
  <c r="AF82" i="3"/>
  <c r="AD74" i="3"/>
  <c r="AF74" i="3"/>
  <c r="AD66" i="3"/>
  <c r="AF66" i="3"/>
  <c r="AD58" i="3"/>
  <c r="AF58" i="3"/>
  <c r="AD50" i="3"/>
  <c r="AF50" i="3"/>
  <c r="AD42" i="3"/>
  <c r="AF42" i="3"/>
  <c r="AD34" i="3"/>
  <c r="AF34" i="3"/>
  <c r="AD26" i="3"/>
  <c r="AF26" i="3"/>
  <c r="AD177" i="3"/>
  <c r="AF177" i="3"/>
  <c r="AD169" i="3"/>
  <c r="AF169" i="3"/>
  <c r="AD161" i="3"/>
  <c r="AF161" i="3"/>
  <c r="AD153" i="3"/>
  <c r="AF153" i="3"/>
  <c r="AD145" i="3"/>
  <c r="AF145" i="3"/>
  <c r="AD137" i="3"/>
  <c r="AF137" i="3"/>
  <c r="AD129" i="3"/>
  <c r="AF129" i="3"/>
  <c r="AD121" i="3"/>
  <c r="AF121" i="3"/>
  <c r="AD113" i="3"/>
  <c r="AF113" i="3"/>
  <c r="AD112" i="3"/>
  <c r="AF112" i="3"/>
  <c r="AF111" i="3"/>
  <c r="AD111" i="3"/>
  <c r="AF107" i="3"/>
  <c r="AD110" i="3"/>
  <c r="A22" i="3"/>
  <c r="AD159" i="3"/>
  <c r="AD95" i="3"/>
  <c r="AD78" i="3"/>
  <c r="A23" i="3" l="1"/>
  <c r="AC22" i="3"/>
  <c r="C22" i="3"/>
  <c r="C23" i="3"/>
  <c r="A24" i="3" l="1"/>
  <c r="AC23" i="3"/>
  <c r="A25" i="3" l="1"/>
  <c r="AC24" i="3"/>
  <c r="C24" i="3"/>
  <c r="A26" i="3" l="1"/>
  <c r="AC25" i="3"/>
  <c r="C25" i="3"/>
  <c r="AC26" i="3" l="1"/>
  <c r="A27" i="3"/>
  <c r="C26" i="3"/>
  <c r="AC27" i="3" l="1"/>
  <c r="A28" i="3"/>
  <c r="C27" i="3"/>
  <c r="AC28" i="3" l="1"/>
  <c r="C28" i="3"/>
  <c r="A29" i="3"/>
  <c r="AC29" i="3" l="1"/>
  <c r="A30" i="3"/>
  <c r="C29" i="3"/>
  <c r="AC30" i="3" l="1"/>
  <c r="C30" i="3"/>
  <c r="A31" i="3"/>
  <c r="AC31" i="3" l="1"/>
  <c r="C31" i="3"/>
  <c r="A32" i="3"/>
  <c r="AC32" i="3" l="1"/>
  <c r="C32" i="3"/>
  <c r="A33" i="3"/>
  <c r="AC33" i="3" l="1"/>
  <c r="C33" i="3"/>
  <c r="A34" i="3"/>
  <c r="AC34" i="3" l="1"/>
  <c r="A35" i="3"/>
  <c r="C34" i="3"/>
  <c r="AC35" i="3" l="1"/>
  <c r="A36" i="3"/>
  <c r="C35" i="3"/>
  <c r="AC36" i="3" l="1"/>
  <c r="A37" i="3"/>
  <c r="C36" i="3"/>
  <c r="AC37" i="3" l="1"/>
  <c r="A38" i="3"/>
  <c r="C37" i="3"/>
  <c r="AC38" i="3" l="1"/>
  <c r="A39" i="3"/>
  <c r="C38" i="3"/>
  <c r="AC39" i="3" l="1"/>
  <c r="A40" i="3"/>
  <c r="C39" i="3"/>
  <c r="AC40" i="3" l="1"/>
  <c r="A41" i="3"/>
  <c r="C40" i="3"/>
  <c r="AC41" i="3" l="1"/>
  <c r="C41" i="3"/>
  <c r="A42" i="3"/>
  <c r="AC42" i="3" l="1"/>
  <c r="C42" i="3"/>
  <c r="A43" i="3"/>
  <c r="AC43" i="3" l="1"/>
  <c r="A44" i="3"/>
  <c r="C43" i="3"/>
  <c r="AC44" i="3" l="1"/>
  <c r="A45" i="3"/>
  <c r="C44" i="3"/>
  <c r="AC45" i="3" l="1"/>
  <c r="A46" i="3"/>
  <c r="C45" i="3"/>
  <c r="AC46" i="3" l="1"/>
  <c r="A47" i="3"/>
  <c r="C46" i="3"/>
  <c r="AC47" i="3" l="1"/>
  <c r="A48" i="3"/>
  <c r="C47" i="3"/>
  <c r="AC48" i="3" l="1"/>
  <c r="A49" i="3"/>
  <c r="C48" i="3"/>
  <c r="AC49" i="3" l="1"/>
  <c r="A50" i="3"/>
  <c r="C49" i="3"/>
  <c r="AC50" i="3" l="1"/>
  <c r="A51" i="3"/>
  <c r="C50" i="3"/>
  <c r="AC51" i="3" l="1"/>
  <c r="C51" i="3"/>
  <c r="A52" i="3"/>
  <c r="AC52" i="3" l="1"/>
  <c r="A53" i="3"/>
  <c r="C52" i="3"/>
  <c r="AC53" i="3" l="1"/>
  <c r="A54" i="3"/>
  <c r="C53" i="3"/>
  <c r="AC54" i="3" l="1"/>
  <c r="A55" i="3"/>
  <c r="C54" i="3"/>
  <c r="AC55" i="3" l="1"/>
  <c r="A56" i="3"/>
  <c r="C55" i="3"/>
  <c r="AC56" i="3" l="1"/>
  <c r="C56" i="3"/>
  <c r="A57" i="3"/>
  <c r="AC57" i="3" l="1"/>
  <c r="C57" i="3"/>
  <c r="A58" i="3"/>
  <c r="AC58" i="3" l="1"/>
  <c r="A59" i="3"/>
  <c r="C58" i="3"/>
  <c r="AC59" i="3" l="1"/>
  <c r="C59" i="3"/>
  <c r="A60" i="3"/>
  <c r="AC60" i="3" l="1"/>
  <c r="C60" i="3"/>
  <c r="A61" i="3"/>
  <c r="AC61" i="3" l="1"/>
  <c r="C61" i="3"/>
  <c r="A62" i="3"/>
  <c r="AC62" i="3" l="1"/>
  <c r="A63" i="3"/>
  <c r="C62" i="3"/>
  <c r="AC63" i="3" l="1"/>
  <c r="A64" i="3"/>
  <c r="C63" i="3"/>
  <c r="AC64" i="3" l="1"/>
  <c r="A65" i="3"/>
  <c r="C64" i="3"/>
  <c r="AC65" i="3" l="1"/>
  <c r="C65" i="3"/>
  <c r="A66" i="3"/>
  <c r="AC66" i="3" l="1"/>
  <c r="A67" i="3"/>
  <c r="C66" i="3"/>
  <c r="AC67" i="3" l="1"/>
  <c r="A68" i="3"/>
  <c r="C67" i="3"/>
  <c r="AC68" i="3" l="1"/>
  <c r="A69" i="3"/>
  <c r="C68" i="3"/>
  <c r="AC69" i="3" l="1"/>
  <c r="A70" i="3"/>
  <c r="C69" i="3"/>
  <c r="AC70" i="3" l="1"/>
  <c r="A71" i="3"/>
  <c r="C70" i="3"/>
  <c r="AC71" i="3" l="1"/>
  <c r="C71" i="3"/>
  <c r="A72" i="3"/>
  <c r="AC72" i="3" l="1"/>
  <c r="C72" i="3"/>
  <c r="A73" i="3"/>
  <c r="AC73" i="3" l="1"/>
  <c r="A74" i="3"/>
  <c r="C73" i="3"/>
  <c r="AC74" i="3" l="1"/>
  <c r="C74" i="3"/>
  <c r="A75" i="3"/>
  <c r="AC75" i="3" l="1"/>
  <c r="A76" i="3"/>
  <c r="C75" i="3"/>
  <c r="AC76" i="3" l="1"/>
  <c r="C76" i="3"/>
  <c r="A77" i="3"/>
  <c r="AC77" i="3" l="1"/>
  <c r="A78" i="3"/>
  <c r="C77" i="3"/>
  <c r="AC78" i="3" l="1"/>
  <c r="A79" i="3"/>
  <c r="C78" i="3"/>
  <c r="AC79" i="3" l="1"/>
  <c r="A80" i="3"/>
  <c r="C79" i="3"/>
  <c r="AC80" i="3" l="1"/>
  <c r="A81" i="3"/>
  <c r="C80" i="3"/>
  <c r="AC81" i="3" l="1"/>
  <c r="A82" i="3"/>
  <c r="C81" i="3"/>
  <c r="AC82" i="3" l="1"/>
  <c r="A83" i="3"/>
  <c r="C82" i="3"/>
  <c r="AC83" i="3" l="1"/>
  <c r="A84" i="3"/>
  <c r="C83" i="3"/>
  <c r="AC84" i="3" l="1"/>
  <c r="A85" i="3"/>
  <c r="C84" i="3"/>
  <c r="AC85" i="3" l="1"/>
  <c r="C85" i="3"/>
  <c r="A86" i="3"/>
  <c r="AC86" i="3" l="1"/>
  <c r="A87" i="3"/>
  <c r="C86" i="3"/>
  <c r="AC87" i="3" l="1"/>
  <c r="A88" i="3"/>
  <c r="C87" i="3"/>
  <c r="AC88" i="3" l="1"/>
  <c r="A89" i="3"/>
  <c r="C88" i="3"/>
  <c r="AC89" i="3" l="1"/>
  <c r="A90" i="3"/>
  <c r="C89" i="3"/>
  <c r="AC90" i="3" l="1"/>
  <c r="A91" i="3"/>
  <c r="C90" i="3"/>
  <c r="AC91" i="3" l="1"/>
  <c r="A92" i="3"/>
  <c r="C91" i="3"/>
  <c r="AC92" i="3" l="1"/>
  <c r="A93" i="3"/>
  <c r="C92" i="3"/>
  <c r="AC93" i="3" l="1"/>
  <c r="A94" i="3"/>
  <c r="C93" i="3"/>
  <c r="AC94" i="3" l="1"/>
  <c r="A95" i="3"/>
  <c r="C94" i="3"/>
  <c r="AC95" i="3" l="1"/>
  <c r="A96" i="3"/>
  <c r="C95" i="3"/>
  <c r="AC96" i="3" l="1"/>
  <c r="A97" i="3"/>
  <c r="C96" i="3"/>
  <c r="AC97" i="3" l="1"/>
  <c r="A98" i="3"/>
  <c r="C97" i="3"/>
  <c r="AC98" i="3" l="1"/>
  <c r="A99" i="3"/>
  <c r="C98" i="3"/>
  <c r="AC99" i="3" l="1"/>
  <c r="A100" i="3"/>
  <c r="C99" i="3"/>
  <c r="AC100" i="3" l="1"/>
  <c r="A101" i="3"/>
  <c r="C100" i="3"/>
  <c r="AC101" i="3" l="1"/>
  <c r="A102" i="3"/>
  <c r="C101" i="3"/>
  <c r="AC102" i="3" l="1"/>
  <c r="A103" i="3"/>
  <c r="C102" i="3"/>
  <c r="AC103" i="3" l="1"/>
  <c r="A104" i="3"/>
  <c r="C103" i="3"/>
  <c r="AC104" i="3" l="1"/>
  <c r="A105" i="3"/>
  <c r="C104" i="3"/>
  <c r="AC105" i="3" l="1"/>
  <c r="A106" i="3"/>
  <c r="C105" i="3"/>
  <c r="AC106" i="3" l="1"/>
  <c r="A107" i="3"/>
  <c r="C106" i="3"/>
  <c r="AC107" i="3" l="1"/>
  <c r="A108" i="3"/>
  <c r="C107" i="3"/>
  <c r="AC108" i="3" l="1"/>
  <c r="A109" i="3"/>
  <c r="C108" i="3"/>
  <c r="AC109" i="3" l="1"/>
  <c r="A110" i="3"/>
  <c r="C109" i="3"/>
  <c r="AC110" i="3" l="1"/>
  <c r="A111" i="3"/>
  <c r="C110" i="3"/>
  <c r="AC111" i="3" l="1"/>
  <c r="A112" i="3"/>
  <c r="C111" i="3"/>
  <c r="AC112" i="3" l="1"/>
  <c r="A113" i="3"/>
  <c r="C112" i="3"/>
  <c r="AC113" i="3" l="1"/>
  <c r="A114" i="3"/>
  <c r="C113" i="3"/>
  <c r="AC114" i="3" l="1"/>
  <c r="A115" i="3"/>
  <c r="C114" i="3"/>
  <c r="AC115" i="3" l="1"/>
  <c r="A116" i="3"/>
  <c r="C115" i="3"/>
  <c r="AC116" i="3" l="1"/>
  <c r="A117" i="3"/>
  <c r="C116" i="3"/>
  <c r="AC117" i="3" l="1"/>
  <c r="A118" i="3"/>
  <c r="C117" i="3"/>
  <c r="AC118" i="3" l="1"/>
  <c r="A119" i="3"/>
  <c r="C118" i="3"/>
  <c r="AC119" i="3" l="1"/>
  <c r="A120" i="3"/>
  <c r="C119" i="3"/>
  <c r="AC120" i="3" l="1"/>
  <c r="A121" i="3"/>
  <c r="C120" i="3"/>
  <c r="AC121" i="3" l="1"/>
  <c r="A122" i="3"/>
  <c r="C121" i="3"/>
  <c r="AC122" i="3" l="1"/>
  <c r="A123" i="3"/>
  <c r="C122" i="3"/>
  <c r="AC123" i="3" l="1"/>
  <c r="A124" i="3"/>
  <c r="C123" i="3"/>
  <c r="AC124" i="3" l="1"/>
  <c r="A125" i="3"/>
  <c r="C124" i="3"/>
  <c r="AC125" i="3" l="1"/>
  <c r="A126" i="3"/>
  <c r="C125" i="3"/>
  <c r="AC126" i="3" l="1"/>
  <c r="A127" i="3"/>
  <c r="C126" i="3"/>
  <c r="AC127" i="3" l="1"/>
  <c r="A128" i="3"/>
  <c r="C127" i="3"/>
  <c r="AC128" i="3" l="1"/>
  <c r="A129" i="3"/>
  <c r="C128" i="3"/>
  <c r="AC129" i="3" l="1"/>
  <c r="A130" i="3"/>
  <c r="C129" i="3"/>
  <c r="AC130" i="3" l="1"/>
  <c r="C130" i="3"/>
  <c r="A131" i="3"/>
  <c r="AC131" i="3" l="1"/>
  <c r="A132" i="3"/>
  <c r="C131" i="3"/>
  <c r="AC132" i="3" l="1"/>
  <c r="A133" i="3"/>
  <c r="C132" i="3"/>
  <c r="AC133" i="3" l="1"/>
  <c r="A134" i="3"/>
  <c r="C133" i="3"/>
  <c r="AC134" i="3" l="1"/>
  <c r="A135" i="3"/>
  <c r="C134" i="3"/>
  <c r="AC135" i="3" l="1"/>
  <c r="A136" i="3"/>
  <c r="C135" i="3"/>
  <c r="AC136" i="3" l="1"/>
  <c r="C136" i="3"/>
  <c r="A137" i="3"/>
  <c r="AC137" i="3" l="1"/>
  <c r="A138" i="3"/>
  <c r="C137" i="3"/>
  <c r="AC138" i="3" l="1"/>
  <c r="A139" i="3"/>
  <c r="C138" i="3"/>
  <c r="AC139" i="3" l="1"/>
  <c r="A140" i="3"/>
  <c r="C139" i="3"/>
  <c r="AC140" i="3" l="1"/>
  <c r="A141" i="3"/>
  <c r="C140" i="3"/>
  <c r="AC141" i="3" l="1"/>
  <c r="A142" i="3"/>
  <c r="C141" i="3"/>
  <c r="AC142" i="3" l="1"/>
  <c r="A143" i="3"/>
  <c r="C142" i="3"/>
  <c r="AC143" i="3" l="1"/>
  <c r="A144" i="3"/>
  <c r="C143" i="3"/>
  <c r="AC144" i="3" l="1"/>
  <c r="A145" i="3"/>
  <c r="C144" i="3"/>
  <c r="AC145" i="3" l="1"/>
  <c r="C145" i="3"/>
  <c r="A146" i="3"/>
  <c r="AC146" i="3" l="1"/>
  <c r="A147" i="3"/>
  <c r="C146" i="3"/>
  <c r="AC147" i="3" l="1"/>
  <c r="A148" i="3"/>
  <c r="C147" i="3"/>
  <c r="AC148" i="3" l="1"/>
  <c r="A149" i="3"/>
  <c r="C148" i="3"/>
  <c r="AC149" i="3" l="1"/>
  <c r="A150" i="3"/>
  <c r="C149" i="3"/>
  <c r="AC150" i="3" l="1"/>
  <c r="A151" i="3"/>
  <c r="C150" i="3"/>
  <c r="AC151" i="3" l="1"/>
  <c r="A152" i="3"/>
  <c r="C151" i="3"/>
  <c r="AC152" i="3" l="1"/>
  <c r="A153" i="3"/>
  <c r="C152" i="3"/>
  <c r="AC153" i="3" l="1"/>
  <c r="A154" i="3"/>
  <c r="C153" i="3"/>
  <c r="AC154" i="3" l="1"/>
  <c r="A155" i="3"/>
  <c r="C154" i="3"/>
  <c r="AC155" i="3" l="1"/>
  <c r="A156" i="3"/>
  <c r="C155" i="3"/>
  <c r="AC156" i="3" l="1"/>
  <c r="A157" i="3"/>
  <c r="C156" i="3"/>
  <c r="AC157" i="3" l="1"/>
  <c r="A158" i="3"/>
  <c r="C157" i="3"/>
  <c r="AC158" i="3" l="1"/>
  <c r="A159" i="3"/>
  <c r="C158" i="3"/>
  <c r="AC159" i="3" l="1"/>
  <c r="A160" i="3"/>
  <c r="C159" i="3"/>
  <c r="AC160" i="3" l="1"/>
  <c r="A161" i="3"/>
  <c r="C160" i="3"/>
  <c r="AC161" i="3" l="1"/>
  <c r="A162" i="3"/>
  <c r="C161" i="3"/>
  <c r="AC162" i="3" l="1"/>
  <c r="A163" i="3"/>
  <c r="C162" i="3"/>
  <c r="AC163" i="3" l="1"/>
  <c r="A164" i="3"/>
  <c r="C163" i="3"/>
  <c r="AC164" i="3" l="1"/>
  <c r="A165" i="3"/>
  <c r="C164" i="3"/>
  <c r="AC165" i="3" l="1"/>
  <c r="A166" i="3"/>
  <c r="C165" i="3"/>
  <c r="AC166" i="3" l="1"/>
  <c r="A167" i="3"/>
  <c r="C166" i="3"/>
  <c r="AC167" i="3" l="1"/>
  <c r="A168" i="3"/>
  <c r="C167" i="3"/>
  <c r="AC168" i="3" l="1"/>
  <c r="A169" i="3"/>
  <c r="C168" i="3"/>
  <c r="AC169" i="3" l="1"/>
  <c r="A170" i="3"/>
  <c r="C169" i="3"/>
  <c r="AC170" i="3" l="1"/>
  <c r="A171" i="3"/>
  <c r="C170" i="3"/>
  <c r="AC171" i="3" l="1"/>
  <c r="A172" i="3"/>
  <c r="C171" i="3"/>
  <c r="AC172" i="3" l="1"/>
  <c r="A173" i="3"/>
  <c r="C172" i="3"/>
  <c r="AC173" i="3" l="1"/>
  <c r="A174" i="3"/>
  <c r="C173" i="3"/>
  <c r="AC174" i="3" l="1"/>
  <c r="A175" i="3"/>
  <c r="C174" i="3"/>
  <c r="AC175" i="3" l="1"/>
  <c r="A176" i="3"/>
  <c r="C175" i="3"/>
  <c r="AC176" i="3" l="1"/>
  <c r="A177" i="3"/>
  <c r="C176" i="3"/>
  <c r="AC177" i="3" l="1"/>
  <c r="A178" i="3"/>
  <c r="C177" i="3"/>
  <c r="AC178" i="3" l="1"/>
  <c r="A179" i="3"/>
  <c r="C178" i="3"/>
  <c r="AC179" i="3" l="1"/>
  <c r="A180" i="3"/>
  <c r="C179" i="3"/>
  <c r="C180" i="3" l="1"/>
  <c r="AC180" i="3"/>
  <c r="E102" i="1" l="1"/>
  <c r="E109" i="1"/>
  <c r="E108" i="1"/>
  <c r="G74" i="1"/>
  <c r="G75" i="1"/>
  <c r="G82" i="1"/>
  <c r="G83" i="1"/>
  <c r="G65" i="1" l="1"/>
  <c r="G64" i="1"/>
  <c r="G63" i="1"/>
  <c r="G54" i="1"/>
  <c r="G45" i="1"/>
  <c r="G15" i="1"/>
  <c r="G49" i="1"/>
  <c r="G40" i="1"/>
  <c r="H95" i="1"/>
  <c r="H72" i="1"/>
  <c r="E77" i="1"/>
  <c r="I72" i="1" l="1"/>
  <c r="K72" i="1" s="1"/>
  <c r="J72" i="1"/>
  <c r="L72" i="1" s="1"/>
  <c r="E72" i="1" l="1"/>
  <c r="H73" i="1" s="1"/>
  <c r="J73" i="1" s="1"/>
  <c r="K73" i="1" s="1"/>
  <c r="M73" i="1" l="1"/>
  <c r="O73" i="1" s="1"/>
  <c r="L73" i="1"/>
  <c r="N73" i="1" s="1"/>
  <c r="E73" i="1" l="1"/>
  <c r="H29" i="1" l="1"/>
  <c r="I29" i="1"/>
  <c r="E23" i="1"/>
  <c r="E39" i="1" l="1"/>
  <c r="I161" i="1" l="1"/>
  <c r="O188" i="1" l="1"/>
  <c r="O181" i="1"/>
  <c r="O182" i="1"/>
  <c r="O183" i="1"/>
  <c r="O184" i="1"/>
  <c r="O185" i="1"/>
  <c r="O186" i="1"/>
  <c r="O180" i="1"/>
  <c r="N181" i="1"/>
  <c r="N182" i="1"/>
  <c r="N183" i="1"/>
  <c r="N184" i="1"/>
  <c r="N185" i="1"/>
  <c r="N186" i="1"/>
  <c r="N187" i="1"/>
  <c r="N188" i="1"/>
  <c r="N180" i="1"/>
  <c r="O167" i="1"/>
  <c r="O168" i="1"/>
  <c r="O169" i="1"/>
  <c r="O170" i="1"/>
  <c r="O171" i="1"/>
  <c r="O172" i="1"/>
  <c r="O173" i="1"/>
  <c r="O174" i="1"/>
  <c r="O166" i="1"/>
  <c r="N174" i="1"/>
  <c r="N167" i="1"/>
  <c r="N168" i="1"/>
  <c r="N169" i="1"/>
  <c r="N170" i="1"/>
  <c r="N171" i="1"/>
  <c r="N172" i="1"/>
  <c r="N166" i="1"/>
  <c r="O165" i="1"/>
  <c r="O164" i="1"/>
  <c r="N165" i="1"/>
  <c r="N164" i="1"/>
  <c r="K158" i="1"/>
  <c r="I20" i="1" l="1"/>
  <c r="I18" i="1"/>
  <c r="E20" i="1"/>
  <c r="I19" i="1"/>
  <c r="K1158" i="2" l="1"/>
  <c r="K1159" i="2" s="1"/>
  <c r="K1160" i="2" s="1"/>
  <c r="K1161" i="2" s="1"/>
  <c r="K1162" i="2" s="1"/>
  <c r="K1163" i="2" s="1"/>
  <c r="K1164" i="2" s="1"/>
  <c r="K1165" i="2" s="1"/>
  <c r="K1166" i="2" s="1"/>
  <c r="K1167" i="2" s="1"/>
  <c r="K1168" i="2" s="1"/>
  <c r="K1169" i="2" s="1"/>
  <c r="K1170" i="2" s="1"/>
  <c r="K1171" i="2" s="1"/>
  <c r="K1172" i="2" s="1"/>
  <c r="K1173" i="2" s="1"/>
  <c r="K1174" i="2" s="1"/>
  <c r="K1175" i="2" s="1"/>
  <c r="K1176" i="2" s="1"/>
  <c r="K1177" i="2" s="1"/>
  <c r="K1178" i="2" s="1"/>
  <c r="K1179" i="2" s="1"/>
  <c r="K1180" i="2" s="1"/>
  <c r="K1181" i="2" s="1"/>
  <c r="K1182" i="2" s="1"/>
  <c r="K1183" i="2" s="1"/>
  <c r="K1184" i="2" s="1"/>
  <c r="K1185" i="2" s="1"/>
  <c r="K1186" i="2" s="1"/>
  <c r="K1187" i="2" s="1"/>
  <c r="K1188" i="2" s="1"/>
  <c r="K1189" i="2" s="1"/>
  <c r="K1190" i="2" s="1"/>
  <c r="K1191" i="2" s="1"/>
  <c r="K1192" i="2" s="1"/>
  <c r="K1193" i="2" s="1"/>
  <c r="K1194" i="2" s="1"/>
  <c r="K1195" i="2" s="1"/>
  <c r="K1196" i="2" s="1"/>
  <c r="K1197" i="2" s="1"/>
  <c r="K1198" i="2" s="1"/>
  <c r="K1199" i="2" s="1"/>
  <c r="K1200" i="2" s="1"/>
  <c r="K1201" i="2" s="1"/>
  <c r="K1202" i="2" s="1"/>
  <c r="K1203" i="2" s="1"/>
  <c r="K1204" i="2" s="1"/>
  <c r="K1205" i="2" s="1"/>
  <c r="K1206" i="2" s="1"/>
  <c r="K1207" i="2" s="1"/>
  <c r="K1208" i="2" s="1"/>
  <c r="K1209" i="2" s="1"/>
  <c r="K1210" i="2" s="1"/>
  <c r="K1211" i="2" s="1"/>
  <c r="K1212" i="2" s="1"/>
  <c r="K1213" i="2" s="1"/>
  <c r="K1214" i="2" s="1"/>
  <c r="K1215" i="2" s="1"/>
  <c r="K1216" i="2" s="1"/>
  <c r="K1217" i="2" s="1"/>
  <c r="K1218" i="2" s="1"/>
  <c r="K1219" i="2" s="1"/>
  <c r="K1220" i="2" s="1"/>
  <c r="K1221" i="2" s="1"/>
  <c r="K1222" i="2" s="1"/>
  <c r="K1223" i="2" s="1"/>
  <c r="K1224" i="2" s="1"/>
  <c r="K1225" i="2" s="1"/>
  <c r="K1226" i="2" s="1"/>
  <c r="K1227" i="2" s="1"/>
  <c r="K1228" i="2" s="1"/>
  <c r="K1229" i="2" s="1"/>
  <c r="K1230" i="2" s="1"/>
  <c r="K1231" i="2" s="1"/>
  <c r="K1232" i="2" s="1"/>
  <c r="K1233" i="2" s="1"/>
  <c r="K1234" i="2" s="1"/>
  <c r="K1235" i="2" s="1"/>
  <c r="K1236" i="2" s="1"/>
  <c r="K1237" i="2" s="1"/>
  <c r="K1238" i="2" s="1"/>
  <c r="K1239" i="2" s="1"/>
  <c r="K1240" i="2" s="1"/>
  <c r="K1241" i="2" s="1"/>
  <c r="K1242" i="2" s="1"/>
  <c r="K1243" i="2" s="1"/>
  <c r="K1244" i="2" s="1"/>
  <c r="K1245" i="2" s="1"/>
  <c r="K1246" i="2" s="1"/>
  <c r="K1247" i="2" s="1"/>
  <c r="K1248" i="2" s="1"/>
  <c r="K1249" i="2" s="1"/>
  <c r="K1250" i="2" s="1"/>
  <c r="K1251" i="2" s="1"/>
  <c r="K1252" i="2" s="1"/>
  <c r="K1253" i="2" s="1"/>
  <c r="K1254" i="2" s="1"/>
  <c r="K1255" i="2" s="1"/>
  <c r="K1256" i="2" s="1"/>
  <c r="K1257" i="2" s="1"/>
  <c r="K1258" i="2" s="1"/>
  <c r="K1259" i="2" s="1"/>
  <c r="K1260" i="2" s="1"/>
  <c r="K1261" i="2" s="1"/>
  <c r="K1262" i="2" s="1"/>
  <c r="K1263" i="2" s="1"/>
  <c r="K1264" i="2" s="1"/>
  <c r="K1265" i="2" s="1"/>
  <c r="K1266" i="2" s="1"/>
  <c r="K1267" i="2" s="1"/>
  <c r="K1268" i="2" s="1"/>
  <c r="K1269" i="2" s="1"/>
  <c r="K1270" i="2" s="1"/>
  <c r="K1271" i="2" s="1"/>
  <c r="K1272" i="2" s="1"/>
  <c r="K1273" i="2" s="1"/>
  <c r="K1274" i="2" s="1"/>
  <c r="K1275" i="2" s="1"/>
  <c r="K1276" i="2" s="1"/>
  <c r="K1277" i="2" s="1"/>
  <c r="K1278" i="2" s="1"/>
  <c r="K1279" i="2" s="1"/>
  <c r="K1280" i="2" s="1"/>
  <c r="K1281" i="2" s="1"/>
  <c r="K1282" i="2" s="1"/>
  <c r="K1283" i="2" s="1"/>
  <c r="K1284" i="2" s="1"/>
  <c r="K1285" i="2" s="1"/>
  <c r="K1286" i="2" s="1"/>
  <c r="K1287" i="2" s="1"/>
  <c r="K1288" i="2" s="1"/>
  <c r="K1289" i="2" s="1"/>
  <c r="K1290" i="2" s="1"/>
  <c r="K1291" i="2" s="1"/>
  <c r="K1292" i="2" s="1"/>
  <c r="K1293" i="2" s="1"/>
  <c r="K1294" i="2" s="1"/>
  <c r="K1295" i="2" s="1"/>
  <c r="K1296" i="2" s="1"/>
  <c r="K1297" i="2" s="1"/>
  <c r="K1298" i="2" s="1"/>
  <c r="K1299" i="2" s="1"/>
  <c r="K1300" i="2" s="1"/>
  <c r="K1301" i="2" s="1"/>
  <c r="K1302" i="2" s="1"/>
  <c r="K1303" i="2" s="1"/>
  <c r="K1304" i="2" s="1"/>
  <c r="K1305" i="2" s="1"/>
  <c r="K1306" i="2" s="1"/>
  <c r="K1307" i="2" s="1"/>
  <c r="K1308" i="2" s="1"/>
  <c r="K1309" i="2" s="1"/>
  <c r="K1310" i="2" s="1"/>
  <c r="K1311" i="2" s="1"/>
  <c r="K1312" i="2" s="1"/>
  <c r="K1313" i="2" s="1"/>
  <c r="K1314" i="2" s="1"/>
  <c r="K1315" i="2" s="1"/>
  <c r="K1316" i="2" s="1"/>
  <c r="K1317" i="2" s="1"/>
  <c r="K1318" i="2" s="1"/>
  <c r="K1319" i="2" s="1"/>
  <c r="K1320" i="2" s="1"/>
  <c r="K1321" i="2" s="1"/>
  <c r="K1322" i="2" s="1"/>
  <c r="K1323" i="2" s="1"/>
  <c r="K1324" i="2" s="1"/>
  <c r="K1325" i="2" s="1"/>
  <c r="K1326" i="2" s="1"/>
  <c r="K1327" i="2" s="1"/>
  <c r="K1328" i="2" s="1"/>
  <c r="K1329" i="2" s="1"/>
  <c r="K1330" i="2" s="1"/>
  <c r="K1331" i="2" s="1"/>
  <c r="K1332" i="2" s="1"/>
  <c r="K1333" i="2" s="1"/>
  <c r="K1334" i="2" s="1"/>
  <c r="K1335" i="2" s="1"/>
  <c r="K1336" i="2" s="1"/>
  <c r="K1337" i="2" s="1"/>
  <c r="K1338" i="2" s="1"/>
  <c r="K1339" i="2" s="1"/>
  <c r="K1340" i="2" s="1"/>
  <c r="K1341" i="2" s="1"/>
  <c r="K1342" i="2" s="1"/>
  <c r="K1343" i="2" s="1"/>
  <c r="K1344" i="2" s="1"/>
  <c r="K1345" i="2" s="1"/>
  <c r="K1346" i="2" s="1"/>
  <c r="K1347" i="2" s="1"/>
  <c r="K1348" i="2" s="1"/>
  <c r="K966" i="2"/>
  <c r="K967" i="2" s="1"/>
  <c r="K968" i="2" s="1"/>
  <c r="K969" i="2" s="1"/>
  <c r="K970" i="2" s="1"/>
  <c r="K971" i="2" s="1"/>
  <c r="K972" i="2" s="1"/>
  <c r="K973" i="2" s="1"/>
  <c r="K974" i="2" s="1"/>
  <c r="K975" i="2" s="1"/>
  <c r="K976" i="2" s="1"/>
  <c r="K977" i="2" s="1"/>
  <c r="K978" i="2" s="1"/>
  <c r="K979" i="2" s="1"/>
  <c r="K980" i="2" s="1"/>
  <c r="K981" i="2" s="1"/>
  <c r="K982" i="2" s="1"/>
  <c r="K983" i="2" s="1"/>
  <c r="K984" i="2" s="1"/>
  <c r="K985" i="2" s="1"/>
  <c r="K986" i="2" s="1"/>
  <c r="K987" i="2" s="1"/>
  <c r="K988" i="2" s="1"/>
  <c r="K989" i="2" s="1"/>
  <c r="K990" i="2" s="1"/>
  <c r="K991" i="2" s="1"/>
  <c r="K992" i="2" s="1"/>
  <c r="K993" i="2" s="1"/>
  <c r="K994" i="2" s="1"/>
  <c r="K995" i="2" s="1"/>
  <c r="K996" i="2" s="1"/>
  <c r="K997" i="2" s="1"/>
  <c r="K998" i="2" s="1"/>
  <c r="K999" i="2" s="1"/>
  <c r="K1000" i="2" s="1"/>
  <c r="K1001" i="2" s="1"/>
  <c r="K1002" i="2" s="1"/>
  <c r="K1003" i="2" s="1"/>
  <c r="K1004" i="2" s="1"/>
  <c r="K1005" i="2" s="1"/>
  <c r="K1006" i="2" s="1"/>
  <c r="K1007" i="2" s="1"/>
  <c r="K1008" i="2" s="1"/>
  <c r="K1009" i="2" s="1"/>
  <c r="K1010" i="2" s="1"/>
  <c r="K1011" i="2" s="1"/>
  <c r="K1012" i="2" s="1"/>
  <c r="K1013" i="2" s="1"/>
  <c r="K1014" i="2" s="1"/>
  <c r="K1015" i="2" s="1"/>
  <c r="K1016" i="2" s="1"/>
  <c r="K1017" i="2" s="1"/>
  <c r="K1018" i="2" s="1"/>
  <c r="K1019" i="2" s="1"/>
  <c r="K1020" i="2" s="1"/>
  <c r="K1021" i="2" s="1"/>
  <c r="K1022" i="2" s="1"/>
  <c r="K1023" i="2" s="1"/>
  <c r="K1024" i="2" s="1"/>
  <c r="K1025" i="2" s="1"/>
  <c r="K1026" i="2" s="1"/>
  <c r="K1027" i="2" s="1"/>
  <c r="K1028" i="2" s="1"/>
  <c r="K1029" i="2" s="1"/>
  <c r="K1030" i="2" s="1"/>
  <c r="K1031" i="2" s="1"/>
  <c r="K1032" i="2" s="1"/>
  <c r="K1033" i="2" s="1"/>
  <c r="K1034" i="2" s="1"/>
  <c r="K1035" i="2" s="1"/>
  <c r="K1036" i="2" s="1"/>
  <c r="K1037" i="2" s="1"/>
  <c r="K1038" i="2" s="1"/>
  <c r="K1039" i="2" s="1"/>
  <c r="K1040" i="2" s="1"/>
  <c r="K1041" i="2" s="1"/>
  <c r="K1042" i="2" s="1"/>
  <c r="K1043" i="2" s="1"/>
  <c r="K1044" i="2" s="1"/>
  <c r="K1045" i="2" s="1"/>
  <c r="K1046" i="2" s="1"/>
  <c r="K1047" i="2" s="1"/>
  <c r="K1048" i="2" s="1"/>
  <c r="K1049" i="2" s="1"/>
  <c r="K1050" i="2" s="1"/>
  <c r="K1051" i="2" s="1"/>
  <c r="K1052" i="2" s="1"/>
  <c r="K1053" i="2" s="1"/>
  <c r="K1054" i="2" s="1"/>
  <c r="K1055" i="2" s="1"/>
  <c r="K1056" i="2" s="1"/>
  <c r="K1057" i="2" s="1"/>
  <c r="K1058" i="2" s="1"/>
  <c r="K1059" i="2" s="1"/>
  <c r="K1060" i="2" s="1"/>
  <c r="K1061" i="2" s="1"/>
  <c r="K1062" i="2" s="1"/>
  <c r="K1063" i="2" s="1"/>
  <c r="K1064" i="2" s="1"/>
  <c r="K1065" i="2" s="1"/>
  <c r="K1066" i="2" s="1"/>
  <c r="K1067" i="2" s="1"/>
  <c r="K1068" i="2" s="1"/>
  <c r="K1069" i="2" s="1"/>
  <c r="K1070" i="2" s="1"/>
  <c r="K1071" i="2" s="1"/>
  <c r="K1072" i="2" s="1"/>
  <c r="K1073" i="2" s="1"/>
  <c r="K1074" i="2" s="1"/>
  <c r="K1075" i="2" s="1"/>
  <c r="K1076" i="2" s="1"/>
  <c r="K1077" i="2" s="1"/>
  <c r="K1078" i="2" s="1"/>
  <c r="K1079" i="2" s="1"/>
  <c r="K1080" i="2" s="1"/>
  <c r="K1081" i="2" s="1"/>
  <c r="K1082" i="2" s="1"/>
  <c r="K1083" i="2" s="1"/>
  <c r="K1084" i="2" s="1"/>
  <c r="K1085" i="2" s="1"/>
  <c r="K1086" i="2" s="1"/>
  <c r="K1087" i="2" s="1"/>
  <c r="K1088" i="2" s="1"/>
  <c r="K1089" i="2" s="1"/>
  <c r="K1090" i="2" s="1"/>
  <c r="K1091" i="2" s="1"/>
  <c r="K1092" i="2" s="1"/>
  <c r="K1093" i="2" s="1"/>
  <c r="K1094" i="2" s="1"/>
  <c r="K1095" i="2" s="1"/>
  <c r="K1096" i="2" s="1"/>
  <c r="K1097" i="2" s="1"/>
  <c r="K1098" i="2" s="1"/>
  <c r="K1099" i="2" s="1"/>
  <c r="K1100" i="2" s="1"/>
  <c r="K1101" i="2" s="1"/>
  <c r="K1102" i="2" s="1"/>
  <c r="K1103" i="2" s="1"/>
  <c r="K1104" i="2" s="1"/>
  <c r="K1105" i="2" s="1"/>
  <c r="K1106" i="2" s="1"/>
  <c r="K1107" i="2" s="1"/>
  <c r="K1108" i="2" s="1"/>
  <c r="K1109" i="2" s="1"/>
  <c r="K1110" i="2" s="1"/>
  <c r="K1111" i="2" s="1"/>
  <c r="K1112" i="2" s="1"/>
  <c r="K1113" i="2" s="1"/>
  <c r="K1114" i="2" s="1"/>
  <c r="K1115" i="2" s="1"/>
  <c r="K1116" i="2" s="1"/>
  <c r="K1117" i="2" s="1"/>
  <c r="K1118" i="2" s="1"/>
  <c r="K1119" i="2" s="1"/>
  <c r="K1120" i="2" s="1"/>
  <c r="K1121" i="2" s="1"/>
  <c r="K1122" i="2" s="1"/>
  <c r="K1123" i="2" s="1"/>
  <c r="K1124" i="2" s="1"/>
  <c r="K1125" i="2" s="1"/>
  <c r="K1126" i="2" s="1"/>
  <c r="K1127" i="2" s="1"/>
  <c r="K1128" i="2" s="1"/>
  <c r="K1129" i="2" s="1"/>
  <c r="K1130" i="2" s="1"/>
  <c r="K1131" i="2" s="1"/>
  <c r="K1132" i="2" s="1"/>
  <c r="K1133" i="2" s="1"/>
  <c r="K1134" i="2" s="1"/>
  <c r="K1135" i="2" s="1"/>
  <c r="K1136" i="2" s="1"/>
  <c r="K1137" i="2" s="1"/>
  <c r="K1138" i="2" s="1"/>
  <c r="K1139" i="2" s="1"/>
  <c r="K1140" i="2" s="1"/>
  <c r="K1141" i="2" s="1"/>
  <c r="K1142" i="2" s="1"/>
  <c r="K1143" i="2" s="1"/>
  <c r="K1144" i="2" s="1"/>
  <c r="K1145" i="2" s="1"/>
  <c r="K1146" i="2" s="1"/>
  <c r="K1147" i="2" s="1"/>
  <c r="K1148" i="2" s="1"/>
  <c r="K1149" i="2" s="1"/>
  <c r="K1150" i="2" s="1"/>
  <c r="K1151" i="2" s="1"/>
  <c r="K1152" i="2" s="1"/>
  <c r="K1153" i="2" s="1"/>
  <c r="K1154" i="2" s="1"/>
  <c r="K1155" i="2" s="1"/>
  <c r="K1156" i="2" s="1"/>
  <c r="K782" i="2"/>
  <c r="K783" i="2" s="1"/>
  <c r="K784" i="2" s="1"/>
  <c r="K785" i="2" s="1"/>
  <c r="K786" i="2" s="1"/>
  <c r="K787" i="2" s="1"/>
  <c r="K788" i="2" s="1"/>
  <c r="K789" i="2" s="1"/>
  <c r="K790" i="2" s="1"/>
  <c r="K791" i="2" s="1"/>
  <c r="K792" i="2" s="1"/>
  <c r="K793" i="2" s="1"/>
  <c r="K794" i="2" s="1"/>
  <c r="K795" i="2" s="1"/>
  <c r="K796" i="2" s="1"/>
  <c r="K797" i="2" s="1"/>
  <c r="K798" i="2" s="1"/>
  <c r="K799" i="2" s="1"/>
  <c r="K800" i="2" s="1"/>
  <c r="K801" i="2" s="1"/>
  <c r="K802" i="2" s="1"/>
  <c r="K803" i="2" s="1"/>
  <c r="K804" i="2" s="1"/>
  <c r="K805" i="2" s="1"/>
  <c r="K806" i="2" s="1"/>
  <c r="K807" i="2" s="1"/>
  <c r="K808" i="2" s="1"/>
  <c r="K809" i="2" s="1"/>
  <c r="K810" i="2" s="1"/>
  <c r="K811" i="2" s="1"/>
  <c r="K812" i="2" s="1"/>
  <c r="K813" i="2" s="1"/>
  <c r="K814" i="2" s="1"/>
  <c r="K815" i="2" s="1"/>
  <c r="K816" i="2" s="1"/>
  <c r="K817" i="2" s="1"/>
  <c r="K818" i="2" s="1"/>
  <c r="K819" i="2" s="1"/>
  <c r="K820" i="2" s="1"/>
  <c r="K821" i="2" s="1"/>
  <c r="K822" i="2" s="1"/>
  <c r="K823" i="2" s="1"/>
  <c r="K824" i="2" s="1"/>
  <c r="K825" i="2" s="1"/>
  <c r="K826" i="2" s="1"/>
  <c r="K827" i="2" s="1"/>
  <c r="K828" i="2" s="1"/>
  <c r="K829" i="2" s="1"/>
  <c r="K830" i="2" s="1"/>
  <c r="K831" i="2" s="1"/>
  <c r="K832" i="2" s="1"/>
  <c r="K833" i="2" s="1"/>
  <c r="K834" i="2" s="1"/>
  <c r="K835" i="2" s="1"/>
  <c r="K836" i="2" s="1"/>
  <c r="K837" i="2" s="1"/>
  <c r="K838" i="2" s="1"/>
  <c r="K839" i="2" s="1"/>
  <c r="K840" i="2" s="1"/>
  <c r="K841" i="2" s="1"/>
  <c r="K842" i="2" s="1"/>
  <c r="K843" i="2" s="1"/>
  <c r="K844" i="2" s="1"/>
  <c r="K845" i="2" s="1"/>
  <c r="K846" i="2" s="1"/>
  <c r="K847" i="2" s="1"/>
  <c r="K848" i="2" s="1"/>
  <c r="K849" i="2" s="1"/>
  <c r="K850" i="2" s="1"/>
  <c r="K851" i="2" s="1"/>
  <c r="K852" i="2" s="1"/>
  <c r="K853" i="2" s="1"/>
  <c r="K854" i="2" s="1"/>
  <c r="K855" i="2" s="1"/>
  <c r="K856" i="2" s="1"/>
  <c r="K857" i="2" s="1"/>
  <c r="K858" i="2" s="1"/>
  <c r="K859" i="2" s="1"/>
  <c r="K860" i="2" s="1"/>
  <c r="K861" i="2" s="1"/>
  <c r="K862" i="2" s="1"/>
  <c r="K863" i="2" s="1"/>
  <c r="K864" i="2" s="1"/>
  <c r="K865" i="2" s="1"/>
  <c r="K866" i="2" s="1"/>
  <c r="K867" i="2" s="1"/>
  <c r="K868" i="2" s="1"/>
  <c r="K869" i="2" s="1"/>
  <c r="K870" i="2" s="1"/>
  <c r="K871" i="2" s="1"/>
  <c r="K872" i="2" s="1"/>
  <c r="K873" i="2" s="1"/>
  <c r="K874" i="2" s="1"/>
  <c r="K875" i="2" s="1"/>
  <c r="K876" i="2" s="1"/>
  <c r="K877" i="2" s="1"/>
  <c r="K878" i="2" s="1"/>
  <c r="K879" i="2" s="1"/>
  <c r="K880" i="2" s="1"/>
  <c r="K881" i="2" s="1"/>
  <c r="K882" i="2" s="1"/>
  <c r="K883" i="2" s="1"/>
  <c r="K884" i="2" s="1"/>
  <c r="K885" i="2" s="1"/>
  <c r="K886" i="2" s="1"/>
  <c r="K887" i="2" s="1"/>
  <c r="K888" i="2" s="1"/>
  <c r="K889" i="2" s="1"/>
  <c r="K890" i="2" s="1"/>
  <c r="K891" i="2" s="1"/>
  <c r="K892" i="2" s="1"/>
  <c r="K893" i="2" s="1"/>
  <c r="K894" i="2" s="1"/>
  <c r="K895" i="2" s="1"/>
  <c r="K896" i="2" s="1"/>
  <c r="K897" i="2" s="1"/>
  <c r="K898" i="2" s="1"/>
  <c r="K899" i="2" s="1"/>
  <c r="K900" i="2" s="1"/>
  <c r="K901" i="2" s="1"/>
  <c r="K902" i="2" s="1"/>
  <c r="K903" i="2" s="1"/>
  <c r="K904" i="2" s="1"/>
  <c r="K905" i="2" s="1"/>
  <c r="K906" i="2" s="1"/>
  <c r="K907" i="2" s="1"/>
  <c r="K908" i="2" s="1"/>
  <c r="K909" i="2" s="1"/>
  <c r="K910" i="2" s="1"/>
  <c r="K911" i="2" s="1"/>
  <c r="K912" i="2" s="1"/>
  <c r="K913" i="2" s="1"/>
  <c r="K914" i="2" s="1"/>
  <c r="K915" i="2" s="1"/>
  <c r="K916" i="2" s="1"/>
  <c r="K917" i="2" s="1"/>
  <c r="K918" i="2" s="1"/>
  <c r="K919" i="2" s="1"/>
  <c r="K920" i="2" s="1"/>
  <c r="K921" i="2" s="1"/>
  <c r="K922" i="2" s="1"/>
  <c r="K923" i="2" s="1"/>
  <c r="K924" i="2" s="1"/>
  <c r="K925" i="2" s="1"/>
  <c r="K926" i="2" s="1"/>
  <c r="K927" i="2" s="1"/>
  <c r="K928" i="2" s="1"/>
  <c r="K929" i="2" s="1"/>
  <c r="K930" i="2" s="1"/>
  <c r="K931" i="2" s="1"/>
  <c r="K932" i="2" s="1"/>
  <c r="K933" i="2" s="1"/>
  <c r="K934" i="2" s="1"/>
  <c r="K935" i="2" s="1"/>
  <c r="K936" i="2" s="1"/>
  <c r="K937" i="2" s="1"/>
  <c r="K938" i="2" s="1"/>
  <c r="K939" i="2" s="1"/>
  <c r="K940" i="2" s="1"/>
  <c r="K941" i="2" s="1"/>
  <c r="K942" i="2" s="1"/>
  <c r="K943" i="2" s="1"/>
  <c r="K944" i="2" s="1"/>
  <c r="K945" i="2" s="1"/>
  <c r="K946" i="2" s="1"/>
  <c r="K947" i="2" s="1"/>
  <c r="K948" i="2" s="1"/>
  <c r="K949" i="2" s="1"/>
  <c r="K950" i="2" s="1"/>
  <c r="K951" i="2" s="1"/>
  <c r="K952" i="2" s="1"/>
  <c r="K953" i="2" s="1"/>
  <c r="K954" i="2" s="1"/>
  <c r="K955" i="2" s="1"/>
  <c r="K956" i="2" s="1"/>
  <c r="K957" i="2" s="1"/>
  <c r="K958" i="2" s="1"/>
  <c r="K959" i="2" s="1"/>
  <c r="K960" i="2" s="1"/>
  <c r="K961" i="2" s="1"/>
  <c r="K962" i="2" s="1"/>
  <c r="K963" i="2" s="1"/>
  <c r="K964" i="2" s="1"/>
  <c r="K779" i="2"/>
  <c r="K780" i="2" s="1"/>
  <c r="K781" i="2" s="1"/>
  <c r="K774" i="2"/>
  <c r="K775" i="2" s="1"/>
  <c r="K776" i="2" s="1"/>
  <c r="K777" i="2" s="1"/>
  <c r="K778" i="2" s="1"/>
  <c r="J696" i="2"/>
  <c r="K607" i="2"/>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628" i="2" s="1"/>
  <c r="K629" i="2" s="1"/>
  <c r="K630" i="2" s="1"/>
  <c r="K631" i="2" s="1"/>
  <c r="K632" i="2" s="1"/>
  <c r="K633" i="2" s="1"/>
  <c r="K634" i="2" s="1"/>
  <c r="K635" i="2" s="1"/>
  <c r="K636" i="2" s="1"/>
  <c r="K637" i="2" s="1"/>
  <c r="K638" i="2" s="1"/>
  <c r="K639" i="2" s="1"/>
  <c r="K640" i="2" s="1"/>
  <c r="K641" i="2" s="1"/>
  <c r="K642" i="2" s="1"/>
  <c r="K643" i="2" s="1"/>
  <c r="K644" i="2" s="1"/>
  <c r="K645" i="2" s="1"/>
  <c r="K646" i="2" s="1"/>
  <c r="K647" i="2" s="1"/>
  <c r="K648" i="2" s="1"/>
  <c r="K649" i="2" s="1"/>
  <c r="K650" i="2" s="1"/>
  <c r="K651" i="2" s="1"/>
  <c r="K652" i="2" s="1"/>
  <c r="K653" i="2" s="1"/>
  <c r="K654" i="2" s="1"/>
  <c r="K655" i="2" s="1"/>
  <c r="K656" i="2" s="1"/>
  <c r="K657" i="2" s="1"/>
  <c r="K658" i="2" s="1"/>
  <c r="K659" i="2" s="1"/>
  <c r="K660" i="2" s="1"/>
  <c r="K661" i="2" s="1"/>
  <c r="K662" i="2" s="1"/>
  <c r="K663" i="2" s="1"/>
  <c r="K664" i="2" s="1"/>
  <c r="K665" i="2" s="1"/>
  <c r="K666" i="2" s="1"/>
  <c r="K667" i="2" s="1"/>
  <c r="K668" i="2" s="1"/>
  <c r="K669" i="2" s="1"/>
  <c r="K670" i="2" s="1"/>
  <c r="K671" i="2" s="1"/>
  <c r="K672" i="2" s="1"/>
  <c r="K673" i="2" s="1"/>
  <c r="K674" i="2" s="1"/>
  <c r="K675" i="2" s="1"/>
  <c r="K676" i="2" s="1"/>
  <c r="K677" i="2" s="1"/>
  <c r="K678" i="2" s="1"/>
  <c r="K679" i="2" s="1"/>
  <c r="K680" i="2" s="1"/>
  <c r="K681" i="2" s="1"/>
  <c r="K682" i="2" s="1"/>
  <c r="K683" i="2" s="1"/>
  <c r="K684" i="2" s="1"/>
  <c r="K685" i="2" s="1"/>
  <c r="K686" i="2" s="1"/>
  <c r="K687" i="2" s="1"/>
  <c r="K688" i="2" s="1"/>
  <c r="K689" i="2" s="1"/>
  <c r="K690" i="2" s="1"/>
  <c r="K691" i="2" s="1"/>
  <c r="K692" i="2" s="1"/>
  <c r="K693" i="2" s="1"/>
  <c r="K694" i="2" s="1"/>
  <c r="K695" i="2" s="1"/>
  <c r="K696" i="2" s="1"/>
  <c r="K697" i="2" s="1"/>
  <c r="K698" i="2" s="1"/>
  <c r="K699" i="2" s="1"/>
  <c r="K700" i="2" s="1"/>
  <c r="K701" i="2" s="1"/>
  <c r="K702" i="2" s="1"/>
  <c r="K703" i="2" s="1"/>
  <c r="K704" i="2" s="1"/>
  <c r="K705" i="2" s="1"/>
  <c r="K706" i="2" s="1"/>
  <c r="K707" i="2" s="1"/>
  <c r="K708" i="2" s="1"/>
  <c r="K709" i="2" s="1"/>
  <c r="K710" i="2" s="1"/>
  <c r="K711" i="2" s="1"/>
  <c r="K712" i="2" s="1"/>
  <c r="K713" i="2" s="1"/>
  <c r="K714" i="2" s="1"/>
  <c r="K715" i="2" s="1"/>
  <c r="K716" i="2" s="1"/>
  <c r="K717" i="2" s="1"/>
  <c r="K718" i="2" s="1"/>
  <c r="K719" i="2" s="1"/>
  <c r="K720" i="2" s="1"/>
  <c r="K721" i="2" s="1"/>
  <c r="K722" i="2" s="1"/>
  <c r="K723" i="2" s="1"/>
  <c r="K724" i="2" s="1"/>
  <c r="K725" i="2" s="1"/>
  <c r="K726" i="2" s="1"/>
  <c r="K727" i="2" s="1"/>
  <c r="K728" i="2" s="1"/>
  <c r="K729" i="2" s="1"/>
  <c r="K730" i="2" s="1"/>
  <c r="K731" i="2" s="1"/>
  <c r="K732" i="2" s="1"/>
  <c r="K733" i="2" s="1"/>
  <c r="K734" i="2" s="1"/>
  <c r="K735" i="2" s="1"/>
  <c r="K736" i="2" s="1"/>
  <c r="K737" i="2" s="1"/>
  <c r="K738" i="2" s="1"/>
  <c r="K739" i="2" s="1"/>
  <c r="K740" i="2" s="1"/>
  <c r="K741" i="2" s="1"/>
  <c r="K742" i="2" s="1"/>
  <c r="K743" i="2" s="1"/>
  <c r="K744" i="2" s="1"/>
  <c r="K745" i="2" s="1"/>
  <c r="K746" i="2" s="1"/>
  <c r="K747" i="2" s="1"/>
  <c r="K748" i="2" s="1"/>
  <c r="K749" i="2" s="1"/>
  <c r="K750" i="2" s="1"/>
  <c r="K751" i="2" s="1"/>
  <c r="K752" i="2" s="1"/>
  <c r="K753" i="2" s="1"/>
  <c r="K754" i="2" s="1"/>
  <c r="K755" i="2" s="1"/>
  <c r="K756" i="2" s="1"/>
  <c r="K757" i="2" s="1"/>
  <c r="K758" i="2" s="1"/>
  <c r="K759" i="2" s="1"/>
  <c r="K760" i="2" s="1"/>
  <c r="K761" i="2" s="1"/>
  <c r="K762" i="2" s="1"/>
  <c r="K763" i="2" s="1"/>
  <c r="K764" i="2" s="1"/>
  <c r="K765" i="2" s="1"/>
  <c r="K766" i="2" s="1"/>
  <c r="K767" i="2" s="1"/>
  <c r="K768" i="2" s="1"/>
  <c r="K769" i="2" s="1"/>
  <c r="K770" i="2" s="1"/>
  <c r="K771" i="2" s="1"/>
  <c r="K772" i="2" s="1"/>
  <c r="K583" i="2"/>
  <c r="K584" i="2" s="1"/>
  <c r="K585" i="2" s="1"/>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582" i="2"/>
  <c r="F574" i="2"/>
  <c r="J558" i="2"/>
  <c r="F533" i="2"/>
  <c r="J514" i="2"/>
  <c r="J495" i="2"/>
  <c r="J482" i="2"/>
  <c r="J463" i="2"/>
  <c r="H463" i="2"/>
  <c r="F457" i="2"/>
  <c r="J439" i="2"/>
  <c r="H439" i="2"/>
  <c r="F435" i="2"/>
  <c r="H430" i="2"/>
  <c r="H422" i="2"/>
  <c r="F419" i="2"/>
  <c r="F417" i="2"/>
  <c r="J414" i="2"/>
  <c r="F409" i="2"/>
  <c r="J407" i="2"/>
  <c r="F401" i="2"/>
  <c r="H399" i="2"/>
  <c r="K394" i="2"/>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F393" i="2"/>
  <c r="H393" i="2" s="1"/>
  <c r="K391" i="2"/>
  <c r="K392" i="2" s="1"/>
  <c r="K393" i="2" s="1"/>
  <c r="K390" i="2"/>
  <c r="J388" i="2"/>
  <c r="J580" i="2" s="1"/>
  <c r="F388" i="2"/>
  <c r="J387" i="2"/>
  <c r="J579" i="2" s="1"/>
  <c r="F387" i="2"/>
  <c r="F483" i="2" s="1"/>
  <c r="J386" i="2"/>
  <c r="H386" i="2"/>
  <c r="F386" i="2"/>
  <c r="F482" i="2" s="1"/>
  <c r="J385" i="2"/>
  <c r="J577" i="2" s="1"/>
  <c r="H385" i="2"/>
  <c r="F385" i="2"/>
  <c r="F481" i="2" s="1"/>
  <c r="J384" i="2"/>
  <c r="J576" i="2" s="1"/>
  <c r="H384" i="2"/>
  <c r="F384" i="2"/>
  <c r="F480" i="2" s="1"/>
  <c r="J383" i="2"/>
  <c r="J575" i="2" s="1"/>
  <c r="H383" i="2"/>
  <c r="F383" i="2"/>
  <c r="F479" i="2" s="1"/>
  <c r="J382" i="2"/>
  <c r="J574" i="2" s="1"/>
  <c r="F382" i="2"/>
  <c r="F478" i="2" s="1"/>
  <c r="H478" i="2" s="1"/>
  <c r="J381" i="2"/>
  <c r="F381" i="2"/>
  <c r="F477" i="2" s="1"/>
  <c r="J380" i="2"/>
  <c r="J572" i="2" s="1"/>
  <c r="F380" i="2"/>
  <c r="H380" i="2" s="1"/>
  <c r="J379" i="2"/>
  <c r="J571" i="2" s="1"/>
  <c r="F379" i="2"/>
  <c r="F475" i="2" s="1"/>
  <c r="J378" i="2"/>
  <c r="H378" i="2"/>
  <c r="F378" i="2"/>
  <c r="F474" i="2" s="1"/>
  <c r="J377" i="2"/>
  <c r="J569" i="2" s="1"/>
  <c r="J761" i="2" s="1"/>
  <c r="H377" i="2"/>
  <c r="F377" i="2"/>
  <c r="F473" i="2" s="1"/>
  <c r="J376" i="2"/>
  <c r="J568" i="2" s="1"/>
  <c r="H376" i="2"/>
  <c r="F376" i="2"/>
  <c r="F472" i="2" s="1"/>
  <c r="J375" i="2"/>
  <c r="J567" i="2" s="1"/>
  <c r="H375" i="2"/>
  <c r="F375" i="2"/>
  <c r="F471" i="2" s="1"/>
  <c r="J374" i="2"/>
  <c r="J566" i="2" s="1"/>
  <c r="F374" i="2"/>
  <c r="F470" i="2" s="1"/>
  <c r="H470" i="2" s="1"/>
  <c r="J373" i="2"/>
  <c r="F373" i="2"/>
  <c r="F469" i="2" s="1"/>
  <c r="J372" i="2"/>
  <c r="J564" i="2" s="1"/>
  <c r="F372" i="2"/>
  <c r="J371" i="2"/>
  <c r="J563" i="2" s="1"/>
  <c r="F371" i="2"/>
  <c r="F467" i="2" s="1"/>
  <c r="J370" i="2"/>
  <c r="H370" i="2"/>
  <c r="F370" i="2"/>
  <c r="F466" i="2" s="1"/>
  <c r="J369" i="2"/>
  <c r="J561" i="2" s="1"/>
  <c r="J753" i="2" s="1"/>
  <c r="H369" i="2"/>
  <c r="F369" i="2"/>
  <c r="F465" i="2" s="1"/>
  <c r="J368" i="2"/>
  <c r="J560" i="2" s="1"/>
  <c r="H368" i="2"/>
  <c r="F368" i="2"/>
  <c r="F464" i="2" s="1"/>
  <c r="J367" i="2"/>
  <c r="J559" i="2" s="1"/>
  <c r="H367" i="2"/>
  <c r="F367" i="2"/>
  <c r="F463" i="2" s="1"/>
  <c r="F559" i="2" s="1"/>
  <c r="J366" i="2"/>
  <c r="F366" i="2"/>
  <c r="F462" i="2" s="1"/>
  <c r="J365" i="2"/>
  <c r="F365" i="2"/>
  <c r="F461" i="2" s="1"/>
  <c r="J364" i="2"/>
  <c r="J556" i="2" s="1"/>
  <c r="F364" i="2"/>
  <c r="J363" i="2"/>
  <c r="J555" i="2" s="1"/>
  <c r="F363" i="2"/>
  <c r="F459" i="2" s="1"/>
  <c r="J362" i="2"/>
  <c r="H362" i="2"/>
  <c r="F362" i="2"/>
  <c r="F458" i="2" s="1"/>
  <c r="J361" i="2"/>
  <c r="J553" i="2" s="1"/>
  <c r="H361" i="2"/>
  <c r="F361" i="2"/>
  <c r="J360" i="2"/>
  <c r="J552" i="2" s="1"/>
  <c r="H360" i="2"/>
  <c r="F360" i="2"/>
  <c r="F456" i="2" s="1"/>
  <c r="H456" i="2" s="1"/>
  <c r="J359" i="2"/>
  <c r="J551" i="2" s="1"/>
  <c r="H359" i="2"/>
  <c r="F359" i="2"/>
  <c r="F455" i="2" s="1"/>
  <c r="J358" i="2"/>
  <c r="J550" i="2" s="1"/>
  <c r="F358" i="2"/>
  <c r="F454" i="2" s="1"/>
  <c r="J357" i="2"/>
  <c r="F357" i="2"/>
  <c r="F453" i="2" s="1"/>
  <c r="H453" i="2" s="1"/>
  <c r="J356" i="2"/>
  <c r="J548" i="2" s="1"/>
  <c r="J740" i="2" s="1"/>
  <c r="F356" i="2"/>
  <c r="J355" i="2"/>
  <c r="J547" i="2" s="1"/>
  <c r="F355" i="2"/>
  <c r="F451" i="2" s="1"/>
  <c r="J354" i="2"/>
  <c r="H354" i="2"/>
  <c r="F354" i="2"/>
  <c r="F450" i="2" s="1"/>
  <c r="J353" i="2"/>
  <c r="J545" i="2" s="1"/>
  <c r="J737" i="2" s="1"/>
  <c r="H353" i="2"/>
  <c r="F353" i="2"/>
  <c r="F449" i="2" s="1"/>
  <c r="J352" i="2"/>
  <c r="J544" i="2" s="1"/>
  <c r="H352" i="2"/>
  <c r="F352" i="2"/>
  <c r="F448" i="2" s="1"/>
  <c r="J351" i="2"/>
  <c r="J543" i="2" s="1"/>
  <c r="H351" i="2"/>
  <c r="F351" i="2"/>
  <c r="F447" i="2" s="1"/>
  <c r="J350" i="2"/>
  <c r="J542" i="2" s="1"/>
  <c r="F350" i="2"/>
  <c r="F446" i="2" s="1"/>
  <c r="J349" i="2"/>
  <c r="F349" i="2"/>
  <c r="F445" i="2" s="1"/>
  <c r="J348" i="2"/>
  <c r="J540" i="2" s="1"/>
  <c r="F348" i="2"/>
  <c r="H348" i="2" s="1"/>
  <c r="J347" i="2"/>
  <c r="J539" i="2" s="1"/>
  <c r="F347" i="2"/>
  <c r="F443" i="2" s="1"/>
  <c r="J346" i="2"/>
  <c r="H346" i="2"/>
  <c r="F346" i="2"/>
  <c r="F442" i="2" s="1"/>
  <c r="J345" i="2"/>
  <c r="J537" i="2" s="1"/>
  <c r="H345" i="2"/>
  <c r="F345" i="2"/>
  <c r="F441" i="2" s="1"/>
  <c r="J344" i="2"/>
  <c r="J536" i="2" s="1"/>
  <c r="H344" i="2"/>
  <c r="F344" i="2"/>
  <c r="F440" i="2" s="1"/>
  <c r="H440" i="2" s="1"/>
  <c r="J343" i="2"/>
  <c r="J535" i="2" s="1"/>
  <c r="H343" i="2"/>
  <c r="F343" i="2"/>
  <c r="F439" i="2" s="1"/>
  <c r="F535" i="2" s="1"/>
  <c r="J342" i="2"/>
  <c r="J534" i="2" s="1"/>
  <c r="F342" i="2"/>
  <c r="F438" i="2" s="1"/>
  <c r="F534" i="2" s="1"/>
  <c r="J341" i="2"/>
  <c r="F341" i="2"/>
  <c r="F437" i="2" s="1"/>
  <c r="H437" i="2" s="1"/>
  <c r="J340" i="2"/>
  <c r="J532" i="2" s="1"/>
  <c r="J724" i="2" s="1"/>
  <c r="F340" i="2"/>
  <c r="J339" i="2"/>
  <c r="J531" i="2" s="1"/>
  <c r="F339" i="2"/>
  <c r="H339" i="2" s="1"/>
  <c r="J338" i="2"/>
  <c r="H338" i="2"/>
  <c r="F338" i="2"/>
  <c r="F434" i="2" s="1"/>
  <c r="J337" i="2"/>
  <c r="J529" i="2" s="1"/>
  <c r="J721" i="2" s="1"/>
  <c r="H337" i="2"/>
  <c r="F337" i="2"/>
  <c r="F433" i="2" s="1"/>
  <c r="J336" i="2"/>
  <c r="J528" i="2" s="1"/>
  <c r="H336" i="2"/>
  <c r="F336" i="2"/>
  <c r="F432" i="2" s="1"/>
  <c r="J335" i="2"/>
  <c r="J527" i="2" s="1"/>
  <c r="H335" i="2"/>
  <c r="F335" i="2"/>
  <c r="F431" i="2" s="1"/>
  <c r="F527" i="2" s="1"/>
  <c r="J334" i="2"/>
  <c r="J526" i="2" s="1"/>
  <c r="F334" i="2"/>
  <c r="F430" i="2" s="1"/>
  <c r="F526" i="2" s="1"/>
  <c r="J333" i="2"/>
  <c r="F333" i="2"/>
  <c r="F429" i="2" s="1"/>
  <c r="J332" i="2"/>
  <c r="J524" i="2" s="1"/>
  <c r="F332" i="2"/>
  <c r="J331" i="2"/>
  <c r="J523" i="2" s="1"/>
  <c r="J715" i="2" s="1"/>
  <c r="F331" i="2"/>
  <c r="H331" i="2" s="1"/>
  <c r="J330" i="2"/>
  <c r="H330" i="2"/>
  <c r="F330" i="2"/>
  <c r="F426" i="2" s="1"/>
  <c r="J329" i="2"/>
  <c r="J521" i="2" s="1"/>
  <c r="J713" i="2" s="1"/>
  <c r="H329" i="2"/>
  <c r="F329" i="2"/>
  <c r="F425" i="2" s="1"/>
  <c r="J328" i="2"/>
  <c r="J520" i="2" s="1"/>
  <c r="H328" i="2"/>
  <c r="F328" i="2"/>
  <c r="F424" i="2" s="1"/>
  <c r="J327" i="2"/>
  <c r="J519" i="2" s="1"/>
  <c r="J711" i="2" s="1"/>
  <c r="H327" i="2"/>
  <c r="F327" i="2"/>
  <c r="F423" i="2" s="1"/>
  <c r="J326" i="2"/>
  <c r="J518" i="2" s="1"/>
  <c r="F326" i="2"/>
  <c r="F422" i="2" s="1"/>
  <c r="F518" i="2" s="1"/>
  <c r="H518" i="2" s="1"/>
  <c r="J325" i="2"/>
  <c r="F325" i="2"/>
  <c r="F421" i="2" s="1"/>
  <c r="F517" i="2" s="1"/>
  <c r="J324" i="2"/>
  <c r="J516" i="2" s="1"/>
  <c r="F324" i="2"/>
  <c r="J323" i="2"/>
  <c r="J515" i="2" s="1"/>
  <c r="F323" i="2"/>
  <c r="H323" i="2" s="1"/>
  <c r="J322" i="2"/>
  <c r="H322" i="2"/>
  <c r="F322" i="2"/>
  <c r="F418" i="2" s="1"/>
  <c r="J321" i="2"/>
  <c r="J513" i="2" s="1"/>
  <c r="H321" i="2"/>
  <c r="F321" i="2"/>
  <c r="J320" i="2"/>
  <c r="J512" i="2" s="1"/>
  <c r="J704" i="2" s="1"/>
  <c r="H320" i="2"/>
  <c r="F320" i="2"/>
  <c r="F416" i="2" s="1"/>
  <c r="J319" i="2"/>
  <c r="J511" i="2" s="1"/>
  <c r="H319" i="2"/>
  <c r="F319" i="2"/>
  <c r="F415" i="2" s="1"/>
  <c r="J318" i="2"/>
  <c r="J510" i="2" s="1"/>
  <c r="F318" i="2"/>
  <c r="F414" i="2" s="1"/>
  <c r="F510" i="2" s="1"/>
  <c r="J317" i="2"/>
  <c r="F317" i="2"/>
  <c r="F413" i="2" s="1"/>
  <c r="F509" i="2" s="1"/>
  <c r="J316" i="2"/>
  <c r="J508" i="2" s="1"/>
  <c r="F316" i="2"/>
  <c r="J315" i="2"/>
  <c r="J507" i="2" s="1"/>
  <c r="F315" i="2"/>
  <c r="H315" i="2" s="1"/>
  <c r="J314" i="2"/>
  <c r="H314" i="2"/>
  <c r="F314" i="2"/>
  <c r="F410" i="2" s="1"/>
  <c r="J313" i="2"/>
  <c r="J505" i="2" s="1"/>
  <c r="H313" i="2"/>
  <c r="F313" i="2"/>
  <c r="J312" i="2"/>
  <c r="J504" i="2" s="1"/>
  <c r="H312" i="2"/>
  <c r="F312" i="2"/>
  <c r="F408" i="2" s="1"/>
  <c r="J311" i="2"/>
  <c r="J503" i="2" s="1"/>
  <c r="H311" i="2"/>
  <c r="F311" i="2"/>
  <c r="F407" i="2" s="1"/>
  <c r="F503" i="2" s="1"/>
  <c r="J310" i="2"/>
  <c r="J502" i="2" s="1"/>
  <c r="F310" i="2"/>
  <c r="H310" i="2" s="1"/>
  <c r="J309" i="2"/>
  <c r="F309" i="2"/>
  <c r="H309" i="2" s="1"/>
  <c r="J308" i="2"/>
  <c r="J500" i="2" s="1"/>
  <c r="F308" i="2"/>
  <c r="H308" i="2" s="1"/>
  <c r="J307" i="2"/>
  <c r="J499" i="2" s="1"/>
  <c r="F307" i="2"/>
  <c r="H307" i="2" s="1"/>
  <c r="J306" i="2"/>
  <c r="H306" i="2"/>
  <c r="F306" i="2"/>
  <c r="F402" i="2" s="1"/>
  <c r="J305" i="2"/>
  <c r="J497" i="2" s="1"/>
  <c r="H305" i="2"/>
  <c r="F305" i="2"/>
  <c r="J304" i="2"/>
  <c r="J496" i="2" s="1"/>
  <c r="J688" i="2" s="1"/>
  <c r="H304" i="2"/>
  <c r="F304" i="2"/>
  <c r="F400" i="2" s="1"/>
  <c r="J303" i="2"/>
  <c r="H303" i="2"/>
  <c r="F303" i="2"/>
  <c r="F399" i="2" s="1"/>
  <c r="F495" i="2" s="1"/>
  <c r="F591" i="2" s="1"/>
  <c r="H591" i="2" s="1"/>
  <c r="J302" i="2"/>
  <c r="J494" i="2" s="1"/>
  <c r="F302" i="2"/>
  <c r="H302" i="2" s="1"/>
  <c r="J301" i="2"/>
  <c r="F301" i="2"/>
  <c r="H301" i="2" s="1"/>
  <c r="J300" i="2"/>
  <c r="J492" i="2" s="1"/>
  <c r="F300" i="2"/>
  <c r="H300" i="2" s="1"/>
  <c r="J299" i="2"/>
  <c r="J491" i="2" s="1"/>
  <c r="F299" i="2"/>
  <c r="H299" i="2" s="1"/>
  <c r="J298" i="2"/>
  <c r="H298" i="2"/>
  <c r="F298" i="2"/>
  <c r="F394" i="2" s="1"/>
  <c r="J297" i="2"/>
  <c r="J489" i="2" s="1"/>
  <c r="H297" i="2"/>
  <c r="F297" i="2"/>
  <c r="J296" i="2"/>
  <c r="J488" i="2" s="1"/>
  <c r="J680" i="2" s="1"/>
  <c r="H296" i="2"/>
  <c r="F296" i="2"/>
  <c r="F392" i="2" s="1"/>
  <c r="J295" i="2"/>
  <c r="J487" i="2" s="1"/>
  <c r="H295" i="2"/>
  <c r="F295" i="2"/>
  <c r="F391" i="2" s="1"/>
  <c r="F487" i="2" s="1"/>
  <c r="J294" i="2"/>
  <c r="J486" i="2" s="1"/>
  <c r="F294" i="2"/>
  <c r="H294" i="2" s="1"/>
  <c r="J293" i="2"/>
  <c r="F293" i="2"/>
  <c r="H293" i="2" s="1"/>
  <c r="J292" i="2"/>
  <c r="J484" i="2" s="1"/>
  <c r="H292" i="2"/>
  <c r="J291" i="2"/>
  <c r="J483" i="2" s="1"/>
  <c r="H291" i="2"/>
  <c r="J290" i="2"/>
  <c r="H290" i="2"/>
  <c r="J289" i="2"/>
  <c r="J481" i="2" s="1"/>
  <c r="H289" i="2"/>
  <c r="J288" i="2"/>
  <c r="J480" i="2" s="1"/>
  <c r="J672" i="2" s="1"/>
  <c r="H288" i="2"/>
  <c r="J287" i="2"/>
  <c r="J479" i="2" s="1"/>
  <c r="H287" i="2"/>
  <c r="J286" i="2"/>
  <c r="J478" i="2" s="1"/>
  <c r="H286" i="2"/>
  <c r="J285" i="2"/>
  <c r="J477" i="2" s="1"/>
  <c r="J669" i="2" s="1"/>
  <c r="H285" i="2"/>
  <c r="J284" i="2"/>
  <c r="J476" i="2" s="1"/>
  <c r="H284" i="2"/>
  <c r="J283" i="2"/>
  <c r="J475" i="2" s="1"/>
  <c r="H283" i="2"/>
  <c r="J282" i="2"/>
  <c r="J474" i="2" s="1"/>
  <c r="H282" i="2"/>
  <c r="J281" i="2"/>
  <c r="J473" i="2" s="1"/>
  <c r="H281" i="2"/>
  <c r="J280" i="2"/>
  <c r="J472" i="2" s="1"/>
  <c r="J664" i="2" s="1"/>
  <c r="H280" i="2"/>
  <c r="J279" i="2"/>
  <c r="J471" i="2" s="1"/>
  <c r="H279" i="2"/>
  <c r="J278" i="2"/>
  <c r="J470" i="2" s="1"/>
  <c r="H278" i="2"/>
  <c r="J277" i="2"/>
  <c r="J469" i="2" s="1"/>
  <c r="J661" i="2" s="1"/>
  <c r="H277" i="2"/>
  <c r="J276" i="2"/>
  <c r="H276" i="2"/>
  <c r="J275" i="2"/>
  <c r="J467" i="2" s="1"/>
  <c r="H275" i="2"/>
  <c r="J274" i="2"/>
  <c r="H274" i="2"/>
  <c r="J273" i="2"/>
  <c r="J465" i="2" s="1"/>
  <c r="H273" i="2"/>
  <c r="J272" i="2"/>
  <c r="H272" i="2"/>
  <c r="J271" i="2"/>
  <c r="H271" i="2"/>
  <c r="J270" i="2"/>
  <c r="H270" i="2"/>
  <c r="J269" i="2"/>
  <c r="J461" i="2" s="1"/>
  <c r="J653" i="2" s="1"/>
  <c r="H269" i="2"/>
  <c r="J268" i="2"/>
  <c r="H268" i="2"/>
  <c r="J267" i="2"/>
  <c r="J459" i="2" s="1"/>
  <c r="H267" i="2"/>
  <c r="J266" i="2"/>
  <c r="H266" i="2"/>
  <c r="J265" i="2"/>
  <c r="J457" i="2" s="1"/>
  <c r="H265" i="2"/>
  <c r="J264" i="2"/>
  <c r="H264" i="2"/>
  <c r="J263" i="2"/>
  <c r="J455" i="2" s="1"/>
  <c r="H263" i="2"/>
  <c r="J262" i="2"/>
  <c r="H262" i="2"/>
  <c r="J261" i="2"/>
  <c r="J453" i="2" s="1"/>
  <c r="J645" i="2" s="1"/>
  <c r="H261" i="2"/>
  <c r="J260" i="2"/>
  <c r="H260" i="2"/>
  <c r="J259" i="2"/>
  <c r="J451" i="2" s="1"/>
  <c r="H259" i="2"/>
  <c r="J258" i="2"/>
  <c r="H258" i="2"/>
  <c r="J257" i="2"/>
  <c r="J449" i="2" s="1"/>
  <c r="H257" i="2"/>
  <c r="J256" i="2"/>
  <c r="H256" i="2"/>
  <c r="J255" i="2"/>
  <c r="J447" i="2" s="1"/>
  <c r="H255" i="2"/>
  <c r="J254" i="2"/>
  <c r="H254" i="2"/>
  <c r="J253" i="2"/>
  <c r="J445" i="2" s="1"/>
  <c r="J637" i="2" s="1"/>
  <c r="J829" i="2" s="1"/>
  <c r="H253" i="2"/>
  <c r="J252" i="2"/>
  <c r="H252" i="2"/>
  <c r="J251" i="2"/>
  <c r="J443" i="2" s="1"/>
  <c r="H251" i="2"/>
  <c r="J250" i="2"/>
  <c r="H250" i="2"/>
  <c r="J249" i="2"/>
  <c r="J441" i="2" s="1"/>
  <c r="H249" i="2"/>
  <c r="J248" i="2"/>
  <c r="H248" i="2"/>
  <c r="J247" i="2"/>
  <c r="H247" i="2"/>
  <c r="J246" i="2"/>
  <c r="H246" i="2"/>
  <c r="J245" i="2"/>
  <c r="J437" i="2" s="1"/>
  <c r="J629" i="2" s="1"/>
  <c r="H245" i="2"/>
  <c r="J244" i="2"/>
  <c r="H244" i="2"/>
  <c r="J243" i="2"/>
  <c r="J435" i="2" s="1"/>
  <c r="H243" i="2"/>
  <c r="J242" i="2"/>
  <c r="H242" i="2"/>
  <c r="J241" i="2"/>
  <c r="J433" i="2" s="1"/>
  <c r="H241" i="2"/>
  <c r="J240" i="2"/>
  <c r="H240" i="2"/>
  <c r="J239" i="2"/>
  <c r="J431" i="2" s="1"/>
  <c r="H239" i="2"/>
  <c r="J238" i="2"/>
  <c r="H238" i="2"/>
  <c r="J237" i="2"/>
  <c r="J429" i="2" s="1"/>
  <c r="J621" i="2" s="1"/>
  <c r="J813" i="2" s="1"/>
  <c r="H237" i="2"/>
  <c r="J236" i="2"/>
  <c r="H236" i="2"/>
  <c r="J235" i="2"/>
  <c r="J427" i="2" s="1"/>
  <c r="H235" i="2"/>
  <c r="J234" i="2"/>
  <c r="H234" i="2"/>
  <c r="J233" i="2"/>
  <c r="J425" i="2" s="1"/>
  <c r="H233" i="2"/>
  <c r="J232" i="2"/>
  <c r="H232" i="2"/>
  <c r="J231" i="2"/>
  <c r="J423" i="2" s="1"/>
  <c r="H231" i="2"/>
  <c r="J230" i="2"/>
  <c r="H230" i="2"/>
  <c r="J229" i="2"/>
  <c r="J421" i="2" s="1"/>
  <c r="J613" i="2" s="1"/>
  <c r="H229" i="2"/>
  <c r="J228" i="2"/>
  <c r="H228" i="2"/>
  <c r="J227" i="2"/>
  <c r="J419" i="2" s="1"/>
  <c r="H227" i="2"/>
  <c r="J226" i="2"/>
  <c r="H226" i="2"/>
  <c r="J225" i="2"/>
  <c r="J417" i="2" s="1"/>
  <c r="H225" i="2"/>
  <c r="J224" i="2"/>
  <c r="H224" i="2"/>
  <c r="J223" i="2"/>
  <c r="J415" i="2" s="1"/>
  <c r="H223" i="2"/>
  <c r="J222" i="2"/>
  <c r="H222" i="2"/>
  <c r="J221" i="2"/>
  <c r="J413" i="2" s="1"/>
  <c r="J605" i="2" s="1"/>
  <c r="H221" i="2"/>
  <c r="J220" i="2"/>
  <c r="H220" i="2"/>
  <c r="J219" i="2"/>
  <c r="J411" i="2" s="1"/>
  <c r="H219" i="2"/>
  <c r="J218" i="2"/>
  <c r="H218" i="2"/>
  <c r="J217" i="2"/>
  <c r="J409" i="2" s="1"/>
  <c r="H217" i="2"/>
  <c r="J216" i="2"/>
  <c r="H216" i="2"/>
  <c r="L215" i="2"/>
  <c r="J215" i="2"/>
  <c r="H215" i="2"/>
  <c r="J214" i="2"/>
  <c r="H214" i="2"/>
  <c r="J213" i="2"/>
  <c r="H213" i="2"/>
  <c r="J212" i="2"/>
  <c r="H212" i="2"/>
  <c r="J211" i="2"/>
  <c r="J403" i="2" s="1"/>
  <c r="H211" i="2"/>
  <c r="J210" i="2"/>
  <c r="H210" i="2"/>
  <c r="J209" i="2"/>
  <c r="J401" i="2" s="1"/>
  <c r="H209" i="2"/>
  <c r="J208" i="2"/>
  <c r="H208" i="2"/>
  <c r="J207" i="2"/>
  <c r="J399" i="2" s="1"/>
  <c r="H207" i="2"/>
  <c r="J206" i="2"/>
  <c r="H206" i="2"/>
  <c r="J205" i="2"/>
  <c r="H205" i="2"/>
  <c r="J204" i="2"/>
  <c r="H204" i="2"/>
  <c r="J203" i="2"/>
  <c r="J395" i="2" s="1"/>
  <c r="H203" i="2"/>
  <c r="J202" i="2"/>
  <c r="H202" i="2"/>
  <c r="K201" i="2"/>
  <c r="K202" i="2" s="1"/>
  <c r="K203" i="2" s="1"/>
  <c r="K204" i="2" s="1"/>
  <c r="K205" i="2" s="1"/>
  <c r="K206" i="2" s="1"/>
  <c r="K207" i="2" s="1"/>
  <c r="K208" i="2" s="1"/>
  <c r="K209" i="2" s="1"/>
  <c r="K210" i="2" s="1"/>
  <c r="K211" i="2" s="1"/>
  <c r="K212" i="2" s="1"/>
  <c r="K213" i="2" s="1"/>
  <c r="K214" i="2" s="1"/>
  <c r="K215" i="2" s="1"/>
  <c r="K216" i="2" s="1"/>
  <c r="K217" i="2" s="1"/>
  <c r="K218" i="2" s="1"/>
  <c r="K219" i="2" s="1"/>
  <c r="J201" i="2"/>
  <c r="J393" i="2" s="1"/>
  <c r="H201" i="2"/>
  <c r="J200" i="2"/>
  <c r="H200" i="2"/>
  <c r="L199" i="2"/>
  <c r="K199" i="2"/>
  <c r="K200" i="2" s="1"/>
  <c r="J199" i="2"/>
  <c r="J391" i="2" s="1"/>
  <c r="H199" i="2"/>
  <c r="K198" i="2"/>
  <c r="J198" i="2"/>
  <c r="H198" i="2"/>
  <c r="J197"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D91" i="2"/>
  <c r="D115" i="2" s="1"/>
  <c r="D139" i="2" s="1"/>
  <c r="D163" i="2" s="1"/>
  <c r="H90" i="2"/>
  <c r="H89" i="2"/>
  <c r="H88" i="2"/>
  <c r="H87" i="2"/>
  <c r="H86" i="2"/>
  <c r="H85" i="2"/>
  <c r="H84" i="2"/>
  <c r="H83" i="2"/>
  <c r="H82" i="2"/>
  <c r="H81" i="2"/>
  <c r="H80" i="2"/>
  <c r="H79" i="2"/>
  <c r="H78" i="2"/>
  <c r="H77" i="2"/>
  <c r="H76" i="2"/>
  <c r="H75" i="2"/>
  <c r="D75" i="2"/>
  <c r="D99" i="2" s="1"/>
  <c r="D123" i="2" s="1"/>
  <c r="D147" i="2" s="1"/>
  <c r="D171" i="2" s="1"/>
  <c r="H74" i="2"/>
  <c r="H73" i="2"/>
  <c r="H72" i="2"/>
  <c r="H71" i="2"/>
  <c r="H70" i="2"/>
  <c r="H69" i="2"/>
  <c r="H68" i="2"/>
  <c r="H67" i="2"/>
  <c r="D67" i="2"/>
  <c r="H66" i="2"/>
  <c r="H65" i="2"/>
  <c r="H64" i="2"/>
  <c r="H63" i="2"/>
  <c r="H62" i="2"/>
  <c r="H61" i="2"/>
  <c r="H60" i="2"/>
  <c r="H59" i="2"/>
  <c r="D59" i="2"/>
  <c r="D83" i="2" s="1"/>
  <c r="D107" i="2" s="1"/>
  <c r="D131" i="2" s="1"/>
  <c r="D155" i="2" s="1"/>
  <c r="H58" i="2"/>
  <c r="H57" i="2"/>
  <c r="H56" i="2"/>
  <c r="H55" i="2"/>
  <c r="H54" i="2"/>
  <c r="H53" i="2"/>
  <c r="H52" i="2"/>
  <c r="B52" i="2"/>
  <c r="B76" i="2" s="1"/>
  <c r="B100" i="2" s="1"/>
  <c r="B124" i="2" s="1"/>
  <c r="B148" i="2" s="1"/>
  <c r="B172" i="2" s="1"/>
  <c r="H51" i="2"/>
  <c r="D51" i="2"/>
  <c r="B51" i="2"/>
  <c r="B75" i="2" s="1"/>
  <c r="B99" i="2" s="1"/>
  <c r="B123" i="2" s="1"/>
  <c r="B147" i="2" s="1"/>
  <c r="B171" i="2" s="1"/>
  <c r="H50" i="2"/>
  <c r="D50" i="2"/>
  <c r="D74" i="2" s="1"/>
  <c r="D98" i="2" s="1"/>
  <c r="D122" i="2" s="1"/>
  <c r="D146" i="2" s="1"/>
  <c r="D170" i="2" s="1"/>
  <c r="B50" i="2"/>
  <c r="B74" i="2" s="1"/>
  <c r="B98" i="2" s="1"/>
  <c r="B122" i="2" s="1"/>
  <c r="B146" i="2" s="1"/>
  <c r="B170" i="2" s="1"/>
  <c r="H49" i="2"/>
  <c r="D49" i="2"/>
  <c r="D73" i="2" s="1"/>
  <c r="D97" i="2" s="1"/>
  <c r="D121" i="2" s="1"/>
  <c r="D145" i="2" s="1"/>
  <c r="D169" i="2" s="1"/>
  <c r="B49" i="2"/>
  <c r="B73" i="2" s="1"/>
  <c r="B97" i="2" s="1"/>
  <c r="B121" i="2" s="1"/>
  <c r="B145" i="2" s="1"/>
  <c r="B169" i="2" s="1"/>
  <c r="H48" i="2"/>
  <c r="D48" i="2"/>
  <c r="D72" i="2" s="1"/>
  <c r="D96" i="2" s="1"/>
  <c r="D120" i="2" s="1"/>
  <c r="D144" i="2" s="1"/>
  <c r="D168" i="2" s="1"/>
  <c r="B48" i="2"/>
  <c r="B72" i="2" s="1"/>
  <c r="B96" i="2" s="1"/>
  <c r="B120" i="2" s="1"/>
  <c r="B144" i="2" s="1"/>
  <c r="B168" i="2" s="1"/>
  <c r="H47" i="2"/>
  <c r="D47" i="2"/>
  <c r="D71" i="2" s="1"/>
  <c r="D95" i="2" s="1"/>
  <c r="D119" i="2" s="1"/>
  <c r="D143" i="2" s="1"/>
  <c r="D167" i="2" s="1"/>
  <c r="B47" i="2"/>
  <c r="B71" i="2" s="1"/>
  <c r="B95" i="2" s="1"/>
  <c r="B119" i="2" s="1"/>
  <c r="B143" i="2" s="1"/>
  <c r="B167" i="2" s="1"/>
  <c r="H46" i="2"/>
  <c r="D46" i="2"/>
  <c r="D70" i="2" s="1"/>
  <c r="D94" i="2" s="1"/>
  <c r="D118" i="2" s="1"/>
  <c r="D142" i="2" s="1"/>
  <c r="D166" i="2" s="1"/>
  <c r="B46" i="2"/>
  <c r="B70" i="2" s="1"/>
  <c r="B94" i="2" s="1"/>
  <c r="B118" i="2" s="1"/>
  <c r="B142" i="2" s="1"/>
  <c r="B166" i="2" s="1"/>
  <c r="H45" i="2"/>
  <c r="D45" i="2"/>
  <c r="D69" i="2" s="1"/>
  <c r="D93" i="2" s="1"/>
  <c r="D117" i="2" s="1"/>
  <c r="D141" i="2" s="1"/>
  <c r="D165" i="2" s="1"/>
  <c r="B45" i="2"/>
  <c r="B69" i="2" s="1"/>
  <c r="B93" i="2" s="1"/>
  <c r="B117" i="2" s="1"/>
  <c r="B141" i="2" s="1"/>
  <c r="B165" i="2" s="1"/>
  <c r="H44" i="2"/>
  <c r="D44" i="2"/>
  <c r="D68" i="2" s="1"/>
  <c r="D92" i="2" s="1"/>
  <c r="D116" i="2" s="1"/>
  <c r="D140" i="2" s="1"/>
  <c r="D164" i="2" s="1"/>
  <c r="B44" i="2"/>
  <c r="B68" i="2" s="1"/>
  <c r="B92" i="2" s="1"/>
  <c r="B116" i="2" s="1"/>
  <c r="B140" i="2" s="1"/>
  <c r="B164" i="2" s="1"/>
  <c r="H43" i="2"/>
  <c r="D43" i="2"/>
  <c r="B43" i="2"/>
  <c r="B67" i="2" s="1"/>
  <c r="B91" i="2" s="1"/>
  <c r="B115" i="2" s="1"/>
  <c r="B139" i="2" s="1"/>
  <c r="B163" i="2" s="1"/>
  <c r="H42" i="2"/>
  <c r="D42" i="2"/>
  <c r="D66" i="2" s="1"/>
  <c r="D90" i="2" s="1"/>
  <c r="D114" i="2" s="1"/>
  <c r="D138" i="2" s="1"/>
  <c r="D162" i="2" s="1"/>
  <c r="B42" i="2"/>
  <c r="B66" i="2" s="1"/>
  <c r="B90" i="2" s="1"/>
  <c r="B114" i="2" s="1"/>
  <c r="B138" i="2" s="1"/>
  <c r="B162" i="2" s="1"/>
  <c r="H41" i="2"/>
  <c r="D41" i="2"/>
  <c r="D65" i="2" s="1"/>
  <c r="D89" i="2" s="1"/>
  <c r="D113" i="2" s="1"/>
  <c r="D137" i="2" s="1"/>
  <c r="D161" i="2" s="1"/>
  <c r="B41" i="2"/>
  <c r="B65" i="2" s="1"/>
  <c r="B89" i="2" s="1"/>
  <c r="B113" i="2" s="1"/>
  <c r="B137" i="2" s="1"/>
  <c r="B161" i="2" s="1"/>
  <c r="H40" i="2"/>
  <c r="D40" i="2"/>
  <c r="D64" i="2" s="1"/>
  <c r="D88" i="2" s="1"/>
  <c r="B40" i="2"/>
  <c r="B64" i="2" s="1"/>
  <c r="B88" i="2" s="1"/>
  <c r="B112" i="2" s="1"/>
  <c r="B136" i="2" s="1"/>
  <c r="B160" i="2" s="1"/>
  <c r="H39" i="2"/>
  <c r="D39" i="2"/>
  <c r="D63" i="2" s="1"/>
  <c r="D87" i="2" s="1"/>
  <c r="D111" i="2" s="1"/>
  <c r="D135" i="2" s="1"/>
  <c r="D159" i="2" s="1"/>
  <c r="B39" i="2"/>
  <c r="B63" i="2" s="1"/>
  <c r="B87" i="2" s="1"/>
  <c r="B111" i="2" s="1"/>
  <c r="B135" i="2" s="1"/>
  <c r="B159" i="2" s="1"/>
  <c r="H38" i="2"/>
  <c r="D38" i="2"/>
  <c r="D62" i="2" s="1"/>
  <c r="D86" i="2" s="1"/>
  <c r="D110" i="2" s="1"/>
  <c r="D134" i="2" s="1"/>
  <c r="D158" i="2" s="1"/>
  <c r="B38" i="2"/>
  <c r="B62" i="2" s="1"/>
  <c r="B86" i="2" s="1"/>
  <c r="B110" i="2" s="1"/>
  <c r="B134" i="2" s="1"/>
  <c r="B158" i="2" s="1"/>
  <c r="H37" i="2"/>
  <c r="D37" i="2"/>
  <c r="D61" i="2" s="1"/>
  <c r="D85" i="2" s="1"/>
  <c r="D109" i="2" s="1"/>
  <c r="D133" i="2" s="1"/>
  <c r="D157" i="2" s="1"/>
  <c r="B37" i="2"/>
  <c r="B61" i="2" s="1"/>
  <c r="B85" i="2" s="1"/>
  <c r="B109" i="2" s="1"/>
  <c r="B133" i="2" s="1"/>
  <c r="B157" i="2" s="1"/>
  <c r="H36" i="2"/>
  <c r="D36" i="2"/>
  <c r="D60" i="2" s="1"/>
  <c r="D84" i="2" s="1"/>
  <c r="D108" i="2" s="1"/>
  <c r="D132" i="2" s="1"/>
  <c r="D156" i="2" s="1"/>
  <c r="B36" i="2"/>
  <c r="B60" i="2" s="1"/>
  <c r="B84" i="2" s="1"/>
  <c r="B108" i="2" s="1"/>
  <c r="B132" i="2" s="1"/>
  <c r="B156" i="2" s="1"/>
  <c r="H35" i="2"/>
  <c r="D35" i="2"/>
  <c r="B35" i="2"/>
  <c r="B59" i="2" s="1"/>
  <c r="B83" i="2" s="1"/>
  <c r="B107" i="2" s="1"/>
  <c r="B131" i="2" s="1"/>
  <c r="B155" i="2" s="1"/>
  <c r="H34" i="2"/>
  <c r="D34" i="2"/>
  <c r="D58" i="2" s="1"/>
  <c r="D82" i="2" s="1"/>
  <c r="D106" i="2" s="1"/>
  <c r="D130" i="2" s="1"/>
  <c r="D154" i="2" s="1"/>
  <c r="B34" i="2"/>
  <c r="B58" i="2" s="1"/>
  <c r="B82" i="2" s="1"/>
  <c r="B106" i="2" s="1"/>
  <c r="B130" i="2" s="1"/>
  <c r="B154" i="2" s="1"/>
  <c r="H33" i="2"/>
  <c r="D33" i="2"/>
  <c r="D57" i="2" s="1"/>
  <c r="D81" i="2" s="1"/>
  <c r="D105" i="2" s="1"/>
  <c r="D129" i="2" s="1"/>
  <c r="D153" i="2" s="1"/>
  <c r="B33" i="2"/>
  <c r="B57" i="2" s="1"/>
  <c r="B81" i="2" s="1"/>
  <c r="B105" i="2" s="1"/>
  <c r="B129" i="2" s="1"/>
  <c r="B153" i="2" s="1"/>
  <c r="H32" i="2"/>
  <c r="D32" i="2"/>
  <c r="D56" i="2" s="1"/>
  <c r="D80" i="2" s="1"/>
  <c r="D104" i="2" s="1"/>
  <c r="D128" i="2" s="1"/>
  <c r="D152" i="2" s="1"/>
  <c r="B32" i="2"/>
  <c r="B56" i="2" s="1"/>
  <c r="B80" i="2" s="1"/>
  <c r="B104" i="2" s="1"/>
  <c r="B128" i="2" s="1"/>
  <c r="B152" i="2" s="1"/>
  <c r="H31" i="2"/>
  <c r="D31" i="2"/>
  <c r="D55" i="2" s="1"/>
  <c r="D79" i="2" s="1"/>
  <c r="D103" i="2" s="1"/>
  <c r="D127" i="2" s="1"/>
  <c r="D151" i="2" s="1"/>
  <c r="B31" i="2"/>
  <c r="B55" i="2" s="1"/>
  <c r="B79" i="2" s="1"/>
  <c r="B103" i="2" s="1"/>
  <c r="B127" i="2" s="1"/>
  <c r="B151" i="2" s="1"/>
  <c r="H30" i="2"/>
  <c r="D30" i="2"/>
  <c r="D54" i="2" s="1"/>
  <c r="D78" i="2" s="1"/>
  <c r="D102" i="2" s="1"/>
  <c r="D126" i="2" s="1"/>
  <c r="D150" i="2" s="1"/>
  <c r="B30" i="2"/>
  <c r="B54" i="2" s="1"/>
  <c r="B78" i="2" s="1"/>
  <c r="B102" i="2" s="1"/>
  <c r="B126" i="2" s="1"/>
  <c r="B150" i="2" s="1"/>
  <c r="H29" i="2"/>
  <c r="D29" i="2"/>
  <c r="D53" i="2" s="1"/>
  <c r="D77" i="2" s="1"/>
  <c r="D101" i="2" s="1"/>
  <c r="D125" i="2" s="1"/>
  <c r="D149" i="2" s="1"/>
  <c r="B29" i="2"/>
  <c r="B53" i="2" s="1"/>
  <c r="B77" i="2" s="1"/>
  <c r="B101" i="2" s="1"/>
  <c r="B125" i="2" s="1"/>
  <c r="B149" i="2" s="1"/>
  <c r="H28" i="2"/>
  <c r="D28" i="2"/>
  <c r="D52" i="2" s="1"/>
  <c r="D76" i="2" s="1"/>
  <c r="D100" i="2" s="1"/>
  <c r="D124" i="2" s="1"/>
  <c r="D148" i="2" s="1"/>
  <c r="D172" i="2" s="1"/>
  <c r="H27" i="2"/>
  <c r="H26" i="2"/>
  <c r="H25" i="2"/>
  <c r="H24" i="2"/>
  <c r="H23" i="2"/>
  <c r="H22" i="2"/>
  <c r="H21" i="2"/>
  <c r="H20" i="2"/>
  <c r="H19" i="2"/>
  <c r="H18" i="2"/>
  <c r="H17" i="2"/>
  <c r="H16" i="2"/>
  <c r="H15" i="2"/>
  <c r="H14" i="2"/>
  <c r="H13" i="2"/>
  <c r="H12" i="2"/>
  <c r="H11" i="2"/>
  <c r="H10" i="2"/>
  <c r="H9" i="2"/>
  <c r="H8" i="2"/>
  <c r="H7" i="2"/>
  <c r="K6" i="2"/>
  <c r="H6" i="2"/>
  <c r="L5" i="2"/>
  <c r="K5" i="2"/>
  <c r="H5" i="2"/>
  <c r="L4" i="2"/>
  <c r="H4" i="2"/>
  <c r="AI256" i="1"/>
  <c r="AG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F157" i="1"/>
  <c r="AF158" i="1" s="1"/>
  <c r="AF159" i="1" s="1"/>
  <c r="AF160" i="1" s="1"/>
  <c r="AF161" i="1" s="1"/>
  <c r="AF162" i="1" s="1"/>
  <c r="AF163" i="1" s="1"/>
  <c r="AF164" i="1" s="1"/>
  <c r="AF165" i="1" s="1"/>
  <c r="AF166" i="1" s="1"/>
  <c r="AI156" i="1"/>
  <c r="AG156" i="1"/>
  <c r="G101" i="1"/>
  <c r="G100" i="1"/>
  <c r="G99" i="1"/>
  <c r="G107" i="1"/>
  <c r="G106" i="1"/>
  <c r="G105" i="1"/>
  <c r="E96" i="1"/>
  <c r="E95" i="1"/>
  <c r="E94" i="1"/>
  <c r="P93" i="1"/>
  <c r="O93" i="1"/>
  <c r="N93" i="1"/>
  <c r="M93" i="1"/>
  <c r="L93" i="1"/>
  <c r="K93" i="1"/>
  <c r="J93" i="1"/>
  <c r="I93" i="1"/>
  <c r="H93" i="1"/>
  <c r="G92" i="1"/>
  <c r="P81" i="1"/>
  <c r="P80" i="1"/>
  <c r="I77" i="1"/>
  <c r="H77" i="1"/>
  <c r="I76" i="1"/>
  <c r="J76" i="1" s="1"/>
  <c r="K76" i="1" s="1"/>
  <c r="L76" i="1" s="1"/>
  <c r="M76" i="1" s="1"/>
  <c r="N76" i="1" s="1"/>
  <c r="O76" i="1" s="1"/>
  <c r="P76" i="1" s="1"/>
  <c r="Q76" i="1" s="1"/>
  <c r="R76" i="1" s="1"/>
  <c r="S76" i="1" s="1"/>
  <c r="T76" i="1" s="1"/>
  <c r="U76" i="1" s="1"/>
  <c r="V76" i="1" s="1"/>
  <c r="W76" i="1" s="1"/>
  <c r="X76" i="1" s="1"/>
  <c r="Y76" i="1" s="1"/>
  <c r="Z76" i="1" s="1"/>
  <c r="AA76" i="1" s="1"/>
  <c r="AB76" i="1" s="1"/>
  <c r="AC76" i="1" s="1"/>
  <c r="AD76" i="1" s="1"/>
  <c r="AE76" i="1" s="1"/>
  <c r="AF76" i="1" s="1"/>
  <c r="AG76" i="1" s="1"/>
  <c r="AH76" i="1" s="1"/>
  <c r="AI76" i="1" s="1"/>
  <c r="AJ76" i="1" s="1"/>
  <c r="AK76" i="1" s="1"/>
  <c r="AL76" i="1" s="1"/>
  <c r="AM76" i="1" s="1"/>
  <c r="I67" i="1"/>
  <c r="H67" i="1"/>
  <c r="E67" i="1"/>
  <c r="I66" i="1"/>
  <c r="H66" i="1"/>
  <c r="E66" i="1"/>
  <c r="E61" i="1"/>
  <c r="E62" i="1" s="1"/>
  <c r="I55" i="1"/>
  <c r="H55" i="1"/>
  <c r="P51" i="1"/>
  <c r="O51" i="1"/>
  <c r="N51" i="1"/>
  <c r="M51" i="1"/>
  <c r="I46" i="1"/>
  <c r="H46" i="1"/>
  <c r="E46" i="1"/>
  <c r="H43" i="1"/>
  <c r="E42" i="1"/>
  <c r="I43" i="1"/>
  <c r="G29" i="1"/>
  <c r="G26" i="1"/>
  <c r="E16" i="1"/>
  <c r="E14" i="1"/>
  <c r="G14" i="1" s="1"/>
  <c r="G13" i="1"/>
  <c r="G10" i="1"/>
  <c r="G9" i="1"/>
  <c r="G8" i="1"/>
  <c r="K7" i="1"/>
  <c r="J7" i="1"/>
  <c r="G7" i="1"/>
  <c r="G6" i="1"/>
  <c r="N139" i="1"/>
  <c r="O118" i="1"/>
  <c r="N142" i="1"/>
  <c r="N121" i="1"/>
  <c r="N123" i="1"/>
  <c r="O130" i="1"/>
  <c r="N124" i="1"/>
  <c r="O146" i="1"/>
  <c r="N127" i="1"/>
  <c r="O143" i="1"/>
  <c r="O147" i="1"/>
  <c r="N141" i="1"/>
  <c r="N143" i="1"/>
  <c r="N138" i="1"/>
  <c r="O141" i="1"/>
  <c r="N147" i="1"/>
  <c r="O126" i="1"/>
  <c r="O123" i="1"/>
  <c r="O139" i="1"/>
  <c r="O129" i="1"/>
  <c r="N118" i="1"/>
  <c r="O144" i="1"/>
  <c r="N136" i="1"/>
  <c r="O135" i="1"/>
  <c r="N148" i="1"/>
  <c r="O124" i="1"/>
  <c r="N129" i="1"/>
  <c r="N145" i="1"/>
  <c r="O120" i="1"/>
  <c r="O128" i="1"/>
  <c r="N146" i="1"/>
  <c r="O149" i="1"/>
  <c r="N135" i="1"/>
  <c r="O136" i="1"/>
  <c r="N126" i="1"/>
  <c r="N125" i="1"/>
  <c r="O117" i="1"/>
  <c r="O125" i="1"/>
  <c r="O142" i="1"/>
  <c r="O138" i="1"/>
  <c r="N128" i="1"/>
  <c r="N149" i="1"/>
  <c r="O121" i="1"/>
  <c r="N131" i="1"/>
  <c r="N144" i="1"/>
  <c r="N117" i="1"/>
  <c r="O131" i="1"/>
  <c r="O127" i="1"/>
  <c r="N120" i="1"/>
  <c r="O145" i="1"/>
  <c r="CD156" i="1" l="1"/>
  <c r="CB156" i="1"/>
  <c r="E93" i="1"/>
  <c r="E110" i="1"/>
  <c r="E85" i="1"/>
  <c r="G85" i="1" s="1"/>
  <c r="Q96" i="1"/>
  <c r="Q95" i="1"/>
  <c r="Q94" i="1"/>
  <c r="CD256" i="1"/>
  <c r="CB256" i="1"/>
  <c r="H24" i="1"/>
  <c r="CC156" i="1"/>
  <c r="CC256" i="1"/>
  <c r="BQ159" i="1"/>
  <c r="BQ223" i="1"/>
  <c r="BQ192" i="1"/>
  <c r="BQ256" i="1"/>
  <c r="BQ217" i="1"/>
  <c r="BQ186" i="1"/>
  <c r="BQ250" i="1"/>
  <c r="BQ219" i="1"/>
  <c r="BQ221" i="1"/>
  <c r="BQ228" i="1"/>
  <c r="BQ229" i="1"/>
  <c r="BQ253" i="1"/>
  <c r="BQ236" i="1"/>
  <c r="BO187" i="1"/>
  <c r="BO251" i="1"/>
  <c r="BO212" i="1"/>
  <c r="BO173" i="1"/>
  <c r="BO237" i="1"/>
  <c r="BO198" i="1"/>
  <c r="BO160" i="1"/>
  <c r="BO177" i="1"/>
  <c r="BO242" i="1"/>
  <c r="BO183" i="1"/>
  <c r="BO168" i="1"/>
  <c r="BO223" i="1"/>
  <c r="BO234" i="1"/>
  <c r="BQ167" i="1"/>
  <c r="BQ231" i="1"/>
  <c r="BQ200" i="1"/>
  <c r="BQ161" i="1"/>
  <c r="BQ225" i="1"/>
  <c r="BQ194" i="1"/>
  <c r="BQ163" i="1"/>
  <c r="BQ227" i="1"/>
  <c r="BQ244" i="1"/>
  <c r="BQ182" i="1"/>
  <c r="BQ252" i="1"/>
  <c r="BQ196" i="1"/>
  <c r="BQ254" i="1"/>
  <c r="BO195" i="1"/>
  <c r="BO156" i="1"/>
  <c r="BO220" i="1"/>
  <c r="BO181" i="1"/>
  <c r="BO245" i="1"/>
  <c r="BO206" i="1"/>
  <c r="BO176" i="1"/>
  <c r="BO193" i="1"/>
  <c r="BO159" i="1"/>
  <c r="BO199" i="1"/>
  <c r="BO184" i="1"/>
  <c r="BO169" i="1"/>
  <c r="BO191" i="1"/>
  <c r="BQ175" i="1"/>
  <c r="BQ239" i="1"/>
  <c r="BQ208" i="1"/>
  <c r="BQ169" i="1"/>
  <c r="BQ233" i="1"/>
  <c r="BQ202" i="1"/>
  <c r="BQ171" i="1"/>
  <c r="BQ235" i="1"/>
  <c r="BQ158" i="1"/>
  <c r="BQ205" i="1"/>
  <c r="BQ214" i="1"/>
  <c r="BQ255" i="1"/>
  <c r="BQ173" i="1"/>
  <c r="BO203" i="1"/>
  <c r="BO164" i="1"/>
  <c r="BO228" i="1"/>
  <c r="BO189" i="1"/>
  <c r="BO253" i="1"/>
  <c r="BO214" i="1"/>
  <c r="BO192" i="1"/>
  <c r="BO209" i="1"/>
  <c r="BO255" i="1"/>
  <c r="BO215" i="1"/>
  <c r="BO200" i="1"/>
  <c r="BO185" i="1"/>
  <c r="BQ191" i="1"/>
  <c r="BQ160" i="1"/>
  <c r="BQ224" i="1"/>
  <c r="BQ185" i="1"/>
  <c r="BQ249" i="1"/>
  <c r="BQ218" i="1"/>
  <c r="BQ187" i="1"/>
  <c r="BQ251" i="1"/>
  <c r="BQ204" i="1"/>
  <c r="BQ156" i="1"/>
  <c r="BQ166" i="1"/>
  <c r="BQ238" i="1"/>
  <c r="BQ197" i="1"/>
  <c r="BO219" i="1"/>
  <c r="BO180" i="1"/>
  <c r="BO244" i="1"/>
  <c r="BO205" i="1"/>
  <c r="BO166" i="1"/>
  <c r="BO230" i="1"/>
  <c r="BO224" i="1"/>
  <c r="BO241" i="1"/>
  <c r="BO226" i="1"/>
  <c r="BO247" i="1"/>
  <c r="BO232" i="1"/>
  <c r="BO217" i="1"/>
  <c r="BQ176" i="1"/>
  <c r="BQ201" i="1"/>
  <c r="BQ234" i="1"/>
  <c r="BQ180" i="1"/>
  <c r="BQ188" i="1"/>
  <c r="BQ190" i="1"/>
  <c r="BO235" i="1"/>
  <c r="BO157" i="1"/>
  <c r="BO182" i="1"/>
  <c r="BO256" i="1"/>
  <c r="BQ184" i="1"/>
  <c r="BQ209" i="1"/>
  <c r="BQ242" i="1"/>
  <c r="BQ198" i="1"/>
  <c r="BQ206" i="1"/>
  <c r="BQ213" i="1"/>
  <c r="BO243" i="1"/>
  <c r="BO165" i="1"/>
  <c r="BO190" i="1"/>
  <c r="BO161" i="1"/>
  <c r="BO167" i="1"/>
  <c r="BO250" i="1"/>
  <c r="BQ183" i="1"/>
  <c r="BQ216" i="1"/>
  <c r="BQ241" i="1"/>
  <c r="BQ179" i="1"/>
  <c r="BQ181" i="1"/>
  <c r="BQ220" i="1"/>
  <c r="BQ237" i="1"/>
  <c r="BO172" i="1"/>
  <c r="BO197" i="1"/>
  <c r="BO222" i="1"/>
  <c r="BO225" i="1"/>
  <c r="BO231" i="1"/>
  <c r="BO201" i="1"/>
  <c r="BQ211" i="1"/>
  <c r="BO204" i="1"/>
  <c r="BO207" i="1"/>
  <c r="BO175" i="1"/>
  <c r="BQ199" i="1"/>
  <c r="BQ232" i="1"/>
  <c r="BQ162" i="1"/>
  <c r="BQ195" i="1"/>
  <c r="BQ222" i="1"/>
  <c r="BQ189" i="1"/>
  <c r="BO163" i="1"/>
  <c r="BO188" i="1"/>
  <c r="BO213" i="1"/>
  <c r="BO238" i="1"/>
  <c r="BO162" i="1"/>
  <c r="BO170" i="1"/>
  <c r="BO233" i="1"/>
  <c r="BQ248" i="1"/>
  <c r="BQ164" i="1"/>
  <c r="BO179" i="1"/>
  <c r="BO210" i="1"/>
  <c r="BO248" i="1"/>
  <c r="BO186" i="1"/>
  <c r="BQ207" i="1"/>
  <c r="BQ240" i="1"/>
  <c r="BQ170" i="1"/>
  <c r="BQ203" i="1"/>
  <c r="BQ245" i="1"/>
  <c r="BQ212" i="1"/>
  <c r="BO171" i="1"/>
  <c r="BO196" i="1"/>
  <c r="BO221" i="1"/>
  <c r="BO246" i="1"/>
  <c r="BO194" i="1"/>
  <c r="BO218" i="1"/>
  <c r="BO249" i="1"/>
  <c r="BQ215" i="1"/>
  <c r="BQ178" i="1"/>
  <c r="BQ230" i="1"/>
  <c r="BO229" i="1"/>
  <c r="BO254" i="1"/>
  <c r="BO202" i="1"/>
  <c r="BO240" i="1"/>
  <c r="BQ247" i="1"/>
  <c r="BQ177" i="1"/>
  <c r="BQ210" i="1"/>
  <c r="BQ243" i="1"/>
  <c r="BQ246" i="1"/>
  <c r="BQ174" i="1"/>
  <c r="BO211" i="1"/>
  <c r="BO236" i="1"/>
  <c r="BO158" i="1"/>
  <c r="BO208" i="1"/>
  <c r="BO178" i="1"/>
  <c r="BO216" i="1"/>
  <c r="BQ168" i="1"/>
  <c r="BQ193" i="1"/>
  <c r="BQ226" i="1"/>
  <c r="BQ157" i="1"/>
  <c r="BQ165" i="1"/>
  <c r="BQ172" i="1"/>
  <c r="BO227" i="1"/>
  <c r="BO252" i="1"/>
  <c r="BO174" i="1"/>
  <c r="BO239" i="1"/>
  <c r="AH156" i="1"/>
  <c r="CN156" i="1" s="1"/>
  <c r="CV156" i="1" s="1"/>
  <c r="O178" i="1"/>
  <c r="N178" i="1"/>
  <c r="O179" i="1"/>
  <c r="N179" i="1"/>
  <c r="E181" i="1"/>
  <c r="F188" i="1"/>
  <c r="F181" i="1"/>
  <c r="F182" i="1"/>
  <c r="F185" i="1"/>
  <c r="F186" i="1"/>
  <c r="F184" i="1"/>
  <c r="F183" i="1"/>
  <c r="F180" i="1"/>
  <c r="E186" i="1"/>
  <c r="E183" i="1"/>
  <c r="E187" i="1"/>
  <c r="E188" i="1"/>
  <c r="E185" i="1"/>
  <c r="E184" i="1"/>
  <c r="E182" i="1"/>
  <c r="E180" i="1"/>
  <c r="F173" i="1"/>
  <c r="F169" i="1"/>
  <c r="F174" i="1"/>
  <c r="F171" i="1"/>
  <c r="F168" i="1"/>
  <c r="F172" i="1"/>
  <c r="F170" i="1"/>
  <c r="F167" i="1"/>
  <c r="F166" i="1"/>
  <c r="E174" i="1"/>
  <c r="E170" i="1"/>
  <c r="E171" i="1"/>
  <c r="E169" i="1"/>
  <c r="E168" i="1"/>
  <c r="E172" i="1"/>
  <c r="E167" i="1"/>
  <c r="E166" i="1"/>
  <c r="F179" i="1"/>
  <c r="F178" i="1"/>
  <c r="E179" i="1"/>
  <c r="E178" i="1"/>
  <c r="F165" i="1"/>
  <c r="F164" i="1"/>
  <c r="E165" i="1"/>
  <c r="E164" i="1"/>
  <c r="M52" i="1"/>
  <c r="N52" i="1" s="1"/>
  <c r="H75" i="1"/>
  <c r="E33" i="1"/>
  <c r="E32" i="1"/>
  <c r="E35" i="1" s="1"/>
  <c r="E31" i="1"/>
  <c r="E36" i="1"/>
  <c r="E17" i="1"/>
  <c r="H74" i="1"/>
  <c r="H92" i="1"/>
  <c r="AF167" i="1"/>
  <c r="AF168" i="1" s="1"/>
  <c r="AF169" i="1" s="1"/>
  <c r="AF170" i="1" s="1"/>
  <c r="AF171" i="1" s="1"/>
  <c r="AF172" i="1" s="1"/>
  <c r="AF173" i="1" s="1"/>
  <c r="G55" i="1"/>
  <c r="I92" i="1"/>
  <c r="K470" i="2"/>
  <c r="K471" i="2" s="1"/>
  <c r="K472" i="2" s="1"/>
  <c r="K473" i="2" s="1"/>
  <c r="K474" i="2" s="1"/>
  <c r="K475" i="2" s="1"/>
  <c r="K476" i="2" s="1"/>
  <c r="K477" i="2" s="1"/>
  <c r="K478" i="2" s="1"/>
  <c r="K479" i="2" s="1"/>
  <c r="K480" i="2" s="1"/>
  <c r="K481" i="2" s="1"/>
  <c r="K482" i="2" s="1"/>
  <c r="K483" i="2" s="1"/>
  <c r="K484" i="2" s="1"/>
  <c r="K485" i="2" s="1"/>
  <c r="K486" i="2" s="1"/>
  <c r="K487" i="2" s="1"/>
  <c r="K488" i="2" s="1"/>
  <c r="L469" i="2"/>
  <c r="AJ156" i="1"/>
  <c r="BJ156" i="1" s="1"/>
  <c r="L210" i="2"/>
  <c r="J402" i="2"/>
  <c r="J466" i="2"/>
  <c r="J485" i="2"/>
  <c r="J501" i="2"/>
  <c r="J517" i="2"/>
  <c r="J533" i="2"/>
  <c r="J549" i="2"/>
  <c r="J565" i="2"/>
  <c r="J606" i="2"/>
  <c r="L414" i="2"/>
  <c r="AJ256" i="1"/>
  <c r="BJ256" i="1" s="1"/>
  <c r="AH256" i="1"/>
  <c r="J389" i="2"/>
  <c r="L197" i="2"/>
  <c r="J591" i="2"/>
  <c r="L399" i="2"/>
  <c r="L218" i="2"/>
  <c r="J410" i="2"/>
  <c r="J666" i="2"/>
  <c r="L474" i="2"/>
  <c r="Q11" i="2"/>
  <c r="D112" i="2"/>
  <c r="D136" i="2" s="1"/>
  <c r="D160" i="2" s="1"/>
  <c r="L207" i="2"/>
  <c r="J418" i="2"/>
  <c r="J426" i="2"/>
  <c r="J434" i="2"/>
  <c r="J493" i="2"/>
  <c r="J509" i="2"/>
  <c r="J525" i="2"/>
  <c r="J541" i="2"/>
  <c r="J557" i="2"/>
  <c r="J573" i="2"/>
  <c r="K220" i="2"/>
  <c r="K221" i="2" s="1"/>
  <c r="L219" i="2"/>
  <c r="J397" i="2"/>
  <c r="L205" i="2"/>
  <c r="J442" i="2"/>
  <c r="F497" i="2"/>
  <c r="H401" i="2"/>
  <c r="K7" i="2"/>
  <c r="L6" i="2"/>
  <c r="J583" i="2"/>
  <c r="L391" i="2"/>
  <c r="J405" i="2"/>
  <c r="L213" i="2"/>
  <c r="J450" i="2"/>
  <c r="J599" i="2"/>
  <c r="L407" i="2"/>
  <c r="L202" i="2"/>
  <c r="J394" i="2"/>
  <c r="J458" i="2"/>
  <c r="J687" i="2"/>
  <c r="J490" i="2"/>
  <c r="J498" i="2"/>
  <c r="J506" i="2"/>
  <c r="J522" i="2"/>
  <c r="J530" i="2"/>
  <c r="J538" i="2"/>
  <c r="J546" i="2"/>
  <c r="J554" i="2"/>
  <c r="J562" i="2"/>
  <c r="J570" i="2"/>
  <c r="J578" i="2"/>
  <c r="F396" i="2"/>
  <c r="F476" i="2"/>
  <c r="J392" i="2"/>
  <c r="L200" i="2"/>
  <c r="J587" i="2"/>
  <c r="L395" i="2"/>
  <c r="J400" i="2"/>
  <c r="L208" i="2"/>
  <c r="J595" i="2"/>
  <c r="L403" i="2"/>
  <c r="J408" i="2"/>
  <c r="L216" i="2"/>
  <c r="J603" i="2"/>
  <c r="L411" i="2"/>
  <c r="J416" i="2"/>
  <c r="J424" i="2"/>
  <c r="J432" i="2"/>
  <c r="J440" i="2"/>
  <c r="J448" i="2"/>
  <c r="J456" i="2"/>
  <c r="J464" i="2"/>
  <c r="F606" i="2"/>
  <c r="H606" i="2" s="1"/>
  <c r="H510" i="2"/>
  <c r="H391" i="2"/>
  <c r="F505" i="2"/>
  <c r="H409" i="2"/>
  <c r="F513" i="2"/>
  <c r="H417" i="2"/>
  <c r="H431" i="2"/>
  <c r="F629" i="2"/>
  <c r="H629" i="2" s="1"/>
  <c r="H533" i="2"/>
  <c r="J888" i="2"/>
  <c r="L696" i="2"/>
  <c r="L198" i="2"/>
  <c r="J390" i="2"/>
  <c r="J718" i="2"/>
  <c r="J731" i="2"/>
  <c r="J734" i="2"/>
  <c r="J747" i="2"/>
  <c r="F404" i="2"/>
  <c r="H419" i="2"/>
  <c r="F515" i="2"/>
  <c r="J674" i="2"/>
  <c r="L482" i="2"/>
  <c r="J585" i="2"/>
  <c r="L393" i="2"/>
  <c r="L203" i="2"/>
  <c r="L206" i="2"/>
  <c r="J398" i="2"/>
  <c r="J593" i="2"/>
  <c r="L401" i="2"/>
  <c r="L211" i="2"/>
  <c r="L214" i="2"/>
  <c r="J406" i="2"/>
  <c r="J601" i="2"/>
  <c r="L409" i="2"/>
  <c r="J609" i="2"/>
  <c r="L417" i="2"/>
  <c r="J422" i="2"/>
  <c r="J617" i="2"/>
  <c r="L425" i="2"/>
  <c r="J430" i="2"/>
  <c r="J625" i="2"/>
  <c r="L433" i="2"/>
  <c r="J438" i="2"/>
  <c r="J633" i="2"/>
  <c r="L441" i="2"/>
  <c r="J446" i="2"/>
  <c r="J454" i="2"/>
  <c r="J462" i="2"/>
  <c r="F583" i="2"/>
  <c r="H583" i="2" s="1"/>
  <c r="H487" i="2"/>
  <c r="F599" i="2"/>
  <c r="H599" i="2" s="1"/>
  <c r="H503" i="2"/>
  <c r="F511" i="2"/>
  <c r="H415" i="2"/>
  <c r="F519" i="2"/>
  <c r="H423" i="2"/>
  <c r="F521" i="2"/>
  <c r="H425" i="2"/>
  <c r="F623" i="2"/>
  <c r="H623" i="2" s="1"/>
  <c r="H527" i="2"/>
  <c r="F529" i="2"/>
  <c r="H433" i="2"/>
  <c r="F631" i="2"/>
  <c r="H631" i="2" s="1"/>
  <c r="H535" i="2"/>
  <c r="F537" i="2"/>
  <c r="H441" i="2"/>
  <c r="F543" i="2"/>
  <c r="H447" i="2"/>
  <c r="F545" i="2"/>
  <c r="H449" i="2"/>
  <c r="F551" i="2"/>
  <c r="H455" i="2"/>
  <c r="F655" i="2"/>
  <c r="H655" i="2" s="1"/>
  <c r="H559" i="2"/>
  <c r="F561" i="2"/>
  <c r="H465" i="2"/>
  <c r="F567" i="2"/>
  <c r="H471" i="2"/>
  <c r="F569" i="2"/>
  <c r="H473" i="2"/>
  <c r="F575" i="2"/>
  <c r="H479" i="2"/>
  <c r="F577" i="2"/>
  <c r="H481" i="2"/>
  <c r="F531" i="2"/>
  <c r="H435" i="2"/>
  <c r="F553" i="2"/>
  <c r="H457" i="2"/>
  <c r="F412" i="2"/>
  <c r="H316" i="2"/>
  <c r="F420" i="2"/>
  <c r="H324" i="2"/>
  <c r="F428" i="2"/>
  <c r="H332" i="2"/>
  <c r="F436" i="2"/>
  <c r="H340" i="2"/>
  <c r="F452" i="2"/>
  <c r="H356" i="2"/>
  <c r="F460" i="2"/>
  <c r="H364" i="2"/>
  <c r="F468" i="2"/>
  <c r="H372" i="2"/>
  <c r="F484" i="2"/>
  <c r="H388" i="2"/>
  <c r="J706" i="2"/>
  <c r="J750" i="2"/>
  <c r="L201" i="2"/>
  <c r="L204" i="2"/>
  <c r="J396" i="2"/>
  <c r="L209" i="2"/>
  <c r="L212" i="2"/>
  <c r="J404" i="2"/>
  <c r="L217" i="2"/>
  <c r="L220" i="2"/>
  <c r="J607" i="2"/>
  <c r="L415" i="2"/>
  <c r="J420" i="2"/>
  <c r="J615" i="2"/>
  <c r="L423" i="2"/>
  <c r="J428" i="2"/>
  <c r="J623" i="2"/>
  <c r="L431" i="2"/>
  <c r="J436" i="2"/>
  <c r="J444" i="2"/>
  <c r="J639" i="2"/>
  <c r="L447" i="2"/>
  <c r="J452" i="2"/>
  <c r="L455" i="2"/>
  <c r="J647" i="2"/>
  <c r="J460" i="2"/>
  <c r="J468" i="2"/>
  <c r="J663" i="2"/>
  <c r="L471" i="2"/>
  <c r="J671" i="2"/>
  <c r="L479" i="2"/>
  <c r="J679" i="2"/>
  <c r="L487" i="2"/>
  <c r="J695" i="2"/>
  <c r="J703" i="2"/>
  <c r="J412" i="2"/>
  <c r="J631" i="2"/>
  <c r="L439" i="2"/>
  <c r="J655" i="2"/>
  <c r="L463" i="2"/>
  <c r="F489" i="2"/>
  <c r="F488" i="2"/>
  <c r="H392" i="2"/>
  <c r="F490" i="2"/>
  <c r="H394" i="2"/>
  <c r="F496" i="2"/>
  <c r="H400" i="2"/>
  <c r="F498" i="2"/>
  <c r="H402" i="2"/>
  <c r="F504" i="2"/>
  <c r="H408" i="2"/>
  <c r="F506" i="2"/>
  <c r="H410" i="2"/>
  <c r="H418" i="2"/>
  <c r="F514" i="2"/>
  <c r="H407" i="2"/>
  <c r="H414" i="2"/>
  <c r="F444" i="2"/>
  <c r="H495" i="2"/>
  <c r="F670" i="2"/>
  <c r="H670" i="2" s="1"/>
  <c r="H574" i="2"/>
  <c r="J903" i="2"/>
  <c r="L711" i="2"/>
  <c r="J719" i="2"/>
  <c r="J727" i="2"/>
  <c r="J735" i="2"/>
  <c r="J743" i="2"/>
  <c r="J751" i="2"/>
  <c r="J759" i="2"/>
  <c r="J767" i="2"/>
  <c r="F390" i="2"/>
  <c r="F398" i="2"/>
  <c r="F406" i="2"/>
  <c r="F427" i="2"/>
  <c r="F536" i="2"/>
  <c r="F614" i="2"/>
  <c r="H614" i="2" s="1"/>
  <c r="J662" i="2"/>
  <c r="L470" i="2"/>
  <c r="J856" i="2"/>
  <c r="L664" i="2"/>
  <c r="J668" i="2"/>
  <c r="L476" i="2"/>
  <c r="J670" i="2"/>
  <c r="L478" i="2"/>
  <c r="J864" i="2"/>
  <c r="L672" i="2"/>
  <c r="J676" i="2"/>
  <c r="L484" i="2"/>
  <c r="J684" i="2"/>
  <c r="J692" i="2"/>
  <c r="J700" i="2"/>
  <c r="J708" i="2"/>
  <c r="J716" i="2"/>
  <c r="F622" i="2"/>
  <c r="H622" i="2" s="1"/>
  <c r="H526" i="2"/>
  <c r="L724" i="2"/>
  <c r="J916" i="2"/>
  <c r="F630" i="2"/>
  <c r="H630" i="2" s="1"/>
  <c r="H534" i="2"/>
  <c r="J732" i="2"/>
  <c r="F542" i="2"/>
  <c r="H446" i="2"/>
  <c r="J932" i="2"/>
  <c r="L740" i="2"/>
  <c r="F550" i="2"/>
  <c r="H454" i="2"/>
  <c r="J748" i="2"/>
  <c r="F558" i="2"/>
  <c r="H462" i="2"/>
  <c r="J764" i="2"/>
  <c r="J772" i="2"/>
  <c r="F395" i="2"/>
  <c r="F403" i="2"/>
  <c r="F411" i="2"/>
  <c r="L445" i="2"/>
  <c r="L477" i="2"/>
  <c r="F549" i="2"/>
  <c r="J681" i="2"/>
  <c r="J689" i="2"/>
  <c r="J697" i="2"/>
  <c r="H318" i="2"/>
  <c r="J705" i="2"/>
  <c r="H326" i="2"/>
  <c r="J905" i="2"/>
  <c r="L713" i="2"/>
  <c r="H334" i="2"/>
  <c r="J913" i="2"/>
  <c r="L721" i="2"/>
  <c r="H342" i="2"/>
  <c r="J729" i="2"/>
  <c r="F539" i="2"/>
  <c r="H443" i="2"/>
  <c r="H350" i="2"/>
  <c r="J929" i="2"/>
  <c r="L737" i="2"/>
  <c r="F547" i="2"/>
  <c r="H451" i="2"/>
  <c r="H358" i="2"/>
  <c r="J745" i="2"/>
  <c r="F555" i="2"/>
  <c r="H459" i="2"/>
  <c r="H366" i="2"/>
  <c r="J945" i="2"/>
  <c r="L753" i="2"/>
  <c r="F563" i="2"/>
  <c r="H467" i="2"/>
  <c r="H374" i="2"/>
  <c r="J953" i="2"/>
  <c r="L761" i="2"/>
  <c r="F571" i="2"/>
  <c r="H475" i="2"/>
  <c r="H382" i="2"/>
  <c r="J769" i="2"/>
  <c r="F579" i="2"/>
  <c r="H483" i="2"/>
  <c r="H413" i="2"/>
  <c r="L472" i="2"/>
  <c r="F552" i="2"/>
  <c r="L621" i="2"/>
  <c r="L486" i="2"/>
  <c r="J686" i="2"/>
  <c r="J694" i="2"/>
  <c r="J702" i="2"/>
  <c r="H416" i="2"/>
  <c r="F512" i="2"/>
  <c r="J710" i="2"/>
  <c r="H424" i="2"/>
  <c r="F520" i="2"/>
  <c r="H432" i="2"/>
  <c r="F528" i="2"/>
  <c r="J726" i="2"/>
  <c r="H347" i="2"/>
  <c r="H448" i="2"/>
  <c r="F544" i="2"/>
  <c r="H355" i="2"/>
  <c r="J742" i="2"/>
  <c r="H363" i="2"/>
  <c r="H464" i="2"/>
  <c r="F560" i="2"/>
  <c r="H371" i="2"/>
  <c r="J758" i="2"/>
  <c r="F568" i="2"/>
  <c r="H472" i="2"/>
  <c r="H379" i="2"/>
  <c r="J766" i="2"/>
  <c r="F576" i="2"/>
  <c r="H480" i="2"/>
  <c r="H387" i="2"/>
  <c r="F397" i="2"/>
  <c r="F405" i="2"/>
  <c r="H421" i="2"/>
  <c r="L453" i="2"/>
  <c r="F566" i="2"/>
  <c r="J756" i="2"/>
  <c r="J683" i="2"/>
  <c r="J691" i="2"/>
  <c r="J699" i="2"/>
  <c r="F605" i="2"/>
  <c r="H605" i="2" s="1"/>
  <c r="H509" i="2"/>
  <c r="J707" i="2"/>
  <c r="F613" i="2"/>
  <c r="H613" i="2" s="1"/>
  <c r="H517" i="2"/>
  <c r="J907" i="2"/>
  <c r="L715" i="2"/>
  <c r="H429" i="2"/>
  <c r="F525" i="2"/>
  <c r="J723" i="2"/>
  <c r="H445" i="2"/>
  <c r="F541" i="2"/>
  <c r="J739" i="2"/>
  <c r="H461" i="2"/>
  <c r="F557" i="2"/>
  <c r="J755" i="2"/>
  <c r="F565" i="2"/>
  <c r="H469" i="2"/>
  <c r="J763" i="2"/>
  <c r="F573" i="2"/>
  <c r="H477" i="2"/>
  <c r="J771" i="2"/>
  <c r="F389" i="2"/>
  <c r="L413" i="2"/>
  <c r="L437" i="2"/>
  <c r="L480" i="2"/>
  <c r="J797" i="2"/>
  <c r="L605" i="2"/>
  <c r="J611" i="2"/>
  <c r="L419" i="2"/>
  <c r="J805" i="2"/>
  <c r="L613" i="2"/>
  <c r="J619" i="2"/>
  <c r="L427" i="2"/>
  <c r="L813" i="2"/>
  <c r="J1005" i="2"/>
  <c r="J627" i="2"/>
  <c r="L435" i="2"/>
  <c r="J821" i="2"/>
  <c r="L629" i="2"/>
  <c r="J635" i="2"/>
  <c r="L443" i="2"/>
  <c r="J1021" i="2"/>
  <c r="L829" i="2"/>
  <c r="J641" i="2"/>
  <c r="L449" i="2"/>
  <c r="J643" i="2"/>
  <c r="L451" i="2"/>
  <c r="J837" i="2"/>
  <c r="L645" i="2"/>
  <c r="J649" i="2"/>
  <c r="L457" i="2"/>
  <c r="J651" i="2"/>
  <c r="L459" i="2"/>
  <c r="J845" i="2"/>
  <c r="L653" i="2"/>
  <c r="J657" i="2"/>
  <c r="L465" i="2"/>
  <c r="J659" i="2"/>
  <c r="L467" i="2"/>
  <c r="J853" i="2"/>
  <c r="L661" i="2"/>
  <c r="J665" i="2"/>
  <c r="L473" i="2"/>
  <c r="J667" i="2"/>
  <c r="L475" i="2"/>
  <c r="J861" i="2"/>
  <c r="L669" i="2"/>
  <c r="J673" i="2"/>
  <c r="L481" i="2"/>
  <c r="J675" i="2"/>
  <c r="L483" i="2"/>
  <c r="J872" i="2"/>
  <c r="L680" i="2"/>
  <c r="J880" i="2"/>
  <c r="L688" i="2"/>
  <c r="H317" i="2"/>
  <c r="J896" i="2"/>
  <c r="L704" i="2"/>
  <c r="H325" i="2"/>
  <c r="J712" i="2"/>
  <c r="F522" i="2"/>
  <c r="H426" i="2"/>
  <c r="H333" i="2"/>
  <c r="J720" i="2"/>
  <c r="F530" i="2"/>
  <c r="H434" i="2"/>
  <c r="H341" i="2"/>
  <c r="J728" i="2"/>
  <c r="F538" i="2"/>
  <c r="H442" i="2"/>
  <c r="H349" i="2"/>
  <c r="J736" i="2"/>
  <c r="F546" i="2"/>
  <c r="H450" i="2"/>
  <c r="H357" i="2"/>
  <c r="J744" i="2"/>
  <c r="F554" i="2"/>
  <c r="H458" i="2"/>
  <c r="H365" i="2"/>
  <c r="J752" i="2"/>
  <c r="F562" i="2"/>
  <c r="H466" i="2"/>
  <c r="H373" i="2"/>
  <c r="J760" i="2"/>
  <c r="F570" i="2"/>
  <c r="H474" i="2"/>
  <c r="H381" i="2"/>
  <c r="J768" i="2"/>
  <c r="F578" i="2"/>
  <c r="H482" i="2"/>
  <c r="L421" i="2"/>
  <c r="L429" i="2"/>
  <c r="H438" i="2"/>
  <c r="L461" i="2"/>
  <c r="L637" i="2"/>
  <c r="J678" i="2"/>
  <c r="E84" i="1" l="1"/>
  <c r="G13" i="3"/>
  <c r="J17" i="3"/>
  <c r="L17" i="3" s="1"/>
  <c r="K17" i="3"/>
  <c r="M17" i="3" s="1"/>
  <c r="G84" i="1"/>
  <c r="AQ156" i="1"/>
  <c r="AP256" i="1"/>
  <c r="AP156" i="1"/>
  <c r="AR156" i="1" s="1"/>
  <c r="CK156" i="1"/>
  <c r="CK256" i="1"/>
  <c r="CF156" i="1"/>
  <c r="CP156" i="1" s="1"/>
  <c r="CF256" i="1"/>
  <c r="CI156" i="1"/>
  <c r="CR156" i="1" s="1"/>
  <c r="BK156" i="1"/>
  <c r="BM156" i="1" s="1"/>
  <c r="BL156" i="1"/>
  <c r="BK256" i="1"/>
  <c r="BM256" i="1" s="1"/>
  <c r="BL256" i="1"/>
  <c r="BS159" i="1"/>
  <c r="BS167" i="1"/>
  <c r="BS175" i="1"/>
  <c r="BS183" i="1"/>
  <c r="BS191" i="1"/>
  <c r="BS199" i="1"/>
  <c r="BS207" i="1"/>
  <c r="BS215" i="1"/>
  <c r="BS223" i="1"/>
  <c r="BS231" i="1"/>
  <c r="BS239" i="1"/>
  <c r="BS247" i="1"/>
  <c r="BS255" i="1"/>
  <c r="BS161" i="1"/>
  <c r="BS177" i="1"/>
  <c r="BS193" i="1"/>
  <c r="BS209" i="1"/>
  <c r="BS225" i="1"/>
  <c r="BS241" i="1"/>
  <c r="BS251" i="1"/>
  <c r="BS172" i="1"/>
  <c r="BS188" i="1"/>
  <c r="BS196" i="1"/>
  <c r="BS220" i="1"/>
  <c r="BS244" i="1"/>
  <c r="BS165" i="1"/>
  <c r="BS189" i="1"/>
  <c r="BS205" i="1"/>
  <c r="BS221" i="1"/>
  <c r="BS245" i="1"/>
  <c r="BS166" i="1"/>
  <c r="BS182" i="1"/>
  <c r="BS206" i="1"/>
  <c r="BS230" i="1"/>
  <c r="BS254" i="1"/>
  <c r="BS160" i="1"/>
  <c r="BS168" i="1"/>
  <c r="BS176" i="1"/>
  <c r="BS184" i="1"/>
  <c r="BS192" i="1"/>
  <c r="BS200" i="1"/>
  <c r="BS208" i="1"/>
  <c r="BS216" i="1"/>
  <c r="BS224" i="1"/>
  <c r="BS232" i="1"/>
  <c r="BS240" i="1"/>
  <c r="BS248" i="1"/>
  <c r="BS256" i="1"/>
  <c r="BS169" i="1"/>
  <c r="BS185" i="1"/>
  <c r="BS201" i="1"/>
  <c r="BS217" i="1"/>
  <c r="BS233" i="1"/>
  <c r="BS249" i="1"/>
  <c r="BS164" i="1"/>
  <c r="BS204" i="1"/>
  <c r="BS228" i="1"/>
  <c r="BS252" i="1"/>
  <c r="BS173" i="1"/>
  <c r="BS229" i="1"/>
  <c r="BS174" i="1"/>
  <c r="BS198" i="1"/>
  <c r="BS222" i="1"/>
  <c r="BS246" i="1"/>
  <c r="BS162" i="1"/>
  <c r="BS170" i="1"/>
  <c r="BS178" i="1"/>
  <c r="BS186" i="1"/>
  <c r="BS194" i="1"/>
  <c r="BS202" i="1"/>
  <c r="BS210" i="1"/>
  <c r="BS218" i="1"/>
  <c r="BS226" i="1"/>
  <c r="BS234" i="1"/>
  <c r="BS242" i="1"/>
  <c r="BS250" i="1"/>
  <c r="BS163" i="1"/>
  <c r="BS171" i="1"/>
  <c r="BS179" i="1"/>
  <c r="BS187" i="1"/>
  <c r="BS195" i="1"/>
  <c r="BS203" i="1"/>
  <c r="BS211" i="1"/>
  <c r="BS219" i="1"/>
  <c r="BS227" i="1"/>
  <c r="BS235" i="1"/>
  <c r="BS243" i="1"/>
  <c r="BS156" i="1"/>
  <c r="BS180" i="1"/>
  <c r="BS212" i="1"/>
  <c r="BS236" i="1"/>
  <c r="BS157" i="1"/>
  <c r="BS181" i="1"/>
  <c r="BS197" i="1"/>
  <c r="BS213" i="1"/>
  <c r="BS237" i="1"/>
  <c r="BS253" i="1"/>
  <c r="BS158" i="1"/>
  <c r="BS190" i="1"/>
  <c r="BS214" i="1"/>
  <c r="BS238" i="1"/>
  <c r="BP156" i="1"/>
  <c r="BP164" i="1"/>
  <c r="BP172" i="1"/>
  <c r="BP180" i="1"/>
  <c r="BP188" i="1"/>
  <c r="BP196" i="1"/>
  <c r="BP204" i="1"/>
  <c r="BP212" i="1"/>
  <c r="BP220" i="1"/>
  <c r="BP228" i="1"/>
  <c r="BP236" i="1"/>
  <c r="BP244" i="1"/>
  <c r="BP252" i="1"/>
  <c r="BP165" i="1"/>
  <c r="BP181" i="1"/>
  <c r="BP197" i="1"/>
  <c r="BP213" i="1"/>
  <c r="BP229" i="1"/>
  <c r="BP245" i="1"/>
  <c r="BP158" i="1"/>
  <c r="BP174" i="1"/>
  <c r="BP198" i="1"/>
  <c r="BP214" i="1"/>
  <c r="BP238" i="1"/>
  <c r="BP182" i="1"/>
  <c r="BP159" i="1"/>
  <c r="BP167" i="1"/>
  <c r="BP175" i="1"/>
  <c r="BP183" i="1"/>
  <c r="BP191" i="1"/>
  <c r="BP199" i="1"/>
  <c r="BP207" i="1"/>
  <c r="BP215" i="1"/>
  <c r="BP223" i="1"/>
  <c r="BP231" i="1"/>
  <c r="BP239" i="1"/>
  <c r="BP247" i="1"/>
  <c r="BP255" i="1"/>
  <c r="BP160" i="1"/>
  <c r="BP168" i="1"/>
  <c r="BP176" i="1"/>
  <c r="BP184" i="1"/>
  <c r="BP192" i="1"/>
  <c r="BP200" i="1"/>
  <c r="BP208" i="1"/>
  <c r="BP216" i="1"/>
  <c r="BP224" i="1"/>
  <c r="BP232" i="1"/>
  <c r="BP240" i="1"/>
  <c r="BP248" i="1"/>
  <c r="BP256" i="1"/>
  <c r="BP230" i="1"/>
  <c r="BP254" i="1"/>
  <c r="BP161" i="1"/>
  <c r="BP169" i="1"/>
  <c r="BP177" i="1"/>
  <c r="BP185" i="1"/>
  <c r="BP193" i="1"/>
  <c r="BP201" i="1"/>
  <c r="BP209" i="1"/>
  <c r="BP217" i="1"/>
  <c r="BP225" i="1"/>
  <c r="BP233" i="1"/>
  <c r="BP241" i="1"/>
  <c r="BP249" i="1"/>
  <c r="BP162" i="1"/>
  <c r="BP170" i="1"/>
  <c r="BP178" i="1"/>
  <c r="BP186" i="1"/>
  <c r="BP194" i="1"/>
  <c r="BP202" i="1"/>
  <c r="BP210" i="1"/>
  <c r="BP218" i="1"/>
  <c r="BP226" i="1"/>
  <c r="BP234" i="1"/>
  <c r="BP242" i="1"/>
  <c r="BP250" i="1"/>
  <c r="BP222" i="1"/>
  <c r="BP246" i="1"/>
  <c r="BP163" i="1"/>
  <c r="BP171" i="1"/>
  <c r="BP179" i="1"/>
  <c r="BP187" i="1"/>
  <c r="BP195" i="1"/>
  <c r="BP203" i="1"/>
  <c r="BP211" i="1"/>
  <c r="BP219" i="1"/>
  <c r="BP227" i="1"/>
  <c r="BP235" i="1"/>
  <c r="BP243" i="1"/>
  <c r="BP251" i="1"/>
  <c r="BP157" i="1"/>
  <c r="BP173" i="1"/>
  <c r="BP189" i="1"/>
  <c r="BP205" i="1"/>
  <c r="BP221" i="1"/>
  <c r="BP237" i="1"/>
  <c r="BP253" i="1"/>
  <c r="BP166" i="1"/>
  <c r="BP190" i="1"/>
  <c r="BP206" i="1"/>
  <c r="AU157" i="1"/>
  <c r="AU163" i="1"/>
  <c r="AU171" i="1"/>
  <c r="AU179" i="1"/>
  <c r="AU187" i="1"/>
  <c r="AU195" i="1"/>
  <c r="AU203" i="1"/>
  <c r="AU211" i="1"/>
  <c r="AU219" i="1"/>
  <c r="AU227" i="1"/>
  <c r="AU235" i="1"/>
  <c r="AU243" i="1"/>
  <c r="AU251" i="1"/>
  <c r="AU165" i="1"/>
  <c r="AU173" i="1"/>
  <c r="AU189" i="1"/>
  <c r="AU205" i="1"/>
  <c r="AU221" i="1"/>
  <c r="AU237" i="1"/>
  <c r="AU253" i="1"/>
  <c r="AU166" i="1"/>
  <c r="AU198" i="1"/>
  <c r="AU222" i="1"/>
  <c r="AU238" i="1"/>
  <c r="AU254" i="1"/>
  <c r="AU167" i="1"/>
  <c r="AU175" i="1"/>
  <c r="AU191" i="1"/>
  <c r="AU215" i="1"/>
  <c r="AU231" i="1"/>
  <c r="AU247" i="1"/>
  <c r="AU160" i="1"/>
  <c r="AU176" i="1"/>
  <c r="AU192" i="1"/>
  <c r="AU208" i="1"/>
  <c r="AU232" i="1"/>
  <c r="AU248" i="1"/>
  <c r="AU169" i="1"/>
  <c r="AU193" i="1"/>
  <c r="AU201" i="1"/>
  <c r="AU217" i="1"/>
  <c r="AU233" i="1"/>
  <c r="AU156" i="1"/>
  <c r="AU170" i="1"/>
  <c r="AU186" i="1"/>
  <c r="AU202" i="1"/>
  <c r="AU226" i="1"/>
  <c r="AU242" i="1"/>
  <c r="AU164" i="1"/>
  <c r="AU172" i="1"/>
  <c r="AU180" i="1"/>
  <c r="AU188" i="1"/>
  <c r="AU196" i="1"/>
  <c r="AU204" i="1"/>
  <c r="AU212" i="1"/>
  <c r="AU220" i="1"/>
  <c r="AU228" i="1"/>
  <c r="AU236" i="1"/>
  <c r="AU244" i="1"/>
  <c r="AU252" i="1"/>
  <c r="AU158" i="1"/>
  <c r="AU181" i="1"/>
  <c r="AU197" i="1"/>
  <c r="AU213" i="1"/>
  <c r="AU229" i="1"/>
  <c r="AU245" i="1"/>
  <c r="AU174" i="1"/>
  <c r="AU182" i="1"/>
  <c r="AU190" i="1"/>
  <c r="AU206" i="1"/>
  <c r="AU214" i="1"/>
  <c r="AU230" i="1"/>
  <c r="AU246" i="1"/>
  <c r="AU159" i="1"/>
  <c r="AU183" i="1"/>
  <c r="AU199" i="1"/>
  <c r="AU207" i="1"/>
  <c r="AU223" i="1"/>
  <c r="AU239" i="1"/>
  <c r="AU255" i="1"/>
  <c r="AU168" i="1"/>
  <c r="AU184" i="1"/>
  <c r="AU200" i="1"/>
  <c r="AU216" i="1"/>
  <c r="AU224" i="1"/>
  <c r="AU240" i="1"/>
  <c r="AU256" i="1"/>
  <c r="AU161" i="1"/>
  <c r="AU177" i="1"/>
  <c r="AU185" i="1"/>
  <c r="AU209" i="1"/>
  <c r="AU225" i="1"/>
  <c r="AU241" i="1"/>
  <c r="AU249" i="1"/>
  <c r="AU162" i="1"/>
  <c r="AU178" i="1"/>
  <c r="AU194" i="1"/>
  <c r="AU210" i="1"/>
  <c r="AU218" i="1"/>
  <c r="AU234" i="1"/>
  <c r="AU250" i="1"/>
  <c r="AY156" i="1"/>
  <c r="AY162" i="1"/>
  <c r="AY170" i="1"/>
  <c r="AY178" i="1"/>
  <c r="AY186" i="1"/>
  <c r="AY194" i="1"/>
  <c r="AY202" i="1"/>
  <c r="AY157" i="1"/>
  <c r="AY163" i="1"/>
  <c r="AY171" i="1"/>
  <c r="AY179" i="1"/>
  <c r="AY187" i="1"/>
  <c r="AY195" i="1"/>
  <c r="AY203" i="1"/>
  <c r="AY211" i="1"/>
  <c r="AY164" i="1"/>
  <c r="AY172" i="1"/>
  <c r="AY180" i="1"/>
  <c r="AY188" i="1"/>
  <c r="AY196" i="1"/>
  <c r="AY204" i="1"/>
  <c r="AY212" i="1"/>
  <c r="AY220" i="1"/>
  <c r="AY228" i="1"/>
  <c r="AY236" i="1"/>
  <c r="AY244" i="1"/>
  <c r="AY252" i="1"/>
  <c r="AY158" i="1"/>
  <c r="AY165" i="1"/>
  <c r="AY173" i="1"/>
  <c r="AY181" i="1"/>
  <c r="AY189" i="1"/>
  <c r="AY197" i="1"/>
  <c r="AY205" i="1"/>
  <c r="AY213" i="1"/>
  <c r="AY221" i="1"/>
  <c r="AY229" i="1"/>
  <c r="AY237" i="1"/>
  <c r="AY245" i="1"/>
  <c r="AY253" i="1"/>
  <c r="AY227" i="1"/>
  <c r="AY166" i="1"/>
  <c r="AY174" i="1"/>
  <c r="AY182" i="1"/>
  <c r="AY190" i="1"/>
  <c r="AY198" i="1"/>
  <c r="AY206" i="1"/>
  <c r="AY214" i="1"/>
  <c r="AY222" i="1"/>
  <c r="AY230" i="1"/>
  <c r="AY238" i="1"/>
  <c r="AY246" i="1"/>
  <c r="AY254" i="1"/>
  <c r="AY192" i="1"/>
  <c r="AY216" i="1"/>
  <c r="AY248" i="1"/>
  <c r="AY161" i="1"/>
  <c r="AY177" i="1"/>
  <c r="AY201" i="1"/>
  <c r="AY225" i="1"/>
  <c r="AY249" i="1"/>
  <c r="AY218" i="1"/>
  <c r="AY242" i="1"/>
  <c r="AY235" i="1"/>
  <c r="AY159" i="1"/>
  <c r="AY167" i="1"/>
  <c r="AY175" i="1"/>
  <c r="AY183" i="1"/>
  <c r="AY191" i="1"/>
  <c r="AY199" i="1"/>
  <c r="AY207" i="1"/>
  <c r="AY215" i="1"/>
  <c r="AY223" i="1"/>
  <c r="AY231" i="1"/>
  <c r="AY239" i="1"/>
  <c r="AY247" i="1"/>
  <c r="AY255" i="1"/>
  <c r="AY184" i="1"/>
  <c r="AY208" i="1"/>
  <c r="AY232" i="1"/>
  <c r="AY256" i="1"/>
  <c r="AY193" i="1"/>
  <c r="AY217" i="1"/>
  <c r="AY241" i="1"/>
  <c r="AY210" i="1"/>
  <c r="AY250" i="1"/>
  <c r="AY243" i="1"/>
  <c r="AY251" i="1"/>
  <c r="AY160" i="1"/>
  <c r="AY168" i="1"/>
  <c r="AY176" i="1"/>
  <c r="AY200" i="1"/>
  <c r="AY224" i="1"/>
  <c r="AY240" i="1"/>
  <c r="AY169" i="1"/>
  <c r="AY185" i="1"/>
  <c r="AY209" i="1"/>
  <c r="AY233" i="1"/>
  <c r="AY226" i="1"/>
  <c r="AY234" i="1"/>
  <c r="AY219" i="1"/>
  <c r="AV161" i="1"/>
  <c r="AV169" i="1"/>
  <c r="AV177" i="1"/>
  <c r="AV185" i="1"/>
  <c r="AV193" i="1"/>
  <c r="AV201" i="1"/>
  <c r="AV209" i="1"/>
  <c r="AV217" i="1"/>
  <c r="AV225" i="1"/>
  <c r="AV233" i="1"/>
  <c r="AV241" i="1"/>
  <c r="AV249" i="1"/>
  <c r="AV162" i="1"/>
  <c r="AV178" i="1"/>
  <c r="AV194" i="1"/>
  <c r="AV210" i="1"/>
  <c r="AV250" i="1"/>
  <c r="AV163" i="1"/>
  <c r="AV171" i="1"/>
  <c r="AV187" i="1"/>
  <c r="AV203" i="1"/>
  <c r="AV219" i="1"/>
  <c r="AV235" i="1"/>
  <c r="AV251" i="1"/>
  <c r="AV164" i="1"/>
  <c r="AV172" i="1"/>
  <c r="AV180" i="1"/>
  <c r="AV188" i="1"/>
  <c r="AV196" i="1"/>
  <c r="AV204" i="1"/>
  <c r="AV212" i="1"/>
  <c r="AV220" i="1"/>
  <c r="AV228" i="1"/>
  <c r="AV236" i="1"/>
  <c r="AV244" i="1"/>
  <c r="AV252" i="1"/>
  <c r="AV166" i="1"/>
  <c r="AV174" i="1"/>
  <c r="AV182" i="1"/>
  <c r="AV198" i="1"/>
  <c r="AV214" i="1"/>
  <c r="AV230" i="1"/>
  <c r="AV246" i="1"/>
  <c r="AV159" i="1"/>
  <c r="AV175" i="1"/>
  <c r="AV191" i="1"/>
  <c r="AV215" i="1"/>
  <c r="AV223" i="1"/>
  <c r="AV239" i="1"/>
  <c r="AV255" i="1"/>
  <c r="AV158" i="1"/>
  <c r="AV165" i="1"/>
  <c r="AV173" i="1"/>
  <c r="AV181" i="1"/>
  <c r="AV189" i="1"/>
  <c r="AV197" i="1"/>
  <c r="AV205" i="1"/>
  <c r="AV213" i="1"/>
  <c r="AV221" i="1"/>
  <c r="AV229" i="1"/>
  <c r="AV237" i="1"/>
  <c r="AV245" i="1"/>
  <c r="AV253" i="1"/>
  <c r="AV190" i="1"/>
  <c r="AV206" i="1"/>
  <c r="AV222" i="1"/>
  <c r="AV238" i="1"/>
  <c r="AV254" i="1"/>
  <c r="AV167" i="1"/>
  <c r="AV183" i="1"/>
  <c r="AV199" i="1"/>
  <c r="AV207" i="1"/>
  <c r="AV231" i="1"/>
  <c r="AV247" i="1"/>
  <c r="AV160" i="1"/>
  <c r="AV168" i="1"/>
  <c r="AV176" i="1"/>
  <c r="AV184" i="1"/>
  <c r="AV192" i="1"/>
  <c r="AV200" i="1"/>
  <c r="AV208" i="1"/>
  <c r="AV216" i="1"/>
  <c r="AV224" i="1"/>
  <c r="AV232" i="1"/>
  <c r="AV240" i="1"/>
  <c r="AV248" i="1"/>
  <c r="AV256" i="1"/>
  <c r="AV156" i="1"/>
  <c r="AV170" i="1"/>
  <c r="AV186" i="1"/>
  <c r="AV202" i="1"/>
  <c r="AV218" i="1"/>
  <c r="AV226" i="1"/>
  <c r="AV234" i="1"/>
  <c r="AV242" i="1"/>
  <c r="AV157" i="1"/>
  <c r="AV179" i="1"/>
  <c r="AV195" i="1"/>
  <c r="AV211" i="1"/>
  <c r="AV227" i="1"/>
  <c r="AV243" i="1"/>
  <c r="AW161" i="1"/>
  <c r="AW169" i="1"/>
  <c r="AW177" i="1"/>
  <c r="AW185" i="1"/>
  <c r="AW193" i="1"/>
  <c r="AW201" i="1"/>
  <c r="AW209" i="1"/>
  <c r="AW217" i="1"/>
  <c r="AW225" i="1"/>
  <c r="AW233" i="1"/>
  <c r="AW241" i="1"/>
  <c r="AW249" i="1"/>
  <c r="AW162" i="1"/>
  <c r="AW170" i="1"/>
  <c r="AW178" i="1"/>
  <c r="AW194" i="1"/>
  <c r="AW210" i="1"/>
  <c r="AW226" i="1"/>
  <c r="AW234" i="1"/>
  <c r="AW250" i="1"/>
  <c r="AW171" i="1"/>
  <c r="AW179" i="1"/>
  <c r="AW203" i="1"/>
  <c r="AW235" i="1"/>
  <c r="AW157" i="1"/>
  <c r="AW164" i="1"/>
  <c r="AW172" i="1"/>
  <c r="AW180" i="1"/>
  <c r="AW188" i="1"/>
  <c r="AW196" i="1"/>
  <c r="AW204" i="1"/>
  <c r="AW212" i="1"/>
  <c r="AW220" i="1"/>
  <c r="AW228" i="1"/>
  <c r="AW236" i="1"/>
  <c r="AW244" i="1"/>
  <c r="AW252" i="1"/>
  <c r="AW166" i="1"/>
  <c r="AW190" i="1"/>
  <c r="AW206" i="1"/>
  <c r="AW222" i="1"/>
  <c r="AW238" i="1"/>
  <c r="AW254" i="1"/>
  <c r="AW211" i="1"/>
  <c r="AW158" i="1"/>
  <c r="AW165" i="1"/>
  <c r="AW173" i="1"/>
  <c r="AW181" i="1"/>
  <c r="AW189" i="1"/>
  <c r="AW197" i="1"/>
  <c r="AW205" i="1"/>
  <c r="AW213" i="1"/>
  <c r="AW221" i="1"/>
  <c r="AW229" i="1"/>
  <c r="AW237" i="1"/>
  <c r="AW245" i="1"/>
  <c r="AW253" i="1"/>
  <c r="AW174" i="1"/>
  <c r="AW182" i="1"/>
  <c r="AW198" i="1"/>
  <c r="AW214" i="1"/>
  <c r="AW230" i="1"/>
  <c r="AW246" i="1"/>
  <c r="AW219" i="1"/>
  <c r="AW159" i="1"/>
  <c r="AW167" i="1"/>
  <c r="AW175" i="1"/>
  <c r="AW183" i="1"/>
  <c r="AW191" i="1"/>
  <c r="AW199" i="1"/>
  <c r="AW207" i="1"/>
  <c r="AW215" i="1"/>
  <c r="AW223" i="1"/>
  <c r="AW231" i="1"/>
  <c r="AW239" i="1"/>
  <c r="AW247" i="1"/>
  <c r="AW255" i="1"/>
  <c r="AW243" i="1"/>
  <c r="AW160" i="1"/>
  <c r="AW168" i="1"/>
  <c r="AW176" i="1"/>
  <c r="AW184" i="1"/>
  <c r="AW192" i="1"/>
  <c r="AW200" i="1"/>
  <c r="AW208" i="1"/>
  <c r="AW216" i="1"/>
  <c r="AW224" i="1"/>
  <c r="AW232" i="1"/>
  <c r="AW240" i="1"/>
  <c r="AW248" i="1"/>
  <c r="AW256" i="1"/>
  <c r="AW156" i="1"/>
  <c r="AW186" i="1"/>
  <c r="AW202" i="1"/>
  <c r="AW218" i="1"/>
  <c r="AW242" i="1"/>
  <c r="AW163" i="1"/>
  <c r="AW187" i="1"/>
  <c r="AW195" i="1"/>
  <c r="AW227" i="1"/>
  <c r="AW251" i="1"/>
  <c r="AQ256" i="1"/>
  <c r="E34" i="1"/>
  <c r="AK161" i="1"/>
  <c r="AK169" i="1"/>
  <c r="AK177" i="1"/>
  <c r="AK185" i="1"/>
  <c r="AK193" i="1"/>
  <c r="AK201" i="1"/>
  <c r="AK209" i="1"/>
  <c r="AK217" i="1"/>
  <c r="AK225" i="1"/>
  <c r="AK233" i="1"/>
  <c r="AK241" i="1"/>
  <c r="AK249" i="1"/>
  <c r="AK192" i="1"/>
  <c r="AK248" i="1"/>
  <c r="AK156" i="1"/>
  <c r="AO156" i="1" s="1"/>
  <c r="AK162" i="1"/>
  <c r="AK170" i="1"/>
  <c r="AK178" i="1"/>
  <c r="AK186" i="1"/>
  <c r="AK194" i="1"/>
  <c r="AK202" i="1"/>
  <c r="AK210" i="1"/>
  <c r="AK218" i="1"/>
  <c r="AK226" i="1"/>
  <c r="AK234" i="1"/>
  <c r="AK242" i="1"/>
  <c r="AK250" i="1"/>
  <c r="AK168" i="1"/>
  <c r="AK216" i="1"/>
  <c r="AK157" i="1"/>
  <c r="AK163" i="1"/>
  <c r="AK171" i="1"/>
  <c r="AK179" i="1"/>
  <c r="AK187" i="1"/>
  <c r="AK195" i="1"/>
  <c r="AK203" i="1"/>
  <c r="AK211" i="1"/>
  <c r="AK219" i="1"/>
  <c r="AK227" i="1"/>
  <c r="AK235" i="1"/>
  <c r="AK243" i="1"/>
  <c r="AK251" i="1"/>
  <c r="AK160" i="1"/>
  <c r="AK224" i="1"/>
  <c r="AK164" i="1"/>
  <c r="AK172" i="1"/>
  <c r="AK180" i="1"/>
  <c r="AK188" i="1"/>
  <c r="AK196" i="1"/>
  <c r="AK204" i="1"/>
  <c r="AK212" i="1"/>
  <c r="AK220" i="1"/>
  <c r="AK228" i="1"/>
  <c r="AK236" i="1"/>
  <c r="AK244" i="1"/>
  <c r="AK252" i="1"/>
  <c r="AK184" i="1"/>
  <c r="AK232" i="1"/>
  <c r="AK256" i="1"/>
  <c r="AL256" i="1" s="1"/>
  <c r="BW256" i="1" s="1"/>
  <c r="AK158" i="1"/>
  <c r="AK165" i="1"/>
  <c r="AK173" i="1"/>
  <c r="AK181" i="1"/>
  <c r="AK189" i="1"/>
  <c r="AK197" i="1"/>
  <c r="AK205" i="1"/>
  <c r="AK213" i="1"/>
  <c r="AK221" i="1"/>
  <c r="AK229" i="1"/>
  <c r="AK237" i="1"/>
  <c r="AK245" i="1"/>
  <c r="AK253" i="1"/>
  <c r="AK200" i="1"/>
  <c r="AK166" i="1"/>
  <c r="AK174" i="1"/>
  <c r="AK182" i="1"/>
  <c r="AK190" i="1"/>
  <c r="AK198" i="1"/>
  <c r="AK206" i="1"/>
  <c r="AK214" i="1"/>
  <c r="AK222" i="1"/>
  <c r="AK230" i="1"/>
  <c r="AK238" i="1"/>
  <c r="AK246" i="1"/>
  <c r="AK254" i="1"/>
  <c r="AK208" i="1"/>
  <c r="AK159" i="1"/>
  <c r="AK167" i="1"/>
  <c r="AK175" i="1"/>
  <c r="AK183" i="1"/>
  <c r="AK191" i="1"/>
  <c r="AK199" i="1"/>
  <c r="AK207" i="1"/>
  <c r="AK215" i="1"/>
  <c r="AK223" i="1"/>
  <c r="AK231" i="1"/>
  <c r="AK239" i="1"/>
  <c r="AK247" i="1"/>
  <c r="AK255" i="1"/>
  <c r="AK176" i="1"/>
  <c r="AK240" i="1"/>
  <c r="E18" i="1"/>
  <c r="E19" i="1"/>
  <c r="H546" i="2"/>
  <c r="F642" i="2"/>
  <c r="H642" i="2" s="1"/>
  <c r="J928" i="2"/>
  <c r="L736" i="2"/>
  <c r="J870" i="2"/>
  <c r="L678" i="2"/>
  <c r="J952" i="2"/>
  <c r="L760" i="2"/>
  <c r="F650" i="2"/>
  <c r="H650" i="2" s="1"/>
  <c r="H554" i="2"/>
  <c r="J867" i="2"/>
  <c r="L675" i="2"/>
  <c r="L665" i="2"/>
  <c r="J857" i="2"/>
  <c r="L845" i="2"/>
  <c r="J1037" i="2"/>
  <c r="J835" i="2"/>
  <c r="L643" i="2"/>
  <c r="J1013" i="2"/>
  <c r="L821" i="2"/>
  <c r="J997" i="2"/>
  <c r="L805" i="2"/>
  <c r="J955" i="2"/>
  <c r="L763" i="2"/>
  <c r="J1145" i="2"/>
  <c r="L953" i="2"/>
  <c r="F651" i="2"/>
  <c r="H651" i="2" s="1"/>
  <c r="H555" i="2"/>
  <c r="J889" i="2"/>
  <c r="L697" i="2"/>
  <c r="J1124" i="2"/>
  <c r="L932" i="2"/>
  <c r="J892" i="2"/>
  <c r="L700" i="2"/>
  <c r="J1056" i="2"/>
  <c r="L864" i="2"/>
  <c r="J854" i="2"/>
  <c r="L662" i="2"/>
  <c r="F494" i="2"/>
  <c r="H398" i="2"/>
  <c r="F610" i="2"/>
  <c r="H610" i="2" s="1"/>
  <c r="H514" i="2"/>
  <c r="J847" i="2"/>
  <c r="L655" i="2"/>
  <c r="J596" i="2"/>
  <c r="L404" i="2"/>
  <c r="L601" i="2"/>
  <c r="J793" i="2"/>
  <c r="J939" i="2"/>
  <c r="L747" i="2"/>
  <c r="J582" i="2"/>
  <c r="L390" i="2"/>
  <c r="F609" i="2"/>
  <c r="H609" i="2" s="1"/>
  <c r="H513" i="2"/>
  <c r="F572" i="2"/>
  <c r="H476" i="2"/>
  <c r="J682" i="2"/>
  <c r="J733" i="2"/>
  <c r="J626" i="2"/>
  <c r="L434" i="2"/>
  <c r="J602" i="2"/>
  <c r="L410" i="2"/>
  <c r="J658" i="2"/>
  <c r="L466" i="2"/>
  <c r="F634" i="2"/>
  <c r="H634" i="2" s="1"/>
  <c r="H538" i="2"/>
  <c r="J1045" i="2"/>
  <c r="L853" i="2"/>
  <c r="F485" i="2"/>
  <c r="H389" i="2"/>
  <c r="J642" i="2"/>
  <c r="L450" i="2"/>
  <c r="J1197" i="2"/>
  <c r="L1197" i="2" s="1"/>
  <c r="L1005" i="2"/>
  <c r="F491" i="2"/>
  <c r="H395" i="2"/>
  <c r="J863" i="2"/>
  <c r="L671" i="2"/>
  <c r="J588" i="2"/>
  <c r="L396" i="2"/>
  <c r="F649" i="2"/>
  <c r="H649" i="2" s="1"/>
  <c r="H553" i="2"/>
  <c r="F615" i="2"/>
  <c r="H615" i="2" s="1"/>
  <c r="H519" i="2"/>
  <c r="J608" i="2"/>
  <c r="L416" i="2"/>
  <c r="L606" i="2"/>
  <c r="J798" i="2"/>
  <c r="J904" i="2"/>
  <c r="L712" i="2"/>
  <c r="J947" i="2"/>
  <c r="L755" i="2"/>
  <c r="F648" i="2"/>
  <c r="H648" i="2" s="1"/>
  <c r="H552" i="2"/>
  <c r="H570" i="2"/>
  <c r="F666" i="2"/>
  <c r="H666" i="2" s="1"/>
  <c r="H578" i="2"/>
  <c r="F674" i="2"/>
  <c r="H674" i="2" s="1"/>
  <c r="J912" i="2"/>
  <c r="L720" i="2"/>
  <c r="J1088" i="2"/>
  <c r="L896" i="2"/>
  <c r="J931" i="2"/>
  <c r="L739" i="2"/>
  <c r="J1099" i="2"/>
  <c r="L907" i="2"/>
  <c r="J891" i="2"/>
  <c r="L699" i="2"/>
  <c r="J958" i="2"/>
  <c r="L766" i="2"/>
  <c r="F624" i="2"/>
  <c r="H624" i="2" s="1"/>
  <c r="H528" i="2"/>
  <c r="F608" i="2"/>
  <c r="H608" i="2" s="1"/>
  <c r="H512" i="2"/>
  <c r="J878" i="2"/>
  <c r="L686" i="2"/>
  <c r="F675" i="2"/>
  <c r="H675" i="2" s="1"/>
  <c r="H579" i="2"/>
  <c r="F507" i="2"/>
  <c r="H411" i="2"/>
  <c r="F486" i="2"/>
  <c r="H390" i="2"/>
  <c r="L743" i="2"/>
  <c r="J935" i="2"/>
  <c r="J1095" i="2"/>
  <c r="L903" i="2"/>
  <c r="F592" i="2"/>
  <c r="H592" i="2" s="1"/>
  <c r="H496" i="2"/>
  <c r="J871" i="2"/>
  <c r="L679" i="2"/>
  <c r="J652" i="2"/>
  <c r="L460" i="2"/>
  <c r="J636" i="2"/>
  <c r="L444" i="2"/>
  <c r="J807" i="2"/>
  <c r="L615" i="2"/>
  <c r="J898" i="2"/>
  <c r="L706" i="2"/>
  <c r="F548" i="2"/>
  <c r="H452" i="2"/>
  <c r="H412" i="2"/>
  <c r="F508" i="2"/>
  <c r="F671" i="2"/>
  <c r="H671" i="2" s="1"/>
  <c r="H575" i="2"/>
  <c r="F633" i="2"/>
  <c r="H633" i="2" s="1"/>
  <c r="H537" i="2"/>
  <c r="F617" i="2"/>
  <c r="H617" i="2" s="1"/>
  <c r="H521" i="2"/>
  <c r="L633" i="2"/>
  <c r="J825" i="2"/>
  <c r="L617" i="2"/>
  <c r="J809" i="2"/>
  <c r="J598" i="2"/>
  <c r="L406" i="2"/>
  <c r="J648" i="2"/>
  <c r="L456" i="2"/>
  <c r="J616" i="2"/>
  <c r="L424" i="2"/>
  <c r="J787" i="2"/>
  <c r="L595" i="2"/>
  <c r="F492" i="2"/>
  <c r="H396" i="2"/>
  <c r="J746" i="2"/>
  <c r="J714" i="2"/>
  <c r="J791" i="2"/>
  <c r="L599" i="2"/>
  <c r="K8" i="2"/>
  <c r="L7" i="2"/>
  <c r="K222" i="2"/>
  <c r="L221" i="2"/>
  <c r="J618" i="2"/>
  <c r="L426" i="2"/>
  <c r="J725" i="2"/>
  <c r="J819" i="2"/>
  <c r="L627" i="2"/>
  <c r="F637" i="2"/>
  <c r="H637" i="2" s="1"/>
  <c r="H541" i="2"/>
  <c r="F656" i="2"/>
  <c r="H656" i="2" s="1"/>
  <c r="H560" i="2"/>
  <c r="F499" i="2"/>
  <c r="H403" i="2"/>
  <c r="J884" i="2"/>
  <c r="L692" i="2"/>
  <c r="J823" i="2"/>
  <c r="L631" i="2"/>
  <c r="H505" i="2"/>
  <c r="F601" i="2"/>
  <c r="H601" i="2" s="1"/>
  <c r="J594" i="2"/>
  <c r="L402" i="2"/>
  <c r="H506" i="2"/>
  <c r="F602" i="2"/>
  <c r="H602" i="2" s="1"/>
  <c r="J612" i="2"/>
  <c r="L420" i="2"/>
  <c r="F647" i="2"/>
  <c r="H647" i="2" s="1"/>
  <c r="H551" i="2"/>
  <c r="J614" i="2"/>
  <c r="L422" i="2"/>
  <c r="J1080" i="2"/>
  <c r="L888" i="2"/>
  <c r="J592" i="2"/>
  <c r="L400" i="2"/>
  <c r="J879" i="2"/>
  <c r="L687" i="2"/>
  <c r="J709" i="2"/>
  <c r="L728" i="2"/>
  <c r="J920" i="2"/>
  <c r="F618" i="2"/>
  <c r="H618" i="2" s="1"/>
  <c r="H522" i="2"/>
  <c r="J1072" i="2"/>
  <c r="L880" i="2"/>
  <c r="J1053" i="2"/>
  <c r="L861" i="2"/>
  <c r="J851" i="2"/>
  <c r="L659" i="2"/>
  <c r="L649" i="2"/>
  <c r="J841" i="2"/>
  <c r="J1213" i="2"/>
  <c r="L1213" i="2" s="1"/>
  <c r="L1021" i="2"/>
  <c r="J989" i="2"/>
  <c r="L797" i="2"/>
  <c r="J963" i="2"/>
  <c r="L771" i="2"/>
  <c r="F616" i="2"/>
  <c r="H616" i="2" s="1"/>
  <c r="H520" i="2"/>
  <c r="J894" i="2"/>
  <c r="L702" i="2"/>
  <c r="J921" i="2"/>
  <c r="L729" i="2"/>
  <c r="J940" i="2"/>
  <c r="L748" i="2"/>
  <c r="L732" i="2"/>
  <c r="J924" i="2"/>
  <c r="J908" i="2"/>
  <c r="L716" i="2"/>
  <c r="J876" i="2"/>
  <c r="L684" i="2"/>
  <c r="J860" i="2"/>
  <c r="L668" i="2"/>
  <c r="J866" i="2"/>
  <c r="L674" i="2"/>
  <c r="J698" i="2"/>
  <c r="J650" i="2"/>
  <c r="L458" i="2"/>
  <c r="J765" i="2"/>
  <c r="J701" i="2"/>
  <c r="K489" i="2"/>
  <c r="L488" i="2"/>
  <c r="J843" i="2"/>
  <c r="L651" i="2"/>
  <c r="F501" i="2"/>
  <c r="H405" i="2"/>
  <c r="F635" i="2"/>
  <c r="H635" i="2" s="1"/>
  <c r="H539" i="2"/>
  <c r="J881" i="2"/>
  <c r="L689" i="2"/>
  <c r="F654" i="2"/>
  <c r="H654" i="2" s="1"/>
  <c r="H558" i="2"/>
  <c r="J717" i="2"/>
  <c r="H562" i="2"/>
  <c r="F658" i="2"/>
  <c r="H658" i="2" s="1"/>
  <c r="J883" i="2"/>
  <c r="L691" i="2"/>
  <c r="F659" i="2"/>
  <c r="H659" i="2" s="1"/>
  <c r="H563" i="2"/>
  <c r="J873" i="2"/>
  <c r="L681" i="2"/>
  <c r="F632" i="2"/>
  <c r="H632" i="2" s="1"/>
  <c r="H536" i="2"/>
  <c r="L735" i="2"/>
  <c r="J927" i="2"/>
  <c r="J604" i="2"/>
  <c r="L412" i="2"/>
  <c r="J628" i="2"/>
  <c r="L436" i="2"/>
  <c r="F580" i="2"/>
  <c r="H484" i="2"/>
  <c r="H569" i="2"/>
  <c r="F665" i="2"/>
  <c r="H665" i="2" s="1"/>
  <c r="J654" i="2"/>
  <c r="L462" i="2"/>
  <c r="J640" i="2"/>
  <c r="L448" i="2"/>
  <c r="J738" i="2"/>
  <c r="J944" i="2"/>
  <c r="L752" i="2"/>
  <c r="J875" i="2"/>
  <c r="L683" i="2"/>
  <c r="J897" i="2"/>
  <c r="L705" i="2"/>
  <c r="J964" i="2"/>
  <c r="L772" i="2"/>
  <c r="J919" i="2"/>
  <c r="L727" i="2"/>
  <c r="F540" i="2"/>
  <c r="H444" i="2"/>
  <c r="F600" i="2"/>
  <c r="H600" i="2" s="1"/>
  <c r="H504" i="2"/>
  <c r="F584" i="2"/>
  <c r="H584" i="2" s="1"/>
  <c r="H488" i="2"/>
  <c r="L703" i="2"/>
  <c r="J895" i="2"/>
  <c r="J855" i="2"/>
  <c r="L663" i="2"/>
  <c r="J644" i="2"/>
  <c r="L452" i="2"/>
  <c r="J815" i="2"/>
  <c r="L623" i="2"/>
  <c r="J799" i="2"/>
  <c r="L607" i="2"/>
  <c r="F564" i="2"/>
  <c r="H468" i="2"/>
  <c r="F524" i="2"/>
  <c r="H428" i="2"/>
  <c r="F627" i="2"/>
  <c r="H627" i="2" s="1"/>
  <c r="H531" i="2"/>
  <c r="F663" i="2"/>
  <c r="H663" i="2" s="1"/>
  <c r="H567" i="2"/>
  <c r="H545" i="2"/>
  <c r="F641" i="2"/>
  <c r="H641" i="2" s="1"/>
  <c r="H529" i="2"/>
  <c r="F625" i="2"/>
  <c r="H625" i="2" s="1"/>
  <c r="F607" i="2"/>
  <c r="H607" i="2" s="1"/>
  <c r="H511" i="2"/>
  <c r="J646" i="2"/>
  <c r="L454" i="2"/>
  <c r="L625" i="2"/>
  <c r="J817" i="2"/>
  <c r="L609" i="2"/>
  <c r="J801" i="2"/>
  <c r="J785" i="2"/>
  <c r="L593" i="2"/>
  <c r="F611" i="2"/>
  <c r="H611" i="2" s="1"/>
  <c r="H515" i="2"/>
  <c r="L731" i="2"/>
  <c r="J923" i="2"/>
  <c r="J632" i="2"/>
  <c r="L440" i="2"/>
  <c r="J795" i="2"/>
  <c r="L603" i="2"/>
  <c r="J779" i="2"/>
  <c r="L587" i="2"/>
  <c r="J762" i="2"/>
  <c r="J730" i="2"/>
  <c r="J597" i="2"/>
  <c r="L405" i="2"/>
  <c r="J634" i="2"/>
  <c r="L442" i="2"/>
  <c r="J581" i="2"/>
  <c r="L389" i="2"/>
  <c r="J757" i="2"/>
  <c r="J693" i="2"/>
  <c r="J936" i="2"/>
  <c r="L744" i="2"/>
  <c r="L641" i="2"/>
  <c r="J833" i="2"/>
  <c r="F640" i="2"/>
  <c r="H640" i="2" s="1"/>
  <c r="H544" i="2"/>
  <c r="J937" i="2"/>
  <c r="L745" i="2"/>
  <c r="F638" i="2"/>
  <c r="H638" i="2" s="1"/>
  <c r="H542" i="2"/>
  <c r="J839" i="2"/>
  <c r="L647" i="2"/>
  <c r="L585" i="2"/>
  <c r="J777" i="2"/>
  <c r="J961" i="2"/>
  <c r="L769" i="2"/>
  <c r="F586" i="2"/>
  <c r="H586" i="2" s="1"/>
  <c r="H490" i="2"/>
  <c r="J899" i="2"/>
  <c r="L707" i="2"/>
  <c r="F664" i="2"/>
  <c r="H664" i="2" s="1"/>
  <c r="H568" i="2"/>
  <c r="F643" i="2"/>
  <c r="H643" i="2" s="1"/>
  <c r="H547" i="2"/>
  <c r="J1064" i="2"/>
  <c r="L872" i="2"/>
  <c r="J859" i="2"/>
  <c r="L667" i="2"/>
  <c r="L657" i="2"/>
  <c r="J849" i="2"/>
  <c r="J1029" i="2"/>
  <c r="L837" i="2"/>
  <c r="J827" i="2"/>
  <c r="L635" i="2"/>
  <c r="J811" i="2"/>
  <c r="L619" i="2"/>
  <c r="F653" i="2"/>
  <c r="H653" i="2" s="1"/>
  <c r="H557" i="2"/>
  <c r="F621" i="2"/>
  <c r="H621" i="2" s="1"/>
  <c r="H525" i="2"/>
  <c r="J948" i="2"/>
  <c r="L756" i="2"/>
  <c r="J934" i="2"/>
  <c r="L742" i="2"/>
  <c r="J902" i="2"/>
  <c r="L710" i="2"/>
  <c r="F667" i="2"/>
  <c r="H667" i="2" s="1"/>
  <c r="H571" i="2"/>
  <c r="F645" i="2"/>
  <c r="H645" i="2" s="1"/>
  <c r="H549" i="2"/>
  <c r="F646" i="2"/>
  <c r="H646" i="2" s="1"/>
  <c r="H550" i="2"/>
  <c r="J900" i="2"/>
  <c r="L708" i="2"/>
  <c r="J868" i="2"/>
  <c r="L676" i="2"/>
  <c r="J1048" i="2"/>
  <c r="L856" i="2"/>
  <c r="F523" i="2"/>
  <c r="H427" i="2"/>
  <c r="F585" i="2"/>
  <c r="H585" i="2" s="1"/>
  <c r="H489" i="2"/>
  <c r="J590" i="2"/>
  <c r="L398" i="2"/>
  <c r="J586" i="2"/>
  <c r="L394" i="2"/>
  <c r="J749" i="2"/>
  <c r="J685" i="2"/>
  <c r="AF174" i="1"/>
  <c r="L673" i="2"/>
  <c r="J865" i="2"/>
  <c r="J803" i="2"/>
  <c r="L611" i="2"/>
  <c r="J1097" i="2"/>
  <c r="L905" i="2"/>
  <c r="J862" i="2"/>
  <c r="L670" i="2"/>
  <c r="J610" i="2"/>
  <c r="L418" i="2"/>
  <c r="J960" i="2"/>
  <c r="L768" i="2"/>
  <c r="F661" i="2"/>
  <c r="H661" i="2" s="1"/>
  <c r="H565" i="2"/>
  <c r="F493" i="2"/>
  <c r="H397" i="2"/>
  <c r="J959" i="2"/>
  <c r="L767" i="2"/>
  <c r="F532" i="2"/>
  <c r="H436" i="2"/>
  <c r="J630" i="2"/>
  <c r="L438" i="2"/>
  <c r="J926" i="2"/>
  <c r="L734" i="2"/>
  <c r="J770" i="2"/>
  <c r="F593" i="2"/>
  <c r="H593" i="2" s="1"/>
  <c r="H497" i="2"/>
  <c r="J783" i="2"/>
  <c r="L591" i="2"/>
  <c r="J915" i="2"/>
  <c r="L723" i="2"/>
  <c r="J1137" i="2"/>
  <c r="L945" i="2"/>
  <c r="J951" i="2"/>
  <c r="L759" i="2"/>
  <c r="H530" i="2"/>
  <c r="F626" i="2"/>
  <c r="H626" i="2" s="1"/>
  <c r="F669" i="2"/>
  <c r="H669" i="2" s="1"/>
  <c r="H573" i="2"/>
  <c r="F662" i="2"/>
  <c r="H662" i="2" s="1"/>
  <c r="H566" i="2"/>
  <c r="F672" i="2"/>
  <c r="H672" i="2" s="1"/>
  <c r="H576" i="2"/>
  <c r="J950" i="2"/>
  <c r="L758" i="2"/>
  <c r="J918" i="2"/>
  <c r="L726" i="2"/>
  <c r="J886" i="2"/>
  <c r="L694" i="2"/>
  <c r="J1121" i="2"/>
  <c r="L929" i="2"/>
  <c r="J1105" i="2"/>
  <c r="L913" i="2"/>
  <c r="J956" i="2"/>
  <c r="L764" i="2"/>
  <c r="J1108" i="2"/>
  <c r="L916" i="2"/>
  <c r="F502" i="2"/>
  <c r="H406" i="2"/>
  <c r="L751" i="2"/>
  <c r="J943" i="2"/>
  <c r="L719" i="2"/>
  <c r="J911" i="2"/>
  <c r="H498" i="2"/>
  <c r="F594" i="2"/>
  <c r="H594" i="2" s="1"/>
  <c r="J887" i="2"/>
  <c r="L695" i="2"/>
  <c r="J660" i="2"/>
  <c r="L468" i="2"/>
  <c r="J831" i="2"/>
  <c r="L639" i="2"/>
  <c r="J620" i="2"/>
  <c r="L428" i="2"/>
  <c r="J942" i="2"/>
  <c r="L750" i="2"/>
  <c r="F556" i="2"/>
  <c r="H460" i="2"/>
  <c r="H420" i="2"/>
  <c r="F516" i="2"/>
  <c r="H577" i="2"/>
  <c r="F673" i="2"/>
  <c r="H673" i="2" s="1"/>
  <c r="H561" i="2"/>
  <c r="F657" i="2"/>
  <c r="H657" i="2" s="1"/>
  <c r="F639" i="2"/>
  <c r="H639" i="2" s="1"/>
  <c r="H543" i="2"/>
  <c r="J638" i="2"/>
  <c r="L446" i="2"/>
  <c r="J622" i="2"/>
  <c r="L430" i="2"/>
  <c r="F500" i="2"/>
  <c r="H404" i="2"/>
  <c r="J910" i="2"/>
  <c r="L718" i="2"/>
  <c r="J656" i="2"/>
  <c r="L464" i="2"/>
  <c r="J624" i="2"/>
  <c r="L432" i="2"/>
  <c r="J600" i="2"/>
  <c r="L408" i="2"/>
  <c r="J584" i="2"/>
  <c r="L392" i="2"/>
  <c r="J754" i="2"/>
  <c r="J722" i="2"/>
  <c r="J690" i="2"/>
  <c r="J775" i="2"/>
  <c r="L583" i="2"/>
  <c r="J589" i="2"/>
  <c r="L397" i="2"/>
  <c r="J858" i="2"/>
  <c r="L666" i="2"/>
  <c r="J741" i="2"/>
  <c r="J677" i="2"/>
  <c r="L485" i="2"/>
  <c r="H26" i="1"/>
  <c r="G25" i="1"/>
  <c r="F17" i="3" l="1"/>
  <c r="G12" i="3"/>
  <c r="K16" i="3"/>
  <c r="M16" i="3" s="1"/>
  <c r="J16" i="3"/>
  <c r="L16" i="3" s="1"/>
  <c r="CT156" i="1"/>
  <c r="CP256" i="1"/>
  <c r="CT256" i="1"/>
  <c r="AZ256" i="1"/>
  <c r="BT256" i="1"/>
  <c r="BH156" i="1"/>
  <c r="AS256" i="1"/>
  <c r="AS156" i="1"/>
  <c r="AR256" i="1"/>
  <c r="BH256" i="1"/>
  <c r="BI256" i="1"/>
  <c r="BI156" i="1"/>
  <c r="BC256" i="1"/>
  <c r="AL156" i="1"/>
  <c r="AN156" i="1"/>
  <c r="AN256" i="1"/>
  <c r="AO256" i="1"/>
  <c r="F612" i="2"/>
  <c r="H612" i="2" s="1"/>
  <c r="H516" i="2"/>
  <c r="J842" i="2"/>
  <c r="L650" i="2"/>
  <c r="L746" i="2"/>
  <c r="J938" i="2"/>
  <c r="J1083" i="2"/>
  <c r="L891" i="2"/>
  <c r="J1049" i="2"/>
  <c r="L857" i="2"/>
  <c r="L754" i="2"/>
  <c r="J946" i="2"/>
  <c r="J1023" i="2"/>
  <c r="L831" i="2"/>
  <c r="J1107" i="2"/>
  <c r="L915" i="2"/>
  <c r="J778" i="2"/>
  <c r="L586" i="2"/>
  <c r="F676" i="2"/>
  <c r="H676" i="2" s="1"/>
  <c r="H580" i="2"/>
  <c r="J788" i="2"/>
  <c r="L596" i="2"/>
  <c r="J1057" i="2"/>
  <c r="L865" i="2"/>
  <c r="J1025" i="2"/>
  <c r="L833" i="2"/>
  <c r="L895" i="2"/>
  <c r="J1087" i="2"/>
  <c r="L927" i="2"/>
  <c r="J1119" i="2"/>
  <c r="J957" i="2"/>
  <c r="L765" i="2"/>
  <c r="J1052" i="2"/>
  <c r="L860" i="2"/>
  <c r="J1132" i="2"/>
  <c r="L940" i="2"/>
  <c r="J1155" i="2"/>
  <c r="L963" i="2"/>
  <c r="J1043" i="2"/>
  <c r="L851" i="2"/>
  <c r="J810" i="2"/>
  <c r="L618" i="2"/>
  <c r="J906" i="2"/>
  <c r="L714" i="2"/>
  <c r="J808" i="2"/>
  <c r="L616" i="2"/>
  <c r="J828" i="2"/>
  <c r="L636" i="2"/>
  <c r="J1287" i="2"/>
  <c r="L1287" i="2" s="1"/>
  <c r="L1095" i="2"/>
  <c r="L958" i="2"/>
  <c r="J1150" i="2"/>
  <c r="L1088" i="2"/>
  <c r="J1280" i="2"/>
  <c r="L1280" i="2" s="1"/>
  <c r="J800" i="2"/>
  <c r="L608" i="2"/>
  <c r="J1055" i="2"/>
  <c r="L863" i="2"/>
  <c r="H485" i="2"/>
  <c r="F581" i="2"/>
  <c r="H581" i="2" s="1"/>
  <c r="J985" i="2"/>
  <c r="L793" i="2"/>
  <c r="L1037" i="2"/>
  <c r="J1229" i="2"/>
  <c r="L1229" i="2" s="1"/>
  <c r="L989" i="2"/>
  <c r="J1181" i="2"/>
  <c r="L1181" i="2" s="1"/>
  <c r="H548" i="2"/>
  <c r="F644" i="2"/>
  <c r="H644" i="2" s="1"/>
  <c r="J1139" i="2"/>
  <c r="L947" i="2"/>
  <c r="J848" i="2"/>
  <c r="L656" i="2"/>
  <c r="J1148" i="2"/>
  <c r="L956" i="2"/>
  <c r="J1019" i="2"/>
  <c r="L827" i="2"/>
  <c r="J885" i="2"/>
  <c r="L693" i="2"/>
  <c r="J977" i="2"/>
  <c r="L785" i="2"/>
  <c r="J1156" i="2"/>
  <c r="L964" i="2"/>
  <c r="H499" i="2"/>
  <c r="F595" i="2"/>
  <c r="H595" i="2" s="1"/>
  <c r="J1081" i="2"/>
  <c r="L889" i="2"/>
  <c r="J1050" i="2"/>
  <c r="L858" i="2"/>
  <c r="L722" i="2"/>
  <c r="J914" i="2"/>
  <c r="J816" i="2"/>
  <c r="L624" i="2"/>
  <c r="J814" i="2"/>
  <c r="L622" i="2"/>
  <c r="J812" i="2"/>
  <c r="L620" i="2"/>
  <c r="J1300" i="2"/>
  <c r="L1300" i="2" s="1"/>
  <c r="L1108" i="2"/>
  <c r="J1078" i="2"/>
  <c r="L886" i="2"/>
  <c r="L1137" i="2"/>
  <c r="J1329" i="2"/>
  <c r="L1329" i="2" s="1"/>
  <c r="L770" i="2"/>
  <c r="J962" i="2"/>
  <c r="J1151" i="2"/>
  <c r="L959" i="2"/>
  <c r="J802" i="2"/>
  <c r="L610" i="2"/>
  <c r="J941" i="2"/>
  <c r="L749" i="2"/>
  <c r="F619" i="2"/>
  <c r="H619" i="2" s="1"/>
  <c r="H523" i="2"/>
  <c r="J1126" i="2"/>
  <c r="L934" i="2"/>
  <c r="J1003" i="2"/>
  <c r="L811" i="2"/>
  <c r="J1051" i="2"/>
  <c r="L859" i="2"/>
  <c r="J1091" i="2"/>
  <c r="L899" i="2"/>
  <c r="J1031" i="2"/>
  <c r="L839" i="2"/>
  <c r="J826" i="2"/>
  <c r="L634" i="2"/>
  <c r="J971" i="2"/>
  <c r="L779" i="2"/>
  <c r="J838" i="2"/>
  <c r="L646" i="2"/>
  <c r="J991" i="2"/>
  <c r="L799" i="2"/>
  <c r="J1111" i="2"/>
  <c r="L919" i="2"/>
  <c r="J1136" i="2"/>
  <c r="L944" i="2"/>
  <c r="J1075" i="2"/>
  <c r="L883" i="2"/>
  <c r="J1073" i="2"/>
  <c r="L881" i="2"/>
  <c r="L1080" i="2"/>
  <c r="J1272" i="2"/>
  <c r="L1272" i="2" s="1"/>
  <c r="J1076" i="2"/>
  <c r="L884" i="2"/>
  <c r="J1011" i="2"/>
  <c r="L819" i="2"/>
  <c r="J1127" i="2"/>
  <c r="L935" i="2"/>
  <c r="J794" i="2"/>
  <c r="L602" i="2"/>
  <c r="F668" i="2"/>
  <c r="H668" i="2" s="1"/>
  <c r="H572" i="2"/>
  <c r="F590" i="2"/>
  <c r="H590" i="2" s="1"/>
  <c r="H494" i="2"/>
  <c r="J1316" i="2"/>
  <c r="L1316" i="2" s="1"/>
  <c r="L1124" i="2"/>
  <c r="J1147" i="2"/>
  <c r="L955" i="2"/>
  <c r="J1144" i="2"/>
  <c r="L952" i="2"/>
  <c r="J1103" i="2"/>
  <c r="L911" i="2"/>
  <c r="J1068" i="2"/>
  <c r="L876" i="2"/>
  <c r="K223" i="2"/>
  <c r="L222" i="2"/>
  <c r="H491" i="2"/>
  <c r="F587" i="2"/>
  <c r="H587" i="2" s="1"/>
  <c r="L638" i="2"/>
  <c r="J830" i="2"/>
  <c r="J1110" i="2"/>
  <c r="L918" i="2"/>
  <c r="F589" i="2"/>
  <c r="H589" i="2" s="1"/>
  <c r="H493" i="2"/>
  <c r="J1240" i="2"/>
  <c r="L1240" i="2" s="1"/>
  <c r="L1048" i="2"/>
  <c r="J1256" i="2"/>
  <c r="L1256" i="2" s="1"/>
  <c r="L1064" i="2"/>
  <c r="J789" i="2"/>
  <c r="L597" i="2"/>
  <c r="J1007" i="2"/>
  <c r="L815" i="2"/>
  <c r="J786" i="2"/>
  <c r="L594" i="2"/>
  <c r="J818" i="2"/>
  <c r="L626" i="2"/>
  <c r="J1135" i="2"/>
  <c r="L943" i="2"/>
  <c r="AF175" i="1"/>
  <c r="J993" i="2"/>
  <c r="L801" i="2"/>
  <c r="K490" i="2"/>
  <c r="L489" i="2"/>
  <c r="J890" i="2"/>
  <c r="L698" i="2"/>
  <c r="J1100" i="2"/>
  <c r="L908" i="2"/>
  <c r="J1086" i="2"/>
  <c r="L894" i="2"/>
  <c r="L1072" i="2"/>
  <c r="J1264" i="2"/>
  <c r="L1264" i="2" s="1"/>
  <c r="L8" i="2"/>
  <c r="K9" i="2"/>
  <c r="F588" i="2"/>
  <c r="H588" i="2" s="1"/>
  <c r="H492" i="2"/>
  <c r="J790" i="2"/>
  <c r="L598" i="2"/>
  <c r="J1090" i="2"/>
  <c r="L898" i="2"/>
  <c r="J1063" i="2"/>
  <c r="L871" i="2"/>
  <c r="F582" i="2"/>
  <c r="H582" i="2" s="1"/>
  <c r="H486" i="2"/>
  <c r="J1291" i="2"/>
  <c r="L1291" i="2" s="1"/>
  <c r="L1099" i="2"/>
  <c r="J1096" i="2"/>
  <c r="L904" i="2"/>
  <c r="J1113" i="2"/>
  <c r="L921" i="2"/>
  <c r="J840" i="2"/>
  <c r="L648" i="2"/>
  <c r="J1070" i="2"/>
  <c r="L878" i="2"/>
  <c r="L1045" i="2"/>
  <c r="J1237" i="2"/>
  <c r="L1237" i="2" s="1"/>
  <c r="J781" i="2"/>
  <c r="L589" i="2"/>
  <c r="J1128" i="2"/>
  <c r="L936" i="2"/>
  <c r="J806" i="2"/>
  <c r="L614" i="2"/>
  <c r="L997" i="2"/>
  <c r="J1189" i="2"/>
  <c r="L1189" i="2" s="1"/>
  <c r="J967" i="2"/>
  <c r="L775" i="2"/>
  <c r="F652" i="2"/>
  <c r="H652" i="2" s="1"/>
  <c r="H556" i="2"/>
  <c r="J852" i="2"/>
  <c r="L660" i="2"/>
  <c r="J1297" i="2"/>
  <c r="L1297" i="2" s="1"/>
  <c r="L1105" i="2"/>
  <c r="J1142" i="2"/>
  <c r="L950" i="2"/>
  <c r="J975" i="2"/>
  <c r="L783" i="2"/>
  <c r="J822" i="2"/>
  <c r="L630" i="2"/>
  <c r="J1289" i="2"/>
  <c r="L1289" i="2" s="1"/>
  <c r="L1097" i="2"/>
  <c r="J782" i="2"/>
  <c r="L590" i="2"/>
  <c r="J1060" i="2"/>
  <c r="L868" i="2"/>
  <c r="L1029" i="2"/>
  <c r="J1221" i="2"/>
  <c r="L1221" i="2" s="1"/>
  <c r="J1153" i="2"/>
  <c r="L961" i="2"/>
  <c r="J1129" i="2"/>
  <c r="L937" i="2"/>
  <c r="J949" i="2"/>
  <c r="L757" i="2"/>
  <c r="L730" i="2"/>
  <c r="J922" i="2"/>
  <c r="J824" i="2"/>
  <c r="L632" i="2"/>
  <c r="F620" i="2"/>
  <c r="H620" i="2" s="1"/>
  <c r="H524" i="2"/>
  <c r="J836" i="2"/>
  <c r="L644" i="2"/>
  <c r="J1089" i="2"/>
  <c r="L897" i="2"/>
  <c r="J832" i="2"/>
  <c r="L640" i="2"/>
  <c r="J820" i="2"/>
  <c r="L628" i="2"/>
  <c r="J1065" i="2"/>
  <c r="L873" i="2"/>
  <c r="J909" i="2"/>
  <c r="L717" i="2"/>
  <c r="F597" i="2"/>
  <c r="H597" i="2" s="1"/>
  <c r="H501" i="2"/>
  <c r="J1116" i="2"/>
  <c r="L924" i="2"/>
  <c r="J1033" i="2"/>
  <c r="L841" i="2"/>
  <c r="J1071" i="2"/>
  <c r="L879" i="2"/>
  <c r="J1001" i="2"/>
  <c r="L809" i="2"/>
  <c r="J990" i="2"/>
  <c r="L798" i="2"/>
  <c r="J925" i="2"/>
  <c r="L733" i="2"/>
  <c r="J774" i="2"/>
  <c r="L582" i="2"/>
  <c r="J1039" i="2"/>
  <c r="L847" i="2"/>
  <c r="J1248" i="2"/>
  <c r="L1248" i="2" s="1"/>
  <c r="L1056" i="2"/>
  <c r="J1205" i="2"/>
  <c r="L1205" i="2" s="1"/>
  <c r="L1013" i="2"/>
  <c r="J1059" i="2"/>
  <c r="L867" i="2"/>
  <c r="J1120" i="2"/>
  <c r="L928" i="2"/>
  <c r="J844" i="2"/>
  <c r="L652" i="2"/>
  <c r="J1104" i="2"/>
  <c r="L912" i="2"/>
  <c r="J1054" i="2"/>
  <c r="L862" i="2"/>
  <c r="L738" i="2"/>
  <c r="J930" i="2"/>
  <c r="J1062" i="2"/>
  <c r="L870" i="2"/>
  <c r="J869" i="2"/>
  <c r="L677" i="2"/>
  <c r="J776" i="2"/>
  <c r="L584" i="2"/>
  <c r="J1102" i="2"/>
  <c r="L910" i="2"/>
  <c r="J933" i="2"/>
  <c r="L741" i="2"/>
  <c r="J1041" i="2"/>
  <c r="L849" i="2"/>
  <c r="J969" i="2"/>
  <c r="L777" i="2"/>
  <c r="J1115" i="2"/>
  <c r="L923" i="2"/>
  <c r="J1009" i="2"/>
  <c r="L817" i="2"/>
  <c r="J893" i="2"/>
  <c r="L701" i="2"/>
  <c r="J1058" i="2"/>
  <c r="L866" i="2"/>
  <c r="J917" i="2"/>
  <c r="L725" i="2"/>
  <c r="J983" i="2"/>
  <c r="L791" i="2"/>
  <c r="J979" i="2"/>
  <c r="L787" i="2"/>
  <c r="J999" i="2"/>
  <c r="L807" i="2"/>
  <c r="H507" i="2"/>
  <c r="F603" i="2"/>
  <c r="H603" i="2" s="1"/>
  <c r="J1123" i="2"/>
  <c r="L931" i="2"/>
  <c r="J780" i="2"/>
  <c r="L588" i="2"/>
  <c r="J834" i="2"/>
  <c r="L642" i="2"/>
  <c r="L1053" i="2"/>
  <c r="J1245" i="2"/>
  <c r="L1245" i="2" s="1"/>
  <c r="J1118" i="2"/>
  <c r="L926" i="2"/>
  <c r="J1140" i="2"/>
  <c r="L948" i="2"/>
  <c r="J987" i="2"/>
  <c r="L795" i="2"/>
  <c r="J901" i="2"/>
  <c r="L709" i="2"/>
  <c r="J1046" i="2"/>
  <c r="L854" i="2"/>
  <c r="J882" i="2"/>
  <c r="L690" i="2"/>
  <c r="J792" i="2"/>
  <c r="L600" i="2"/>
  <c r="F596" i="2"/>
  <c r="H596" i="2" s="1"/>
  <c r="H500" i="2"/>
  <c r="J1134" i="2"/>
  <c r="L942" i="2"/>
  <c r="J1079" i="2"/>
  <c r="L887" i="2"/>
  <c r="F598" i="2"/>
  <c r="H598" i="2" s="1"/>
  <c r="H502" i="2"/>
  <c r="J1313" i="2"/>
  <c r="L1313" i="2" s="1"/>
  <c r="L1121" i="2"/>
  <c r="J1143" i="2"/>
  <c r="L951" i="2"/>
  <c r="F628" i="2"/>
  <c r="H628" i="2" s="1"/>
  <c r="H532" i="2"/>
  <c r="J1152" i="2"/>
  <c r="L960" i="2"/>
  <c r="J995" i="2"/>
  <c r="L803" i="2"/>
  <c r="J877" i="2"/>
  <c r="L685" i="2"/>
  <c r="J1092" i="2"/>
  <c r="L900" i="2"/>
  <c r="J1094" i="2"/>
  <c r="L902" i="2"/>
  <c r="J773" i="2"/>
  <c r="L581" i="2"/>
  <c r="J954" i="2"/>
  <c r="L762" i="2"/>
  <c r="F660" i="2"/>
  <c r="H660" i="2" s="1"/>
  <c r="H564" i="2"/>
  <c r="J1047" i="2"/>
  <c r="L855" i="2"/>
  <c r="F636" i="2"/>
  <c r="H636" i="2" s="1"/>
  <c r="H540" i="2"/>
  <c r="J1067" i="2"/>
  <c r="L875" i="2"/>
  <c r="J846" i="2"/>
  <c r="L654" i="2"/>
  <c r="J796" i="2"/>
  <c r="L604" i="2"/>
  <c r="J1035" i="2"/>
  <c r="L843" i="2"/>
  <c r="J1112" i="2"/>
  <c r="L920" i="2"/>
  <c r="J784" i="2"/>
  <c r="L592" i="2"/>
  <c r="J804" i="2"/>
  <c r="L612" i="2"/>
  <c r="J1015" i="2"/>
  <c r="L823" i="2"/>
  <c r="J1017" i="2"/>
  <c r="L825" i="2"/>
  <c r="F604" i="2"/>
  <c r="H604" i="2" s="1"/>
  <c r="H508" i="2"/>
  <c r="J850" i="2"/>
  <c r="L658" i="2"/>
  <c r="J874" i="2"/>
  <c r="L682" i="2"/>
  <c r="J1131" i="2"/>
  <c r="L939" i="2"/>
  <c r="J1084" i="2"/>
  <c r="L892" i="2"/>
  <c r="L1145" i="2"/>
  <c r="J1337" i="2"/>
  <c r="L1337" i="2" s="1"/>
  <c r="J1027" i="2"/>
  <c r="L835" i="2"/>
  <c r="BT156" i="1" l="1"/>
  <c r="BW156" i="1"/>
  <c r="AH23" i="3"/>
  <c r="AH31" i="3"/>
  <c r="AH39" i="3"/>
  <c r="AH47" i="3"/>
  <c r="AH55" i="3"/>
  <c r="AH63" i="3"/>
  <c r="AH71" i="3"/>
  <c r="AH79" i="3"/>
  <c r="AH87" i="3"/>
  <c r="AH24" i="3"/>
  <c r="AH32" i="3"/>
  <c r="AH40" i="3"/>
  <c r="AH48" i="3"/>
  <c r="AH56" i="3"/>
  <c r="AH64" i="3"/>
  <c r="AH72" i="3"/>
  <c r="AH80" i="3"/>
  <c r="AH88" i="3"/>
  <c r="AH25" i="3"/>
  <c r="AH33" i="3"/>
  <c r="AH41" i="3"/>
  <c r="AH49" i="3"/>
  <c r="AH57" i="3"/>
  <c r="AH65" i="3"/>
  <c r="AH73" i="3"/>
  <c r="AH81" i="3"/>
  <c r="AH89" i="3"/>
  <c r="AH26" i="3"/>
  <c r="AH34" i="3"/>
  <c r="AH42" i="3"/>
  <c r="AH50" i="3"/>
  <c r="AH58" i="3"/>
  <c r="AH66" i="3"/>
  <c r="AH74" i="3"/>
  <c r="AH82" i="3"/>
  <c r="AH90" i="3"/>
  <c r="AH27" i="3"/>
  <c r="AH35" i="3"/>
  <c r="AH43" i="3"/>
  <c r="AH51" i="3"/>
  <c r="AH59" i="3"/>
  <c r="AH67" i="3"/>
  <c r="AH75" i="3"/>
  <c r="AH83" i="3"/>
  <c r="AH20" i="3"/>
  <c r="AH28" i="3"/>
  <c r="AH36" i="3"/>
  <c r="AH44" i="3"/>
  <c r="AH52" i="3"/>
  <c r="AH60" i="3"/>
  <c r="AH68" i="3"/>
  <c r="AH76" i="3"/>
  <c r="AH84" i="3"/>
  <c r="AH21" i="3"/>
  <c r="AH29" i="3"/>
  <c r="AH37" i="3"/>
  <c r="AH45" i="3"/>
  <c r="AH53" i="3"/>
  <c r="AH61" i="3"/>
  <c r="AH69" i="3"/>
  <c r="AH77" i="3"/>
  <c r="AH85" i="3"/>
  <c r="AH93" i="3"/>
  <c r="AH62" i="3"/>
  <c r="AH96" i="3"/>
  <c r="AH104" i="3"/>
  <c r="AH112" i="3"/>
  <c r="AH120" i="3"/>
  <c r="AH128" i="3"/>
  <c r="AH136" i="3"/>
  <c r="AH144" i="3"/>
  <c r="AH152" i="3"/>
  <c r="AH160" i="3"/>
  <c r="AH168" i="3"/>
  <c r="AH176" i="3"/>
  <c r="AH70" i="3"/>
  <c r="AH105" i="3"/>
  <c r="AH121" i="3"/>
  <c r="AH137" i="3"/>
  <c r="AH153" i="3"/>
  <c r="AH169" i="3"/>
  <c r="AH97" i="3"/>
  <c r="AH113" i="3"/>
  <c r="AH129" i="3"/>
  <c r="AH145" i="3"/>
  <c r="AH161" i="3"/>
  <c r="AH177" i="3"/>
  <c r="AH78" i="3"/>
  <c r="AH98" i="3"/>
  <c r="AH106" i="3"/>
  <c r="AH114" i="3"/>
  <c r="AH122" i="3"/>
  <c r="AH130" i="3"/>
  <c r="AH138" i="3"/>
  <c r="AH146" i="3"/>
  <c r="AH154" i="3"/>
  <c r="AH162" i="3"/>
  <c r="AH170" i="3"/>
  <c r="AH178" i="3"/>
  <c r="AH86" i="3"/>
  <c r="AH107" i="3"/>
  <c r="AH123" i="3"/>
  <c r="AH139" i="3"/>
  <c r="AH155" i="3"/>
  <c r="AH171" i="3"/>
  <c r="AH22" i="3"/>
  <c r="AH99" i="3"/>
  <c r="AH115" i="3"/>
  <c r="AH131" i="3"/>
  <c r="AH147" i="3"/>
  <c r="AH163" i="3"/>
  <c r="AH179" i="3"/>
  <c r="AH30" i="3"/>
  <c r="AH91" i="3"/>
  <c r="AH100" i="3"/>
  <c r="AH108" i="3"/>
  <c r="AH116" i="3"/>
  <c r="AH124" i="3"/>
  <c r="AH132" i="3"/>
  <c r="AH140" i="3"/>
  <c r="AH148" i="3"/>
  <c r="AH156" i="3"/>
  <c r="AH164" i="3"/>
  <c r="AH172" i="3"/>
  <c r="AH180" i="3"/>
  <c r="AH103" i="3"/>
  <c r="AH135" i="3"/>
  <c r="AH159" i="3"/>
  <c r="AH175" i="3"/>
  <c r="AH38" i="3"/>
  <c r="AH92" i="3"/>
  <c r="AH101" i="3"/>
  <c r="AH109" i="3"/>
  <c r="AH117" i="3"/>
  <c r="AH125" i="3"/>
  <c r="AH133" i="3"/>
  <c r="AH141" i="3"/>
  <c r="AH149" i="3"/>
  <c r="AH157" i="3"/>
  <c r="AH165" i="3"/>
  <c r="AH173" i="3"/>
  <c r="AH95" i="3"/>
  <c r="AH111" i="3"/>
  <c r="AH127" i="3"/>
  <c r="AH151" i="3"/>
  <c r="AH46" i="3"/>
  <c r="AH94" i="3"/>
  <c r="AH102" i="3"/>
  <c r="AH110" i="3"/>
  <c r="AH118" i="3"/>
  <c r="AH126" i="3"/>
  <c r="AH134" i="3"/>
  <c r="AH142" i="3"/>
  <c r="AH150" i="3"/>
  <c r="AH158" i="3"/>
  <c r="AH166" i="3"/>
  <c r="AH174" i="3"/>
  <c r="AH54" i="3"/>
  <c r="AH119" i="3"/>
  <c r="AH143" i="3"/>
  <c r="AH167" i="3"/>
  <c r="F16" i="3"/>
  <c r="E17" i="3"/>
  <c r="G17" i="3"/>
  <c r="BN156" i="1"/>
  <c r="BR156" i="1"/>
  <c r="BU156" i="1" s="1"/>
  <c r="BV156" i="1" s="1"/>
  <c r="BN256" i="1"/>
  <c r="BR256" i="1"/>
  <c r="BU256" i="1" s="1"/>
  <c r="BV256" i="1" s="1"/>
  <c r="BC156" i="1"/>
  <c r="AX256" i="1"/>
  <c r="AT156" i="1"/>
  <c r="AX156" i="1"/>
  <c r="AZ156" i="1"/>
  <c r="AT256" i="1"/>
  <c r="J1209" i="2"/>
  <c r="L1209" i="2" s="1"/>
  <c r="L1017" i="2"/>
  <c r="J1069" i="2"/>
  <c r="L877" i="2"/>
  <c r="J1171" i="2"/>
  <c r="L1171" i="2" s="1"/>
  <c r="L979" i="2"/>
  <c r="J1117" i="2"/>
  <c r="L925" i="2"/>
  <c r="J1028" i="2"/>
  <c r="L836" i="2"/>
  <c r="J1167" i="2"/>
  <c r="L1167" i="2" s="1"/>
  <c r="L975" i="2"/>
  <c r="AF176" i="1"/>
  <c r="J1018" i="2"/>
  <c r="L826" i="2"/>
  <c r="J1000" i="2"/>
  <c r="L808" i="2"/>
  <c r="J1114" i="2"/>
  <c r="L922" i="2"/>
  <c r="J1154" i="2"/>
  <c r="L962" i="2"/>
  <c r="J1130" i="2"/>
  <c r="L938" i="2"/>
  <c r="J1259" i="2"/>
  <c r="L1259" i="2" s="1"/>
  <c r="L1067" i="2"/>
  <c r="J1335" i="2"/>
  <c r="L1335" i="2" s="1"/>
  <c r="L1143" i="2"/>
  <c r="J972" i="2"/>
  <c r="L780" i="2"/>
  <c r="J1061" i="2"/>
  <c r="L869" i="2"/>
  <c r="J1141" i="2"/>
  <c r="L949" i="2"/>
  <c r="J1199" i="2"/>
  <c r="L1199" i="2" s="1"/>
  <c r="L1007" i="2"/>
  <c r="J1303" i="2"/>
  <c r="L1303" i="2" s="1"/>
  <c r="L1111" i="2"/>
  <c r="L1155" i="2"/>
  <c r="J1347" i="2"/>
  <c r="L1347" i="2" s="1"/>
  <c r="J1276" i="2"/>
  <c r="L1276" i="2" s="1"/>
  <c r="L1084" i="2"/>
  <c r="J976" i="2"/>
  <c r="L784" i="2"/>
  <c r="J1038" i="2"/>
  <c r="L846" i="2"/>
  <c r="J1284" i="2"/>
  <c r="L1284" i="2" s="1"/>
  <c r="L1092" i="2"/>
  <c r="J1271" i="2"/>
  <c r="L1271" i="2" s="1"/>
  <c r="L1079" i="2"/>
  <c r="L882" i="2"/>
  <c r="J1074" i="2"/>
  <c r="J1179" i="2"/>
  <c r="L1179" i="2" s="1"/>
  <c r="L987" i="2"/>
  <c r="J1026" i="2"/>
  <c r="L834" i="2"/>
  <c r="J1191" i="2"/>
  <c r="L1191" i="2" s="1"/>
  <c r="L999" i="2"/>
  <c r="J1250" i="2"/>
  <c r="L1250" i="2" s="1"/>
  <c r="L1058" i="2"/>
  <c r="J1161" i="2"/>
  <c r="L1161" i="2" s="1"/>
  <c r="L969" i="2"/>
  <c r="J968" i="2"/>
  <c r="L776" i="2"/>
  <c r="J1246" i="2"/>
  <c r="L1246" i="2" s="1"/>
  <c r="L1054" i="2"/>
  <c r="J1251" i="2"/>
  <c r="L1251" i="2" s="1"/>
  <c r="L1059" i="2"/>
  <c r="J966" i="2"/>
  <c r="L774" i="2"/>
  <c r="J1263" i="2"/>
  <c r="L1263" i="2" s="1"/>
  <c r="L1071" i="2"/>
  <c r="J1101" i="2"/>
  <c r="L909" i="2"/>
  <c r="J1281" i="2"/>
  <c r="L1281" i="2" s="1"/>
  <c r="L1089" i="2"/>
  <c r="J1014" i="2"/>
  <c r="L822" i="2"/>
  <c r="J1044" i="2"/>
  <c r="L852" i="2"/>
  <c r="J998" i="2"/>
  <c r="L806" i="2"/>
  <c r="J1262" i="2"/>
  <c r="L1262" i="2" s="1"/>
  <c r="L1070" i="2"/>
  <c r="J982" i="2"/>
  <c r="L790" i="2"/>
  <c r="J1278" i="2"/>
  <c r="L1278" i="2" s="1"/>
  <c r="L1086" i="2"/>
  <c r="L993" i="2"/>
  <c r="J1185" i="2"/>
  <c r="L1185" i="2" s="1"/>
  <c r="J978" i="2"/>
  <c r="L786" i="2"/>
  <c r="L1144" i="2"/>
  <c r="J1336" i="2"/>
  <c r="L1336" i="2" s="1"/>
  <c r="J1268" i="2"/>
  <c r="L1268" i="2" s="1"/>
  <c r="L1076" i="2"/>
  <c r="L1136" i="2"/>
  <c r="J1328" i="2"/>
  <c r="L1328" i="2" s="1"/>
  <c r="J1163" i="2"/>
  <c r="L1163" i="2" s="1"/>
  <c r="L971" i="2"/>
  <c r="J1283" i="2"/>
  <c r="L1283" i="2" s="1"/>
  <c r="L1091" i="2"/>
  <c r="J1004" i="2"/>
  <c r="L812" i="2"/>
  <c r="J1242" i="2"/>
  <c r="L1242" i="2" s="1"/>
  <c r="L1050" i="2"/>
  <c r="J1169" i="2"/>
  <c r="L1169" i="2" s="1"/>
  <c r="L977" i="2"/>
  <c r="J1040" i="2"/>
  <c r="L848" i="2"/>
  <c r="J992" i="2"/>
  <c r="L800" i="2"/>
  <c r="J1020" i="2"/>
  <c r="L828" i="2"/>
  <c r="J1235" i="2"/>
  <c r="L1235" i="2" s="1"/>
  <c r="L1043" i="2"/>
  <c r="L957" i="2"/>
  <c r="J1149" i="2"/>
  <c r="L1057" i="2"/>
  <c r="J1249" i="2"/>
  <c r="L1249" i="2" s="1"/>
  <c r="J1299" i="2"/>
  <c r="L1299" i="2" s="1"/>
  <c r="L1107" i="2"/>
  <c r="J1275" i="2"/>
  <c r="L1275" i="2" s="1"/>
  <c r="L1083" i="2"/>
  <c r="J1133" i="2"/>
  <c r="L941" i="2"/>
  <c r="J1304" i="2"/>
  <c r="L1304" i="2" s="1"/>
  <c r="L1112" i="2"/>
  <c r="L1134" i="2"/>
  <c r="J1326" i="2"/>
  <c r="L1326" i="2" s="1"/>
  <c r="J1085" i="2"/>
  <c r="L893" i="2"/>
  <c r="J1225" i="2"/>
  <c r="L1225" i="2" s="1"/>
  <c r="L1033" i="2"/>
  <c r="J1252" i="2"/>
  <c r="L1252" i="2" s="1"/>
  <c r="L1060" i="2"/>
  <c r="J1032" i="2"/>
  <c r="L840" i="2"/>
  <c r="J1292" i="2"/>
  <c r="L1292" i="2" s="1"/>
  <c r="L1100" i="2"/>
  <c r="J1077" i="2"/>
  <c r="L885" i="2"/>
  <c r="J1177" i="2"/>
  <c r="L1177" i="2" s="1"/>
  <c r="L985" i="2"/>
  <c r="K10" i="2"/>
  <c r="L9" i="2"/>
  <c r="L1150" i="2"/>
  <c r="J1342" i="2"/>
  <c r="L1342" i="2" s="1"/>
  <c r="J1279" i="2"/>
  <c r="L1279" i="2" s="1"/>
  <c r="L1087" i="2"/>
  <c r="J1138" i="2"/>
  <c r="L946" i="2"/>
  <c r="J1233" i="2"/>
  <c r="L1233" i="2" s="1"/>
  <c r="L1041" i="2"/>
  <c r="J1257" i="2"/>
  <c r="L1257" i="2" s="1"/>
  <c r="L1065" i="2"/>
  <c r="J1320" i="2"/>
  <c r="L1320" i="2" s="1"/>
  <c r="L1128" i="2"/>
  <c r="J986" i="2"/>
  <c r="L794" i="2"/>
  <c r="J1243" i="2"/>
  <c r="L1243" i="2" s="1"/>
  <c r="L1051" i="2"/>
  <c r="J1006" i="2"/>
  <c r="L814" i="2"/>
  <c r="J1273" i="2"/>
  <c r="L1273" i="2" s="1"/>
  <c r="L1081" i="2"/>
  <c r="L1139" i="2"/>
  <c r="J1331" i="2"/>
  <c r="L1331" i="2" s="1"/>
  <c r="J1215" i="2"/>
  <c r="L1215" i="2" s="1"/>
  <c r="L1023" i="2"/>
  <c r="J1219" i="2"/>
  <c r="L1219" i="2" s="1"/>
  <c r="L1027" i="2"/>
  <c r="J1066" i="2"/>
  <c r="L874" i="2"/>
  <c r="J1207" i="2"/>
  <c r="L1207" i="2" s="1"/>
  <c r="L1015" i="2"/>
  <c r="J1227" i="2"/>
  <c r="L1227" i="2" s="1"/>
  <c r="L1035" i="2"/>
  <c r="J965" i="2"/>
  <c r="L773" i="2"/>
  <c r="J1187" i="2"/>
  <c r="L1187" i="2" s="1"/>
  <c r="L995" i="2"/>
  <c r="J1238" i="2"/>
  <c r="L1238" i="2" s="1"/>
  <c r="L1046" i="2"/>
  <c r="J1310" i="2"/>
  <c r="L1310" i="2" s="1"/>
  <c r="L1118" i="2"/>
  <c r="L1123" i="2"/>
  <c r="J1315" i="2"/>
  <c r="L1315" i="2" s="1"/>
  <c r="J1175" i="2"/>
  <c r="L1175" i="2" s="1"/>
  <c r="L983" i="2"/>
  <c r="J1201" i="2"/>
  <c r="L1201" i="2" s="1"/>
  <c r="L1009" i="2"/>
  <c r="J1125" i="2"/>
  <c r="L933" i="2"/>
  <c r="J1254" i="2"/>
  <c r="L1254" i="2" s="1"/>
  <c r="L1062" i="2"/>
  <c r="J1036" i="2"/>
  <c r="L844" i="2"/>
  <c r="J1182" i="2"/>
  <c r="L1182" i="2" s="1"/>
  <c r="L990" i="2"/>
  <c r="J1308" i="2"/>
  <c r="L1308" i="2" s="1"/>
  <c r="L1116" i="2"/>
  <c r="J1012" i="2"/>
  <c r="L820" i="2"/>
  <c r="L1129" i="2"/>
  <c r="J1321" i="2"/>
  <c r="L1321" i="2" s="1"/>
  <c r="J974" i="2"/>
  <c r="L782" i="2"/>
  <c r="L1142" i="2"/>
  <c r="J1334" i="2"/>
  <c r="L1334" i="2" s="1"/>
  <c r="J1159" i="2"/>
  <c r="L1159" i="2" s="1"/>
  <c r="L967" i="2"/>
  <c r="J973" i="2"/>
  <c r="L781" i="2"/>
  <c r="J1305" i="2"/>
  <c r="L1305" i="2" s="1"/>
  <c r="L1113" i="2"/>
  <c r="J1255" i="2"/>
  <c r="L1255" i="2" s="1"/>
  <c r="L1063" i="2"/>
  <c r="J1082" i="2"/>
  <c r="L890" i="2"/>
  <c r="J1327" i="2"/>
  <c r="L1327" i="2" s="1"/>
  <c r="L1135" i="2"/>
  <c r="L789" i="2"/>
  <c r="J981" i="2"/>
  <c r="J1302" i="2"/>
  <c r="L1302" i="2" s="1"/>
  <c r="L1110" i="2"/>
  <c r="J1260" i="2"/>
  <c r="L1260" i="2" s="1"/>
  <c r="L1068" i="2"/>
  <c r="J1319" i="2"/>
  <c r="L1319" i="2" s="1"/>
  <c r="L1127" i="2"/>
  <c r="J1265" i="2"/>
  <c r="L1265" i="2" s="1"/>
  <c r="L1073" i="2"/>
  <c r="J1183" i="2"/>
  <c r="L1183" i="2" s="1"/>
  <c r="L991" i="2"/>
  <c r="J1195" i="2"/>
  <c r="L1195" i="2" s="1"/>
  <c r="L1003" i="2"/>
  <c r="J994" i="2"/>
  <c r="L802" i="2"/>
  <c r="J1270" i="2"/>
  <c r="L1270" i="2" s="1"/>
  <c r="L1078" i="2"/>
  <c r="J1008" i="2"/>
  <c r="L816" i="2"/>
  <c r="J1211" i="2"/>
  <c r="L1211" i="2" s="1"/>
  <c r="L1019" i="2"/>
  <c r="J1098" i="2"/>
  <c r="L906" i="2"/>
  <c r="J1324" i="2"/>
  <c r="L1324" i="2" s="1"/>
  <c r="L1132" i="2"/>
  <c r="J1034" i="2"/>
  <c r="L842" i="2"/>
  <c r="L954" i="2"/>
  <c r="J1146" i="2"/>
  <c r="L1147" i="2"/>
  <c r="J1339" i="2"/>
  <c r="L1339" i="2" s="1"/>
  <c r="J980" i="2"/>
  <c r="L788" i="2"/>
  <c r="J1122" i="2"/>
  <c r="L930" i="2"/>
  <c r="J1022" i="2"/>
  <c r="L830" i="2"/>
  <c r="J1106" i="2"/>
  <c r="L914" i="2"/>
  <c r="J1311" i="2"/>
  <c r="L1311" i="2" s="1"/>
  <c r="L1119" i="2"/>
  <c r="L1131" i="2"/>
  <c r="J1323" i="2"/>
  <c r="L1323" i="2" s="1"/>
  <c r="J1332" i="2"/>
  <c r="L1332" i="2" s="1"/>
  <c r="L1140" i="2"/>
  <c r="L1104" i="2"/>
  <c r="J1296" i="2"/>
  <c r="L1296" i="2" s="1"/>
  <c r="K224" i="2"/>
  <c r="L223" i="2"/>
  <c r="J1042" i="2"/>
  <c r="L850" i="2"/>
  <c r="J996" i="2"/>
  <c r="L804" i="2"/>
  <c r="J988" i="2"/>
  <c r="L796" i="2"/>
  <c r="J1239" i="2"/>
  <c r="L1239" i="2" s="1"/>
  <c r="L1047" i="2"/>
  <c r="J1286" i="2"/>
  <c r="L1286" i="2" s="1"/>
  <c r="L1094" i="2"/>
  <c r="J1344" i="2"/>
  <c r="L1344" i="2" s="1"/>
  <c r="L1152" i="2"/>
  <c r="J984" i="2"/>
  <c r="L792" i="2"/>
  <c r="J1093" i="2"/>
  <c r="L901" i="2"/>
  <c r="J1109" i="2"/>
  <c r="L917" i="2"/>
  <c r="J1307" i="2"/>
  <c r="L1307" i="2" s="1"/>
  <c r="L1115" i="2"/>
  <c r="J1294" i="2"/>
  <c r="L1294" i="2" s="1"/>
  <c r="L1102" i="2"/>
  <c r="J1312" i="2"/>
  <c r="L1312" i="2" s="1"/>
  <c r="L1120" i="2"/>
  <c r="J1231" i="2"/>
  <c r="L1231" i="2" s="1"/>
  <c r="L1039" i="2"/>
  <c r="J1193" i="2"/>
  <c r="L1193" i="2" s="1"/>
  <c r="L1001" i="2"/>
  <c r="J1024" i="2"/>
  <c r="L832" i="2"/>
  <c r="J1016" i="2"/>
  <c r="L824" i="2"/>
  <c r="L1153" i="2"/>
  <c r="J1345" i="2"/>
  <c r="L1345" i="2" s="1"/>
  <c r="L1096" i="2"/>
  <c r="J1288" i="2"/>
  <c r="L1288" i="2" s="1"/>
  <c r="J1282" i="2"/>
  <c r="L1282" i="2" s="1"/>
  <c r="L1090" i="2"/>
  <c r="K491" i="2"/>
  <c r="L490" i="2"/>
  <c r="J1010" i="2"/>
  <c r="L818" i="2"/>
  <c r="J1295" i="2"/>
  <c r="L1295" i="2" s="1"/>
  <c r="L1103" i="2"/>
  <c r="J1203" i="2"/>
  <c r="L1203" i="2" s="1"/>
  <c r="L1011" i="2"/>
  <c r="J1267" i="2"/>
  <c r="L1267" i="2" s="1"/>
  <c r="L1075" i="2"/>
  <c r="L838" i="2"/>
  <c r="J1030" i="2"/>
  <c r="J1223" i="2"/>
  <c r="L1223" i="2" s="1"/>
  <c r="L1031" i="2"/>
  <c r="J1318" i="2"/>
  <c r="L1318" i="2" s="1"/>
  <c r="L1126" i="2"/>
  <c r="J1343" i="2"/>
  <c r="L1343" i="2" s="1"/>
  <c r="L1151" i="2"/>
  <c r="J1348" i="2"/>
  <c r="L1348" i="2" s="1"/>
  <c r="L1156" i="2"/>
  <c r="J1340" i="2"/>
  <c r="L1340" i="2" s="1"/>
  <c r="L1148" i="2"/>
  <c r="J1247" i="2"/>
  <c r="L1247" i="2" s="1"/>
  <c r="L1055" i="2"/>
  <c r="J1002" i="2"/>
  <c r="L810" i="2"/>
  <c r="J1244" i="2"/>
  <c r="L1244" i="2" s="1"/>
  <c r="L1052" i="2"/>
  <c r="J1217" i="2"/>
  <c r="L1217" i="2" s="1"/>
  <c r="L1025" i="2"/>
  <c r="J970" i="2"/>
  <c r="L778" i="2"/>
  <c r="J1241" i="2"/>
  <c r="L1241" i="2" s="1"/>
  <c r="L1049" i="2"/>
  <c r="AK119" i="3" l="1"/>
  <c r="AK167" i="3"/>
  <c r="AK126" i="3"/>
  <c r="BX156" i="1"/>
  <c r="BY156" i="1" s="1"/>
  <c r="BZ156" i="1" s="1"/>
  <c r="CL156" i="1" s="1"/>
  <c r="BX256" i="1"/>
  <c r="BY256" i="1" s="1"/>
  <c r="AK54" i="3"/>
  <c r="AK174" i="3"/>
  <c r="AK143" i="3"/>
  <c r="AK134" i="3"/>
  <c r="AK127" i="3"/>
  <c r="AK133" i="3"/>
  <c r="AK159" i="3"/>
  <c r="AK140" i="3"/>
  <c r="AK179" i="3"/>
  <c r="AK155" i="3"/>
  <c r="AK154" i="3"/>
  <c r="AK78" i="3"/>
  <c r="AK153" i="3"/>
  <c r="AK152" i="3"/>
  <c r="AK62" i="3"/>
  <c r="AK37" i="3"/>
  <c r="AK44" i="3"/>
  <c r="AK51" i="3"/>
  <c r="AK58" i="3"/>
  <c r="AK65" i="3"/>
  <c r="AK72" i="3"/>
  <c r="AK79" i="3"/>
  <c r="AK111" i="3"/>
  <c r="AK125" i="3"/>
  <c r="AK135" i="3"/>
  <c r="AK132" i="3"/>
  <c r="AK163" i="3"/>
  <c r="AK139" i="3"/>
  <c r="AK146" i="3"/>
  <c r="AK177" i="3"/>
  <c r="AK137" i="3"/>
  <c r="AK144" i="3"/>
  <c r="AK93" i="3"/>
  <c r="AK29" i="3"/>
  <c r="AK36" i="3"/>
  <c r="AK43" i="3"/>
  <c r="AK50" i="3"/>
  <c r="AK57" i="3"/>
  <c r="AK64" i="3"/>
  <c r="AK71" i="3"/>
  <c r="AK118" i="3"/>
  <c r="AK95" i="3"/>
  <c r="AK117" i="3"/>
  <c r="AK103" i="3"/>
  <c r="AK124" i="3"/>
  <c r="AK147" i="3"/>
  <c r="AK123" i="3"/>
  <c r="AK138" i="3"/>
  <c r="AK161" i="3"/>
  <c r="AK121" i="3"/>
  <c r="AK136" i="3"/>
  <c r="AK85" i="3"/>
  <c r="AK21" i="3"/>
  <c r="AK28" i="3"/>
  <c r="AK35" i="3"/>
  <c r="AK42" i="3"/>
  <c r="AK49" i="3"/>
  <c r="AK56" i="3"/>
  <c r="AK63" i="3"/>
  <c r="AK110" i="3"/>
  <c r="AK173" i="3"/>
  <c r="AK109" i="3"/>
  <c r="AK180" i="3"/>
  <c r="AK116" i="3"/>
  <c r="AK131" i="3"/>
  <c r="AK107" i="3"/>
  <c r="AK130" i="3"/>
  <c r="AK145" i="3"/>
  <c r="AK105" i="3"/>
  <c r="AK128" i="3"/>
  <c r="AK77" i="3"/>
  <c r="AK84" i="3"/>
  <c r="AK20" i="3"/>
  <c r="AK27" i="3"/>
  <c r="AK34" i="3"/>
  <c r="AK41" i="3"/>
  <c r="AK48" i="3"/>
  <c r="AK55" i="3"/>
  <c r="AI24" i="3"/>
  <c r="AI32" i="3"/>
  <c r="AI40" i="3"/>
  <c r="AI48" i="3"/>
  <c r="AI56" i="3"/>
  <c r="AI64" i="3"/>
  <c r="AI72" i="3"/>
  <c r="AI80" i="3"/>
  <c r="AI88" i="3"/>
  <c r="AI96" i="3"/>
  <c r="AI104" i="3"/>
  <c r="AI112" i="3"/>
  <c r="AI120" i="3"/>
  <c r="AI128" i="3"/>
  <c r="AI136" i="3"/>
  <c r="AI144" i="3"/>
  <c r="AI152" i="3"/>
  <c r="AI160" i="3"/>
  <c r="AI168" i="3"/>
  <c r="AI176" i="3"/>
  <c r="AI25" i="3"/>
  <c r="AI33" i="3"/>
  <c r="AI41" i="3"/>
  <c r="AI49" i="3"/>
  <c r="AI57" i="3"/>
  <c r="AI65" i="3"/>
  <c r="AI73" i="3"/>
  <c r="AI81" i="3"/>
  <c r="AI89" i="3"/>
  <c r="AI97" i="3"/>
  <c r="AI105" i="3"/>
  <c r="AI113" i="3"/>
  <c r="AI121" i="3"/>
  <c r="AI129" i="3"/>
  <c r="AI137" i="3"/>
  <c r="AI145" i="3"/>
  <c r="AI153" i="3"/>
  <c r="AI161" i="3"/>
  <c r="AI169" i="3"/>
  <c r="AI177" i="3"/>
  <c r="AI26" i="3"/>
  <c r="AI34" i="3"/>
  <c r="AI42" i="3"/>
  <c r="AI50" i="3"/>
  <c r="AI58" i="3"/>
  <c r="AI66" i="3"/>
  <c r="AI74" i="3"/>
  <c r="AI82" i="3"/>
  <c r="AI90" i="3"/>
  <c r="AI98" i="3"/>
  <c r="AI106" i="3"/>
  <c r="AI114" i="3"/>
  <c r="AI122" i="3"/>
  <c r="AI130" i="3"/>
  <c r="AI138" i="3"/>
  <c r="AI146" i="3"/>
  <c r="AI154" i="3"/>
  <c r="AI162" i="3"/>
  <c r="AI170" i="3"/>
  <c r="AI178" i="3"/>
  <c r="AI27" i="3"/>
  <c r="AI35" i="3"/>
  <c r="AI43" i="3"/>
  <c r="AI51" i="3"/>
  <c r="AI59" i="3"/>
  <c r="AI67" i="3"/>
  <c r="AI75" i="3"/>
  <c r="AI83" i="3"/>
  <c r="AI91" i="3"/>
  <c r="AI99" i="3"/>
  <c r="AI107" i="3"/>
  <c r="AI115" i="3"/>
  <c r="AI123" i="3"/>
  <c r="AI131" i="3"/>
  <c r="AI139" i="3"/>
  <c r="AI147" i="3"/>
  <c r="AI155" i="3"/>
  <c r="AI163" i="3"/>
  <c r="AI171" i="3"/>
  <c r="AI179" i="3"/>
  <c r="AI20" i="3"/>
  <c r="AI28" i="3"/>
  <c r="AI36" i="3"/>
  <c r="AI44" i="3"/>
  <c r="AI52" i="3"/>
  <c r="AI60" i="3"/>
  <c r="AI68" i="3"/>
  <c r="AI76" i="3"/>
  <c r="AI84" i="3"/>
  <c r="AI92" i="3"/>
  <c r="AI100" i="3"/>
  <c r="AI108" i="3"/>
  <c r="AI116" i="3"/>
  <c r="AI124" i="3"/>
  <c r="AI132" i="3"/>
  <c r="AI140" i="3"/>
  <c r="AI148" i="3"/>
  <c r="AI156" i="3"/>
  <c r="AI164" i="3"/>
  <c r="AI172" i="3"/>
  <c r="AI180" i="3"/>
  <c r="AI21" i="3"/>
  <c r="AI29" i="3"/>
  <c r="AI37" i="3"/>
  <c r="AI45" i="3"/>
  <c r="AI53" i="3"/>
  <c r="AI61" i="3"/>
  <c r="AI69" i="3"/>
  <c r="AI77" i="3"/>
  <c r="AI85" i="3"/>
  <c r="AI93" i="3"/>
  <c r="AI101" i="3"/>
  <c r="AI109" i="3"/>
  <c r="AI117" i="3"/>
  <c r="AI125" i="3"/>
  <c r="AI133" i="3"/>
  <c r="AI141" i="3"/>
  <c r="AI149" i="3"/>
  <c r="AI157" i="3"/>
  <c r="AI165" i="3"/>
  <c r="AI173" i="3"/>
  <c r="AI22" i="3"/>
  <c r="AI30" i="3"/>
  <c r="AI38" i="3"/>
  <c r="AI46" i="3"/>
  <c r="AI54" i="3"/>
  <c r="AI62" i="3"/>
  <c r="AI70" i="3"/>
  <c r="AI78" i="3"/>
  <c r="AI86" i="3"/>
  <c r="AI94" i="3"/>
  <c r="AI102" i="3"/>
  <c r="AI110" i="3"/>
  <c r="AI118" i="3"/>
  <c r="AI126" i="3"/>
  <c r="AI134" i="3"/>
  <c r="AI142" i="3"/>
  <c r="AI150" i="3"/>
  <c r="AI158" i="3"/>
  <c r="AI166" i="3"/>
  <c r="AI174" i="3"/>
  <c r="AI31" i="3"/>
  <c r="AI95" i="3"/>
  <c r="AI159" i="3"/>
  <c r="AI39" i="3"/>
  <c r="AI103" i="3"/>
  <c r="AI167" i="3"/>
  <c r="AI47" i="3"/>
  <c r="AI111" i="3"/>
  <c r="AI175" i="3"/>
  <c r="AI55" i="3"/>
  <c r="AI119" i="3"/>
  <c r="AI63" i="3"/>
  <c r="AI127" i="3"/>
  <c r="AI151" i="3"/>
  <c r="AI71" i="3"/>
  <c r="AI135" i="3"/>
  <c r="AI87" i="3"/>
  <c r="AI79" i="3"/>
  <c r="AI143" i="3"/>
  <c r="AI23" i="3"/>
  <c r="AK166" i="3"/>
  <c r="AK102" i="3"/>
  <c r="AK165" i="3"/>
  <c r="AK101" i="3"/>
  <c r="AK172" i="3"/>
  <c r="AK108" i="3"/>
  <c r="AK115" i="3"/>
  <c r="AK86" i="3"/>
  <c r="AK122" i="3"/>
  <c r="AK129" i="3"/>
  <c r="AK70" i="3"/>
  <c r="AK120" i="3"/>
  <c r="AK69" i="3"/>
  <c r="AK76" i="3"/>
  <c r="AK83" i="3"/>
  <c r="AK90" i="3"/>
  <c r="AK26" i="3"/>
  <c r="AK33" i="3"/>
  <c r="AK40" i="3"/>
  <c r="AK47" i="3"/>
  <c r="AG22" i="3"/>
  <c r="AG30" i="3"/>
  <c r="AG38" i="3"/>
  <c r="AG46" i="3"/>
  <c r="AG54" i="3"/>
  <c r="AG62" i="3"/>
  <c r="AG70" i="3"/>
  <c r="AG78" i="3"/>
  <c r="AG86" i="3"/>
  <c r="AG94" i="3"/>
  <c r="AG102" i="3"/>
  <c r="AG110" i="3"/>
  <c r="AG118" i="3"/>
  <c r="AG126" i="3"/>
  <c r="AG134" i="3"/>
  <c r="AG142" i="3"/>
  <c r="AG150" i="3"/>
  <c r="AG158" i="3"/>
  <c r="AG166" i="3"/>
  <c r="AG174" i="3"/>
  <c r="AG23" i="3"/>
  <c r="AG39" i="3"/>
  <c r="AG55" i="3"/>
  <c r="AG71" i="3"/>
  <c r="AG87" i="3"/>
  <c r="AG103" i="3"/>
  <c r="AG119" i="3"/>
  <c r="AG135" i="3"/>
  <c r="AG151" i="3"/>
  <c r="AG167" i="3"/>
  <c r="AG175" i="3"/>
  <c r="AG31" i="3"/>
  <c r="AG47" i="3"/>
  <c r="AG63" i="3"/>
  <c r="AG79" i="3"/>
  <c r="AG95" i="3"/>
  <c r="AG111" i="3"/>
  <c r="AG127" i="3"/>
  <c r="AG143" i="3"/>
  <c r="AG159" i="3"/>
  <c r="AG24" i="3"/>
  <c r="AG32" i="3"/>
  <c r="AG40" i="3"/>
  <c r="AG48" i="3"/>
  <c r="AG56" i="3"/>
  <c r="AG64" i="3"/>
  <c r="AG72" i="3"/>
  <c r="AG80" i="3"/>
  <c r="AG88" i="3"/>
  <c r="AG96" i="3"/>
  <c r="AG104" i="3"/>
  <c r="AG112" i="3"/>
  <c r="AG120" i="3"/>
  <c r="AG128" i="3"/>
  <c r="AG136" i="3"/>
  <c r="AG144" i="3"/>
  <c r="AG152" i="3"/>
  <c r="AG160" i="3"/>
  <c r="AG168" i="3"/>
  <c r="AG176" i="3"/>
  <c r="AG25" i="3"/>
  <c r="AG41" i="3"/>
  <c r="AG57" i="3"/>
  <c r="AG65" i="3"/>
  <c r="AG81" i="3"/>
  <c r="AG89" i="3"/>
  <c r="AG105" i="3"/>
  <c r="AG121" i="3"/>
  <c r="AG137" i="3"/>
  <c r="AG153" i="3"/>
  <c r="AG161" i="3"/>
  <c r="AG177" i="3"/>
  <c r="AG33" i="3"/>
  <c r="AG49" i="3"/>
  <c r="AG73" i="3"/>
  <c r="AG97" i="3"/>
  <c r="AG113" i="3"/>
  <c r="AG129" i="3"/>
  <c r="AG145" i="3"/>
  <c r="AG169" i="3"/>
  <c r="AG26" i="3"/>
  <c r="AG34" i="3"/>
  <c r="AG42" i="3"/>
  <c r="AG50" i="3"/>
  <c r="AG58" i="3"/>
  <c r="AG66" i="3"/>
  <c r="AG74" i="3"/>
  <c r="AG82" i="3"/>
  <c r="AG90" i="3"/>
  <c r="AG98" i="3"/>
  <c r="AG106" i="3"/>
  <c r="AG114" i="3"/>
  <c r="AG122" i="3"/>
  <c r="AG130" i="3"/>
  <c r="AG138" i="3"/>
  <c r="AG146" i="3"/>
  <c r="AG154" i="3"/>
  <c r="AG162" i="3"/>
  <c r="AG170" i="3"/>
  <c r="AG178" i="3"/>
  <c r="AG37" i="3"/>
  <c r="AG61" i="3"/>
  <c r="AG77" i="3"/>
  <c r="AG109" i="3"/>
  <c r="AG133" i="3"/>
  <c r="AG157" i="3"/>
  <c r="AG27" i="3"/>
  <c r="AG35" i="3"/>
  <c r="AG43" i="3"/>
  <c r="AG51" i="3"/>
  <c r="AG59" i="3"/>
  <c r="AG67" i="3"/>
  <c r="AG75" i="3"/>
  <c r="AG83" i="3"/>
  <c r="AG91" i="3"/>
  <c r="AG99" i="3"/>
  <c r="AG107" i="3"/>
  <c r="AG115" i="3"/>
  <c r="AG123" i="3"/>
  <c r="AG131" i="3"/>
  <c r="AG139" i="3"/>
  <c r="AG147" i="3"/>
  <c r="AG155" i="3"/>
  <c r="AG163" i="3"/>
  <c r="AG171" i="3"/>
  <c r="AG179" i="3"/>
  <c r="AG29" i="3"/>
  <c r="AG53" i="3"/>
  <c r="AG69" i="3"/>
  <c r="AG85" i="3"/>
  <c r="AG101" i="3"/>
  <c r="AG141" i="3"/>
  <c r="AG173" i="3"/>
  <c r="AG20" i="3"/>
  <c r="AG28" i="3"/>
  <c r="AG36" i="3"/>
  <c r="AG44" i="3"/>
  <c r="AG52" i="3"/>
  <c r="AG60" i="3"/>
  <c r="AG68" i="3"/>
  <c r="AG76" i="3"/>
  <c r="AG84" i="3"/>
  <c r="AG92" i="3"/>
  <c r="AG100" i="3"/>
  <c r="AG108" i="3"/>
  <c r="AG116" i="3"/>
  <c r="AG124" i="3"/>
  <c r="AG132" i="3"/>
  <c r="AG140" i="3"/>
  <c r="AG148" i="3"/>
  <c r="AG156" i="3"/>
  <c r="AG164" i="3"/>
  <c r="AG172" i="3"/>
  <c r="AG180" i="3"/>
  <c r="AG21" i="3"/>
  <c r="AG45" i="3"/>
  <c r="AG93" i="3"/>
  <c r="AG117" i="3"/>
  <c r="AG125" i="3"/>
  <c r="AG149" i="3"/>
  <c r="AG165" i="3"/>
  <c r="AK158" i="3"/>
  <c r="AK94" i="3"/>
  <c r="AK157" i="3"/>
  <c r="AK92" i="3"/>
  <c r="AK164" i="3"/>
  <c r="AK100" i="3"/>
  <c r="AK99" i="3"/>
  <c r="AK178" i="3"/>
  <c r="AK114" i="3"/>
  <c r="AK113" i="3"/>
  <c r="AK176" i="3"/>
  <c r="AK112" i="3"/>
  <c r="AK61" i="3"/>
  <c r="AK68" i="3"/>
  <c r="AK75" i="3"/>
  <c r="AK82" i="3"/>
  <c r="AK89" i="3"/>
  <c r="AK25" i="3"/>
  <c r="AK32" i="3"/>
  <c r="AK39" i="3"/>
  <c r="AK150" i="3"/>
  <c r="AK46" i="3"/>
  <c r="AK149" i="3"/>
  <c r="AK38" i="3"/>
  <c r="AK156" i="3"/>
  <c r="AK91" i="3"/>
  <c r="AK22" i="3"/>
  <c r="AK170" i="3"/>
  <c r="AK106" i="3"/>
  <c r="AK97" i="3"/>
  <c r="AK168" i="3"/>
  <c r="AK104" i="3"/>
  <c r="AK53" i="3"/>
  <c r="AK60" i="3"/>
  <c r="AK67" i="3"/>
  <c r="AK74" i="3"/>
  <c r="AK81" i="3"/>
  <c r="AK88" i="3"/>
  <c r="AK24" i="3"/>
  <c r="AK31" i="3"/>
  <c r="AK142" i="3"/>
  <c r="AK151" i="3"/>
  <c r="AK141" i="3"/>
  <c r="AK175" i="3"/>
  <c r="AK148" i="3"/>
  <c r="AK30" i="3"/>
  <c r="AK171" i="3"/>
  <c r="AK162" i="3"/>
  <c r="AK98" i="3"/>
  <c r="AK169" i="3"/>
  <c r="AK160" i="3"/>
  <c r="AK96" i="3"/>
  <c r="AK45" i="3"/>
  <c r="AK52" i="3"/>
  <c r="AK59" i="3"/>
  <c r="AK66" i="3"/>
  <c r="AK73" i="3"/>
  <c r="AK80" i="3"/>
  <c r="AK87" i="3"/>
  <c r="AK23" i="3"/>
  <c r="E16" i="3"/>
  <c r="G16" i="3"/>
  <c r="BD256" i="1"/>
  <c r="BA156" i="1"/>
  <c r="BB156" i="1" s="1"/>
  <c r="BD156" i="1"/>
  <c r="BA256" i="1"/>
  <c r="J1222" i="2"/>
  <c r="L1222" i="2" s="1"/>
  <c r="L1030" i="2"/>
  <c r="J1202" i="2"/>
  <c r="L1202" i="2" s="1"/>
  <c r="L1010" i="2"/>
  <c r="J1277" i="2"/>
  <c r="L1277" i="2" s="1"/>
  <c r="L1085" i="2"/>
  <c r="J1232" i="2"/>
  <c r="L1232" i="2" s="1"/>
  <c r="L1040" i="2"/>
  <c r="J1206" i="2"/>
  <c r="L1206" i="2" s="1"/>
  <c r="L1014" i="2"/>
  <c r="J1230" i="2"/>
  <c r="L1230" i="2" s="1"/>
  <c r="L1038" i="2"/>
  <c r="J1338" i="2"/>
  <c r="L1338" i="2" s="1"/>
  <c r="L1146" i="2"/>
  <c r="L1149" i="2"/>
  <c r="J1341" i="2"/>
  <c r="L1341" i="2" s="1"/>
  <c r="J1346" i="2"/>
  <c r="L1346" i="2" s="1"/>
  <c r="L1154" i="2"/>
  <c r="J1188" i="2"/>
  <c r="L1188" i="2" s="1"/>
  <c r="L996" i="2"/>
  <c r="J1214" i="2"/>
  <c r="L1214" i="2" s="1"/>
  <c r="L1022" i="2"/>
  <c r="J1274" i="2"/>
  <c r="L1274" i="2" s="1"/>
  <c r="L1082" i="2"/>
  <c r="J1204" i="2"/>
  <c r="L1204" i="2" s="1"/>
  <c r="L1012" i="2"/>
  <c r="J1157" i="2"/>
  <c r="L1157" i="2" s="1"/>
  <c r="L965" i="2"/>
  <c r="J1198" i="2"/>
  <c r="L1198" i="2" s="1"/>
  <c r="L1006" i="2"/>
  <c r="J1269" i="2"/>
  <c r="L1269" i="2" s="1"/>
  <c r="L1077" i="2"/>
  <c r="L1133" i="2"/>
  <c r="J1325" i="2"/>
  <c r="L1325" i="2" s="1"/>
  <c r="J1184" i="2"/>
  <c r="L1184" i="2" s="1"/>
  <c r="L992" i="2"/>
  <c r="J1196" i="2"/>
  <c r="L1196" i="2" s="1"/>
  <c r="L1004" i="2"/>
  <c r="J1236" i="2"/>
  <c r="L1236" i="2" s="1"/>
  <c r="L1044" i="2"/>
  <c r="J1160" i="2"/>
  <c r="L1160" i="2" s="1"/>
  <c r="L968" i="2"/>
  <c r="J1218" i="2"/>
  <c r="L1218" i="2" s="1"/>
  <c r="L1026" i="2"/>
  <c r="L1061" i="2"/>
  <c r="J1253" i="2"/>
  <c r="L1253" i="2" s="1"/>
  <c r="J1322" i="2"/>
  <c r="L1322" i="2" s="1"/>
  <c r="L1130" i="2"/>
  <c r="J1210" i="2"/>
  <c r="L1210" i="2" s="1"/>
  <c r="L1018" i="2"/>
  <c r="L1117" i="2"/>
  <c r="J1309" i="2"/>
  <c r="L1309" i="2" s="1"/>
  <c r="AF177" i="1"/>
  <c r="J1173" i="2"/>
  <c r="L1173" i="2" s="1"/>
  <c r="L981" i="2"/>
  <c r="J1266" i="2"/>
  <c r="L1266" i="2" s="1"/>
  <c r="L1074" i="2"/>
  <c r="J1174" i="2"/>
  <c r="L1174" i="2" s="1"/>
  <c r="L982" i="2"/>
  <c r="J1158" i="2"/>
  <c r="L1158" i="2" s="1"/>
  <c r="L966" i="2"/>
  <c r="J1194" i="2"/>
  <c r="L1194" i="2" s="1"/>
  <c r="L1002" i="2"/>
  <c r="K492" i="2"/>
  <c r="L491" i="2"/>
  <c r="J1208" i="2"/>
  <c r="L1208" i="2" s="1"/>
  <c r="L1016" i="2"/>
  <c r="L1093" i="2"/>
  <c r="J1285" i="2"/>
  <c r="L1285" i="2" s="1"/>
  <c r="K225" i="2"/>
  <c r="L224" i="2"/>
  <c r="J1172" i="2"/>
  <c r="L1172" i="2" s="1"/>
  <c r="L980" i="2"/>
  <c r="J1166" i="2"/>
  <c r="L1166" i="2" s="1"/>
  <c r="L974" i="2"/>
  <c r="J1178" i="2"/>
  <c r="L1178" i="2" s="1"/>
  <c r="L986" i="2"/>
  <c r="J1330" i="2"/>
  <c r="L1330" i="2" s="1"/>
  <c r="L1138" i="2"/>
  <c r="L10" i="2"/>
  <c r="T10" i="2" s="1"/>
  <c r="K11" i="2"/>
  <c r="J1224" i="2"/>
  <c r="L1224" i="2" s="1"/>
  <c r="L1032" i="2"/>
  <c r="J1170" i="2"/>
  <c r="L1170" i="2" s="1"/>
  <c r="L978" i="2"/>
  <c r="J1168" i="2"/>
  <c r="L1168" i="2" s="1"/>
  <c r="L976" i="2"/>
  <c r="J1306" i="2"/>
  <c r="L1306" i="2" s="1"/>
  <c r="L1114" i="2"/>
  <c r="J1261" i="2"/>
  <c r="L1261" i="2" s="1"/>
  <c r="L1069" i="2"/>
  <c r="L1109" i="2"/>
  <c r="J1301" i="2"/>
  <c r="L1301" i="2" s="1"/>
  <c r="J1314" i="2"/>
  <c r="L1314" i="2" s="1"/>
  <c r="L1122" i="2"/>
  <c r="J1200" i="2"/>
  <c r="L1200" i="2" s="1"/>
  <c r="L1008" i="2"/>
  <c r="J1234" i="2"/>
  <c r="L1234" i="2" s="1"/>
  <c r="L1042" i="2"/>
  <c r="J1226" i="2"/>
  <c r="L1226" i="2" s="1"/>
  <c r="L1034" i="2"/>
  <c r="J1317" i="2"/>
  <c r="L1317" i="2" s="1"/>
  <c r="L1125" i="2"/>
  <c r="J1164" i="2"/>
  <c r="L1164" i="2" s="1"/>
  <c r="L972" i="2"/>
  <c r="J1162" i="2"/>
  <c r="L1162" i="2" s="1"/>
  <c r="L970" i="2"/>
  <c r="J1216" i="2"/>
  <c r="L1216" i="2" s="1"/>
  <c r="L1024" i="2"/>
  <c r="J1176" i="2"/>
  <c r="L1176" i="2" s="1"/>
  <c r="L984" i="2"/>
  <c r="J1180" i="2"/>
  <c r="L1180" i="2" s="1"/>
  <c r="L988" i="2"/>
  <c r="J1298" i="2"/>
  <c r="L1298" i="2" s="1"/>
  <c r="L1106" i="2"/>
  <c r="J1290" i="2"/>
  <c r="L1290" i="2" s="1"/>
  <c r="L1098" i="2"/>
  <c r="J1186" i="2"/>
  <c r="L1186" i="2" s="1"/>
  <c r="L994" i="2"/>
  <c r="L973" i="2"/>
  <c r="J1165" i="2"/>
  <c r="L1165" i="2" s="1"/>
  <c r="J1228" i="2"/>
  <c r="L1228" i="2" s="1"/>
  <c r="L1036" i="2"/>
  <c r="J1258" i="2"/>
  <c r="L1258" i="2" s="1"/>
  <c r="L1066" i="2"/>
  <c r="J1212" i="2"/>
  <c r="L1212" i="2" s="1"/>
  <c r="L1020" i="2"/>
  <c r="J1190" i="2"/>
  <c r="L1190" i="2" s="1"/>
  <c r="L998" i="2"/>
  <c r="L1101" i="2"/>
  <c r="J1293" i="2"/>
  <c r="L1293" i="2" s="1"/>
  <c r="L1141" i="2"/>
  <c r="J1333" i="2"/>
  <c r="L1333" i="2" s="1"/>
  <c r="L1000" i="2"/>
  <c r="J1192" i="2"/>
  <c r="L1192" i="2" s="1"/>
  <c r="J1220" i="2"/>
  <c r="L1220" i="2" s="1"/>
  <c r="L1028" i="2"/>
  <c r="AK10" i="3" l="1"/>
  <c r="AM10" i="3" s="1"/>
  <c r="AL10" i="3"/>
  <c r="AN10" i="3" s="1"/>
  <c r="AK14" i="3"/>
  <c r="AM14" i="3" s="1"/>
  <c r="AL14" i="3"/>
  <c r="AN14" i="3" s="1"/>
  <c r="AK8" i="3"/>
  <c r="AM8" i="3" s="1"/>
  <c r="AL8" i="3"/>
  <c r="AN8" i="3" s="1"/>
  <c r="AL13" i="3"/>
  <c r="AN13" i="3" s="1"/>
  <c r="AL9" i="3"/>
  <c r="AN9" i="3" s="1"/>
  <c r="AL11" i="3"/>
  <c r="AN11" i="3" s="1"/>
  <c r="AL12" i="3"/>
  <c r="AN12" i="3" s="1"/>
  <c r="AK12" i="3"/>
  <c r="AM12" i="3" s="1"/>
  <c r="AK13" i="3"/>
  <c r="AM13" i="3" s="1"/>
  <c r="AK11" i="3"/>
  <c r="AM11" i="3" s="1"/>
  <c r="AK9" i="3"/>
  <c r="AM9" i="3" s="1"/>
  <c r="AL7" i="3"/>
  <c r="AK7" i="3"/>
  <c r="AJ125" i="3"/>
  <c r="AJ156" i="3"/>
  <c r="AJ92" i="3"/>
  <c r="AJ28" i="3"/>
  <c r="AJ29" i="3"/>
  <c r="AJ123" i="3"/>
  <c r="AJ59" i="3"/>
  <c r="AJ77" i="3"/>
  <c r="AJ138" i="3"/>
  <c r="AJ74" i="3"/>
  <c r="AJ145" i="3"/>
  <c r="AJ161" i="3"/>
  <c r="AJ57" i="3"/>
  <c r="AJ136" i="3"/>
  <c r="AJ72" i="3"/>
  <c r="AJ143" i="3"/>
  <c r="AJ175" i="3"/>
  <c r="AJ55" i="3"/>
  <c r="AJ134" i="3"/>
  <c r="AJ70" i="3"/>
  <c r="AL71" i="3"/>
  <c r="AL47" i="3"/>
  <c r="AL166" i="3"/>
  <c r="AL102" i="3"/>
  <c r="AL38" i="3"/>
  <c r="AL133" i="3"/>
  <c r="AL69" i="3"/>
  <c r="AL172" i="3"/>
  <c r="AL108" i="3"/>
  <c r="AL44" i="3"/>
  <c r="AL147" i="3"/>
  <c r="AL83" i="3"/>
  <c r="AL178" i="3"/>
  <c r="AL114" i="3"/>
  <c r="AL50" i="3"/>
  <c r="AL145" i="3"/>
  <c r="AL81" i="3"/>
  <c r="AL176" i="3"/>
  <c r="AL112" i="3"/>
  <c r="AL48" i="3"/>
  <c r="AJ117" i="3"/>
  <c r="AJ148" i="3"/>
  <c r="AJ84" i="3"/>
  <c r="AJ20" i="3"/>
  <c r="AJ179" i="3"/>
  <c r="AJ115" i="3"/>
  <c r="AJ51" i="3"/>
  <c r="AJ61" i="3"/>
  <c r="AJ130" i="3"/>
  <c r="AJ66" i="3"/>
  <c r="AJ129" i="3"/>
  <c r="AJ153" i="3"/>
  <c r="AJ41" i="3"/>
  <c r="AJ128" i="3"/>
  <c r="AJ64" i="3"/>
  <c r="AJ127" i="3"/>
  <c r="AJ167" i="3"/>
  <c r="AJ39" i="3"/>
  <c r="AJ126" i="3"/>
  <c r="AJ62" i="3"/>
  <c r="AL151" i="3"/>
  <c r="AL167" i="3"/>
  <c r="AL158" i="3"/>
  <c r="AL94" i="3"/>
  <c r="AL30" i="3"/>
  <c r="AL125" i="3"/>
  <c r="AL61" i="3"/>
  <c r="AL164" i="3"/>
  <c r="AL100" i="3"/>
  <c r="AL36" i="3"/>
  <c r="AL139" i="3"/>
  <c r="AL75" i="3"/>
  <c r="AL170" i="3"/>
  <c r="AL106" i="3"/>
  <c r="AL42" i="3"/>
  <c r="AL137" i="3"/>
  <c r="AL73" i="3"/>
  <c r="AL168" i="3"/>
  <c r="AL104" i="3"/>
  <c r="AL40" i="3"/>
  <c r="AJ93" i="3"/>
  <c r="AJ140" i="3"/>
  <c r="AJ76" i="3"/>
  <c r="AJ173" i="3"/>
  <c r="AJ171" i="3"/>
  <c r="AJ107" i="3"/>
  <c r="AJ43" i="3"/>
  <c r="AJ37" i="3"/>
  <c r="AJ122" i="3"/>
  <c r="AJ58" i="3"/>
  <c r="AJ113" i="3"/>
  <c r="AJ137" i="3"/>
  <c r="AJ25" i="3"/>
  <c r="AJ120" i="3"/>
  <c r="AJ56" i="3"/>
  <c r="AJ111" i="3"/>
  <c r="AJ151" i="3"/>
  <c r="AJ23" i="3"/>
  <c r="AJ118" i="3"/>
  <c r="AJ54" i="3"/>
  <c r="AL127" i="3"/>
  <c r="AL103" i="3"/>
  <c r="AL150" i="3"/>
  <c r="AL86" i="3"/>
  <c r="AL22" i="3"/>
  <c r="AL117" i="3"/>
  <c r="AL53" i="3"/>
  <c r="AL156" i="3"/>
  <c r="AL92" i="3"/>
  <c r="AL28" i="3"/>
  <c r="AL131" i="3"/>
  <c r="AL67" i="3"/>
  <c r="AL162" i="3"/>
  <c r="AL98" i="3"/>
  <c r="AL34" i="3"/>
  <c r="AL129" i="3"/>
  <c r="AL65" i="3"/>
  <c r="AL160" i="3"/>
  <c r="AL96" i="3"/>
  <c r="AL32" i="3"/>
  <c r="AJ45" i="3"/>
  <c r="AJ132" i="3"/>
  <c r="AJ68" i="3"/>
  <c r="AJ141" i="3"/>
  <c r="AJ163" i="3"/>
  <c r="AJ99" i="3"/>
  <c r="AJ35" i="3"/>
  <c r="AJ178" i="3"/>
  <c r="AJ114" i="3"/>
  <c r="AJ50" i="3"/>
  <c r="AJ97" i="3"/>
  <c r="AJ121" i="3"/>
  <c r="AJ176" i="3"/>
  <c r="AJ112" i="3"/>
  <c r="AJ48" i="3"/>
  <c r="AJ95" i="3"/>
  <c r="AJ135" i="3"/>
  <c r="AJ174" i="3"/>
  <c r="AJ110" i="3"/>
  <c r="AJ46" i="3"/>
  <c r="AL23" i="3"/>
  <c r="AL63" i="3"/>
  <c r="AL39" i="3"/>
  <c r="AL142" i="3"/>
  <c r="AL78" i="3"/>
  <c r="AL173" i="3"/>
  <c r="AL109" i="3"/>
  <c r="AL45" i="3"/>
  <c r="AL148" i="3"/>
  <c r="AL84" i="3"/>
  <c r="AL20" i="3"/>
  <c r="AL123" i="3"/>
  <c r="AL59" i="3"/>
  <c r="AL154" i="3"/>
  <c r="AL90" i="3"/>
  <c r="AL26" i="3"/>
  <c r="AL121" i="3"/>
  <c r="AL57" i="3"/>
  <c r="AL152" i="3"/>
  <c r="AL88" i="3"/>
  <c r="AL24" i="3"/>
  <c r="AJ21" i="3"/>
  <c r="AJ124" i="3"/>
  <c r="AJ60" i="3"/>
  <c r="AJ101" i="3"/>
  <c r="AJ155" i="3"/>
  <c r="AJ91" i="3"/>
  <c r="AJ27" i="3"/>
  <c r="AJ170" i="3"/>
  <c r="AJ106" i="3"/>
  <c r="AJ42" i="3"/>
  <c r="AJ73" i="3"/>
  <c r="AJ105" i="3"/>
  <c r="AJ168" i="3"/>
  <c r="AJ104" i="3"/>
  <c r="AJ40" i="3"/>
  <c r="AJ79" i="3"/>
  <c r="AJ119" i="3"/>
  <c r="AJ166" i="3"/>
  <c r="AJ102" i="3"/>
  <c r="AJ38" i="3"/>
  <c r="AL143" i="3"/>
  <c r="AL119" i="3"/>
  <c r="AL159" i="3"/>
  <c r="AL134" i="3"/>
  <c r="AL70" i="3"/>
  <c r="AL165" i="3"/>
  <c r="AL101" i="3"/>
  <c r="AL37" i="3"/>
  <c r="AL140" i="3"/>
  <c r="AL76" i="3"/>
  <c r="AL179" i="3"/>
  <c r="AL115" i="3"/>
  <c r="AL51" i="3"/>
  <c r="AL146" i="3"/>
  <c r="AL82" i="3"/>
  <c r="AL177" i="3"/>
  <c r="AL113" i="3"/>
  <c r="AL49" i="3"/>
  <c r="AL144" i="3"/>
  <c r="AL80" i="3"/>
  <c r="AJ180" i="3"/>
  <c r="AJ116" i="3"/>
  <c r="AJ52" i="3"/>
  <c r="AJ85" i="3"/>
  <c r="AJ147" i="3"/>
  <c r="AJ83" i="3"/>
  <c r="AJ157" i="3"/>
  <c r="AJ162" i="3"/>
  <c r="AJ98" i="3"/>
  <c r="AJ34" i="3"/>
  <c r="AJ49" i="3"/>
  <c r="AJ89" i="3"/>
  <c r="AJ160" i="3"/>
  <c r="AJ96" i="3"/>
  <c r="AJ32" i="3"/>
  <c r="AJ63" i="3"/>
  <c r="AJ103" i="3"/>
  <c r="AJ158" i="3"/>
  <c r="AJ94" i="3"/>
  <c r="AJ30" i="3"/>
  <c r="AL79" i="3"/>
  <c r="AL55" i="3"/>
  <c r="AL95" i="3"/>
  <c r="AL126" i="3"/>
  <c r="AL62" i="3"/>
  <c r="AL157" i="3"/>
  <c r="AL93" i="3"/>
  <c r="AL29" i="3"/>
  <c r="AL132" i="3"/>
  <c r="AL68" i="3"/>
  <c r="AL171" i="3"/>
  <c r="AL107" i="3"/>
  <c r="AL43" i="3"/>
  <c r="AL138" i="3"/>
  <c r="AL74" i="3"/>
  <c r="AL169" i="3"/>
  <c r="AL105" i="3"/>
  <c r="AL41" i="3"/>
  <c r="AL136" i="3"/>
  <c r="AL72" i="3"/>
  <c r="AJ165" i="3"/>
  <c r="AJ172" i="3"/>
  <c r="AJ108" i="3"/>
  <c r="AJ44" i="3"/>
  <c r="AJ69" i="3"/>
  <c r="AJ139" i="3"/>
  <c r="AJ75" i="3"/>
  <c r="AJ133" i="3"/>
  <c r="AJ154" i="3"/>
  <c r="AJ90" i="3"/>
  <c r="AJ26" i="3"/>
  <c r="AJ33" i="3"/>
  <c r="AJ81" i="3"/>
  <c r="AJ152" i="3"/>
  <c r="AJ88" i="3"/>
  <c r="AJ24" i="3"/>
  <c r="AJ47" i="3"/>
  <c r="AJ87" i="3"/>
  <c r="AJ150" i="3"/>
  <c r="AJ86" i="3"/>
  <c r="AJ22" i="3"/>
  <c r="AL87" i="3"/>
  <c r="AL175" i="3"/>
  <c r="AL31" i="3"/>
  <c r="AL118" i="3"/>
  <c r="AL54" i="3"/>
  <c r="AL149" i="3"/>
  <c r="AL85" i="3"/>
  <c r="AL21" i="3"/>
  <c r="AL124" i="3"/>
  <c r="AL60" i="3"/>
  <c r="AL163" i="3"/>
  <c r="AL99" i="3"/>
  <c r="AL35" i="3"/>
  <c r="AL130" i="3"/>
  <c r="AL66" i="3"/>
  <c r="AL161" i="3"/>
  <c r="AL97" i="3"/>
  <c r="AL33" i="3"/>
  <c r="AL128" i="3"/>
  <c r="AL64" i="3"/>
  <c r="AJ149" i="3"/>
  <c r="AJ164" i="3"/>
  <c r="AJ100" i="3"/>
  <c r="AJ36" i="3"/>
  <c r="AJ53" i="3"/>
  <c r="AJ131" i="3"/>
  <c r="AJ67" i="3"/>
  <c r="AJ109" i="3"/>
  <c r="AJ146" i="3"/>
  <c r="AJ82" i="3"/>
  <c r="AJ169" i="3"/>
  <c r="AJ177" i="3"/>
  <c r="AJ65" i="3"/>
  <c r="AJ144" i="3"/>
  <c r="AJ80" i="3"/>
  <c r="AJ159" i="3"/>
  <c r="AJ31" i="3"/>
  <c r="AJ71" i="3"/>
  <c r="AJ142" i="3"/>
  <c r="AJ78" i="3"/>
  <c r="AL135" i="3"/>
  <c r="AL111" i="3"/>
  <c r="AL174" i="3"/>
  <c r="AL110" i="3"/>
  <c r="AL46" i="3"/>
  <c r="AL141" i="3"/>
  <c r="AL77" i="3"/>
  <c r="AL180" i="3"/>
  <c r="AL116" i="3"/>
  <c r="AL52" i="3"/>
  <c r="AL155" i="3"/>
  <c r="AL91" i="3"/>
  <c r="AL27" i="3"/>
  <c r="AL122" i="3"/>
  <c r="AL58" i="3"/>
  <c r="AL153" i="3"/>
  <c r="AL89" i="3"/>
  <c r="AL25" i="3"/>
  <c r="AL120" i="3"/>
  <c r="AL56" i="3"/>
  <c r="CM156" i="1"/>
  <c r="CU156" i="1"/>
  <c r="BZ256" i="1"/>
  <c r="CL256" i="1" s="1"/>
  <c r="BB256" i="1"/>
  <c r="BE156" i="1"/>
  <c r="BF156" i="1" s="1"/>
  <c r="BE256" i="1"/>
  <c r="AF178" i="1"/>
  <c r="K226" i="2"/>
  <c r="L225" i="2"/>
  <c r="K12" i="2"/>
  <c r="L11" i="2"/>
  <c r="K493" i="2"/>
  <c r="L492" i="2"/>
  <c r="AN144" i="3" l="1"/>
  <c r="AO144" i="3"/>
  <c r="AM144" i="3"/>
  <c r="AN75" i="3"/>
  <c r="AM75" i="3"/>
  <c r="AO75" i="3"/>
  <c r="AO157" i="3"/>
  <c r="AN157" i="3"/>
  <c r="AM157" i="3"/>
  <c r="AO37" i="3"/>
  <c r="AN37" i="3"/>
  <c r="AM37" i="3"/>
  <c r="AN35" i="3"/>
  <c r="AM35" i="3"/>
  <c r="AO35" i="3"/>
  <c r="AN43" i="3"/>
  <c r="AM43" i="3"/>
  <c r="AO43" i="3"/>
  <c r="AO64" i="3"/>
  <c r="AN64" i="3"/>
  <c r="AM64" i="3"/>
  <c r="AO78" i="3"/>
  <c r="AN78" i="3"/>
  <c r="AM78" i="3"/>
  <c r="AM177" i="3"/>
  <c r="AO177" i="3"/>
  <c r="AN177" i="3"/>
  <c r="AO36" i="3"/>
  <c r="AN36" i="3"/>
  <c r="AM36" i="3"/>
  <c r="AO22" i="3"/>
  <c r="AN22" i="3"/>
  <c r="AM22" i="3"/>
  <c r="AO81" i="3"/>
  <c r="AM81" i="3"/>
  <c r="AN81" i="3"/>
  <c r="AO69" i="3"/>
  <c r="AN69" i="3"/>
  <c r="AM69" i="3"/>
  <c r="AO160" i="3"/>
  <c r="AN160" i="3"/>
  <c r="AM160" i="3"/>
  <c r="AN147" i="3"/>
  <c r="AM147" i="3"/>
  <c r="AO147" i="3"/>
  <c r="AN168" i="3"/>
  <c r="AO168" i="3"/>
  <c r="AM168" i="3"/>
  <c r="AN155" i="3"/>
  <c r="AM155" i="3"/>
  <c r="AO155" i="3"/>
  <c r="AN112" i="3"/>
  <c r="AO112" i="3"/>
  <c r="AM112" i="3"/>
  <c r="AN99" i="3"/>
  <c r="AM99" i="3"/>
  <c r="AO99" i="3"/>
  <c r="AN120" i="3"/>
  <c r="AO120" i="3"/>
  <c r="AM120" i="3"/>
  <c r="AN107" i="3"/>
  <c r="AM107" i="3"/>
  <c r="AO107" i="3"/>
  <c r="AN128" i="3"/>
  <c r="AO128" i="3"/>
  <c r="AM128" i="3"/>
  <c r="AN115" i="3"/>
  <c r="AM115" i="3"/>
  <c r="AO115" i="3"/>
  <c r="AN136" i="3"/>
  <c r="AO136" i="3"/>
  <c r="AM136" i="3"/>
  <c r="AN123" i="3"/>
  <c r="AM123" i="3"/>
  <c r="AO123" i="3"/>
  <c r="AN32" i="3"/>
  <c r="AO32" i="3"/>
  <c r="AM32" i="3"/>
  <c r="AN40" i="3"/>
  <c r="AO40" i="3"/>
  <c r="AM40" i="3"/>
  <c r="AM95" i="3"/>
  <c r="AO95" i="3"/>
  <c r="AN95" i="3"/>
  <c r="AM111" i="3"/>
  <c r="AO111" i="3"/>
  <c r="AN111" i="3"/>
  <c r="AM143" i="3"/>
  <c r="AO143" i="3"/>
  <c r="AN143" i="3"/>
  <c r="AN152" i="3"/>
  <c r="AO152" i="3"/>
  <c r="AM152" i="3"/>
  <c r="AN83" i="3"/>
  <c r="AM83" i="3"/>
  <c r="AO83" i="3"/>
  <c r="AN91" i="3"/>
  <c r="AM91" i="3"/>
  <c r="AO91" i="3"/>
  <c r="AN51" i="3"/>
  <c r="AM51" i="3"/>
  <c r="AO51" i="3"/>
  <c r="AO142" i="3"/>
  <c r="AN142" i="3"/>
  <c r="AM142" i="3"/>
  <c r="AO33" i="3"/>
  <c r="AM33" i="3"/>
  <c r="AN33" i="3"/>
  <c r="AO44" i="3"/>
  <c r="AN44" i="3"/>
  <c r="AM44" i="3"/>
  <c r="AO30" i="3"/>
  <c r="AN30" i="3"/>
  <c r="AM30" i="3"/>
  <c r="AO89" i="3"/>
  <c r="AN89" i="3"/>
  <c r="AM89" i="3"/>
  <c r="AO85" i="3"/>
  <c r="AN85" i="3"/>
  <c r="AM85" i="3"/>
  <c r="AO38" i="3"/>
  <c r="AN38" i="3"/>
  <c r="AM38" i="3"/>
  <c r="AO105" i="3"/>
  <c r="AM105" i="3"/>
  <c r="AN105" i="3"/>
  <c r="AO101" i="3"/>
  <c r="AN101" i="3"/>
  <c r="AM101" i="3"/>
  <c r="AN176" i="3"/>
  <c r="AO176" i="3"/>
  <c r="AM176" i="3"/>
  <c r="AN163" i="3"/>
  <c r="AM163" i="3"/>
  <c r="AO163" i="3"/>
  <c r="AM25" i="3"/>
  <c r="AO25" i="3"/>
  <c r="AN25" i="3"/>
  <c r="AN171" i="3"/>
  <c r="AM171" i="3"/>
  <c r="AO171" i="3"/>
  <c r="AO41" i="3"/>
  <c r="AN41" i="3"/>
  <c r="AM41" i="3"/>
  <c r="AN179" i="3"/>
  <c r="AM179" i="3"/>
  <c r="AO179" i="3"/>
  <c r="AM57" i="3"/>
  <c r="AO57" i="3"/>
  <c r="AN57" i="3"/>
  <c r="AO29" i="3"/>
  <c r="AN29" i="3"/>
  <c r="AM29" i="3"/>
  <c r="AO61" i="3"/>
  <c r="AN61" i="3"/>
  <c r="AM61" i="3"/>
  <c r="AO77" i="3"/>
  <c r="AN77" i="3"/>
  <c r="AM77" i="3"/>
  <c r="AO53" i="3"/>
  <c r="AN53" i="3"/>
  <c r="AM53" i="3"/>
  <c r="AN139" i="3"/>
  <c r="AO139" i="3"/>
  <c r="AM139" i="3"/>
  <c r="AN56" i="3"/>
  <c r="AO56" i="3"/>
  <c r="AM56" i="3"/>
  <c r="AN72" i="3"/>
  <c r="AO72" i="3"/>
  <c r="AM72" i="3"/>
  <c r="AO100" i="3"/>
  <c r="AN100" i="3"/>
  <c r="AM100" i="3"/>
  <c r="AM71" i="3"/>
  <c r="AO71" i="3"/>
  <c r="AN71" i="3"/>
  <c r="AM82" i="3"/>
  <c r="AN82" i="3"/>
  <c r="AO82" i="3"/>
  <c r="AO164" i="3"/>
  <c r="AN164" i="3"/>
  <c r="AM164" i="3"/>
  <c r="AO150" i="3"/>
  <c r="AN150" i="3"/>
  <c r="AM150" i="3"/>
  <c r="AM26" i="3"/>
  <c r="AN26" i="3"/>
  <c r="AO26" i="3"/>
  <c r="AO108" i="3"/>
  <c r="AN108" i="3"/>
  <c r="AM108" i="3"/>
  <c r="AO94" i="3"/>
  <c r="AN94" i="3"/>
  <c r="AM94" i="3"/>
  <c r="AO49" i="3"/>
  <c r="AM49" i="3"/>
  <c r="AN49" i="3"/>
  <c r="AO52" i="3"/>
  <c r="AN52" i="3"/>
  <c r="AM52" i="3"/>
  <c r="AO102" i="3"/>
  <c r="AN102" i="3"/>
  <c r="AM102" i="3"/>
  <c r="AO73" i="3"/>
  <c r="AM73" i="3"/>
  <c r="AN73" i="3"/>
  <c r="AO60" i="3"/>
  <c r="AN60" i="3"/>
  <c r="AM60" i="3"/>
  <c r="AO46" i="3"/>
  <c r="AN46" i="3"/>
  <c r="AM46" i="3"/>
  <c r="AO121" i="3"/>
  <c r="AM121" i="3"/>
  <c r="AN121" i="3"/>
  <c r="AO141" i="3"/>
  <c r="AN141" i="3"/>
  <c r="AM141" i="3"/>
  <c r="AO54" i="3"/>
  <c r="AN54" i="3"/>
  <c r="AM54" i="3"/>
  <c r="AO137" i="3"/>
  <c r="AN137" i="3"/>
  <c r="AM137" i="3"/>
  <c r="AO173" i="3"/>
  <c r="AN173" i="3"/>
  <c r="AM173" i="3"/>
  <c r="AO62" i="3"/>
  <c r="AN62" i="3"/>
  <c r="AM62" i="3"/>
  <c r="AO153" i="3"/>
  <c r="AM153" i="3"/>
  <c r="AN153" i="3"/>
  <c r="AO20" i="3"/>
  <c r="AN20" i="3"/>
  <c r="AM20" i="3"/>
  <c r="AO70" i="3"/>
  <c r="AN70" i="3"/>
  <c r="AM70" i="3"/>
  <c r="AO161" i="3"/>
  <c r="AM161" i="3"/>
  <c r="AN161" i="3"/>
  <c r="AO28" i="3"/>
  <c r="AN28" i="3"/>
  <c r="AM28" i="3"/>
  <c r="AN88" i="3"/>
  <c r="AO88" i="3"/>
  <c r="AM88" i="3"/>
  <c r="AN27" i="3"/>
  <c r="AM27" i="3"/>
  <c r="AO27" i="3"/>
  <c r="AM178" i="3"/>
  <c r="AN178" i="3"/>
  <c r="AO178" i="3"/>
  <c r="AM65" i="3"/>
  <c r="AO65" i="3"/>
  <c r="AN65" i="3"/>
  <c r="AN96" i="3"/>
  <c r="AO96" i="3"/>
  <c r="AM96" i="3"/>
  <c r="AO104" i="3"/>
  <c r="AN104" i="3"/>
  <c r="AM104" i="3"/>
  <c r="AO86" i="3"/>
  <c r="AN86" i="3"/>
  <c r="AM86" i="3"/>
  <c r="AM31" i="3"/>
  <c r="AO31" i="3"/>
  <c r="AN31" i="3"/>
  <c r="AM146" i="3"/>
  <c r="AO146" i="3"/>
  <c r="AN146" i="3"/>
  <c r="AO149" i="3"/>
  <c r="AN149" i="3"/>
  <c r="AM149" i="3"/>
  <c r="AO87" i="3"/>
  <c r="AM87" i="3"/>
  <c r="AN87" i="3"/>
  <c r="AM90" i="3"/>
  <c r="AO90" i="3"/>
  <c r="AN90" i="3"/>
  <c r="AO172" i="3"/>
  <c r="AN172" i="3"/>
  <c r="AM172" i="3"/>
  <c r="AO158" i="3"/>
  <c r="AN158" i="3"/>
  <c r="AM158" i="3"/>
  <c r="AM34" i="3"/>
  <c r="AN34" i="3"/>
  <c r="AO34" i="3"/>
  <c r="AO116" i="3"/>
  <c r="AN116" i="3"/>
  <c r="AM116" i="3"/>
  <c r="AO166" i="3"/>
  <c r="AN166" i="3"/>
  <c r="AM166" i="3"/>
  <c r="AM42" i="3"/>
  <c r="AN42" i="3"/>
  <c r="AO42" i="3"/>
  <c r="AO124" i="3"/>
  <c r="AN124" i="3"/>
  <c r="AM124" i="3"/>
  <c r="AO110" i="3"/>
  <c r="AN110" i="3"/>
  <c r="AM110" i="3"/>
  <c r="AO97" i="3"/>
  <c r="AM97" i="3"/>
  <c r="AN97" i="3"/>
  <c r="AO68" i="3"/>
  <c r="AN68" i="3"/>
  <c r="AM68" i="3"/>
  <c r="AO118" i="3"/>
  <c r="AN118" i="3"/>
  <c r="AM118" i="3"/>
  <c r="AM113" i="3"/>
  <c r="AO113" i="3"/>
  <c r="AN113" i="3"/>
  <c r="AO76" i="3"/>
  <c r="AN76" i="3"/>
  <c r="AM76" i="3"/>
  <c r="AO126" i="3"/>
  <c r="AN126" i="3"/>
  <c r="AM126" i="3"/>
  <c r="AM129" i="3"/>
  <c r="AO129" i="3"/>
  <c r="AN129" i="3"/>
  <c r="AO84" i="3"/>
  <c r="AN84" i="3"/>
  <c r="AM84" i="3"/>
  <c r="AO134" i="3"/>
  <c r="AN134" i="3"/>
  <c r="AM134" i="3"/>
  <c r="AO145" i="3"/>
  <c r="AM145" i="3"/>
  <c r="AN145" i="3"/>
  <c r="AO92" i="3"/>
  <c r="AN92" i="3"/>
  <c r="AM92" i="3"/>
  <c r="AN131" i="3"/>
  <c r="AM131" i="3"/>
  <c r="AO131" i="3"/>
  <c r="AO127" i="3"/>
  <c r="AM127" i="3"/>
  <c r="AN127" i="3"/>
  <c r="AO109" i="3"/>
  <c r="AN109" i="3"/>
  <c r="AM109" i="3"/>
  <c r="AO47" i="3"/>
  <c r="AM47" i="3"/>
  <c r="AN47" i="3"/>
  <c r="AM154" i="3"/>
  <c r="AN154" i="3"/>
  <c r="AO154" i="3"/>
  <c r="AO165" i="3"/>
  <c r="AN165" i="3"/>
  <c r="AM165" i="3"/>
  <c r="AM103" i="3"/>
  <c r="AO103" i="3"/>
  <c r="AN103" i="3"/>
  <c r="AM98" i="3"/>
  <c r="AN98" i="3"/>
  <c r="AO98" i="3"/>
  <c r="AO180" i="3"/>
  <c r="AN180" i="3"/>
  <c r="AM180" i="3"/>
  <c r="AO119" i="3"/>
  <c r="AN119" i="3"/>
  <c r="AM119" i="3"/>
  <c r="AM106" i="3"/>
  <c r="AN106" i="3"/>
  <c r="AO106" i="3"/>
  <c r="AO21" i="3"/>
  <c r="AN21" i="3"/>
  <c r="AM21" i="3"/>
  <c r="AO174" i="3"/>
  <c r="AN174" i="3"/>
  <c r="AM174" i="3"/>
  <c r="AM50" i="3"/>
  <c r="AN50" i="3"/>
  <c r="AO50" i="3"/>
  <c r="AO132" i="3"/>
  <c r="AN132" i="3"/>
  <c r="AM132" i="3"/>
  <c r="AM23" i="3"/>
  <c r="AO23" i="3"/>
  <c r="AN23" i="3"/>
  <c r="AM58" i="3"/>
  <c r="AO58" i="3"/>
  <c r="AN58" i="3"/>
  <c r="AO140" i="3"/>
  <c r="AN140" i="3"/>
  <c r="AM140" i="3"/>
  <c r="AO39" i="3"/>
  <c r="AN39" i="3"/>
  <c r="AM39" i="3"/>
  <c r="AM66" i="3"/>
  <c r="AN66" i="3"/>
  <c r="AO66" i="3"/>
  <c r="AO148" i="3"/>
  <c r="AN148" i="3"/>
  <c r="AM148" i="3"/>
  <c r="AM55" i="3"/>
  <c r="AO55" i="3"/>
  <c r="AN55" i="3"/>
  <c r="AM74" i="3"/>
  <c r="AN74" i="3"/>
  <c r="AO74" i="3"/>
  <c r="AO156" i="3"/>
  <c r="AN156" i="3"/>
  <c r="AM156" i="3"/>
  <c r="AN48" i="3"/>
  <c r="AO48" i="3"/>
  <c r="AM48" i="3"/>
  <c r="AN59" i="3"/>
  <c r="AM59" i="3"/>
  <c r="AO59" i="3"/>
  <c r="AO169" i="3"/>
  <c r="AN169" i="3"/>
  <c r="AM169" i="3"/>
  <c r="AO159" i="3"/>
  <c r="AN159" i="3"/>
  <c r="AM159" i="3"/>
  <c r="AN80" i="3"/>
  <c r="AO80" i="3"/>
  <c r="AM80" i="3"/>
  <c r="AN67" i="3"/>
  <c r="AM67" i="3"/>
  <c r="AO67" i="3"/>
  <c r="AN24" i="3"/>
  <c r="AO24" i="3"/>
  <c r="AM24" i="3"/>
  <c r="AO133" i="3"/>
  <c r="AN133" i="3"/>
  <c r="AM133" i="3"/>
  <c r="AM63" i="3"/>
  <c r="AO63" i="3"/>
  <c r="AN63" i="3"/>
  <c r="AM162" i="3"/>
  <c r="AN162" i="3"/>
  <c r="AO162" i="3"/>
  <c r="AO79" i="3"/>
  <c r="AN79" i="3"/>
  <c r="AM79" i="3"/>
  <c r="AM170" i="3"/>
  <c r="AN170" i="3"/>
  <c r="AO170" i="3"/>
  <c r="AM135" i="3"/>
  <c r="AO135" i="3"/>
  <c r="AN135" i="3"/>
  <c r="AM114" i="3"/>
  <c r="AN114" i="3"/>
  <c r="AO114" i="3"/>
  <c r="AO45" i="3"/>
  <c r="AN45" i="3"/>
  <c r="AM45" i="3"/>
  <c r="AO151" i="3"/>
  <c r="AM151" i="3"/>
  <c r="AN151" i="3"/>
  <c r="AM122" i="3"/>
  <c r="AN122" i="3"/>
  <c r="AO122" i="3"/>
  <c r="AO93" i="3"/>
  <c r="AN93" i="3"/>
  <c r="AM93" i="3"/>
  <c r="AM167" i="3"/>
  <c r="AO167" i="3"/>
  <c r="AN167" i="3"/>
  <c r="AM130" i="3"/>
  <c r="AN130" i="3"/>
  <c r="AO130" i="3"/>
  <c r="AO117" i="3"/>
  <c r="AN117" i="3"/>
  <c r="AM117" i="3"/>
  <c r="AO175" i="3"/>
  <c r="AM175" i="3"/>
  <c r="AN175" i="3"/>
  <c r="AM138" i="3"/>
  <c r="AN138" i="3"/>
  <c r="AO138" i="3"/>
  <c r="AO125" i="3"/>
  <c r="AN125" i="3"/>
  <c r="AM125" i="3"/>
  <c r="AO10" i="3"/>
  <c r="AP10" i="3" s="1"/>
  <c r="V10" i="3" s="1"/>
  <c r="AO12" i="3"/>
  <c r="AP12" i="3" s="1"/>
  <c r="V12" i="3" s="1"/>
  <c r="AO9" i="3"/>
  <c r="AP9" i="3" s="1"/>
  <c r="V9" i="3" s="1"/>
  <c r="AD14" i="3"/>
  <c r="AF14" i="3" s="1"/>
  <c r="AE14" i="3"/>
  <c r="AG14" i="3" s="1"/>
  <c r="AD12" i="3"/>
  <c r="AF12" i="3" s="1"/>
  <c r="AE12" i="3"/>
  <c r="AG12" i="3" s="1"/>
  <c r="AE10" i="3"/>
  <c r="AG10" i="3" s="1"/>
  <c r="AD9" i="3"/>
  <c r="AF9" i="3" s="1"/>
  <c r="AE9" i="3"/>
  <c r="AG9" i="3" s="1"/>
  <c r="AD10" i="3"/>
  <c r="AF10" i="3" s="1"/>
  <c r="AD13" i="3"/>
  <c r="AF13" i="3" s="1"/>
  <c r="AD11" i="3"/>
  <c r="AF11" i="3" s="1"/>
  <c r="AE13" i="3"/>
  <c r="AG13" i="3" s="1"/>
  <c r="AE11" i="3"/>
  <c r="AG11" i="3" s="1"/>
  <c r="AE8" i="3"/>
  <c r="AG8" i="3" s="1"/>
  <c r="AD8" i="3"/>
  <c r="AF8" i="3" s="1"/>
  <c r="AS10" i="3"/>
  <c r="AU10" i="3" s="1"/>
  <c r="AS14" i="3"/>
  <c r="AU14" i="3" s="1"/>
  <c r="AR9" i="3"/>
  <c r="AT9" i="3" s="1"/>
  <c r="AS7" i="3"/>
  <c r="AU7" i="3" s="1"/>
  <c r="AR7" i="3"/>
  <c r="AT7" i="3" s="1"/>
  <c r="AS8" i="3"/>
  <c r="AU8" i="3" s="1"/>
  <c r="AS12" i="3"/>
  <c r="AU12" i="3" s="1"/>
  <c r="AR14" i="3"/>
  <c r="AT14" i="3" s="1"/>
  <c r="AS13" i="3"/>
  <c r="AU13" i="3" s="1"/>
  <c r="AS11" i="3"/>
  <c r="AU11" i="3" s="1"/>
  <c r="AS9" i="3"/>
  <c r="AU9" i="3" s="1"/>
  <c r="AR10" i="3"/>
  <c r="AT10" i="3" s="1"/>
  <c r="AR12" i="3"/>
  <c r="AT12" i="3" s="1"/>
  <c r="AR8" i="3"/>
  <c r="AT8" i="3" s="1"/>
  <c r="AR13" i="3"/>
  <c r="AT13" i="3" s="1"/>
  <c r="AR11" i="3"/>
  <c r="AT11" i="3" s="1"/>
  <c r="AO8" i="3"/>
  <c r="AP8" i="3" s="1"/>
  <c r="V8" i="3" s="1"/>
  <c r="AO13" i="3"/>
  <c r="AP13" i="3" s="1"/>
  <c r="V13" i="3" s="1"/>
  <c r="AO14" i="3"/>
  <c r="AP14" i="3" s="1"/>
  <c r="V14" i="3" s="1"/>
  <c r="AO11" i="3"/>
  <c r="AP11" i="3" s="1"/>
  <c r="V11" i="3" s="1"/>
  <c r="AM7" i="3"/>
  <c r="AN7" i="3"/>
  <c r="AD7" i="3"/>
  <c r="AE7" i="3"/>
  <c r="CM256" i="1"/>
  <c r="CN256" i="1" s="1"/>
  <c r="CU256" i="1"/>
  <c r="CG156" i="1"/>
  <c r="CQ156" i="1" s="1"/>
  <c r="BF256" i="1"/>
  <c r="K494" i="2"/>
  <c r="L493" i="2"/>
  <c r="L12" i="2"/>
  <c r="Q12" i="2" s="1"/>
  <c r="K13" i="2"/>
  <c r="K227" i="2"/>
  <c r="L226" i="2"/>
  <c r="AF179" i="1"/>
  <c r="AV7" i="3" l="1"/>
  <c r="AV11" i="3"/>
  <c r="AV14" i="3"/>
  <c r="AV12" i="3"/>
  <c r="AH8" i="3"/>
  <c r="AI8" i="3" s="1"/>
  <c r="U8" i="3" s="1"/>
  <c r="AH12" i="3"/>
  <c r="AI12" i="3" s="1"/>
  <c r="U12" i="3" s="1"/>
  <c r="AV10" i="3"/>
  <c r="AH10" i="3"/>
  <c r="AI10" i="3" s="1"/>
  <c r="U10" i="3" s="1"/>
  <c r="AH9" i="3"/>
  <c r="AI9" i="3" s="1"/>
  <c r="U9" i="3" s="1"/>
  <c r="AV13" i="3"/>
  <c r="AV8" i="3"/>
  <c r="AH11" i="3"/>
  <c r="AI11" i="3" s="1"/>
  <c r="U11" i="3" s="1"/>
  <c r="AV9" i="3"/>
  <c r="AH13" i="3"/>
  <c r="AI13" i="3" s="1"/>
  <c r="U13" i="3" s="1"/>
  <c r="AH14" i="3"/>
  <c r="AI14" i="3" s="1"/>
  <c r="U14" i="3" s="1"/>
  <c r="AO7" i="3"/>
  <c r="AF7" i="3"/>
  <c r="AG7" i="3"/>
  <c r="CV256" i="1"/>
  <c r="CG256" i="1"/>
  <c r="CQ256" i="1" s="1"/>
  <c r="CH156" i="1"/>
  <c r="AF180" i="1"/>
  <c r="K228" i="2"/>
  <c r="L227" i="2"/>
  <c r="K14" i="2"/>
  <c r="L13" i="2"/>
  <c r="Q13" i="2" s="1"/>
  <c r="K495" i="2"/>
  <c r="L494" i="2"/>
  <c r="AW10" i="3" l="1"/>
  <c r="W10" i="3" s="1"/>
  <c r="AW12" i="3"/>
  <c r="W12" i="3" s="1"/>
  <c r="AW8" i="3"/>
  <c r="W8" i="3" s="1"/>
  <c r="AW14" i="3"/>
  <c r="W14" i="3" s="1"/>
  <c r="AW9" i="3"/>
  <c r="W9" i="3" s="1"/>
  <c r="AW11" i="3"/>
  <c r="W11" i="3" s="1"/>
  <c r="AW13" i="3"/>
  <c r="W13" i="3" s="1"/>
  <c r="AW7" i="3"/>
  <c r="W7" i="3" s="1"/>
  <c r="AP7" i="3"/>
  <c r="V7" i="3" s="1"/>
  <c r="AH7" i="3"/>
  <c r="CH256" i="1"/>
  <c r="CI256" i="1" s="1"/>
  <c r="CR256" i="1" s="1"/>
  <c r="K496" i="2"/>
  <c r="L495" i="2"/>
  <c r="K15" i="2"/>
  <c r="L14" i="2"/>
  <c r="K229" i="2"/>
  <c r="L228" i="2"/>
  <c r="AF181" i="1"/>
  <c r="AI7" i="3" l="1"/>
  <c r="U7" i="3" s="1"/>
  <c r="K230" i="2"/>
  <c r="L229" i="2"/>
  <c r="K16" i="2"/>
  <c r="AF182" i="1"/>
  <c r="K497" i="2"/>
  <c r="L496" i="2"/>
  <c r="K498" i="2" l="1"/>
  <c r="L497" i="2"/>
  <c r="K17" i="2"/>
  <c r="L16" i="2"/>
  <c r="AF183" i="1"/>
  <c r="K231" i="2"/>
  <c r="L230" i="2"/>
  <c r="K232" i="2" l="1"/>
  <c r="L231" i="2"/>
  <c r="AF184" i="1"/>
  <c r="L17" i="2"/>
  <c r="K18" i="2"/>
  <c r="K499" i="2"/>
  <c r="L498" i="2"/>
  <c r="AF185" i="1" l="1"/>
  <c r="K500" i="2"/>
  <c r="L499" i="2"/>
  <c r="K19" i="2"/>
  <c r="L18" i="2"/>
  <c r="K233" i="2"/>
  <c r="L232" i="2"/>
  <c r="K501" i="2" l="1"/>
  <c r="L500" i="2"/>
  <c r="K234" i="2"/>
  <c r="L233" i="2"/>
  <c r="K20" i="2"/>
  <c r="L19" i="2"/>
  <c r="AF186" i="1"/>
  <c r="AF187" i="1" l="1"/>
  <c r="L20" i="2"/>
  <c r="K21" i="2"/>
  <c r="K235" i="2"/>
  <c r="L234" i="2"/>
  <c r="K502" i="2"/>
  <c r="L501" i="2"/>
  <c r="K236" i="2" l="1"/>
  <c r="L235" i="2"/>
  <c r="K503" i="2"/>
  <c r="L502" i="2"/>
  <c r="K22" i="2"/>
  <c r="L21" i="2"/>
  <c r="AF188" i="1"/>
  <c r="K23" i="2" l="1"/>
  <c r="L22" i="2"/>
  <c r="AF189" i="1"/>
  <c r="K504" i="2"/>
  <c r="L503" i="2"/>
  <c r="K237" i="2"/>
  <c r="L236" i="2"/>
  <c r="K505" i="2" l="1"/>
  <c r="L504" i="2"/>
  <c r="K238" i="2"/>
  <c r="L237" i="2"/>
  <c r="AF190" i="1"/>
  <c r="K24" i="2"/>
  <c r="L23" i="2"/>
  <c r="K25" i="2" l="1"/>
  <c r="L24" i="2"/>
  <c r="K239" i="2"/>
  <c r="L238" i="2"/>
  <c r="AF191" i="1"/>
  <c r="K506" i="2"/>
  <c r="L505" i="2"/>
  <c r="K507" i="2" l="1"/>
  <c r="L506" i="2"/>
  <c r="K240" i="2"/>
  <c r="L239" i="2"/>
  <c r="AF192" i="1"/>
  <c r="L25" i="2"/>
  <c r="K26" i="2"/>
  <c r="K27" i="2" l="1"/>
  <c r="L26" i="2"/>
  <c r="AF193" i="1"/>
  <c r="K241" i="2"/>
  <c r="L240" i="2"/>
  <c r="K508" i="2"/>
  <c r="L507" i="2"/>
  <c r="K242" i="2" l="1"/>
  <c r="L241" i="2"/>
  <c r="AF194" i="1"/>
  <c r="K509" i="2"/>
  <c r="L508" i="2"/>
  <c r="K28" i="2"/>
  <c r="L27" i="2"/>
  <c r="K29" i="2" l="1"/>
  <c r="L28" i="2"/>
  <c r="K510" i="2"/>
  <c r="L509" i="2"/>
  <c r="AF195" i="1"/>
  <c r="K243" i="2"/>
  <c r="L242" i="2"/>
  <c r="K244" i="2" l="1"/>
  <c r="L243" i="2"/>
  <c r="AF196" i="1"/>
  <c r="K511" i="2"/>
  <c r="L510" i="2"/>
  <c r="L29" i="2"/>
  <c r="K30" i="2"/>
  <c r="K512" i="2" l="1"/>
  <c r="L511" i="2"/>
  <c r="AF197" i="1"/>
  <c r="K31" i="2"/>
  <c r="L30" i="2"/>
  <c r="K245" i="2"/>
  <c r="L244" i="2"/>
  <c r="AF198" i="1" l="1"/>
  <c r="K246" i="2"/>
  <c r="L245" i="2"/>
  <c r="L31" i="2"/>
  <c r="K32" i="2"/>
  <c r="K513" i="2"/>
  <c r="L512" i="2"/>
  <c r="K514" i="2" l="1"/>
  <c r="L513" i="2"/>
  <c r="K247" i="2"/>
  <c r="L246" i="2"/>
  <c r="L32" i="2"/>
  <c r="K33" i="2"/>
  <c r="AF199" i="1"/>
  <c r="AF200" i="1" l="1"/>
  <c r="K34" i="2"/>
  <c r="L33" i="2"/>
  <c r="K248" i="2"/>
  <c r="L247" i="2"/>
  <c r="K515" i="2"/>
  <c r="L514" i="2"/>
  <c r="L34" i="2" l="1"/>
  <c r="K35" i="2"/>
  <c r="K249" i="2"/>
  <c r="L248" i="2"/>
  <c r="K516" i="2"/>
  <c r="L515" i="2"/>
  <c r="AF201" i="1"/>
  <c r="AF202" i="1" l="1"/>
  <c r="K517" i="2"/>
  <c r="L516" i="2"/>
  <c r="K250" i="2"/>
  <c r="L249" i="2"/>
  <c r="K36" i="2"/>
  <c r="L35" i="2"/>
  <c r="K37" i="2" l="1"/>
  <c r="L36" i="2"/>
  <c r="K518" i="2"/>
  <c r="L517" i="2"/>
  <c r="K251" i="2"/>
  <c r="L250" i="2"/>
  <c r="AF203" i="1"/>
  <c r="AF204" i="1" l="1"/>
  <c r="K519" i="2"/>
  <c r="L518" i="2"/>
  <c r="K252" i="2"/>
  <c r="L251" i="2"/>
  <c r="L37" i="2"/>
  <c r="K38" i="2"/>
  <c r="K39" i="2" l="1"/>
  <c r="L38" i="2"/>
  <c r="K253" i="2"/>
  <c r="L252" i="2"/>
  <c r="K520" i="2"/>
  <c r="L519" i="2"/>
  <c r="AF205" i="1"/>
  <c r="K254" i="2" l="1"/>
  <c r="L253" i="2"/>
  <c r="AF206" i="1"/>
  <c r="K521" i="2"/>
  <c r="L520" i="2"/>
  <c r="L39" i="2"/>
  <c r="K40" i="2"/>
  <c r="AF207" i="1" l="1"/>
  <c r="K522" i="2"/>
  <c r="L521" i="2"/>
  <c r="L40" i="2"/>
  <c r="K41" i="2"/>
  <c r="K255" i="2"/>
  <c r="L254" i="2"/>
  <c r="K42" i="2" l="1"/>
  <c r="L41" i="2"/>
  <c r="K523" i="2"/>
  <c r="L522" i="2"/>
  <c r="K256" i="2"/>
  <c r="L255" i="2"/>
  <c r="AF208" i="1"/>
  <c r="AF209" i="1" l="1"/>
  <c r="K257" i="2"/>
  <c r="L256" i="2"/>
  <c r="K524" i="2"/>
  <c r="L523" i="2"/>
  <c r="L42" i="2"/>
  <c r="K43" i="2"/>
  <c r="K44" i="2" l="1"/>
  <c r="L43" i="2"/>
  <c r="K525" i="2"/>
  <c r="L524" i="2"/>
  <c r="K258" i="2"/>
  <c r="L257" i="2"/>
  <c r="AF210" i="1"/>
  <c r="AF211" i="1" l="1"/>
  <c r="K259" i="2"/>
  <c r="L258" i="2"/>
  <c r="K526" i="2"/>
  <c r="L525" i="2"/>
  <c r="K45" i="2"/>
  <c r="L44" i="2"/>
  <c r="L45" i="2" l="1"/>
  <c r="K46" i="2"/>
  <c r="K527" i="2"/>
  <c r="L526" i="2"/>
  <c r="K260" i="2"/>
  <c r="L259" i="2"/>
  <c r="AF212" i="1"/>
  <c r="AF213" i="1" l="1"/>
  <c r="K261" i="2"/>
  <c r="L260" i="2"/>
  <c r="K528" i="2"/>
  <c r="L527" i="2"/>
  <c r="K47" i="2"/>
  <c r="L46" i="2"/>
  <c r="K529" i="2" l="1"/>
  <c r="L528" i="2"/>
  <c r="K262" i="2"/>
  <c r="L261" i="2"/>
  <c r="L47" i="2"/>
  <c r="K48" i="2"/>
  <c r="AF214" i="1"/>
  <c r="L48" i="2" l="1"/>
  <c r="K49" i="2"/>
  <c r="AF215" i="1"/>
  <c r="K263" i="2"/>
  <c r="L262" i="2"/>
  <c r="K530" i="2"/>
  <c r="L529" i="2"/>
  <c r="AF216" i="1" l="1"/>
  <c r="K264" i="2"/>
  <c r="L263" i="2"/>
  <c r="K50" i="2"/>
  <c r="L49" i="2"/>
  <c r="K531" i="2"/>
  <c r="L530" i="2"/>
  <c r="K532" i="2" l="1"/>
  <c r="L531" i="2"/>
  <c r="L50" i="2"/>
  <c r="K51" i="2"/>
  <c r="K265" i="2"/>
  <c r="L264" i="2"/>
  <c r="AF217" i="1"/>
  <c r="AF218" i="1" l="1"/>
  <c r="K52" i="2"/>
  <c r="L51" i="2"/>
  <c r="K266" i="2"/>
  <c r="L265" i="2"/>
  <c r="K533" i="2"/>
  <c r="L532" i="2"/>
  <c r="K267" i="2" l="1"/>
  <c r="L266" i="2"/>
  <c r="K534" i="2"/>
  <c r="L533" i="2"/>
  <c r="K53" i="2"/>
  <c r="L52" i="2"/>
  <c r="AF219" i="1"/>
  <c r="AF220" i="1" l="1"/>
  <c r="K535" i="2"/>
  <c r="L534" i="2"/>
  <c r="L53" i="2"/>
  <c r="K54" i="2"/>
  <c r="K268" i="2"/>
  <c r="L267" i="2"/>
  <c r="K55" i="2" l="1"/>
  <c r="L54" i="2"/>
  <c r="K269" i="2"/>
  <c r="L268" i="2"/>
  <c r="K536" i="2"/>
  <c r="L535" i="2"/>
  <c r="AF221" i="1"/>
  <c r="K537" i="2" l="1"/>
  <c r="L536" i="2"/>
  <c r="AF222" i="1"/>
  <c r="K270" i="2"/>
  <c r="L269" i="2"/>
  <c r="L55" i="2"/>
  <c r="K56" i="2"/>
  <c r="AF223" i="1" l="1"/>
  <c r="L56" i="2"/>
  <c r="K57" i="2"/>
  <c r="K271" i="2"/>
  <c r="L270" i="2"/>
  <c r="K538" i="2"/>
  <c r="L537" i="2"/>
  <c r="K58" i="2" l="1"/>
  <c r="L57" i="2"/>
  <c r="K539" i="2"/>
  <c r="L538" i="2"/>
  <c r="K272" i="2"/>
  <c r="L271" i="2"/>
  <c r="AF224" i="1"/>
  <c r="AF225" i="1" l="1"/>
  <c r="K273" i="2"/>
  <c r="L272" i="2"/>
  <c r="K540" i="2"/>
  <c r="L539" i="2"/>
  <c r="L58" i="2"/>
  <c r="K59" i="2"/>
  <c r="K274" i="2" l="1"/>
  <c r="L273" i="2"/>
  <c r="K541" i="2"/>
  <c r="L540" i="2"/>
  <c r="K60" i="2"/>
  <c r="L59" i="2"/>
  <c r="AF226" i="1"/>
  <c r="AF227" i="1" l="1"/>
  <c r="K542" i="2"/>
  <c r="L541" i="2"/>
  <c r="K61" i="2"/>
  <c r="L60" i="2"/>
  <c r="K275" i="2"/>
  <c r="L274" i="2"/>
  <c r="K543" i="2" l="1"/>
  <c r="L542" i="2"/>
  <c r="K276" i="2"/>
  <c r="L275" i="2"/>
  <c r="L61" i="2"/>
  <c r="K62" i="2"/>
  <c r="AF228" i="1"/>
  <c r="AF229" i="1" l="1"/>
  <c r="K277" i="2"/>
  <c r="L276" i="2"/>
  <c r="K63" i="2"/>
  <c r="L62" i="2"/>
  <c r="K544" i="2"/>
  <c r="L543" i="2"/>
  <c r="K545" i="2" l="1"/>
  <c r="L544" i="2"/>
  <c r="L63" i="2"/>
  <c r="K64" i="2"/>
  <c r="K278" i="2"/>
  <c r="L277" i="2"/>
  <c r="AF230" i="1"/>
  <c r="L64" i="2" l="1"/>
  <c r="K65" i="2"/>
  <c r="K279" i="2"/>
  <c r="L278" i="2"/>
  <c r="AF231" i="1"/>
  <c r="K546" i="2"/>
  <c r="L545" i="2"/>
  <c r="K547" i="2" l="1"/>
  <c r="L546" i="2"/>
  <c r="K280" i="2"/>
  <c r="L279" i="2"/>
  <c r="K66" i="2"/>
  <c r="L65" i="2"/>
  <c r="AF232" i="1"/>
  <c r="L66" i="2" l="1"/>
  <c r="K67" i="2"/>
  <c r="AF233" i="1"/>
  <c r="K281" i="2"/>
  <c r="L280" i="2"/>
  <c r="K548" i="2"/>
  <c r="L547" i="2"/>
  <c r="K549" i="2" l="1"/>
  <c r="L548" i="2"/>
  <c r="K282" i="2"/>
  <c r="L281" i="2"/>
  <c r="AF234" i="1"/>
  <c r="K68" i="2"/>
  <c r="L67" i="2"/>
  <c r="K69" i="2" l="1"/>
  <c r="L68" i="2"/>
  <c r="K283" i="2"/>
  <c r="L282" i="2"/>
  <c r="AF235" i="1"/>
  <c r="K550" i="2"/>
  <c r="L549" i="2"/>
  <c r="K551" i="2" l="1"/>
  <c r="L550" i="2"/>
  <c r="K284" i="2"/>
  <c r="L283" i="2"/>
  <c r="AF236" i="1"/>
  <c r="L69" i="2"/>
  <c r="K70" i="2"/>
  <c r="K71" i="2" l="1"/>
  <c r="L70" i="2"/>
  <c r="K285" i="2"/>
  <c r="L284" i="2"/>
  <c r="AF237" i="1"/>
  <c r="K552" i="2"/>
  <c r="L551" i="2"/>
  <c r="K553" i="2" l="1"/>
  <c r="L552" i="2"/>
  <c r="K286" i="2"/>
  <c r="L285" i="2"/>
  <c r="AF238" i="1"/>
  <c r="L71" i="2"/>
  <c r="K72" i="2"/>
  <c r="L72" i="2" l="1"/>
  <c r="K73" i="2"/>
  <c r="K287" i="2"/>
  <c r="L286" i="2"/>
  <c r="AF239" i="1"/>
  <c r="K554" i="2"/>
  <c r="L553" i="2"/>
  <c r="K555" i="2" l="1"/>
  <c r="L554" i="2"/>
  <c r="K74" i="2"/>
  <c r="L73" i="2"/>
  <c r="AF240" i="1"/>
  <c r="K288" i="2"/>
  <c r="L287" i="2"/>
  <c r="L74" i="2" l="1"/>
  <c r="K75" i="2"/>
  <c r="K289" i="2"/>
  <c r="L288" i="2"/>
  <c r="AF241" i="1"/>
  <c r="K556" i="2"/>
  <c r="L555" i="2"/>
  <c r="K557" i="2" l="1"/>
  <c r="L556" i="2"/>
  <c r="AF242" i="1"/>
  <c r="K290" i="2"/>
  <c r="L289" i="2"/>
  <c r="K76" i="2"/>
  <c r="L75" i="2"/>
  <c r="K77" i="2" l="1"/>
  <c r="L76" i="2"/>
  <c r="K291" i="2"/>
  <c r="L290" i="2"/>
  <c r="AF243" i="1"/>
  <c r="K558" i="2"/>
  <c r="L557" i="2"/>
  <c r="K559" i="2" l="1"/>
  <c r="L558" i="2"/>
  <c r="AF244" i="1"/>
  <c r="K292" i="2"/>
  <c r="L291" i="2"/>
  <c r="L77" i="2"/>
  <c r="K78" i="2"/>
  <c r="K79" i="2" l="1"/>
  <c r="L78" i="2"/>
  <c r="K293" i="2"/>
  <c r="L292" i="2"/>
  <c r="AF245" i="1"/>
  <c r="K560" i="2"/>
  <c r="L559" i="2"/>
  <c r="K561" i="2" l="1"/>
  <c r="L560" i="2"/>
  <c r="AF246" i="1"/>
  <c r="K294" i="2"/>
  <c r="L293" i="2"/>
  <c r="L79" i="2"/>
  <c r="K80" i="2"/>
  <c r="L294" i="2" l="1"/>
  <c r="K295" i="2"/>
  <c r="L80" i="2"/>
  <c r="K81" i="2"/>
  <c r="AF247" i="1"/>
  <c r="K562" i="2"/>
  <c r="L561" i="2"/>
  <c r="AF248" i="1" l="1"/>
  <c r="K563" i="2"/>
  <c r="L562" i="2"/>
  <c r="K82" i="2"/>
  <c r="L81" i="2"/>
  <c r="L295" i="2"/>
  <c r="K296" i="2"/>
  <c r="K297" i="2" l="1"/>
  <c r="L296" i="2"/>
  <c r="L82" i="2"/>
  <c r="K83" i="2"/>
  <c r="K564" i="2"/>
  <c r="L563" i="2"/>
  <c r="AF249" i="1"/>
  <c r="AF250" i="1" l="1"/>
  <c r="K565" i="2"/>
  <c r="L564" i="2"/>
  <c r="K84" i="2"/>
  <c r="L83" i="2"/>
  <c r="L297" i="2"/>
  <c r="K298" i="2"/>
  <c r="K299" i="2" l="1"/>
  <c r="L298" i="2"/>
  <c r="K566" i="2"/>
  <c r="L565" i="2"/>
  <c r="K85" i="2"/>
  <c r="L84" i="2"/>
  <c r="AF251" i="1"/>
  <c r="L85" i="2" l="1"/>
  <c r="K86" i="2"/>
  <c r="K567" i="2"/>
  <c r="L566" i="2"/>
  <c r="AF252" i="1"/>
  <c r="K300" i="2"/>
  <c r="L299" i="2"/>
  <c r="K301" i="2" l="1"/>
  <c r="L300" i="2"/>
  <c r="AF253" i="1"/>
  <c r="K568" i="2"/>
  <c r="L567" i="2"/>
  <c r="K87" i="2"/>
  <c r="L86" i="2"/>
  <c r="K569" i="2" l="1"/>
  <c r="L568" i="2"/>
  <c r="L87" i="2"/>
  <c r="K88" i="2"/>
  <c r="AF254" i="1"/>
  <c r="K302" i="2"/>
  <c r="L301" i="2"/>
  <c r="AF255" i="1" l="1"/>
  <c r="L88" i="2"/>
  <c r="K89" i="2"/>
  <c r="L302" i="2"/>
  <c r="K303" i="2"/>
  <c r="K570" i="2"/>
  <c r="L569" i="2"/>
  <c r="K571" i="2" l="1"/>
  <c r="L570" i="2"/>
  <c r="L303" i="2"/>
  <c r="K304" i="2"/>
  <c r="K90" i="2"/>
  <c r="L89" i="2"/>
  <c r="AF256" i="1"/>
  <c r="AG159" i="1" l="1"/>
  <c r="AG162" i="1"/>
  <c r="AG157" i="1"/>
  <c r="AG160" i="1"/>
  <c r="AG167" i="1"/>
  <c r="AG170" i="1"/>
  <c r="AG166" i="1"/>
  <c r="AG161" i="1"/>
  <c r="AG163" i="1"/>
  <c r="AG168" i="1"/>
  <c r="AG165" i="1"/>
  <c r="AG171" i="1"/>
  <c r="AG172" i="1"/>
  <c r="AG169" i="1"/>
  <c r="AG164" i="1"/>
  <c r="AG158"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K305" i="2"/>
  <c r="L304" i="2"/>
  <c r="L90" i="2"/>
  <c r="K91" i="2"/>
  <c r="K572" i="2"/>
  <c r="L571" i="2"/>
  <c r="CB244" i="1" l="1"/>
  <c r="CD244" i="1"/>
  <c r="CB236" i="1"/>
  <c r="CD236" i="1"/>
  <c r="CB228" i="1"/>
  <c r="CD228" i="1"/>
  <c r="CB220" i="1"/>
  <c r="CD220" i="1"/>
  <c r="CB212" i="1"/>
  <c r="CD212" i="1"/>
  <c r="CB204" i="1"/>
  <c r="CD204" i="1"/>
  <c r="CB196" i="1"/>
  <c r="CD196" i="1"/>
  <c r="CB188" i="1"/>
  <c r="CD188" i="1"/>
  <c r="CB180" i="1"/>
  <c r="CD180" i="1"/>
  <c r="CB158" i="1"/>
  <c r="CD158" i="1"/>
  <c r="CB161" i="1"/>
  <c r="CD161" i="1"/>
  <c r="CB227" i="1"/>
  <c r="CD227" i="1"/>
  <c r="CB219" i="1"/>
  <c r="CD219" i="1"/>
  <c r="CB211" i="1"/>
  <c r="CD211" i="1"/>
  <c r="CB203" i="1"/>
  <c r="CD203" i="1"/>
  <c r="CB195" i="1"/>
  <c r="CD195" i="1"/>
  <c r="CB187" i="1"/>
  <c r="CD187" i="1"/>
  <c r="CB179" i="1"/>
  <c r="CD179" i="1"/>
  <c r="CB164" i="1"/>
  <c r="CD164" i="1"/>
  <c r="CD166" i="1"/>
  <c r="CB166" i="1"/>
  <c r="CB243" i="1"/>
  <c r="CD243" i="1"/>
  <c r="CB226" i="1"/>
  <c r="CD226" i="1"/>
  <c r="CB218" i="1"/>
  <c r="CD218" i="1"/>
  <c r="CB210" i="1"/>
  <c r="CD210" i="1"/>
  <c r="CB202" i="1"/>
  <c r="CD202" i="1"/>
  <c r="CB194" i="1"/>
  <c r="CD194" i="1"/>
  <c r="CB186" i="1"/>
  <c r="CD186" i="1"/>
  <c r="CB178" i="1"/>
  <c r="CD178" i="1"/>
  <c r="CD169" i="1"/>
  <c r="CB169" i="1"/>
  <c r="CB170" i="1"/>
  <c r="CD170" i="1"/>
  <c r="CB251" i="1"/>
  <c r="CD251" i="1"/>
  <c r="CD249" i="1"/>
  <c r="CB249" i="1"/>
  <c r="CB233" i="1"/>
  <c r="CD233" i="1"/>
  <c r="CD225" i="1"/>
  <c r="CB225" i="1"/>
  <c r="CD217" i="1"/>
  <c r="CB217" i="1"/>
  <c r="CD209" i="1"/>
  <c r="CB209" i="1"/>
  <c r="CD201" i="1"/>
  <c r="CB201" i="1"/>
  <c r="CB193" i="1"/>
  <c r="CD193" i="1"/>
  <c r="CD185" i="1"/>
  <c r="CB185" i="1"/>
  <c r="CD177" i="1"/>
  <c r="CB177" i="1"/>
  <c r="CB172" i="1"/>
  <c r="CD172" i="1"/>
  <c r="CD167" i="1"/>
  <c r="CB167" i="1"/>
  <c r="CB234" i="1"/>
  <c r="CD234" i="1"/>
  <c r="CD240" i="1"/>
  <c r="CB240" i="1"/>
  <c r="CD232" i="1"/>
  <c r="CB232" i="1"/>
  <c r="CD224" i="1"/>
  <c r="CB224" i="1"/>
  <c r="CD216" i="1"/>
  <c r="CB216" i="1"/>
  <c r="CD208" i="1"/>
  <c r="CB208" i="1"/>
  <c r="CD200" i="1"/>
  <c r="CB200" i="1"/>
  <c r="CD192" i="1"/>
  <c r="CB192" i="1"/>
  <c r="CD184" i="1"/>
  <c r="CB184" i="1"/>
  <c r="CD176" i="1"/>
  <c r="CB176" i="1"/>
  <c r="CB171" i="1"/>
  <c r="CD171" i="1"/>
  <c r="CD160" i="1"/>
  <c r="CB160" i="1"/>
  <c r="CB235" i="1"/>
  <c r="CD235" i="1"/>
  <c r="CD241" i="1"/>
  <c r="CB241" i="1"/>
  <c r="CD255" i="1"/>
  <c r="CB255" i="1"/>
  <c r="CD247" i="1"/>
  <c r="CB247" i="1"/>
  <c r="CD239" i="1"/>
  <c r="CB239" i="1"/>
  <c r="CD231" i="1"/>
  <c r="CB231" i="1"/>
  <c r="CD223" i="1"/>
  <c r="CB223" i="1"/>
  <c r="CD215" i="1"/>
  <c r="CB215" i="1"/>
  <c r="CD207" i="1"/>
  <c r="CB207" i="1"/>
  <c r="CD199" i="1"/>
  <c r="CB199" i="1"/>
  <c r="CD191" i="1"/>
  <c r="CB191" i="1"/>
  <c r="CD183" i="1"/>
  <c r="CB183" i="1"/>
  <c r="CD175" i="1"/>
  <c r="CB175" i="1"/>
  <c r="CB165" i="1"/>
  <c r="CD165" i="1"/>
  <c r="CD157" i="1"/>
  <c r="CB157" i="1"/>
  <c r="CB242" i="1"/>
  <c r="CD242" i="1"/>
  <c r="CB254" i="1"/>
  <c r="CD254" i="1"/>
  <c r="CB246" i="1"/>
  <c r="CD246" i="1"/>
  <c r="CD238" i="1"/>
  <c r="CB238" i="1"/>
  <c r="CD230" i="1"/>
  <c r="CB230" i="1"/>
  <c r="CD222" i="1"/>
  <c r="CB222" i="1"/>
  <c r="CB214" i="1"/>
  <c r="CD214" i="1"/>
  <c r="CD206" i="1"/>
  <c r="CB206" i="1"/>
  <c r="CD198" i="1"/>
  <c r="CB198" i="1"/>
  <c r="CB190" i="1"/>
  <c r="CD190" i="1"/>
  <c r="CD182" i="1"/>
  <c r="CB182" i="1"/>
  <c r="CD174" i="1"/>
  <c r="CB174" i="1"/>
  <c r="CD168" i="1"/>
  <c r="CB168" i="1"/>
  <c r="CB162" i="1"/>
  <c r="CD162" i="1"/>
  <c r="CB252" i="1"/>
  <c r="CD252" i="1"/>
  <c r="CB250" i="1"/>
  <c r="CD250" i="1"/>
  <c r="CD248" i="1"/>
  <c r="CB248" i="1"/>
  <c r="CB253" i="1"/>
  <c r="CD253" i="1"/>
  <c r="CB245" i="1"/>
  <c r="CD245" i="1"/>
  <c r="CD237" i="1"/>
  <c r="CB237" i="1"/>
  <c r="CB229" i="1"/>
  <c r="CD229" i="1"/>
  <c r="CD221" i="1"/>
  <c r="CB221" i="1"/>
  <c r="CB213" i="1"/>
  <c r="CD213" i="1"/>
  <c r="CB205" i="1"/>
  <c r="CD205" i="1"/>
  <c r="CD197" i="1"/>
  <c r="CB197" i="1"/>
  <c r="CD189" i="1"/>
  <c r="CB189" i="1"/>
  <c r="CB181" i="1"/>
  <c r="CD181" i="1"/>
  <c r="CB173" i="1"/>
  <c r="CD173" i="1"/>
  <c r="CB163" i="1"/>
  <c r="CD163" i="1"/>
  <c r="CD159" i="1"/>
  <c r="CB159" i="1"/>
  <c r="CC252" i="1"/>
  <c r="CC212" i="1"/>
  <c r="CC158" i="1"/>
  <c r="CC219" i="1"/>
  <c r="CC195" i="1"/>
  <c r="CC187" i="1"/>
  <c r="CC166" i="1"/>
  <c r="CC250" i="1"/>
  <c r="CC242" i="1"/>
  <c r="CC234" i="1"/>
  <c r="CC226" i="1"/>
  <c r="CC218" i="1"/>
  <c r="CC210" i="1"/>
  <c r="CC202" i="1"/>
  <c r="CC194" i="1"/>
  <c r="CC186" i="1"/>
  <c r="CC178" i="1"/>
  <c r="CC169" i="1"/>
  <c r="CC170" i="1"/>
  <c r="CC236" i="1"/>
  <c r="CC188" i="1"/>
  <c r="CC251" i="1"/>
  <c r="CC203" i="1"/>
  <c r="CC179" i="1"/>
  <c r="CC249" i="1"/>
  <c r="CC241" i="1"/>
  <c r="CC233" i="1"/>
  <c r="CC225" i="1"/>
  <c r="CC217" i="1"/>
  <c r="CC209" i="1"/>
  <c r="CC201" i="1"/>
  <c r="CC193" i="1"/>
  <c r="CC185" i="1"/>
  <c r="CC177" i="1"/>
  <c r="CC172" i="1"/>
  <c r="CC167" i="1"/>
  <c r="CC228" i="1"/>
  <c r="CC180" i="1"/>
  <c r="CC243" i="1"/>
  <c r="CC211" i="1"/>
  <c r="CC164" i="1"/>
  <c r="CC248" i="1"/>
  <c r="CC240" i="1"/>
  <c r="CC232" i="1"/>
  <c r="CC224" i="1"/>
  <c r="CC216" i="1"/>
  <c r="CC208" i="1"/>
  <c r="CC200" i="1"/>
  <c r="CC192" i="1"/>
  <c r="CC184" i="1"/>
  <c r="CC176" i="1"/>
  <c r="CC171" i="1"/>
  <c r="CC160" i="1"/>
  <c r="CC220" i="1"/>
  <c r="CC196" i="1"/>
  <c r="CC235" i="1"/>
  <c r="CC247" i="1"/>
  <c r="CC231" i="1"/>
  <c r="CC215" i="1"/>
  <c r="CC199" i="1"/>
  <c r="CC183" i="1"/>
  <c r="CC157" i="1"/>
  <c r="CC244" i="1"/>
  <c r="CC204" i="1"/>
  <c r="CC161" i="1"/>
  <c r="CC227" i="1"/>
  <c r="CC255" i="1"/>
  <c r="CC239" i="1"/>
  <c r="CC223" i="1"/>
  <c r="CC207" i="1"/>
  <c r="CC191" i="1"/>
  <c r="CC175" i="1"/>
  <c r="CC165" i="1"/>
  <c r="CC254" i="1"/>
  <c r="CC246" i="1"/>
  <c r="CC238" i="1"/>
  <c r="CC230" i="1"/>
  <c r="CC222" i="1"/>
  <c r="CC214" i="1"/>
  <c r="CC206" i="1"/>
  <c r="CC198" i="1"/>
  <c r="CC190" i="1"/>
  <c r="CC182" i="1"/>
  <c r="CC174" i="1"/>
  <c r="CC168" i="1"/>
  <c r="CC162" i="1"/>
  <c r="CC253" i="1"/>
  <c r="CC245" i="1"/>
  <c r="CC237" i="1"/>
  <c r="CC229" i="1"/>
  <c r="CC221" i="1"/>
  <c r="CC213" i="1"/>
  <c r="CC205" i="1"/>
  <c r="CC197" i="1"/>
  <c r="CC189" i="1"/>
  <c r="CC181" i="1"/>
  <c r="CC173" i="1"/>
  <c r="CC163" i="1"/>
  <c r="CC159" i="1"/>
  <c r="AH228" i="1"/>
  <c r="AJ228" i="1"/>
  <c r="AJ196" i="1"/>
  <c r="AH196" i="1"/>
  <c r="K92" i="2"/>
  <c r="L91" i="2"/>
  <c r="AH203" i="1"/>
  <c r="AJ203" i="1"/>
  <c r="AJ166" i="1"/>
  <c r="AH166" i="1"/>
  <c r="AJ250" i="1"/>
  <c r="AH250" i="1"/>
  <c r="AJ242" i="1"/>
  <c r="AH242" i="1"/>
  <c r="AJ234" i="1"/>
  <c r="AH234" i="1"/>
  <c r="AJ226" i="1"/>
  <c r="AH226" i="1"/>
  <c r="AH218" i="1"/>
  <c r="AJ218" i="1"/>
  <c r="AH210" i="1"/>
  <c r="AJ210" i="1"/>
  <c r="AH202" i="1"/>
  <c r="AJ202" i="1"/>
  <c r="AH194" i="1"/>
  <c r="AJ194" i="1"/>
  <c r="AJ186" i="1"/>
  <c r="AH186" i="1"/>
  <c r="AJ178" i="1"/>
  <c r="AH178" i="1"/>
  <c r="AJ169" i="1"/>
  <c r="AH169" i="1"/>
  <c r="AJ170" i="1"/>
  <c r="AH170" i="1"/>
  <c r="AH252" i="1"/>
  <c r="AJ252" i="1"/>
  <c r="AH188" i="1"/>
  <c r="AJ188" i="1"/>
  <c r="AJ243" i="1"/>
  <c r="AH243" i="1"/>
  <c r="AH211" i="1"/>
  <c r="AJ211" i="1"/>
  <c r="AJ249" i="1"/>
  <c r="AH249" i="1"/>
  <c r="AH241" i="1"/>
  <c r="AJ241" i="1"/>
  <c r="AJ233" i="1"/>
  <c r="AH233" i="1"/>
  <c r="AJ225" i="1"/>
  <c r="AH225" i="1"/>
  <c r="AJ217" i="1"/>
  <c r="AH217" i="1"/>
  <c r="AJ209" i="1"/>
  <c r="AH209" i="1"/>
  <c r="AJ201" i="1"/>
  <c r="AH201" i="1"/>
  <c r="AJ193" i="1"/>
  <c r="AH193" i="1"/>
  <c r="AH185" i="1"/>
  <c r="AJ185" i="1"/>
  <c r="AJ177" i="1"/>
  <c r="AH177" i="1"/>
  <c r="AH172" i="1"/>
  <c r="AJ172" i="1"/>
  <c r="AH167" i="1"/>
  <c r="AJ167" i="1"/>
  <c r="AH244" i="1"/>
  <c r="AJ244" i="1"/>
  <c r="AJ204" i="1"/>
  <c r="AH204" i="1"/>
  <c r="AH251" i="1"/>
  <c r="AJ251" i="1"/>
  <c r="AH195" i="1"/>
  <c r="AJ195" i="1"/>
  <c r="AJ248" i="1"/>
  <c r="AH248" i="1"/>
  <c r="AJ232" i="1"/>
  <c r="AH232" i="1"/>
  <c r="AJ224" i="1"/>
  <c r="AH224" i="1"/>
  <c r="AJ216" i="1"/>
  <c r="AH216" i="1"/>
  <c r="AJ208" i="1"/>
  <c r="AH208" i="1"/>
  <c r="AJ200" i="1"/>
  <c r="AH200" i="1"/>
  <c r="AJ192" i="1"/>
  <c r="AH192" i="1"/>
  <c r="AJ184" i="1"/>
  <c r="AH184" i="1"/>
  <c r="AH176" i="1"/>
  <c r="AJ176" i="1"/>
  <c r="AJ171" i="1"/>
  <c r="AH171" i="1"/>
  <c r="AJ160" i="1"/>
  <c r="AH160" i="1"/>
  <c r="AH236" i="1"/>
  <c r="AJ236" i="1"/>
  <c r="AJ158" i="1"/>
  <c r="AH158" i="1"/>
  <c r="AH235" i="1"/>
  <c r="AJ235" i="1"/>
  <c r="AJ179" i="1"/>
  <c r="AH179" i="1"/>
  <c r="L305" i="2"/>
  <c r="K306" i="2"/>
  <c r="AH240" i="1"/>
  <c r="AJ240" i="1"/>
  <c r="AJ255" i="1"/>
  <c r="AH255" i="1"/>
  <c r="AJ247" i="1"/>
  <c r="AH247" i="1"/>
  <c r="AJ239" i="1"/>
  <c r="AH239" i="1"/>
  <c r="AJ231" i="1"/>
  <c r="AH231" i="1"/>
  <c r="AJ223" i="1"/>
  <c r="AH223" i="1"/>
  <c r="AJ215" i="1"/>
  <c r="AH215" i="1"/>
  <c r="AJ207" i="1"/>
  <c r="AH207" i="1"/>
  <c r="AJ199" i="1"/>
  <c r="AH199" i="1"/>
  <c r="AJ191" i="1"/>
  <c r="AH191" i="1"/>
  <c r="AJ183" i="1"/>
  <c r="AH183" i="1"/>
  <c r="AH175" i="1"/>
  <c r="AJ175" i="1"/>
  <c r="AJ165" i="1"/>
  <c r="AH165" i="1"/>
  <c r="AH157" i="1"/>
  <c r="AJ157" i="1"/>
  <c r="AH220" i="1"/>
  <c r="AJ220" i="1"/>
  <c r="AH180" i="1"/>
  <c r="AJ180" i="1"/>
  <c r="AH219" i="1"/>
  <c r="AJ219" i="1"/>
  <c r="AH164" i="1"/>
  <c r="AJ164" i="1"/>
  <c r="AJ246" i="1"/>
  <c r="AH246" i="1"/>
  <c r="AH214" i="1"/>
  <c r="AJ214" i="1"/>
  <c r="AH206" i="1"/>
  <c r="AJ206" i="1"/>
  <c r="AJ198" i="1"/>
  <c r="AH198" i="1"/>
  <c r="AJ190" i="1"/>
  <c r="AH190" i="1"/>
  <c r="AJ182" i="1"/>
  <c r="AH182" i="1"/>
  <c r="AJ174" i="1"/>
  <c r="AH174" i="1"/>
  <c r="AJ168" i="1"/>
  <c r="AH168" i="1"/>
  <c r="AJ162" i="1"/>
  <c r="AH162" i="1"/>
  <c r="K573" i="2"/>
  <c r="L572" i="2"/>
  <c r="AJ212" i="1"/>
  <c r="AH212" i="1"/>
  <c r="AJ161" i="1"/>
  <c r="AH161" i="1"/>
  <c r="AH227" i="1"/>
  <c r="AJ227" i="1"/>
  <c r="AJ187" i="1"/>
  <c r="AH187" i="1"/>
  <c r="AJ254" i="1"/>
  <c r="AH254" i="1"/>
  <c r="AJ238" i="1"/>
  <c r="AH238" i="1"/>
  <c r="AJ230" i="1"/>
  <c r="AH230" i="1"/>
  <c r="AH222" i="1"/>
  <c r="AJ222" i="1"/>
  <c r="AJ253" i="1"/>
  <c r="AH253" i="1"/>
  <c r="AH245" i="1"/>
  <c r="AJ245" i="1"/>
  <c r="AJ237" i="1"/>
  <c r="AH237" i="1"/>
  <c r="AJ229" i="1"/>
  <c r="AH229" i="1"/>
  <c r="AJ221" i="1"/>
  <c r="AH221" i="1"/>
  <c r="AJ213" i="1"/>
  <c r="AH213" i="1"/>
  <c r="AJ205" i="1"/>
  <c r="AH205" i="1"/>
  <c r="AJ197" i="1"/>
  <c r="AH197" i="1"/>
  <c r="AJ189" i="1"/>
  <c r="AH189" i="1"/>
  <c r="AJ181" i="1"/>
  <c r="AH181" i="1"/>
  <c r="AJ173" i="1"/>
  <c r="AH173" i="1"/>
  <c r="AJ163" i="1"/>
  <c r="AH163" i="1"/>
  <c r="AJ159" i="1"/>
  <c r="AH159" i="1"/>
  <c r="BJ205" i="1" l="1"/>
  <c r="AP205" i="1"/>
  <c r="BJ230" i="1"/>
  <c r="AP230" i="1"/>
  <c r="BJ162" i="1"/>
  <c r="BL162" i="1" s="1"/>
  <c r="AP162" i="1"/>
  <c r="BJ190" i="1"/>
  <c r="BL190" i="1" s="1"/>
  <c r="AP190" i="1"/>
  <c r="AR190" i="1" s="1"/>
  <c r="BJ246" i="1"/>
  <c r="AP246" i="1"/>
  <c r="BJ183" i="1"/>
  <c r="AP183" i="1"/>
  <c r="BJ215" i="1"/>
  <c r="BL215" i="1" s="1"/>
  <c r="AP215" i="1"/>
  <c r="BJ247" i="1"/>
  <c r="BL247" i="1" s="1"/>
  <c r="AP247" i="1"/>
  <c r="BJ179" i="1"/>
  <c r="AP179" i="1"/>
  <c r="BJ160" i="1"/>
  <c r="AP160" i="1"/>
  <c r="BJ192" i="1"/>
  <c r="BL192" i="1" s="1"/>
  <c r="AP192" i="1"/>
  <c r="BJ224" i="1"/>
  <c r="BL224" i="1" s="1"/>
  <c r="AP224" i="1"/>
  <c r="BJ201" i="1"/>
  <c r="AP201" i="1"/>
  <c r="BJ233" i="1"/>
  <c r="AP233" i="1"/>
  <c r="BJ243" i="1"/>
  <c r="BL243" i="1" s="1"/>
  <c r="AP243" i="1"/>
  <c r="BJ169" i="1"/>
  <c r="BL169" i="1" s="1"/>
  <c r="AP169" i="1"/>
  <c r="BJ234" i="1"/>
  <c r="AP234" i="1"/>
  <c r="AR234" i="1" s="1"/>
  <c r="BJ173" i="1"/>
  <c r="AP173" i="1"/>
  <c r="BJ237" i="1"/>
  <c r="BL237" i="1" s="1"/>
  <c r="AP237" i="1"/>
  <c r="BJ245" i="1"/>
  <c r="BL245" i="1" s="1"/>
  <c r="AP245" i="1"/>
  <c r="BJ164" i="1"/>
  <c r="AP164" i="1"/>
  <c r="AR164" i="1" s="1"/>
  <c r="BJ157" i="1"/>
  <c r="AP157" i="1"/>
  <c r="BJ235" i="1"/>
  <c r="BL235" i="1" s="1"/>
  <c r="AP235" i="1"/>
  <c r="BJ241" i="1"/>
  <c r="BL241" i="1" s="1"/>
  <c r="AP241" i="1"/>
  <c r="BJ188" i="1"/>
  <c r="AP188" i="1"/>
  <c r="AR188" i="1" s="1"/>
  <c r="BJ210" i="1"/>
  <c r="AP210" i="1"/>
  <c r="BJ213" i="1"/>
  <c r="BL213" i="1" s="1"/>
  <c r="AP213" i="1"/>
  <c r="BJ238" i="1"/>
  <c r="BL238" i="1" s="1"/>
  <c r="AP238" i="1"/>
  <c r="BJ161" i="1"/>
  <c r="AP161" i="1"/>
  <c r="BJ168" i="1"/>
  <c r="AP168" i="1"/>
  <c r="AR168" i="1" s="1"/>
  <c r="BJ198" i="1"/>
  <c r="BL198" i="1" s="1"/>
  <c r="AP198" i="1"/>
  <c r="BJ191" i="1"/>
  <c r="BL191" i="1" s="1"/>
  <c r="AP191" i="1"/>
  <c r="BJ223" i="1"/>
  <c r="AP223" i="1"/>
  <c r="BJ255" i="1"/>
  <c r="AP255" i="1"/>
  <c r="BJ171" i="1"/>
  <c r="BL171" i="1" s="1"/>
  <c r="AP171" i="1"/>
  <c r="BJ200" i="1"/>
  <c r="BL200" i="1" s="1"/>
  <c r="AP200" i="1"/>
  <c r="BJ232" i="1"/>
  <c r="AP232" i="1"/>
  <c r="AR232" i="1" s="1"/>
  <c r="BJ204" i="1"/>
  <c r="AP204" i="1"/>
  <c r="AR204" i="1" s="1"/>
  <c r="BJ177" i="1"/>
  <c r="BL177" i="1" s="1"/>
  <c r="AP177" i="1"/>
  <c r="BJ209" i="1"/>
  <c r="BL209" i="1" s="1"/>
  <c r="AP209" i="1"/>
  <c r="BJ178" i="1"/>
  <c r="AP178" i="1"/>
  <c r="BJ242" i="1"/>
  <c r="AP242" i="1"/>
  <c r="BJ181" i="1"/>
  <c r="BL181" i="1" s="1"/>
  <c r="AP181" i="1"/>
  <c r="BJ206" i="1"/>
  <c r="BL206" i="1" s="1"/>
  <c r="AP206" i="1"/>
  <c r="BJ219" i="1"/>
  <c r="AP219" i="1"/>
  <c r="BJ240" i="1"/>
  <c r="AP240" i="1"/>
  <c r="BJ176" i="1"/>
  <c r="BL176" i="1" s="1"/>
  <c r="AP176" i="1"/>
  <c r="BJ244" i="1"/>
  <c r="BL244" i="1" s="1"/>
  <c r="AP244" i="1"/>
  <c r="BJ185" i="1"/>
  <c r="AP185" i="1"/>
  <c r="BJ252" i="1"/>
  <c r="AP252" i="1"/>
  <c r="BJ218" i="1"/>
  <c r="BL218" i="1" s="1"/>
  <c r="AP218" i="1"/>
  <c r="BJ221" i="1"/>
  <c r="BL221" i="1" s="1"/>
  <c r="AP221" i="1"/>
  <c r="BJ254" i="1"/>
  <c r="AP254" i="1"/>
  <c r="BJ212" i="1"/>
  <c r="AP212" i="1"/>
  <c r="BJ174" i="1"/>
  <c r="BL174" i="1" s="1"/>
  <c r="AP174" i="1"/>
  <c r="BJ165" i="1"/>
  <c r="BL165" i="1" s="1"/>
  <c r="AP165" i="1"/>
  <c r="BJ199" i="1"/>
  <c r="AP199" i="1"/>
  <c r="BJ231" i="1"/>
  <c r="AP231" i="1"/>
  <c r="BJ158" i="1"/>
  <c r="BL158" i="1" s="1"/>
  <c r="AP158" i="1"/>
  <c r="BJ208" i="1"/>
  <c r="BL208" i="1" s="1"/>
  <c r="AP208" i="1"/>
  <c r="BJ248" i="1"/>
  <c r="AP248" i="1"/>
  <c r="BJ217" i="1"/>
  <c r="BL217" i="1" s="1"/>
  <c r="AP217" i="1"/>
  <c r="BJ249" i="1"/>
  <c r="BL249" i="1" s="1"/>
  <c r="AP249" i="1"/>
  <c r="BJ186" i="1"/>
  <c r="BL186" i="1" s="1"/>
  <c r="AP186" i="1"/>
  <c r="BJ250" i="1"/>
  <c r="AP250" i="1"/>
  <c r="BJ196" i="1"/>
  <c r="BL196" i="1" s="1"/>
  <c r="AP196" i="1"/>
  <c r="BJ189" i="1"/>
  <c r="BL189" i="1" s="1"/>
  <c r="AP189" i="1"/>
  <c r="BJ253" i="1"/>
  <c r="BL253" i="1" s="1"/>
  <c r="AP253" i="1"/>
  <c r="BJ222" i="1"/>
  <c r="AP222" i="1"/>
  <c r="BJ214" i="1"/>
  <c r="BL214" i="1" s="1"/>
  <c r="AP214" i="1"/>
  <c r="BJ180" i="1"/>
  <c r="BL180" i="1" s="1"/>
  <c r="AP180" i="1"/>
  <c r="BJ175" i="1"/>
  <c r="BL175" i="1" s="1"/>
  <c r="AP175" i="1"/>
  <c r="BJ236" i="1"/>
  <c r="AP236" i="1"/>
  <c r="BJ195" i="1"/>
  <c r="BL195" i="1" s="1"/>
  <c r="AP195" i="1"/>
  <c r="BJ167" i="1"/>
  <c r="BL167" i="1" s="1"/>
  <c r="AP167" i="1"/>
  <c r="BJ211" i="1"/>
  <c r="BL211" i="1" s="1"/>
  <c r="AP211" i="1"/>
  <c r="BJ194" i="1"/>
  <c r="AP194" i="1"/>
  <c r="BJ228" i="1"/>
  <c r="BL228" i="1" s="1"/>
  <c r="AP228" i="1"/>
  <c r="BJ159" i="1"/>
  <c r="BL159" i="1" s="1"/>
  <c r="AP159" i="1"/>
  <c r="BJ197" i="1"/>
  <c r="BL197" i="1" s="1"/>
  <c r="AP197" i="1"/>
  <c r="BJ187" i="1"/>
  <c r="AP187" i="1"/>
  <c r="BJ182" i="1"/>
  <c r="BL182" i="1" s="1"/>
  <c r="AP182" i="1"/>
  <c r="BJ207" i="1"/>
  <c r="BL207" i="1" s="1"/>
  <c r="AP207" i="1"/>
  <c r="BJ239" i="1"/>
  <c r="BL239" i="1" s="1"/>
  <c r="AP239" i="1"/>
  <c r="BJ184" i="1"/>
  <c r="AP184" i="1"/>
  <c r="BJ216" i="1"/>
  <c r="BL216" i="1" s="1"/>
  <c r="AP216" i="1"/>
  <c r="BJ193" i="1"/>
  <c r="BL193" i="1" s="1"/>
  <c r="AP193" i="1"/>
  <c r="BJ225" i="1"/>
  <c r="BL225" i="1" s="1"/>
  <c r="AP225" i="1"/>
  <c r="BJ170" i="1"/>
  <c r="AP170" i="1"/>
  <c r="BJ226" i="1"/>
  <c r="BL226" i="1" s="1"/>
  <c r="AP226" i="1"/>
  <c r="BJ166" i="1"/>
  <c r="BL166" i="1" s="1"/>
  <c r="AP166" i="1"/>
  <c r="BJ163" i="1"/>
  <c r="BL163" i="1" s="1"/>
  <c r="AP163" i="1"/>
  <c r="BJ229" i="1"/>
  <c r="AP229" i="1"/>
  <c r="BJ227" i="1"/>
  <c r="BL227" i="1" s="1"/>
  <c r="AP227" i="1"/>
  <c r="BJ220" i="1"/>
  <c r="BL220" i="1" s="1"/>
  <c r="AP220" i="1"/>
  <c r="BJ251" i="1"/>
  <c r="BL251" i="1" s="1"/>
  <c r="AP251" i="1"/>
  <c r="BJ172" i="1"/>
  <c r="AP172" i="1"/>
  <c r="BJ202" i="1"/>
  <c r="BL202" i="1" s="1"/>
  <c r="AP202" i="1"/>
  <c r="BJ203" i="1"/>
  <c r="BL203" i="1" s="1"/>
  <c r="AP203" i="1"/>
  <c r="CK190" i="1"/>
  <c r="CT190" i="1" s="1"/>
  <c r="CK254" i="1"/>
  <c r="CT254" i="1" s="1"/>
  <c r="CK231" i="1"/>
  <c r="CT231" i="1" s="1"/>
  <c r="CK205" i="1"/>
  <c r="CT205" i="1" s="1"/>
  <c r="CK168" i="1"/>
  <c r="CT168" i="1" s="1"/>
  <c r="CK160" i="1"/>
  <c r="CT160" i="1" s="1"/>
  <c r="CK224" i="1"/>
  <c r="CT224" i="1" s="1"/>
  <c r="CK228" i="1"/>
  <c r="CT228" i="1" s="1"/>
  <c r="CK217" i="1"/>
  <c r="CT217" i="1" s="1"/>
  <c r="CK158" i="1"/>
  <c r="CT158" i="1" s="1"/>
  <c r="CK188" i="1"/>
  <c r="CT188" i="1" s="1"/>
  <c r="CK161" i="1"/>
  <c r="CT161" i="1" s="1"/>
  <c r="CK247" i="1"/>
  <c r="CT247" i="1" s="1"/>
  <c r="CK185" i="1"/>
  <c r="CT185" i="1" s="1"/>
  <c r="CK249" i="1"/>
  <c r="CT249" i="1" s="1"/>
  <c r="CK219" i="1"/>
  <c r="CT219" i="1" s="1"/>
  <c r="CK237" i="1"/>
  <c r="CT237" i="1" s="1"/>
  <c r="CK235" i="1"/>
  <c r="CT235" i="1" s="1"/>
  <c r="CK211" i="1"/>
  <c r="CT211" i="1" s="1"/>
  <c r="CK179" i="1"/>
  <c r="CT179" i="1" s="1"/>
  <c r="CK186" i="1"/>
  <c r="CT186" i="1" s="1"/>
  <c r="CK250" i="1"/>
  <c r="CT250" i="1" s="1"/>
  <c r="CK191" i="1"/>
  <c r="CT191" i="1" s="1"/>
  <c r="CK201" i="1"/>
  <c r="CT201" i="1" s="1"/>
  <c r="CK166" i="1"/>
  <c r="CT166" i="1" s="1"/>
  <c r="CK173" i="1"/>
  <c r="CT173" i="1" s="1"/>
  <c r="CK198" i="1"/>
  <c r="CT198" i="1" s="1"/>
  <c r="CK218" i="1"/>
  <c r="CT218" i="1" s="1"/>
  <c r="CF221" i="1"/>
  <c r="CK221" i="1"/>
  <c r="CF162" i="1"/>
  <c r="CK162" i="1"/>
  <c r="CF182" i="1"/>
  <c r="CK182" i="1"/>
  <c r="CF206" i="1"/>
  <c r="CK206" i="1"/>
  <c r="CF246" i="1"/>
  <c r="CK246" i="1"/>
  <c r="CF175" i="1"/>
  <c r="CK175" i="1"/>
  <c r="CF176" i="1"/>
  <c r="CK176" i="1"/>
  <c r="CF240" i="1"/>
  <c r="CK240" i="1"/>
  <c r="CF172" i="1"/>
  <c r="CK172" i="1"/>
  <c r="CF233" i="1"/>
  <c r="CK233" i="1"/>
  <c r="CF251" i="1"/>
  <c r="CK251" i="1"/>
  <c r="CF202" i="1"/>
  <c r="CK202" i="1"/>
  <c r="CF187" i="1"/>
  <c r="CK187" i="1"/>
  <c r="CK181" i="1"/>
  <c r="CT181" i="1" s="1"/>
  <c r="CK245" i="1"/>
  <c r="CT245" i="1" s="1"/>
  <c r="CK230" i="1"/>
  <c r="CT230" i="1" s="1"/>
  <c r="CK223" i="1"/>
  <c r="CT223" i="1" s="1"/>
  <c r="CK204" i="1"/>
  <c r="CT204" i="1" s="1"/>
  <c r="CK183" i="1"/>
  <c r="CT183" i="1" s="1"/>
  <c r="CK200" i="1"/>
  <c r="CT200" i="1" s="1"/>
  <c r="CK193" i="1"/>
  <c r="CT193" i="1" s="1"/>
  <c r="CK170" i="1"/>
  <c r="CT170" i="1" s="1"/>
  <c r="CK226" i="1"/>
  <c r="CT226" i="1" s="1"/>
  <c r="CK248" i="1"/>
  <c r="CT248" i="1" s="1"/>
  <c r="CK210" i="1"/>
  <c r="CT210" i="1" s="1"/>
  <c r="CK212" i="1"/>
  <c r="CT212" i="1" s="1"/>
  <c r="CK163" i="1"/>
  <c r="CT163" i="1" s="1"/>
  <c r="CK189" i="1"/>
  <c r="CT189" i="1" s="1"/>
  <c r="CK253" i="1"/>
  <c r="CT253" i="1" s="1"/>
  <c r="CK214" i="1"/>
  <c r="CT214" i="1" s="1"/>
  <c r="CK239" i="1"/>
  <c r="CT239" i="1" s="1"/>
  <c r="CK227" i="1"/>
  <c r="CT227" i="1" s="1"/>
  <c r="CK244" i="1"/>
  <c r="CT244" i="1" s="1"/>
  <c r="CK199" i="1"/>
  <c r="CT199" i="1" s="1"/>
  <c r="CK196" i="1"/>
  <c r="CT196" i="1" s="1"/>
  <c r="CK208" i="1"/>
  <c r="CT208" i="1" s="1"/>
  <c r="CK167" i="1"/>
  <c r="CT167" i="1" s="1"/>
  <c r="CK225" i="1"/>
  <c r="CT225" i="1" s="1"/>
  <c r="CK234" i="1"/>
  <c r="CT234" i="1" s="1"/>
  <c r="CK177" i="1"/>
  <c r="CT177" i="1" s="1"/>
  <c r="CF213" i="1"/>
  <c r="CK213" i="1"/>
  <c r="CF174" i="1"/>
  <c r="CK174" i="1"/>
  <c r="CT174" i="1" s="1"/>
  <c r="CF238" i="1"/>
  <c r="CK238" i="1"/>
  <c r="CT238" i="1" s="1"/>
  <c r="CF232" i="1"/>
  <c r="CK232" i="1"/>
  <c r="CT232" i="1" s="1"/>
  <c r="CK243" i="1"/>
  <c r="CT243" i="1" s="1"/>
  <c r="CK203" i="1"/>
  <c r="CT203" i="1" s="1"/>
  <c r="CF236" i="1"/>
  <c r="CK236" i="1"/>
  <c r="CK194" i="1"/>
  <c r="CT194" i="1" s="1"/>
  <c r="CK229" i="1"/>
  <c r="CT229" i="1" s="1"/>
  <c r="CK169" i="1"/>
  <c r="CT169" i="1" s="1"/>
  <c r="CK165" i="1"/>
  <c r="CT165" i="1" s="1"/>
  <c r="CK207" i="1"/>
  <c r="CT207" i="1" s="1"/>
  <c r="CK171" i="1"/>
  <c r="CT171" i="1" s="1"/>
  <c r="CK192" i="1"/>
  <c r="CT192" i="1" s="1"/>
  <c r="CK164" i="1"/>
  <c r="CT164" i="1" s="1"/>
  <c r="CK209" i="1"/>
  <c r="CT209" i="1" s="1"/>
  <c r="CK252" i="1"/>
  <c r="CT252" i="1" s="1"/>
  <c r="CK184" i="1"/>
  <c r="CT184" i="1" s="1"/>
  <c r="CK241" i="1"/>
  <c r="CT241" i="1" s="1"/>
  <c r="CK195" i="1"/>
  <c r="CT195" i="1" s="1"/>
  <c r="CK159" i="1"/>
  <c r="CT159" i="1" s="1"/>
  <c r="CK197" i="1"/>
  <c r="CT197" i="1" s="1"/>
  <c r="CK222" i="1"/>
  <c r="CT222" i="1" s="1"/>
  <c r="CK255" i="1"/>
  <c r="CT255" i="1" s="1"/>
  <c r="CK157" i="1"/>
  <c r="CT157" i="1" s="1"/>
  <c r="CK215" i="1"/>
  <c r="CT215" i="1" s="1"/>
  <c r="CK220" i="1"/>
  <c r="CT220" i="1" s="1"/>
  <c r="CK216" i="1"/>
  <c r="CT216" i="1" s="1"/>
  <c r="CK180" i="1"/>
  <c r="CT180" i="1" s="1"/>
  <c r="CK178" i="1"/>
  <c r="CT178" i="1" s="1"/>
  <c r="CK242" i="1"/>
  <c r="CT242" i="1" s="1"/>
  <c r="CF201" i="1"/>
  <c r="CF166" i="1"/>
  <c r="CF218" i="1"/>
  <c r="CF229" i="1"/>
  <c r="CF184" i="1"/>
  <c r="CF248" i="1"/>
  <c r="CF177" i="1"/>
  <c r="CF241" i="1"/>
  <c r="CF169" i="1"/>
  <c r="CF161" i="1"/>
  <c r="CF247" i="1"/>
  <c r="CF185" i="1"/>
  <c r="CF249" i="1"/>
  <c r="CF158" i="1"/>
  <c r="CF230" i="1"/>
  <c r="CF223" i="1"/>
  <c r="CF212" i="1"/>
  <c r="CF210" i="1"/>
  <c r="CF195" i="1"/>
  <c r="CF243" i="1"/>
  <c r="CF219" i="1"/>
  <c r="CF181" i="1"/>
  <c r="CF245" i="1"/>
  <c r="CF204" i="1"/>
  <c r="CF183" i="1"/>
  <c r="CF200" i="1"/>
  <c r="CF193" i="1"/>
  <c r="CF170" i="1"/>
  <c r="CF226" i="1"/>
  <c r="CF205" i="1"/>
  <c r="CP205" i="1" s="1"/>
  <c r="CF168" i="1"/>
  <c r="CP168" i="1" s="1"/>
  <c r="CF190" i="1"/>
  <c r="CF254" i="1"/>
  <c r="CF231" i="1"/>
  <c r="CP231" i="1" s="1"/>
  <c r="CF235" i="1"/>
  <c r="CF160" i="1"/>
  <c r="CP160" i="1" s="1"/>
  <c r="CF224" i="1"/>
  <c r="CP224" i="1" s="1"/>
  <c r="CF211" i="1"/>
  <c r="CF228" i="1"/>
  <c r="CP228" i="1" s="1"/>
  <c r="CF217" i="1"/>
  <c r="CF179" i="1"/>
  <c r="CF188" i="1"/>
  <c r="CF186" i="1"/>
  <c r="CF250" i="1"/>
  <c r="CF191" i="1"/>
  <c r="CF163" i="1"/>
  <c r="CF189" i="1"/>
  <c r="CF253" i="1"/>
  <c r="CF214" i="1"/>
  <c r="CF239" i="1"/>
  <c r="CF227" i="1"/>
  <c r="CF244" i="1"/>
  <c r="CF199" i="1"/>
  <c r="CF196" i="1"/>
  <c r="CF208" i="1"/>
  <c r="CF167" i="1"/>
  <c r="CF225" i="1"/>
  <c r="CF234" i="1"/>
  <c r="CF203" i="1"/>
  <c r="CF194" i="1"/>
  <c r="CF173" i="1"/>
  <c r="CF237" i="1"/>
  <c r="CF198" i="1"/>
  <c r="CF165" i="1"/>
  <c r="CF207" i="1"/>
  <c r="CF171" i="1"/>
  <c r="CF192" i="1"/>
  <c r="CF164" i="1"/>
  <c r="CF209" i="1"/>
  <c r="CF252" i="1"/>
  <c r="CF159" i="1"/>
  <c r="CF197" i="1"/>
  <c r="CF222" i="1"/>
  <c r="CF255" i="1"/>
  <c r="CF157" i="1"/>
  <c r="CF215" i="1"/>
  <c r="CF220" i="1"/>
  <c r="CF216" i="1"/>
  <c r="CF180" i="1"/>
  <c r="CF178" i="1"/>
  <c r="CF242" i="1"/>
  <c r="BK203" i="1"/>
  <c r="BM203" i="1" s="1"/>
  <c r="BL230" i="1"/>
  <c r="BK230" i="1"/>
  <c r="BM230" i="1" s="1"/>
  <c r="BK183" i="1"/>
  <c r="BM183" i="1" s="1"/>
  <c r="BL183" i="1"/>
  <c r="BK192" i="1"/>
  <c r="BM192" i="1" s="1"/>
  <c r="BK201" i="1"/>
  <c r="BM201" i="1" s="1"/>
  <c r="BL201" i="1"/>
  <c r="BK157" i="1"/>
  <c r="BM157" i="1" s="1"/>
  <c r="BL157" i="1"/>
  <c r="BK210" i="1"/>
  <c r="BM210" i="1" s="1"/>
  <c r="BL210" i="1"/>
  <c r="BK181" i="1"/>
  <c r="BM181" i="1" s="1"/>
  <c r="BK213" i="1"/>
  <c r="BM213" i="1" s="1"/>
  <c r="BK238" i="1"/>
  <c r="BM238" i="1" s="1"/>
  <c r="BK161" i="1"/>
  <c r="BM161" i="1" s="1"/>
  <c r="BL161" i="1"/>
  <c r="BK168" i="1"/>
  <c r="BM168" i="1" s="1"/>
  <c r="BL168" i="1"/>
  <c r="BK198" i="1"/>
  <c r="BM198" i="1" s="1"/>
  <c r="BK191" i="1"/>
  <c r="BM191" i="1" s="1"/>
  <c r="BL223" i="1"/>
  <c r="BK223" i="1"/>
  <c r="BM223" i="1" s="1"/>
  <c r="BL255" i="1"/>
  <c r="BK255" i="1"/>
  <c r="BM255" i="1" s="1"/>
  <c r="BK171" i="1"/>
  <c r="BM171" i="1" s="1"/>
  <c r="BK200" i="1"/>
  <c r="BM200" i="1" s="1"/>
  <c r="BK232" i="1"/>
  <c r="BM232" i="1" s="1"/>
  <c r="BL232" i="1"/>
  <c r="BL204" i="1"/>
  <c r="BK204" i="1"/>
  <c r="BM204" i="1" s="1"/>
  <c r="BK177" i="1"/>
  <c r="BM177" i="1" s="1"/>
  <c r="BK209" i="1"/>
  <c r="BM209" i="1" s="1"/>
  <c r="BL178" i="1"/>
  <c r="BK178" i="1"/>
  <c r="BM178" i="1" s="1"/>
  <c r="BL242" i="1"/>
  <c r="BK242" i="1"/>
  <c r="BM242" i="1" s="1"/>
  <c r="BK220" i="1"/>
  <c r="BM220" i="1" s="1"/>
  <c r="BK173" i="1"/>
  <c r="BM173" i="1" s="1"/>
  <c r="BL173" i="1"/>
  <c r="BK215" i="1"/>
  <c r="BM215" i="1" s="1"/>
  <c r="BK234" i="1"/>
  <c r="BM234" i="1" s="1"/>
  <c r="BL234" i="1"/>
  <c r="BK188" i="1"/>
  <c r="BM188" i="1" s="1"/>
  <c r="BL188" i="1"/>
  <c r="BK206" i="1"/>
  <c r="BM206" i="1" s="1"/>
  <c r="BL219" i="1"/>
  <c r="BK219" i="1"/>
  <c r="BM219" i="1" s="1"/>
  <c r="BK240" i="1"/>
  <c r="BM240" i="1" s="1"/>
  <c r="BL240" i="1"/>
  <c r="BK176" i="1"/>
  <c r="BM176" i="1" s="1"/>
  <c r="BK244" i="1"/>
  <c r="BM244" i="1" s="1"/>
  <c r="BK185" i="1"/>
  <c r="BM185" i="1" s="1"/>
  <c r="BL185" i="1"/>
  <c r="BL252" i="1"/>
  <c r="BK252" i="1"/>
  <c r="BM252" i="1" s="1"/>
  <c r="BK218" i="1"/>
  <c r="BM218" i="1" s="1"/>
  <c r="BK251" i="1"/>
  <c r="BM251" i="1" s="1"/>
  <c r="BK190" i="1"/>
  <c r="BM190" i="1" s="1"/>
  <c r="BK179" i="1"/>
  <c r="BM179" i="1" s="1"/>
  <c r="BL179" i="1"/>
  <c r="BK243" i="1"/>
  <c r="BM243" i="1" s="1"/>
  <c r="BK245" i="1"/>
  <c r="BM245" i="1" s="1"/>
  <c r="BL164" i="1"/>
  <c r="BK164" i="1"/>
  <c r="BM164" i="1" s="1"/>
  <c r="BK235" i="1"/>
  <c r="BM235" i="1" s="1"/>
  <c r="BK241" i="1"/>
  <c r="BM241" i="1" s="1"/>
  <c r="BK159" i="1"/>
  <c r="BM159" i="1" s="1"/>
  <c r="BK189" i="1"/>
  <c r="BM189" i="1" s="1"/>
  <c r="BK221" i="1"/>
  <c r="BM221" i="1" s="1"/>
  <c r="BK253" i="1"/>
  <c r="BM253" i="1" s="1"/>
  <c r="BK254" i="1"/>
  <c r="BM254" i="1" s="1"/>
  <c r="BL254" i="1"/>
  <c r="BL212" i="1"/>
  <c r="BK212" i="1"/>
  <c r="BM212" i="1" s="1"/>
  <c r="BK174" i="1"/>
  <c r="BM174" i="1" s="1"/>
  <c r="BK165" i="1"/>
  <c r="BM165" i="1" s="1"/>
  <c r="BL199" i="1"/>
  <c r="BK199" i="1"/>
  <c r="BM199" i="1" s="1"/>
  <c r="BK231" i="1"/>
  <c r="BM231" i="1" s="1"/>
  <c r="BL231" i="1"/>
  <c r="BK158" i="1"/>
  <c r="BM158" i="1" s="1"/>
  <c r="BK208" i="1"/>
  <c r="BM208" i="1" s="1"/>
  <c r="BL248" i="1"/>
  <c r="BK248" i="1"/>
  <c r="BM248" i="1" s="1"/>
  <c r="BK217" i="1"/>
  <c r="BM217" i="1" s="1"/>
  <c r="BK249" i="1"/>
  <c r="BM249" i="1" s="1"/>
  <c r="BK186" i="1"/>
  <c r="BM186" i="1" s="1"/>
  <c r="BL250" i="1"/>
  <c r="BK250" i="1"/>
  <c r="BM250" i="1" s="1"/>
  <c r="BK196" i="1"/>
  <c r="BM196" i="1" s="1"/>
  <c r="BK205" i="1"/>
  <c r="BM205" i="1" s="1"/>
  <c r="BL205" i="1"/>
  <c r="BK162" i="1"/>
  <c r="BM162" i="1" s="1"/>
  <c r="BK160" i="1"/>
  <c r="BM160" i="1" s="1"/>
  <c r="BL160" i="1"/>
  <c r="BK169" i="1"/>
  <c r="BM169" i="1" s="1"/>
  <c r="BK180" i="1"/>
  <c r="BM180" i="1" s="1"/>
  <c r="BK195" i="1"/>
  <c r="BM195" i="1" s="1"/>
  <c r="BK227" i="1"/>
  <c r="BM227" i="1" s="1"/>
  <c r="BK202" i="1"/>
  <c r="BM202" i="1" s="1"/>
  <c r="BK237" i="1"/>
  <c r="BM237" i="1" s="1"/>
  <c r="BK246" i="1"/>
  <c r="BM246" i="1" s="1"/>
  <c r="BL246" i="1"/>
  <c r="BK247" i="1"/>
  <c r="BM247" i="1" s="1"/>
  <c r="BK224" i="1"/>
  <c r="BM224" i="1" s="1"/>
  <c r="BL233" i="1"/>
  <c r="BK233" i="1"/>
  <c r="BM233" i="1" s="1"/>
  <c r="BL222" i="1"/>
  <c r="BK222" i="1"/>
  <c r="BM222" i="1" s="1"/>
  <c r="BK214" i="1"/>
  <c r="BM214" i="1" s="1"/>
  <c r="BK175" i="1"/>
  <c r="BM175" i="1" s="1"/>
  <c r="BK236" i="1"/>
  <c r="BM236" i="1" s="1"/>
  <c r="BL236" i="1"/>
  <c r="BK167" i="1"/>
  <c r="BM167" i="1" s="1"/>
  <c r="BK211" i="1"/>
  <c r="BM211" i="1" s="1"/>
  <c r="BL194" i="1"/>
  <c r="BK194" i="1"/>
  <c r="BM194" i="1" s="1"/>
  <c r="BK228" i="1"/>
  <c r="BM228" i="1" s="1"/>
  <c r="BK163" i="1"/>
  <c r="BM163" i="1" s="1"/>
  <c r="BK197" i="1"/>
  <c r="BM197" i="1" s="1"/>
  <c r="BK229" i="1"/>
  <c r="BM229" i="1" s="1"/>
  <c r="BL229" i="1"/>
  <c r="BK187" i="1"/>
  <c r="BM187" i="1" s="1"/>
  <c r="BL187" i="1"/>
  <c r="BK182" i="1"/>
  <c r="BM182" i="1" s="1"/>
  <c r="BK207" i="1"/>
  <c r="BM207" i="1" s="1"/>
  <c r="BK239" i="1"/>
  <c r="BM239" i="1" s="1"/>
  <c r="BK184" i="1"/>
  <c r="BM184" i="1" s="1"/>
  <c r="BL184" i="1"/>
  <c r="BK216" i="1"/>
  <c r="BM216" i="1" s="1"/>
  <c r="BK193" i="1"/>
  <c r="BM193" i="1" s="1"/>
  <c r="BK225" i="1"/>
  <c r="BM225" i="1" s="1"/>
  <c r="BK170" i="1"/>
  <c r="BM170" i="1" s="1"/>
  <c r="BL170" i="1"/>
  <c r="BK226" i="1"/>
  <c r="BM226" i="1" s="1"/>
  <c r="BK166" i="1"/>
  <c r="BM166" i="1" s="1"/>
  <c r="BL172" i="1"/>
  <c r="BK172" i="1"/>
  <c r="BM172" i="1" s="1"/>
  <c r="BI190" i="1"/>
  <c r="BH190" i="1"/>
  <c r="BI160" i="1"/>
  <c r="BH160" i="1"/>
  <c r="BI169" i="1"/>
  <c r="BH169" i="1"/>
  <c r="BH245" i="1"/>
  <c r="BI245" i="1"/>
  <c r="BI164" i="1"/>
  <c r="BH164" i="1"/>
  <c r="BI157" i="1"/>
  <c r="BH157" i="1"/>
  <c r="BI235" i="1"/>
  <c r="BH235" i="1"/>
  <c r="BH241" i="1"/>
  <c r="BI241" i="1"/>
  <c r="BI188" i="1"/>
  <c r="BH188" i="1"/>
  <c r="BI210" i="1"/>
  <c r="BH210" i="1"/>
  <c r="BI230" i="1"/>
  <c r="BH230" i="1"/>
  <c r="BI224" i="1"/>
  <c r="BH224" i="1"/>
  <c r="BH181" i="1"/>
  <c r="BI181" i="1"/>
  <c r="BI213" i="1"/>
  <c r="BH213" i="1"/>
  <c r="BI238" i="1"/>
  <c r="BH238" i="1"/>
  <c r="BH161" i="1"/>
  <c r="BI161" i="1"/>
  <c r="BI168" i="1"/>
  <c r="BH168" i="1"/>
  <c r="BI198" i="1"/>
  <c r="BH198" i="1"/>
  <c r="BI191" i="1"/>
  <c r="BH191" i="1"/>
  <c r="BI223" i="1"/>
  <c r="BH223" i="1"/>
  <c r="BI255" i="1"/>
  <c r="BH255" i="1"/>
  <c r="BI171" i="1"/>
  <c r="BH171" i="1"/>
  <c r="BI200" i="1"/>
  <c r="BH200" i="1"/>
  <c r="BI232" i="1"/>
  <c r="BH232" i="1"/>
  <c r="BI204" i="1"/>
  <c r="BH204" i="1"/>
  <c r="BH177" i="1"/>
  <c r="BI177" i="1"/>
  <c r="BH209" i="1"/>
  <c r="BI209" i="1"/>
  <c r="BI178" i="1"/>
  <c r="BH178" i="1"/>
  <c r="BI242" i="1"/>
  <c r="BH242" i="1"/>
  <c r="BH173" i="1"/>
  <c r="BI173" i="1"/>
  <c r="BI183" i="1"/>
  <c r="BH183" i="1"/>
  <c r="BH233" i="1"/>
  <c r="BI233" i="1"/>
  <c r="BI240" i="1"/>
  <c r="BH240" i="1"/>
  <c r="BI176" i="1"/>
  <c r="BH176" i="1"/>
  <c r="BI244" i="1"/>
  <c r="BH244" i="1"/>
  <c r="BI185" i="1"/>
  <c r="BH185" i="1"/>
  <c r="BI252" i="1"/>
  <c r="BH252" i="1"/>
  <c r="BI218" i="1"/>
  <c r="BH218" i="1"/>
  <c r="BI247" i="1"/>
  <c r="BH247" i="1"/>
  <c r="BI234" i="1"/>
  <c r="BH234" i="1"/>
  <c r="BH221" i="1"/>
  <c r="BI221" i="1"/>
  <c r="BI254" i="1"/>
  <c r="BH254" i="1"/>
  <c r="BI174" i="1"/>
  <c r="BH174" i="1"/>
  <c r="BH165" i="1"/>
  <c r="BI165" i="1"/>
  <c r="BI199" i="1"/>
  <c r="BH199" i="1"/>
  <c r="BI231" i="1"/>
  <c r="BH231" i="1"/>
  <c r="BI158" i="1"/>
  <c r="BH158" i="1"/>
  <c r="BI208" i="1"/>
  <c r="BH208" i="1"/>
  <c r="BI248" i="1"/>
  <c r="BH248" i="1"/>
  <c r="BH217" i="1"/>
  <c r="BI217" i="1"/>
  <c r="BH249" i="1"/>
  <c r="BI249" i="1"/>
  <c r="BI186" i="1"/>
  <c r="BH186" i="1"/>
  <c r="BI250" i="1"/>
  <c r="BH250" i="1"/>
  <c r="BI196" i="1"/>
  <c r="BH196" i="1"/>
  <c r="BH237" i="1"/>
  <c r="BI237" i="1"/>
  <c r="BI215" i="1"/>
  <c r="BH215" i="1"/>
  <c r="BI201" i="1"/>
  <c r="BH201" i="1"/>
  <c r="BH189" i="1"/>
  <c r="BI189" i="1"/>
  <c r="BI253" i="1"/>
  <c r="BH253" i="1"/>
  <c r="BI212" i="1"/>
  <c r="BH212" i="1"/>
  <c r="BI222" i="1"/>
  <c r="BH222" i="1"/>
  <c r="BI214" i="1"/>
  <c r="BH214" i="1"/>
  <c r="BI180" i="1"/>
  <c r="BH180" i="1"/>
  <c r="BI175" i="1"/>
  <c r="BH175" i="1"/>
  <c r="BI236" i="1"/>
  <c r="BH236" i="1"/>
  <c r="BI195" i="1"/>
  <c r="BH195" i="1"/>
  <c r="BI167" i="1"/>
  <c r="BH167" i="1"/>
  <c r="BI211" i="1"/>
  <c r="BH211" i="1"/>
  <c r="BI194" i="1"/>
  <c r="BH194" i="1"/>
  <c r="BI228" i="1"/>
  <c r="BH228" i="1"/>
  <c r="BH205" i="1"/>
  <c r="BI205" i="1"/>
  <c r="BI246" i="1"/>
  <c r="BH246" i="1"/>
  <c r="BI192" i="1"/>
  <c r="BH192" i="1"/>
  <c r="BI243" i="1"/>
  <c r="BH243" i="1"/>
  <c r="BI206" i="1"/>
  <c r="BH206" i="1"/>
  <c r="BH197" i="1"/>
  <c r="BI197" i="1"/>
  <c r="BI187" i="1"/>
  <c r="BH187" i="1"/>
  <c r="BI182" i="1"/>
  <c r="BH182" i="1"/>
  <c r="BI207" i="1"/>
  <c r="BH207" i="1"/>
  <c r="BI239" i="1"/>
  <c r="BH239" i="1"/>
  <c r="BI184" i="1"/>
  <c r="BH184" i="1"/>
  <c r="BI216" i="1"/>
  <c r="BH216" i="1"/>
  <c r="BH193" i="1"/>
  <c r="BI193" i="1"/>
  <c r="BI225" i="1"/>
  <c r="BH225" i="1"/>
  <c r="BI170" i="1"/>
  <c r="BH170" i="1"/>
  <c r="BI226" i="1"/>
  <c r="BH226" i="1"/>
  <c r="BI166" i="1"/>
  <c r="BH166" i="1"/>
  <c r="BI162" i="1"/>
  <c r="BH162" i="1"/>
  <c r="BI179" i="1"/>
  <c r="BH179" i="1"/>
  <c r="BI219" i="1"/>
  <c r="BH219" i="1"/>
  <c r="BI159" i="1"/>
  <c r="BH159" i="1"/>
  <c r="BI163" i="1"/>
  <c r="BH163" i="1"/>
  <c r="BH229" i="1"/>
  <c r="BI229" i="1"/>
  <c r="BI227" i="1"/>
  <c r="BH227" i="1"/>
  <c r="BI220" i="1"/>
  <c r="BH220" i="1"/>
  <c r="BI251" i="1"/>
  <c r="BH251" i="1"/>
  <c r="BI172" i="1"/>
  <c r="BH172" i="1"/>
  <c r="BI202" i="1"/>
  <c r="BH202" i="1"/>
  <c r="BI203" i="1"/>
  <c r="BH203" i="1"/>
  <c r="AQ203" i="1"/>
  <c r="AQ213" i="1"/>
  <c r="AQ251" i="1"/>
  <c r="AQ225" i="1"/>
  <c r="AQ229" i="1"/>
  <c r="AQ212" i="1"/>
  <c r="AQ174" i="1"/>
  <c r="AQ214" i="1"/>
  <c r="AQ175" i="1"/>
  <c r="AQ199" i="1"/>
  <c r="AQ179" i="1"/>
  <c r="AQ171" i="1"/>
  <c r="AQ232" i="1"/>
  <c r="AQ177" i="1"/>
  <c r="AQ241" i="1"/>
  <c r="AQ243" i="1"/>
  <c r="AQ178" i="1"/>
  <c r="AQ226" i="1"/>
  <c r="AQ202" i="1"/>
  <c r="AQ253" i="1"/>
  <c r="AQ219" i="1"/>
  <c r="AQ163" i="1"/>
  <c r="AQ205" i="1"/>
  <c r="AQ245" i="1"/>
  <c r="AQ230" i="1"/>
  <c r="AQ187" i="1"/>
  <c r="AQ239" i="1"/>
  <c r="AQ158" i="1"/>
  <c r="AQ195" i="1"/>
  <c r="AQ244" i="1"/>
  <c r="AQ201" i="1"/>
  <c r="AQ211" i="1"/>
  <c r="AQ252" i="1"/>
  <c r="AQ194" i="1"/>
  <c r="AQ218" i="1"/>
  <c r="AQ238" i="1"/>
  <c r="AQ157" i="1"/>
  <c r="AQ249" i="1"/>
  <c r="AQ189" i="1"/>
  <c r="AQ223" i="1"/>
  <c r="AQ216" i="1"/>
  <c r="AQ181" i="1"/>
  <c r="AQ164" i="1"/>
  <c r="AQ220" i="1"/>
  <c r="AQ215" i="1"/>
  <c r="AQ184" i="1"/>
  <c r="AQ208" i="1"/>
  <c r="AQ172" i="1"/>
  <c r="AQ242" i="1"/>
  <c r="AQ228" i="1"/>
  <c r="AQ198" i="1"/>
  <c r="AQ240" i="1"/>
  <c r="AQ192" i="1"/>
  <c r="AQ159" i="1"/>
  <c r="AQ222" i="1"/>
  <c r="AQ254" i="1"/>
  <c r="AQ168" i="1"/>
  <c r="AQ206" i="1"/>
  <c r="AQ191" i="1"/>
  <c r="AQ255" i="1"/>
  <c r="AQ235" i="1"/>
  <c r="AQ160" i="1"/>
  <c r="AQ224" i="1"/>
  <c r="AQ217" i="1"/>
  <c r="AQ188" i="1"/>
  <c r="AQ166" i="1"/>
  <c r="AQ162" i="1"/>
  <c r="AQ246" i="1"/>
  <c r="AQ183" i="1"/>
  <c r="AQ209" i="1"/>
  <c r="AQ170" i="1"/>
  <c r="AQ196" i="1"/>
  <c r="AQ197" i="1"/>
  <c r="AQ221" i="1"/>
  <c r="AQ227" i="1"/>
  <c r="AQ161" i="1"/>
  <c r="AQ190" i="1"/>
  <c r="AQ180" i="1"/>
  <c r="AQ165" i="1"/>
  <c r="AQ231" i="1"/>
  <c r="AQ176" i="1"/>
  <c r="AQ204" i="1"/>
  <c r="AQ185" i="1"/>
  <c r="AQ193" i="1"/>
  <c r="AQ233" i="1"/>
  <c r="AQ210" i="1"/>
  <c r="AQ247" i="1"/>
  <c r="AQ182" i="1"/>
  <c r="AQ250" i="1"/>
  <c r="AQ173" i="1"/>
  <c r="AQ237" i="1"/>
  <c r="AQ207" i="1"/>
  <c r="AQ236" i="1"/>
  <c r="AQ200" i="1"/>
  <c r="AQ248" i="1"/>
  <c r="AQ167" i="1"/>
  <c r="AQ169" i="1"/>
  <c r="AQ186" i="1"/>
  <c r="AQ234" i="1"/>
  <c r="AL246" i="1"/>
  <c r="AO246" i="1"/>
  <c r="AN246" i="1"/>
  <c r="AL183" i="1"/>
  <c r="AO183" i="1"/>
  <c r="AN183" i="1"/>
  <c r="AL249" i="1"/>
  <c r="AO249" i="1"/>
  <c r="AN249" i="1"/>
  <c r="AL213" i="1"/>
  <c r="AO213" i="1"/>
  <c r="AN213" i="1"/>
  <c r="AL198" i="1"/>
  <c r="AO198" i="1"/>
  <c r="AN198" i="1"/>
  <c r="AL240" i="1"/>
  <c r="AO240" i="1"/>
  <c r="AN240" i="1"/>
  <c r="AL251" i="1"/>
  <c r="AO251" i="1"/>
  <c r="AN251" i="1"/>
  <c r="AL163" i="1"/>
  <c r="AO163" i="1"/>
  <c r="AN163" i="1"/>
  <c r="AL229" i="1"/>
  <c r="AO229" i="1"/>
  <c r="AN229" i="1"/>
  <c r="AL212" i="1"/>
  <c r="AO212" i="1"/>
  <c r="AN212" i="1"/>
  <c r="AL174" i="1"/>
  <c r="AO174" i="1"/>
  <c r="AN174" i="1"/>
  <c r="AL214" i="1"/>
  <c r="AO214" i="1"/>
  <c r="AN214" i="1"/>
  <c r="AL175" i="1"/>
  <c r="AO175" i="1"/>
  <c r="AN175" i="1"/>
  <c r="AL199" i="1"/>
  <c r="AO199" i="1"/>
  <c r="AN199" i="1"/>
  <c r="AL179" i="1"/>
  <c r="AO179" i="1"/>
  <c r="AN179" i="1"/>
  <c r="AL171" i="1"/>
  <c r="AO171" i="1"/>
  <c r="AN171" i="1"/>
  <c r="AL232" i="1"/>
  <c r="AO232" i="1"/>
  <c r="AN232" i="1"/>
  <c r="AL177" i="1"/>
  <c r="AO177" i="1"/>
  <c r="AN177" i="1"/>
  <c r="AL241" i="1"/>
  <c r="AO241" i="1"/>
  <c r="AN241" i="1"/>
  <c r="AL243" i="1"/>
  <c r="AO243" i="1"/>
  <c r="AN243" i="1"/>
  <c r="AL178" i="1"/>
  <c r="AO178" i="1"/>
  <c r="AN178" i="1"/>
  <c r="AL226" i="1"/>
  <c r="AO226" i="1"/>
  <c r="AN226" i="1"/>
  <c r="AL157" i="1"/>
  <c r="AO157" i="1"/>
  <c r="AN157" i="1"/>
  <c r="AL189" i="1"/>
  <c r="AO189" i="1"/>
  <c r="AN189" i="1"/>
  <c r="AL192" i="1"/>
  <c r="AO192" i="1"/>
  <c r="AN192" i="1"/>
  <c r="AL205" i="1"/>
  <c r="AO205" i="1"/>
  <c r="AN205" i="1"/>
  <c r="AL245" i="1"/>
  <c r="AO245" i="1"/>
  <c r="AN245" i="1"/>
  <c r="AL230" i="1"/>
  <c r="AO230" i="1"/>
  <c r="AN230" i="1"/>
  <c r="AL187" i="1"/>
  <c r="AO187" i="1"/>
  <c r="AN187" i="1"/>
  <c r="AL239" i="1"/>
  <c r="AO239" i="1"/>
  <c r="AN239" i="1"/>
  <c r="AL158" i="1"/>
  <c r="AO158" i="1"/>
  <c r="AN158" i="1"/>
  <c r="AL195" i="1"/>
  <c r="AO195" i="1"/>
  <c r="AN195" i="1"/>
  <c r="AL244" i="1"/>
  <c r="AO244" i="1"/>
  <c r="AN244" i="1"/>
  <c r="AL201" i="1"/>
  <c r="AO201" i="1"/>
  <c r="AN201" i="1"/>
  <c r="AL211" i="1"/>
  <c r="AO211" i="1"/>
  <c r="AN211" i="1"/>
  <c r="AL252" i="1"/>
  <c r="AO252" i="1"/>
  <c r="AN252" i="1"/>
  <c r="AL194" i="1"/>
  <c r="AO194" i="1"/>
  <c r="AN194" i="1"/>
  <c r="AL218" i="1"/>
  <c r="AO218" i="1"/>
  <c r="AN218" i="1"/>
  <c r="AL162" i="1"/>
  <c r="AO162" i="1"/>
  <c r="AN162" i="1"/>
  <c r="AL202" i="1"/>
  <c r="AO202" i="1"/>
  <c r="AN202" i="1"/>
  <c r="AL225" i="1"/>
  <c r="AO225" i="1"/>
  <c r="AN225" i="1"/>
  <c r="AL250" i="1"/>
  <c r="AO250" i="1"/>
  <c r="AN250" i="1"/>
  <c r="AL181" i="1"/>
  <c r="AO181" i="1"/>
  <c r="AN181" i="1"/>
  <c r="AL164" i="1"/>
  <c r="AO164" i="1"/>
  <c r="AN164" i="1"/>
  <c r="AL220" i="1"/>
  <c r="AO220" i="1"/>
  <c r="AN220" i="1"/>
  <c r="AL215" i="1"/>
  <c r="AO215" i="1"/>
  <c r="AN215" i="1"/>
  <c r="AL184" i="1"/>
  <c r="AN184" i="1"/>
  <c r="AO184" i="1"/>
  <c r="AL208" i="1"/>
  <c r="AO208" i="1"/>
  <c r="AN208" i="1"/>
  <c r="AL172" i="1"/>
  <c r="AO172" i="1"/>
  <c r="AN172" i="1"/>
  <c r="AL242" i="1"/>
  <c r="AO242" i="1"/>
  <c r="AN242" i="1"/>
  <c r="AL228" i="1"/>
  <c r="AO228" i="1"/>
  <c r="AN228" i="1"/>
  <c r="AL247" i="1"/>
  <c r="AO247" i="1"/>
  <c r="AN247" i="1"/>
  <c r="AL219" i="1"/>
  <c r="AO219" i="1"/>
  <c r="AN219" i="1"/>
  <c r="AL216" i="1"/>
  <c r="AN216" i="1"/>
  <c r="AO216" i="1"/>
  <c r="AL222" i="1"/>
  <c r="AO222" i="1"/>
  <c r="AN222" i="1"/>
  <c r="AL254" i="1"/>
  <c r="AO254" i="1"/>
  <c r="AN254" i="1"/>
  <c r="AL168" i="1"/>
  <c r="AO168" i="1"/>
  <c r="AN168" i="1"/>
  <c r="AL206" i="1"/>
  <c r="AO206" i="1"/>
  <c r="AN206" i="1"/>
  <c r="AL191" i="1"/>
  <c r="AO191" i="1"/>
  <c r="AN191" i="1"/>
  <c r="AL255" i="1"/>
  <c r="AO255" i="1"/>
  <c r="AN255" i="1"/>
  <c r="AL235" i="1"/>
  <c r="AO235" i="1"/>
  <c r="AN235" i="1"/>
  <c r="AL160" i="1"/>
  <c r="AN160" i="1"/>
  <c r="AO160" i="1"/>
  <c r="AL224" i="1"/>
  <c r="AN224" i="1"/>
  <c r="AO224" i="1"/>
  <c r="AL217" i="1"/>
  <c r="AO217" i="1"/>
  <c r="AN217" i="1"/>
  <c r="AL188" i="1"/>
  <c r="AO188" i="1"/>
  <c r="AN188" i="1"/>
  <c r="AL166" i="1"/>
  <c r="AO166" i="1"/>
  <c r="AN166" i="1"/>
  <c r="AL238" i="1"/>
  <c r="AO238" i="1"/>
  <c r="AN238" i="1"/>
  <c r="AL209" i="1"/>
  <c r="AO209" i="1"/>
  <c r="AN209" i="1"/>
  <c r="AL170" i="1"/>
  <c r="AO170" i="1"/>
  <c r="AN170" i="1"/>
  <c r="AL196" i="1"/>
  <c r="AO196" i="1"/>
  <c r="AN196" i="1"/>
  <c r="AL253" i="1"/>
  <c r="AO253" i="1"/>
  <c r="AN253" i="1"/>
  <c r="AL197" i="1"/>
  <c r="AO197" i="1"/>
  <c r="AN197" i="1"/>
  <c r="AL221" i="1"/>
  <c r="AO221" i="1"/>
  <c r="AN221" i="1"/>
  <c r="AL227" i="1"/>
  <c r="AO227" i="1"/>
  <c r="AN227" i="1"/>
  <c r="AL161" i="1"/>
  <c r="AO161" i="1"/>
  <c r="AN161" i="1"/>
  <c r="AL190" i="1"/>
  <c r="AO190" i="1"/>
  <c r="AN190" i="1"/>
  <c r="AL180" i="1"/>
  <c r="AO180" i="1"/>
  <c r="AN180" i="1"/>
  <c r="AL165" i="1"/>
  <c r="AO165" i="1"/>
  <c r="AN165" i="1"/>
  <c r="AL231" i="1"/>
  <c r="AO231" i="1"/>
  <c r="AN231" i="1"/>
  <c r="AL176" i="1"/>
  <c r="AO176" i="1"/>
  <c r="AN176" i="1"/>
  <c r="AL204" i="1"/>
  <c r="AO204" i="1"/>
  <c r="AN204" i="1"/>
  <c r="AL185" i="1"/>
  <c r="AO185" i="1"/>
  <c r="AN185" i="1"/>
  <c r="AL193" i="1"/>
  <c r="AO193" i="1"/>
  <c r="AN193" i="1"/>
  <c r="AL233" i="1"/>
  <c r="AO233" i="1"/>
  <c r="AN233" i="1"/>
  <c r="AL210" i="1"/>
  <c r="AO210" i="1"/>
  <c r="AN210" i="1"/>
  <c r="AL203" i="1"/>
  <c r="AO203" i="1"/>
  <c r="AN203" i="1"/>
  <c r="AL182" i="1"/>
  <c r="AO182" i="1"/>
  <c r="AN182" i="1"/>
  <c r="AL223" i="1"/>
  <c r="AO223" i="1"/>
  <c r="AN223" i="1"/>
  <c r="AL159" i="1"/>
  <c r="AO159" i="1"/>
  <c r="AN159" i="1"/>
  <c r="AL173" i="1"/>
  <c r="AO173" i="1"/>
  <c r="AN173" i="1"/>
  <c r="AL237" i="1"/>
  <c r="AO237" i="1"/>
  <c r="AN237" i="1"/>
  <c r="AL207" i="1"/>
  <c r="AO207" i="1"/>
  <c r="AN207" i="1"/>
  <c r="AL236" i="1"/>
  <c r="AO236" i="1"/>
  <c r="AN236" i="1"/>
  <c r="AL200" i="1"/>
  <c r="AN200" i="1"/>
  <c r="AO200" i="1"/>
  <c r="AL248" i="1"/>
  <c r="AN248" i="1"/>
  <c r="AO248" i="1"/>
  <c r="AL167" i="1"/>
  <c r="AO167" i="1"/>
  <c r="AN167" i="1"/>
  <c r="AL169" i="1"/>
  <c r="AO169" i="1"/>
  <c r="AN169" i="1"/>
  <c r="AL186" i="1"/>
  <c r="AO186" i="1"/>
  <c r="AN186" i="1"/>
  <c r="AL234" i="1"/>
  <c r="AO234" i="1"/>
  <c r="AN234" i="1"/>
  <c r="K574" i="2"/>
  <c r="L573" i="2"/>
  <c r="K307" i="2"/>
  <c r="L306" i="2"/>
  <c r="K93" i="2"/>
  <c r="L92" i="2"/>
  <c r="CP190" i="1" l="1"/>
  <c r="BT189" i="1"/>
  <c r="BW189" i="1"/>
  <c r="BT219" i="1"/>
  <c r="BW219" i="1"/>
  <c r="BT220" i="1"/>
  <c r="BW220" i="1"/>
  <c r="BT194" i="1"/>
  <c r="BW194" i="1"/>
  <c r="BT187" i="1"/>
  <c r="BW187" i="1"/>
  <c r="BT178" i="1"/>
  <c r="BW178" i="1"/>
  <c r="BT175" i="1"/>
  <c r="BW175" i="1"/>
  <c r="BT198" i="1"/>
  <c r="BW198" i="1"/>
  <c r="BT163" i="1"/>
  <c r="BW163" i="1"/>
  <c r="BT236" i="1"/>
  <c r="BW236" i="1"/>
  <c r="BT210" i="1"/>
  <c r="BW210" i="1"/>
  <c r="BT180" i="1"/>
  <c r="BW180" i="1"/>
  <c r="BT170" i="1"/>
  <c r="BW170" i="1"/>
  <c r="BT235" i="1"/>
  <c r="BW235" i="1"/>
  <c r="BT186" i="1"/>
  <c r="BW186" i="1"/>
  <c r="BT173" i="1"/>
  <c r="BW173" i="1"/>
  <c r="BT185" i="1"/>
  <c r="BW185" i="1"/>
  <c r="BT227" i="1"/>
  <c r="BW227" i="1"/>
  <c r="BT166" i="1"/>
  <c r="BW166" i="1"/>
  <c r="BT206" i="1"/>
  <c r="BW206" i="1"/>
  <c r="BT242" i="1"/>
  <c r="BW242" i="1"/>
  <c r="BT250" i="1"/>
  <c r="BW250" i="1"/>
  <c r="BT201" i="1"/>
  <c r="BW201" i="1"/>
  <c r="BT205" i="1"/>
  <c r="BW205" i="1"/>
  <c r="BT177" i="1"/>
  <c r="BW177" i="1"/>
  <c r="BT212" i="1"/>
  <c r="BW212" i="1"/>
  <c r="BT183" i="1"/>
  <c r="BW183" i="1"/>
  <c r="BT176" i="1"/>
  <c r="BW176" i="1"/>
  <c r="BT217" i="1"/>
  <c r="BW217" i="1"/>
  <c r="BT182" i="1"/>
  <c r="BW182" i="1"/>
  <c r="BT253" i="1"/>
  <c r="BW253" i="1"/>
  <c r="BT224" i="1"/>
  <c r="BW224" i="1"/>
  <c r="BT222" i="1"/>
  <c r="BW222" i="1"/>
  <c r="BT184" i="1"/>
  <c r="BW184" i="1"/>
  <c r="BT162" i="1"/>
  <c r="BW162" i="1"/>
  <c r="BT158" i="1"/>
  <c r="BW158" i="1"/>
  <c r="BT157" i="1"/>
  <c r="BW157" i="1"/>
  <c r="BT179" i="1"/>
  <c r="BW179" i="1"/>
  <c r="BT251" i="1"/>
  <c r="BW251" i="1"/>
  <c r="BT167" i="1"/>
  <c r="BW167" i="1"/>
  <c r="BT197" i="1"/>
  <c r="BW197" i="1"/>
  <c r="BT248" i="1"/>
  <c r="BW248" i="1"/>
  <c r="BT231" i="1"/>
  <c r="BW231" i="1"/>
  <c r="BT207" i="1"/>
  <c r="BW207" i="1"/>
  <c r="BT233" i="1"/>
  <c r="BW233" i="1"/>
  <c r="BT190" i="1"/>
  <c r="BW190" i="1"/>
  <c r="BT209" i="1"/>
  <c r="BW209" i="1"/>
  <c r="BT255" i="1"/>
  <c r="BW255" i="1"/>
  <c r="BT247" i="1"/>
  <c r="BW247" i="1"/>
  <c r="BT164" i="1"/>
  <c r="BW164" i="1"/>
  <c r="BT252" i="1"/>
  <c r="BW252" i="1"/>
  <c r="BT230" i="1"/>
  <c r="BW230" i="1"/>
  <c r="BT243" i="1"/>
  <c r="BW243" i="1"/>
  <c r="BT214" i="1"/>
  <c r="BW214" i="1"/>
  <c r="BT213" i="1"/>
  <c r="BW213" i="1"/>
  <c r="CP254" i="1"/>
  <c r="BT232" i="1"/>
  <c r="BW232" i="1"/>
  <c r="BT229" i="1"/>
  <c r="BW229" i="1"/>
  <c r="BT246" i="1"/>
  <c r="BW246" i="1"/>
  <c r="BT223" i="1"/>
  <c r="BW223" i="1"/>
  <c r="BT254" i="1"/>
  <c r="BW254" i="1"/>
  <c r="BT202" i="1"/>
  <c r="BW202" i="1"/>
  <c r="BT159" i="1"/>
  <c r="BW159" i="1"/>
  <c r="BT221" i="1"/>
  <c r="BW221" i="1"/>
  <c r="BT168" i="1"/>
  <c r="BW168" i="1"/>
  <c r="BT192" i="1"/>
  <c r="BW192" i="1"/>
  <c r="BT200" i="1"/>
  <c r="BW200" i="1"/>
  <c r="BT203" i="1"/>
  <c r="BW203" i="1"/>
  <c r="BT165" i="1"/>
  <c r="BW165" i="1"/>
  <c r="BT196" i="1"/>
  <c r="BW196" i="1"/>
  <c r="BT160" i="1"/>
  <c r="BW160" i="1"/>
  <c r="BT216" i="1"/>
  <c r="BW216" i="1"/>
  <c r="BT215" i="1"/>
  <c r="BW215" i="1"/>
  <c r="BT218" i="1"/>
  <c r="BW218" i="1"/>
  <c r="BT239" i="1"/>
  <c r="BW239" i="1"/>
  <c r="BT226" i="1"/>
  <c r="BW226" i="1"/>
  <c r="BT199" i="1"/>
  <c r="BW199" i="1"/>
  <c r="BT240" i="1"/>
  <c r="BW240" i="1"/>
  <c r="BT208" i="1"/>
  <c r="BW208" i="1"/>
  <c r="BT195" i="1"/>
  <c r="BW195" i="1"/>
  <c r="BT171" i="1"/>
  <c r="BW171" i="1"/>
  <c r="BT169" i="1"/>
  <c r="BW169" i="1"/>
  <c r="BT204" i="1"/>
  <c r="BW204" i="1"/>
  <c r="BT188" i="1"/>
  <c r="BW188" i="1"/>
  <c r="BT172" i="1"/>
  <c r="BW172" i="1"/>
  <c r="BT225" i="1"/>
  <c r="BW225" i="1"/>
  <c r="BT244" i="1"/>
  <c r="BW244" i="1"/>
  <c r="BT234" i="1"/>
  <c r="BW234" i="1"/>
  <c r="BT237" i="1"/>
  <c r="BW237" i="1"/>
  <c r="BT193" i="1"/>
  <c r="BW193" i="1"/>
  <c r="BT161" i="1"/>
  <c r="BW161" i="1"/>
  <c r="BT238" i="1"/>
  <c r="BW238" i="1"/>
  <c r="BT191" i="1"/>
  <c r="BW191" i="1"/>
  <c r="BT228" i="1"/>
  <c r="BW228" i="1"/>
  <c r="BT181" i="1"/>
  <c r="BW181" i="1"/>
  <c r="BT211" i="1"/>
  <c r="BW211" i="1"/>
  <c r="BT245" i="1"/>
  <c r="BW245" i="1"/>
  <c r="BT241" i="1"/>
  <c r="BW241" i="1"/>
  <c r="BT174" i="1"/>
  <c r="BW174" i="1"/>
  <c r="BT249" i="1"/>
  <c r="BW249" i="1"/>
  <c r="CP233" i="1"/>
  <c r="CT233" i="1"/>
  <c r="CP187" i="1"/>
  <c r="CT187" i="1"/>
  <c r="CP172" i="1"/>
  <c r="CT172" i="1"/>
  <c r="CP246" i="1"/>
  <c r="CT246" i="1"/>
  <c r="CP221" i="1"/>
  <c r="CT221" i="1"/>
  <c r="CP236" i="1"/>
  <c r="CT236" i="1"/>
  <c r="CP202" i="1"/>
  <c r="CT202" i="1"/>
  <c r="CP240" i="1"/>
  <c r="CT240" i="1"/>
  <c r="CP206" i="1"/>
  <c r="CT206" i="1"/>
  <c r="CP175" i="1"/>
  <c r="CT175" i="1"/>
  <c r="CP213" i="1"/>
  <c r="CT213" i="1"/>
  <c r="CP162" i="1"/>
  <c r="CT162" i="1"/>
  <c r="CP251" i="1"/>
  <c r="CT251" i="1"/>
  <c r="CP176" i="1"/>
  <c r="CT176" i="1"/>
  <c r="CP182" i="1"/>
  <c r="CT182" i="1"/>
  <c r="CP238" i="1"/>
  <c r="CP220" i="1"/>
  <c r="CP241" i="1"/>
  <c r="CP177" i="1"/>
  <c r="CP215" i="1"/>
  <c r="CP184" i="1"/>
  <c r="CP169" i="1"/>
  <c r="CP226" i="1"/>
  <c r="CP245" i="1"/>
  <c r="CP201" i="1"/>
  <c r="CP219" i="1"/>
  <c r="CP252" i="1"/>
  <c r="CP229" i="1"/>
  <c r="CP225" i="1"/>
  <c r="CP214" i="1"/>
  <c r="CP170" i="1"/>
  <c r="CP181" i="1"/>
  <c r="CP191" i="1"/>
  <c r="CP249" i="1"/>
  <c r="CP234" i="1"/>
  <c r="CP239" i="1"/>
  <c r="CP157" i="1"/>
  <c r="CP255" i="1"/>
  <c r="CP209" i="1"/>
  <c r="CP194" i="1"/>
  <c r="CP167" i="1"/>
  <c r="CP253" i="1"/>
  <c r="CP193" i="1"/>
  <c r="CP250" i="1"/>
  <c r="CP185" i="1"/>
  <c r="CP242" i="1"/>
  <c r="CP222" i="1"/>
  <c r="CP164" i="1"/>
  <c r="CP174" i="1"/>
  <c r="CP208" i="1"/>
  <c r="CP189" i="1"/>
  <c r="CP200" i="1"/>
  <c r="CP186" i="1"/>
  <c r="CP247" i="1"/>
  <c r="CP178" i="1"/>
  <c r="CP197" i="1"/>
  <c r="CP192" i="1"/>
  <c r="CP196" i="1"/>
  <c r="CP163" i="1"/>
  <c r="CP183" i="1"/>
  <c r="CP218" i="1"/>
  <c r="CP179" i="1"/>
  <c r="CP161" i="1"/>
  <c r="CP180" i="1"/>
  <c r="CP159" i="1"/>
  <c r="CP171" i="1"/>
  <c r="CP203" i="1"/>
  <c r="CP199" i="1"/>
  <c r="CP212" i="1"/>
  <c r="CP204" i="1"/>
  <c r="CP198" i="1"/>
  <c r="CP211" i="1"/>
  <c r="CP188" i="1"/>
  <c r="CP216" i="1"/>
  <c r="CP195" i="1"/>
  <c r="CP207" i="1"/>
  <c r="CP243" i="1"/>
  <c r="CP244" i="1"/>
  <c r="CP210" i="1"/>
  <c r="CP223" i="1"/>
  <c r="CP173" i="1"/>
  <c r="CP235" i="1"/>
  <c r="CP158" i="1"/>
  <c r="CP165" i="1"/>
  <c r="CP232" i="1"/>
  <c r="CP227" i="1"/>
  <c r="CP248" i="1"/>
  <c r="CP230" i="1"/>
  <c r="CP166" i="1"/>
  <c r="CP237" i="1"/>
  <c r="CP217" i="1"/>
  <c r="BN226" i="1"/>
  <c r="BR226" i="1"/>
  <c r="BN196" i="1"/>
  <c r="BR196" i="1"/>
  <c r="BN221" i="1"/>
  <c r="BR221" i="1"/>
  <c r="BN203" i="1"/>
  <c r="BR203" i="1"/>
  <c r="BU203" i="1" s="1"/>
  <c r="BN159" i="1"/>
  <c r="BR159" i="1"/>
  <c r="BN206" i="1"/>
  <c r="BR206" i="1"/>
  <c r="BU206" i="1" s="1"/>
  <c r="BN167" i="1"/>
  <c r="BR167" i="1"/>
  <c r="BN253" i="1"/>
  <c r="BR253" i="1"/>
  <c r="BU253" i="1" s="1"/>
  <c r="BN174" i="1"/>
  <c r="BR174" i="1"/>
  <c r="BN244" i="1"/>
  <c r="BR244" i="1"/>
  <c r="BU244" i="1" s="1"/>
  <c r="BV244" i="1" s="1"/>
  <c r="BN173" i="1"/>
  <c r="BR173" i="1"/>
  <c r="BN191" i="1"/>
  <c r="BR191" i="1"/>
  <c r="BU191" i="1" s="1"/>
  <c r="BN230" i="1"/>
  <c r="BR230" i="1"/>
  <c r="BN169" i="1"/>
  <c r="BR169" i="1"/>
  <c r="BU169" i="1" s="1"/>
  <c r="BV169" i="1" s="1"/>
  <c r="BN228" i="1"/>
  <c r="BR228" i="1"/>
  <c r="BN251" i="1"/>
  <c r="BR251" i="1"/>
  <c r="BU251" i="1" s="1"/>
  <c r="BN234" i="1"/>
  <c r="BR234" i="1"/>
  <c r="BN209" i="1"/>
  <c r="BR209" i="1"/>
  <c r="BN170" i="1"/>
  <c r="BR170" i="1"/>
  <c r="BN187" i="1"/>
  <c r="BR187" i="1"/>
  <c r="BU187" i="1" s="1"/>
  <c r="BV187" i="1" s="1"/>
  <c r="BN194" i="1"/>
  <c r="BR194" i="1"/>
  <c r="BN222" i="1"/>
  <c r="BR222" i="1"/>
  <c r="BN250" i="1"/>
  <c r="BR250" i="1"/>
  <c r="BN199" i="1"/>
  <c r="BR199" i="1"/>
  <c r="BU199" i="1" s="1"/>
  <c r="BN252" i="1"/>
  <c r="BR252" i="1"/>
  <c r="BN233" i="1"/>
  <c r="BR233" i="1"/>
  <c r="BN242" i="1"/>
  <c r="BR242" i="1"/>
  <c r="BN255" i="1"/>
  <c r="BR255" i="1"/>
  <c r="BU255" i="1" s="1"/>
  <c r="BN161" i="1"/>
  <c r="BR161" i="1"/>
  <c r="BN241" i="1"/>
  <c r="BR241" i="1"/>
  <c r="BN164" i="1"/>
  <c r="BR164" i="1"/>
  <c r="BN231" i="1"/>
  <c r="BR231" i="1"/>
  <c r="BU231" i="1" s="1"/>
  <c r="BN162" i="1"/>
  <c r="BR162" i="1"/>
  <c r="BN215" i="1"/>
  <c r="BR215" i="1"/>
  <c r="BN202" i="1"/>
  <c r="BR202" i="1"/>
  <c r="BN229" i="1"/>
  <c r="BR229" i="1"/>
  <c r="BN219" i="1"/>
  <c r="BR219" i="1"/>
  <c r="BN216" i="1"/>
  <c r="BR216" i="1"/>
  <c r="BN243" i="1"/>
  <c r="BR243" i="1"/>
  <c r="BN195" i="1"/>
  <c r="BR195" i="1"/>
  <c r="BN254" i="1"/>
  <c r="BR254" i="1"/>
  <c r="BN176" i="1"/>
  <c r="BR176" i="1"/>
  <c r="BN198" i="1"/>
  <c r="BR198" i="1"/>
  <c r="BN181" i="1"/>
  <c r="BR181" i="1"/>
  <c r="BN210" i="1"/>
  <c r="BR210" i="1"/>
  <c r="BN160" i="1"/>
  <c r="BR160" i="1"/>
  <c r="BN171" i="1"/>
  <c r="BR171" i="1"/>
  <c r="BN157" i="1"/>
  <c r="BR157" i="1"/>
  <c r="BN239" i="1"/>
  <c r="BR239" i="1"/>
  <c r="BN208" i="1"/>
  <c r="BR208" i="1"/>
  <c r="BN220" i="1"/>
  <c r="BR220" i="1"/>
  <c r="BN166" i="1"/>
  <c r="BR166" i="1"/>
  <c r="BN207" i="1"/>
  <c r="BR207" i="1"/>
  <c r="BN180" i="1"/>
  <c r="BR180" i="1"/>
  <c r="BN189" i="1"/>
  <c r="BR189" i="1"/>
  <c r="BN217" i="1"/>
  <c r="BR217" i="1"/>
  <c r="BN158" i="1"/>
  <c r="BR158" i="1"/>
  <c r="BN247" i="1"/>
  <c r="BR247" i="1"/>
  <c r="BN183" i="1"/>
  <c r="BR183" i="1"/>
  <c r="BN177" i="1"/>
  <c r="BR177" i="1"/>
  <c r="BN200" i="1"/>
  <c r="BR200" i="1"/>
  <c r="BN238" i="1"/>
  <c r="BR238" i="1"/>
  <c r="BN235" i="1"/>
  <c r="BR235" i="1"/>
  <c r="BN227" i="1"/>
  <c r="BR227" i="1"/>
  <c r="BN182" i="1"/>
  <c r="BR182" i="1"/>
  <c r="BN214" i="1"/>
  <c r="BR214" i="1"/>
  <c r="BN246" i="1"/>
  <c r="BR246" i="1"/>
  <c r="BN163" i="1"/>
  <c r="BR163" i="1"/>
  <c r="BN225" i="1"/>
  <c r="BR225" i="1"/>
  <c r="BN205" i="1"/>
  <c r="BR205" i="1"/>
  <c r="BN211" i="1"/>
  <c r="BR211" i="1"/>
  <c r="BN212" i="1"/>
  <c r="BR212" i="1"/>
  <c r="BN237" i="1"/>
  <c r="BR237" i="1"/>
  <c r="BN186" i="1"/>
  <c r="BR186" i="1"/>
  <c r="BN185" i="1"/>
  <c r="BR185" i="1"/>
  <c r="BN178" i="1"/>
  <c r="BR178" i="1"/>
  <c r="BN223" i="1"/>
  <c r="BR223" i="1"/>
  <c r="BN224" i="1"/>
  <c r="BR224" i="1"/>
  <c r="BN218" i="1"/>
  <c r="BR218" i="1"/>
  <c r="BN213" i="1"/>
  <c r="BR213" i="1"/>
  <c r="BN193" i="1"/>
  <c r="BR193" i="1"/>
  <c r="BN175" i="1"/>
  <c r="BR175" i="1"/>
  <c r="BN249" i="1"/>
  <c r="BR249" i="1"/>
  <c r="BN232" i="1"/>
  <c r="BR232" i="1"/>
  <c r="BN172" i="1"/>
  <c r="BR172" i="1"/>
  <c r="BU172" i="1" s="1"/>
  <c r="BN179" i="1"/>
  <c r="BR179" i="1"/>
  <c r="BN184" i="1"/>
  <c r="BR184" i="1"/>
  <c r="BN197" i="1"/>
  <c r="BR197" i="1"/>
  <c r="BN192" i="1"/>
  <c r="BR192" i="1"/>
  <c r="BU192" i="1" s="1"/>
  <c r="BV192" i="1" s="1"/>
  <c r="BN236" i="1"/>
  <c r="BR236" i="1"/>
  <c r="BN201" i="1"/>
  <c r="BR201" i="1"/>
  <c r="BN248" i="1"/>
  <c r="BR248" i="1"/>
  <c r="BN165" i="1"/>
  <c r="BR165" i="1"/>
  <c r="BU165" i="1" s="1"/>
  <c r="BN240" i="1"/>
  <c r="BR240" i="1"/>
  <c r="BN204" i="1"/>
  <c r="BR204" i="1"/>
  <c r="BN168" i="1"/>
  <c r="BR168" i="1"/>
  <c r="BN188" i="1"/>
  <c r="BR188" i="1"/>
  <c r="BU188" i="1" s="1"/>
  <c r="BN245" i="1"/>
  <c r="BR245" i="1"/>
  <c r="BN190" i="1"/>
  <c r="BR190" i="1"/>
  <c r="AR233" i="1"/>
  <c r="AR161" i="1"/>
  <c r="AR241" i="1"/>
  <c r="AR251" i="1"/>
  <c r="AR169" i="1"/>
  <c r="AR173" i="1"/>
  <c r="AR213" i="1"/>
  <c r="AR157" i="1"/>
  <c r="AR248" i="1"/>
  <c r="AR250" i="1"/>
  <c r="AR196" i="1"/>
  <c r="AR214" i="1"/>
  <c r="AR239" i="1"/>
  <c r="AR221" i="1"/>
  <c r="AR208" i="1"/>
  <c r="AR159" i="1"/>
  <c r="AR171" i="1"/>
  <c r="AR228" i="1"/>
  <c r="AR231" i="1"/>
  <c r="AR218" i="1"/>
  <c r="AR230" i="1"/>
  <c r="AR191" i="1"/>
  <c r="AR209" i="1"/>
  <c r="AR206" i="1"/>
  <c r="AR174" i="1"/>
  <c r="AR252" i="1"/>
  <c r="AR172" i="1"/>
  <c r="AR187" i="1"/>
  <c r="AR182" i="1"/>
  <c r="AR227" i="1"/>
  <c r="AR226" i="1"/>
  <c r="AR166" i="1"/>
  <c r="AR238" i="1"/>
  <c r="AR240" i="1"/>
  <c r="AR236" i="1"/>
  <c r="AR170" i="1"/>
  <c r="AR222" i="1"/>
  <c r="AR194" i="1"/>
  <c r="AR242" i="1"/>
  <c r="AR199" i="1"/>
  <c r="AR229" i="1"/>
  <c r="AR181" i="1"/>
  <c r="AR255" i="1"/>
  <c r="AR207" i="1"/>
  <c r="AR180" i="1"/>
  <c r="AR183" i="1"/>
  <c r="AR215" i="1"/>
  <c r="AR175" i="1"/>
  <c r="AR237" i="1"/>
  <c r="AR247" i="1"/>
  <c r="AR246" i="1"/>
  <c r="AR158" i="1"/>
  <c r="AR200" i="1"/>
  <c r="AR162" i="1"/>
  <c r="AR220" i="1"/>
  <c r="AR205" i="1"/>
  <c r="AR235" i="1"/>
  <c r="AR192" i="1"/>
  <c r="AR177" i="1"/>
  <c r="AR202" i="1"/>
  <c r="AR184" i="1"/>
  <c r="AR201" i="1"/>
  <c r="AR179" i="1"/>
  <c r="AR160" i="1"/>
  <c r="AR216" i="1"/>
  <c r="AR210" i="1"/>
  <c r="AR176" i="1"/>
  <c r="AR217" i="1"/>
  <c r="AR254" i="1"/>
  <c r="AR189" i="1"/>
  <c r="AR219" i="1"/>
  <c r="AR243" i="1"/>
  <c r="AR198" i="1"/>
  <c r="AR195" i="1"/>
  <c r="AR249" i="1"/>
  <c r="AR244" i="1"/>
  <c r="AR167" i="1"/>
  <c r="AR193" i="1"/>
  <c r="AR253" i="1"/>
  <c r="AR203" i="1"/>
  <c r="AX203" i="1"/>
  <c r="AX165" i="1"/>
  <c r="AX196" i="1"/>
  <c r="AX215" i="1"/>
  <c r="AX218" i="1"/>
  <c r="AX239" i="1"/>
  <c r="AX226" i="1"/>
  <c r="AX199" i="1"/>
  <c r="AX240" i="1"/>
  <c r="AR223" i="1"/>
  <c r="AR245" i="1"/>
  <c r="AR225" i="1"/>
  <c r="AR211" i="1"/>
  <c r="AR185" i="1"/>
  <c r="AR165" i="1"/>
  <c r="AR224" i="1"/>
  <c r="AR163" i="1"/>
  <c r="AR186" i="1"/>
  <c r="AR212" i="1"/>
  <c r="AR197" i="1"/>
  <c r="AR178" i="1"/>
  <c r="BC207" i="1"/>
  <c r="BC209" i="1"/>
  <c r="BC233" i="1"/>
  <c r="BC204" i="1"/>
  <c r="BC200" i="1"/>
  <c r="BC218" i="1"/>
  <c r="BC239" i="1"/>
  <c r="BC240" i="1"/>
  <c r="BC234" i="1"/>
  <c r="BC237" i="1"/>
  <c r="BC193" i="1"/>
  <c r="BC161" i="1"/>
  <c r="BC238" i="1"/>
  <c r="BC191" i="1"/>
  <c r="BC228" i="1"/>
  <c r="BC181" i="1"/>
  <c r="BC211" i="1"/>
  <c r="BC245" i="1"/>
  <c r="BC241" i="1"/>
  <c r="BC174" i="1"/>
  <c r="BC249" i="1"/>
  <c r="BC230" i="1"/>
  <c r="BC169" i="1"/>
  <c r="BC192" i="1"/>
  <c r="BC232" i="1"/>
  <c r="BC203" i="1"/>
  <c r="BC160" i="1"/>
  <c r="BC216" i="1"/>
  <c r="BC226" i="1"/>
  <c r="BC199" i="1"/>
  <c r="BC167" i="1"/>
  <c r="BC223" i="1"/>
  <c r="BC176" i="1"/>
  <c r="BC197" i="1"/>
  <c r="BC217" i="1"/>
  <c r="BC254" i="1"/>
  <c r="BC208" i="1"/>
  <c r="BC202" i="1"/>
  <c r="BC195" i="1"/>
  <c r="BC189" i="1"/>
  <c r="BC171" i="1"/>
  <c r="BC163" i="1"/>
  <c r="BC255" i="1"/>
  <c r="BC247" i="1"/>
  <c r="BC243" i="1"/>
  <c r="BC213" i="1"/>
  <c r="BC159" i="1"/>
  <c r="BC221" i="1"/>
  <c r="BC210" i="1"/>
  <c r="BC180" i="1"/>
  <c r="BC170" i="1"/>
  <c r="BC235" i="1"/>
  <c r="BC220" i="1"/>
  <c r="BC194" i="1"/>
  <c r="BC187" i="1"/>
  <c r="BC178" i="1"/>
  <c r="BC175" i="1"/>
  <c r="BC198" i="1"/>
  <c r="BC190" i="1"/>
  <c r="BC188" i="1"/>
  <c r="BC172" i="1"/>
  <c r="BC246" i="1"/>
  <c r="BC196" i="1"/>
  <c r="BC236" i="1"/>
  <c r="BC186" i="1"/>
  <c r="BC173" i="1"/>
  <c r="BC185" i="1"/>
  <c r="BC227" i="1"/>
  <c r="BC166" i="1"/>
  <c r="BC206" i="1"/>
  <c r="BC242" i="1"/>
  <c r="BC250" i="1"/>
  <c r="BC201" i="1"/>
  <c r="BC205" i="1"/>
  <c r="BC177" i="1"/>
  <c r="BC212" i="1"/>
  <c r="BC183" i="1"/>
  <c r="BC164" i="1"/>
  <c r="BC252" i="1"/>
  <c r="BC214" i="1"/>
  <c r="BC168" i="1"/>
  <c r="BC225" i="1"/>
  <c r="BC244" i="1"/>
  <c r="BC229" i="1"/>
  <c r="BC165" i="1"/>
  <c r="BC219" i="1"/>
  <c r="BC248" i="1"/>
  <c r="BC182" i="1"/>
  <c r="BC231" i="1"/>
  <c r="BC253" i="1"/>
  <c r="BC224" i="1"/>
  <c r="BC222" i="1"/>
  <c r="BC184" i="1"/>
  <c r="BC162" i="1"/>
  <c r="BC158" i="1"/>
  <c r="BC157" i="1"/>
  <c r="BC179" i="1"/>
  <c r="BC251" i="1"/>
  <c r="AS196" i="1"/>
  <c r="AS246" i="1"/>
  <c r="AS254" i="1"/>
  <c r="AS172" i="1"/>
  <c r="AS220" i="1"/>
  <c r="AS211" i="1"/>
  <c r="AS243" i="1"/>
  <c r="AS167" i="1"/>
  <c r="AS207" i="1"/>
  <c r="AS182" i="1"/>
  <c r="AS193" i="1"/>
  <c r="AS231" i="1"/>
  <c r="AS161" i="1"/>
  <c r="AS217" i="1"/>
  <c r="AS255" i="1"/>
  <c r="AS240" i="1"/>
  <c r="AS223" i="1"/>
  <c r="AS238" i="1"/>
  <c r="AS158" i="1"/>
  <c r="AS245" i="1"/>
  <c r="AS253" i="1"/>
  <c r="AS171" i="1"/>
  <c r="AS214" i="1"/>
  <c r="AS225" i="1"/>
  <c r="AS247" i="1"/>
  <c r="AS170" i="1"/>
  <c r="AS224" i="1"/>
  <c r="AS222" i="1"/>
  <c r="AS208" i="1"/>
  <c r="AS164" i="1"/>
  <c r="AS218" i="1"/>
  <c r="AS239" i="1"/>
  <c r="AS202" i="1"/>
  <c r="AS234" i="1"/>
  <c r="AS248" i="1"/>
  <c r="AS237" i="1"/>
  <c r="AS185" i="1"/>
  <c r="AS165" i="1"/>
  <c r="AS227" i="1"/>
  <c r="AS162" i="1"/>
  <c r="AS191" i="1"/>
  <c r="AS198" i="1"/>
  <c r="AS189" i="1"/>
  <c r="AS201" i="1"/>
  <c r="AS205" i="1"/>
  <c r="AS241" i="1"/>
  <c r="AS179" i="1"/>
  <c r="AS174" i="1"/>
  <c r="AS251" i="1"/>
  <c r="AS186" i="1"/>
  <c r="AS180" i="1"/>
  <c r="AS166" i="1"/>
  <c r="AS160" i="1"/>
  <c r="AS206" i="1"/>
  <c r="AS159" i="1"/>
  <c r="AS228" i="1"/>
  <c r="AS244" i="1"/>
  <c r="AS212" i="1"/>
  <c r="AS200" i="1"/>
  <c r="AS173" i="1"/>
  <c r="AS210" i="1"/>
  <c r="AS204" i="1"/>
  <c r="AT204" i="1" s="1"/>
  <c r="AS221" i="1"/>
  <c r="AS209" i="1"/>
  <c r="AS184" i="1"/>
  <c r="AS181" i="1"/>
  <c r="AS249" i="1"/>
  <c r="AS194" i="1"/>
  <c r="AS187" i="1"/>
  <c r="AS163" i="1"/>
  <c r="AS226" i="1"/>
  <c r="AS177" i="1"/>
  <c r="AS199" i="1"/>
  <c r="AS213" i="1"/>
  <c r="AS236" i="1"/>
  <c r="AS190" i="1"/>
  <c r="AS168" i="1"/>
  <c r="AS216" i="1"/>
  <c r="AS219" i="1"/>
  <c r="AS232" i="1"/>
  <c r="AS175" i="1"/>
  <c r="AS169" i="1"/>
  <c r="AS250" i="1"/>
  <c r="AS233" i="1"/>
  <c r="AS176" i="1"/>
  <c r="AS197" i="1"/>
  <c r="AS183" i="1"/>
  <c r="AS188" i="1"/>
  <c r="AS235" i="1"/>
  <c r="AS192" i="1"/>
  <c r="AS242" i="1"/>
  <c r="AS215" i="1"/>
  <c r="AS157" i="1"/>
  <c r="AS252" i="1"/>
  <c r="AS195" i="1"/>
  <c r="AS230" i="1"/>
  <c r="AS178" i="1"/>
  <c r="AS229" i="1"/>
  <c r="AS203" i="1"/>
  <c r="AX167" i="1"/>
  <c r="AX223" i="1"/>
  <c r="AX176" i="1"/>
  <c r="AX197" i="1"/>
  <c r="AX217" i="1"/>
  <c r="AX254" i="1"/>
  <c r="AX208" i="1"/>
  <c r="AX202" i="1"/>
  <c r="AX195" i="1"/>
  <c r="AX175" i="1"/>
  <c r="AX198" i="1"/>
  <c r="AX234" i="1"/>
  <c r="AX237" i="1"/>
  <c r="AX193" i="1"/>
  <c r="AX161" i="1"/>
  <c r="AX238" i="1"/>
  <c r="AX191" i="1"/>
  <c r="AX228" i="1"/>
  <c r="AX181" i="1"/>
  <c r="AX211" i="1"/>
  <c r="AX245" i="1"/>
  <c r="AX241" i="1"/>
  <c r="AX174" i="1"/>
  <c r="AX249" i="1"/>
  <c r="AX189" i="1"/>
  <c r="AX171" i="1"/>
  <c r="AX163" i="1"/>
  <c r="AX186" i="1"/>
  <c r="AX173" i="1"/>
  <c r="AX185" i="1"/>
  <c r="AX227" i="1"/>
  <c r="AX166" i="1"/>
  <c r="AX206" i="1"/>
  <c r="AX242" i="1"/>
  <c r="AX250" i="1"/>
  <c r="AX201" i="1"/>
  <c r="AX205" i="1"/>
  <c r="AX177" i="1"/>
  <c r="AX212" i="1"/>
  <c r="AX183" i="1"/>
  <c r="AX248" i="1"/>
  <c r="AX207" i="1"/>
  <c r="AX233" i="1"/>
  <c r="AX190" i="1"/>
  <c r="AX209" i="1"/>
  <c r="AX224" i="1"/>
  <c r="AX255" i="1"/>
  <c r="AX247" i="1"/>
  <c r="AX184" i="1"/>
  <c r="AX164" i="1"/>
  <c r="AX252" i="1"/>
  <c r="AX230" i="1"/>
  <c r="AX243" i="1"/>
  <c r="AX214" i="1"/>
  <c r="AX213" i="1"/>
  <c r="AX200" i="1"/>
  <c r="BC215" i="1"/>
  <c r="AX160" i="1"/>
  <c r="AX236" i="1"/>
  <c r="AX210" i="1"/>
  <c r="AX180" i="1"/>
  <c r="AX170" i="1"/>
  <c r="AX235" i="1"/>
  <c r="AX219" i="1"/>
  <c r="AX220" i="1"/>
  <c r="AX194" i="1"/>
  <c r="AX187" i="1"/>
  <c r="AX178" i="1"/>
  <c r="AX216" i="1"/>
  <c r="AX182" i="1"/>
  <c r="AX231" i="1"/>
  <c r="AX253" i="1"/>
  <c r="AX222" i="1"/>
  <c r="AX162" i="1"/>
  <c r="AX158" i="1"/>
  <c r="AX157" i="1"/>
  <c r="AX179" i="1"/>
  <c r="AX251" i="1"/>
  <c r="AX169" i="1"/>
  <c r="AX159" i="1"/>
  <c r="AX204" i="1"/>
  <c r="AX221" i="1"/>
  <c r="AX188" i="1"/>
  <c r="AX168" i="1"/>
  <c r="AX172" i="1"/>
  <c r="AX225" i="1"/>
  <c r="AX244" i="1"/>
  <c r="AX192" i="1"/>
  <c r="AX232" i="1"/>
  <c r="AX229" i="1"/>
  <c r="AX246" i="1"/>
  <c r="AZ209" i="1"/>
  <c r="AZ232" i="1"/>
  <c r="AZ200" i="1"/>
  <c r="AZ203" i="1"/>
  <c r="AZ165" i="1"/>
  <c r="AZ196" i="1"/>
  <c r="AZ160" i="1"/>
  <c r="AZ216" i="1"/>
  <c r="AZ215" i="1"/>
  <c r="AZ218" i="1"/>
  <c r="AZ239" i="1"/>
  <c r="AZ226" i="1"/>
  <c r="AZ199" i="1"/>
  <c r="AZ240" i="1"/>
  <c r="AZ190" i="1"/>
  <c r="AZ159" i="1"/>
  <c r="AZ168" i="1"/>
  <c r="AZ246" i="1"/>
  <c r="AZ234" i="1"/>
  <c r="AZ237" i="1"/>
  <c r="AZ193" i="1"/>
  <c r="AZ161" i="1"/>
  <c r="AZ238" i="1"/>
  <c r="AZ191" i="1"/>
  <c r="AZ228" i="1"/>
  <c r="AZ181" i="1"/>
  <c r="AZ211" i="1"/>
  <c r="AZ245" i="1"/>
  <c r="AZ241" i="1"/>
  <c r="AZ174" i="1"/>
  <c r="AZ249" i="1"/>
  <c r="AZ167" i="1"/>
  <c r="AZ223" i="1"/>
  <c r="AZ176" i="1"/>
  <c r="AZ197" i="1"/>
  <c r="AZ217" i="1"/>
  <c r="AZ254" i="1"/>
  <c r="AZ208" i="1"/>
  <c r="AZ202" i="1"/>
  <c r="AZ195" i="1"/>
  <c r="AZ189" i="1"/>
  <c r="AZ171" i="1"/>
  <c r="AZ163" i="1"/>
  <c r="AZ247" i="1"/>
  <c r="AZ230" i="1"/>
  <c r="AZ221" i="1"/>
  <c r="AZ225" i="1"/>
  <c r="AZ192" i="1"/>
  <c r="AZ236" i="1"/>
  <c r="AZ210" i="1"/>
  <c r="AZ180" i="1"/>
  <c r="AZ170" i="1"/>
  <c r="AZ235" i="1"/>
  <c r="AZ219" i="1"/>
  <c r="AZ220" i="1"/>
  <c r="AZ194" i="1"/>
  <c r="AZ187" i="1"/>
  <c r="AZ178" i="1"/>
  <c r="AZ175" i="1"/>
  <c r="AZ198" i="1"/>
  <c r="AZ207" i="1"/>
  <c r="AZ233" i="1"/>
  <c r="AZ255" i="1"/>
  <c r="AZ243" i="1"/>
  <c r="AZ214" i="1"/>
  <c r="AZ213" i="1"/>
  <c r="AZ204" i="1"/>
  <c r="AZ188" i="1"/>
  <c r="AZ186" i="1"/>
  <c r="AZ173" i="1"/>
  <c r="AZ185" i="1"/>
  <c r="AZ227" i="1"/>
  <c r="AZ166" i="1"/>
  <c r="AZ206" i="1"/>
  <c r="AZ242" i="1"/>
  <c r="AZ250" i="1"/>
  <c r="AZ201" i="1"/>
  <c r="AZ205" i="1"/>
  <c r="AZ177" i="1"/>
  <c r="AZ212" i="1"/>
  <c r="AZ183" i="1"/>
  <c r="AZ164" i="1"/>
  <c r="AZ252" i="1"/>
  <c r="AZ169" i="1"/>
  <c r="AZ172" i="1"/>
  <c r="AZ244" i="1"/>
  <c r="AZ229" i="1"/>
  <c r="AZ248" i="1"/>
  <c r="AZ182" i="1"/>
  <c r="AZ231" i="1"/>
  <c r="AZ253" i="1"/>
  <c r="AZ224" i="1"/>
  <c r="AZ222" i="1"/>
  <c r="AZ184" i="1"/>
  <c r="AZ162" i="1"/>
  <c r="AZ158" i="1"/>
  <c r="AZ157" i="1"/>
  <c r="AZ179" i="1"/>
  <c r="AZ251" i="1"/>
  <c r="L93" i="2"/>
  <c r="K94" i="2"/>
  <c r="K308" i="2"/>
  <c r="L307" i="2"/>
  <c r="K575" i="2"/>
  <c r="L574" i="2"/>
  <c r="BV231" i="1" l="1"/>
  <c r="BV251" i="1"/>
  <c r="BV253" i="1"/>
  <c r="BV188" i="1"/>
  <c r="BV203" i="1"/>
  <c r="BV206" i="1"/>
  <c r="BV165" i="1"/>
  <c r="BV172" i="1"/>
  <c r="BV255" i="1"/>
  <c r="BV199" i="1"/>
  <c r="BV191" i="1"/>
  <c r="BU190" i="1"/>
  <c r="BV190" i="1" s="1"/>
  <c r="BU204" i="1"/>
  <c r="BV204" i="1" s="1"/>
  <c r="BU201" i="1"/>
  <c r="BV201" i="1" s="1"/>
  <c r="BU184" i="1"/>
  <c r="BV184" i="1" s="1"/>
  <c r="BU249" i="1"/>
  <c r="BV249" i="1" s="1"/>
  <c r="BU218" i="1"/>
  <c r="BV218" i="1" s="1"/>
  <c r="BU185" i="1"/>
  <c r="BV185" i="1" s="1"/>
  <c r="BU211" i="1"/>
  <c r="BV211" i="1" s="1"/>
  <c r="BU246" i="1"/>
  <c r="BV246" i="1" s="1"/>
  <c r="BU235" i="1"/>
  <c r="BV235" i="1" s="1"/>
  <c r="BU183" i="1"/>
  <c r="BV183" i="1" s="1"/>
  <c r="BU189" i="1"/>
  <c r="BV189" i="1" s="1"/>
  <c r="BU220" i="1"/>
  <c r="BV220" i="1" s="1"/>
  <c r="BU171" i="1"/>
  <c r="BV171" i="1" s="1"/>
  <c r="BU198" i="1"/>
  <c r="BV198" i="1" s="1"/>
  <c r="BU243" i="1"/>
  <c r="BV243" i="1" s="1"/>
  <c r="BU202" i="1"/>
  <c r="BV202" i="1" s="1"/>
  <c r="BU164" i="1"/>
  <c r="BV164" i="1" s="1"/>
  <c r="BU242" i="1"/>
  <c r="BV242" i="1" s="1"/>
  <c r="BU250" i="1"/>
  <c r="BV250" i="1" s="1"/>
  <c r="BU170" i="1"/>
  <c r="BV170" i="1" s="1"/>
  <c r="BU228" i="1"/>
  <c r="BV228" i="1" s="1"/>
  <c r="BU173" i="1"/>
  <c r="BV173" i="1" s="1"/>
  <c r="BU167" i="1"/>
  <c r="BV167" i="1" s="1"/>
  <c r="BU221" i="1"/>
  <c r="BV221" i="1" s="1"/>
  <c r="BU193" i="1"/>
  <c r="BV193" i="1" s="1"/>
  <c r="BU223" i="1"/>
  <c r="BV223" i="1" s="1"/>
  <c r="BU237" i="1"/>
  <c r="BV237" i="1" s="1"/>
  <c r="BU225" i="1"/>
  <c r="BV225" i="1" s="1"/>
  <c r="BU182" i="1"/>
  <c r="BV182" i="1" s="1"/>
  <c r="BU200" i="1"/>
  <c r="BV200" i="1" s="1"/>
  <c r="BU158" i="1"/>
  <c r="BV158" i="1" s="1"/>
  <c r="BU207" i="1"/>
  <c r="BV207" i="1" s="1"/>
  <c r="BU239" i="1"/>
  <c r="BV239" i="1" s="1"/>
  <c r="BU210" i="1"/>
  <c r="BV210" i="1" s="1"/>
  <c r="BU254" i="1"/>
  <c r="BV254" i="1" s="1"/>
  <c r="BU219" i="1"/>
  <c r="BV219" i="1" s="1"/>
  <c r="BU162" i="1"/>
  <c r="BV162" i="1" s="1"/>
  <c r="BU161" i="1"/>
  <c r="BV161" i="1" s="1"/>
  <c r="BU252" i="1"/>
  <c r="BV252" i="1" s="1"/>
  <c r="BU194" i="1"/>
  <c r="BV194" i="1" s="1"/>
  <c r="BU234" i="1"/>
  <c r="BV234" i="1" s="1"/>
  <c r="BU230" i="1"/>
  <c r="BV230" i="1" s="1"/>
  <c r="BU174" i="1"/>
  <c r="BV174" i="1" s="1"/>
  <c r="BU159" i="1"/>
  <c r="BV159" i="1" s="1"/>
  <c r="BU226" i="1"/>
  <c r="BV226" i="1" s="1"/>
  <c r="BU196" i="1"/>
  <c r="BV196" i="1" s="1"/>
  <c r="BU168" i="1"/>
  <c r="BV168" i="1" s="1"/>
  <c r="BU248" i="1"/>
  <c r="BV248" i="1" s="1"/>
  <c r="BU197" i="1"/>
  <c r="BV197" i="1" s="1"/>
  <c r="BU232" i="1"/>
  <c r="BV232" i="1" s="1"/>
  <c r="BU213" i="1"/>
  <c r="BV213" i="1" s="1"/>
  <c r="BU178" i="1"/>
  <c r="BV178" i="1" s="1"/>
  <c r="BU212" i="1"/>
  <c r="BV212" i="1" s="1"/>
  <c r="BU163" i="1"/>
  <c r="BV163" i="1" s="1"/>
  <c r="BU227" i="1"/>
  <c r="BV227" i="1" s="1"/>
  <c r="BU177" i="1"/>
  <c r="BV177" i="1" s="1"/>
  <c r="BU217" i="1"/>
  <c r="BV217" i="1" s="1"/>
  <c r="BU166" i="1"/>
  <c r="BV166" i="1" s="1"/>
  <c r="BU157" i="1"/>
  <c r="BV157" i="1" s="1"/>
  <c r="BU181" i="1"/>
  <c r="BV181" i="1" s="1"/>
  <c r="BU195" i="1"/>
  <c r="BV195" i="1" s="1"/>
  <c r="BU229" i="1"/>
  <c r="BV229" i="1" s="1"/>
  <c r="BX203" i="1"/>
  <c r="BY203" i="1" s="1"/>
  <c r="BX196" i="1"/>
  <c r="BY196" i="1" s="1"/>
  <c r="BU179" i="1"/>
  <c r="BV179" i="1" s="1"/>
  <c r="BU175" i="1"/>
  <c r="BV175" i="1" s="1"/>
  <c r="BU224" i="1"/>
  <c r="BV224" i="1" s="1"/>
  <c r="BU186" i="1"/>
  <c r="BV186" i="1" s="1"/>
  <c r="BU205" i="1"/>
  <c r="BV205" i="1" s="1"/>
  <c r="BU214" i="1"/>
  <c r="BV214" i="1" s="1"/>
  <c r="BU238" i="1"/>
  <c r="BV238" i="1" s="1"/>
  <c r="BU247" i="1"/>
  <c r="BV247" i="1" s="1"/>
  <c r="BU180" i="1"/>
  <c r="BV180" i="1" s="1"/>
  <c r="BU208" i="1"/>
  <c r="BV208" i="1" s="1"/>
  <c r="BU160" i="1"/>
  <c r="BV160" i="1" s="1"/>
  <c r="BU176" i="1"/>
  <c r="BV176" i="1" s="1"/>
  <c r="BU216" i="1"/>
  <c r="BV216" i="1" s="1"/>
  <c r="BU215" i="1"/>
  <c r="BV215" i="1" s="1"/>
  <c r="BU241" i="1"/>
  <c r="BV241" i="1" s="1"/>
  <c r="BU233" i="1"/>
  <c r="BV233" i="1" s="1"/>
  <c r="BU222" i="1"/>
  <c r="BV222" i="1" s="1"/>
  <c r="BU209" i="1"/>
  <c r="BV209" i="1" s="1"/>
  <c r="BU245" i="1"/>
  <c r="BV245" i="1" s="1"/>
  <c r="BU240" i="1"/>
  <c r="BV240" i="1" s="1"/>
  <c r="BU236" i="1"/>
  <c r="BV236" i="1" s="1"/>
  <c r="BX226" i="1"/>
  <c r="BY226" i="1" s="1"/>
  <c r="BX253" i="1"/>
  <c r="BY253" i="1" s="1"/>
  <c r="BX159" i="1"/>
  <c r="BY159" i="1" s="1"/>
  <c r="BX190" i="1"/>
  <c r="BY190" i="1" s="1"/>
  <c r="BX204" i="1"/>
  <c r="BY204" i="1" s="1"/>
  <c r="BX201" i="1"/>
  <c r="BY201" i="1" s="1"/>
  <c r="BX184" i="1"/>
  <c r="BY184" i="1" s="1"/>
  <c r="BX249" i="1"/>
  <c r="BY249" i="1" s="1"/>
  <c r="BX218" i="1"/>
  <c r="BY218" i="1" s="1"/>
  <c r="BX185" i="1"/>
  <c r="BY185" i="1" s="1"/>
  <c r="BX211" i="1"/>
  <c r="BY211" i="1" s="1"/>
  <c r="BX246" i="1"/>
  <c r="BY246" i="1" s="1"/>
  <c r="BX235" i="1"/>
  <c r="BY235" i="1" s="1"/>
  <c r="BX183" i="1"/>
  <c r="BY183" i="1" s="1"/>
  <c r="BX189" i="1"/>
  <c r="BY189" i="1" s="1"/>
  <c r="BX220" i="1"/>
  <c r="BY220" i="1" s="1"/>
  <c r="BX171" i="1"/>
  <c r="BY171" i="1" s="1"/>
  <c r="BX198" i="1"/>
  <c r="BY198" i="1" s="1"/>
  <c r="BX243" i="1"/>
  <c r="BY243" i="1" s="1"/>
  <c r="BX202" i="1"/>
  <c r="BY202" i="1" s="1"/>
  <c r="BX164" i="1"/>
  <c r="BY164" i="1" s="1"/>
  <c r="BX242" i="1"/>
  <c r="BY242" i="1" s="1"/>
  <c r="BX250" i="1"/>
  <c r="BY250" i="1" s="1"/>
  <c r="BX170" i="1"/>
  <c r="BY170" i="1" s="1"/>
  <c r="BX228" i="1"/>
  <c r="BY228" i="1" s="1"/>
  <c r="BX173" i="1"/>
  <c r="BY173" i="1" s="1"/>
  <c r="BX167" i="1"/>
  <c r="BY167" i="1" s="1"/>
  <c r="BX221" i="1"/>
  <c r="BY221" i="1" s="1"/>
  <c r="BX245" i="1"/>
  <c r="BY245" i="1" s="1"/>
  <c r="BX240" i="1"/>
  <c r="BY240" i="1" s="1"/>
  <c r="BX236" i="1"/>
  <c r="BY236" i="1" s="1"/>
  <c r="BX179" i="1"/>
  <c r="BY179" i="1" s="1"/>
  <c r="BX175" i="1"/>
  <c r="BY175" i="1" s="1"/>
  <c r="BX224" i="1"/>
  <c r="BY224" i="1" s="1"/>
  <c r="BX186" i="1"/>
  <c r="BY186" i="1" s="1"/>
  <c r="BX205" i="1"/>
  <c r="BY205" i="1" s="1"/>
  <c r="BX214" i="1"/>
  <c r="BY214" i="1" s="1"/>
  <c r="BX238" i="1"/>
  <c r="BY238" i="1" s="1"/>
  <c r="BX247" i="1"/>
  <c r="BY247" i="1" s="1"/>
  <c r="BX180" i="1"/>
  <c r="BY180" i="1" s="1"/>
  <c r="BX208" i="1"/>
  <c r="BY208" i="1" s="1"/>
  <c r="BX160" i="1"/>
  <c r="BY160" i="1" s="1"/>
  <c r="BX176" i="1"/>
  <c r="BY176" i="1" s="1"/>
  <c r="BX216" i="1"/>
  <c r="BY216" i="1" s="1"/>
  <c r="BX215" i="1"/>
  <c r="BY215" i="1" s="1"/>
  <c r="BX241" i="1"/>
  <c r="BY241" i="1" s="1"/>
  <c r="BX233" i="1"/>
  <c r="BY233" i="1" s="1"/>
  <c r="BX222" i="1"/>
  <c r="BY222" i="1" s="1"/>
  <c r="BX209" i="1"/>
  <c r="BY209" i="1" s="1"/>
  <c r="BX169" i="1"/>
  <c r="BY169" i="1" s="1"/>
  <c r="BX244" i="1"/>
  <c r="BY244" i="1" s="1"/>
  <c r="BX206" i="1"/>
  <c r="BY206" i="1" s="1"/>
  <c r="BX188" i="1"/>
  <c r="BY188" i="1" s="1"/>
  <c r="BX165" i="1"/>
  <c r="BY165" i="1" s="1"/>
  <c r="BX192" i="1"/>
  <c r="BY192" i="1" s="1"/>
  <c r="BX172" i="1"/>
  <c r="BY172" i="1" s="1"/>
  <c r="BX193" i="1"/>
  <c r="BY193" i="1" s="1"/>
  <c r="BX223" i="1"/>
  <c r="BY223" i="1" s="1"/>
  <c r="BX237" i="1"/>
  <c r="BY237" i="1" s="1"/>
  <c r="BX225" i="1"/>
  <c r="BY225" i="1" s="1"/>
  <c r="BX182" i="1"/>
  <c r="BY182" i="1" s="1"/>
  <c r="BX200" i="1"/>
  <c r="BY200" i="1" s="1"/>
  <c r="BX158" i="1"/>
  <c r="BY158" i="1" s="1"/>
  <c r="BX207" i="1"/>
  <c r="BY207" i="1" s="1"/>
  <c r="BX239" i="1"/>
  <c r="BY239" i="1" s="1"/>
  <c r="BX210" i="1"/>
  <c r="BY210" i="1" s="1"/>
  <c r="BX254" i="1"/>
  <c r="BY254" i="1" s="1"/>
  <c r="BX219" i="1"/>
  <c r="BY219" i="1" s="1"/>
  <c r="BX162" i="1"/>
  <c r="BY162" i="1" s="1"/>
  <c r="BX161" i="1"/>
  <c r="BY161" i="1" s="1"/>
  <c r="BX252" i="1"/>
  <c r="BY252" i="1" s="1"/>
  <c r="BX194" i="1"/>
  <c r="BY194" i="1" s="1"/>
  <c r="BX234" i="1"/>
  <c r="BY234" i="1" s="1"/>
  <c r="BX230" i="1"/>
  <c r="BY230" i="1" s="1"/>
  <c r="BX174" i="1"/>
  <c r="BY174" i="1" s="1"/>
  <c r="BX168" i="1"/>
  <c r="BY168" i="1" s="1"/>
  <c r="BX248" i="1"/>
  <c r="BY248" i="1" s="1"/>
  <c r="BX197" i="1"/>
  <c r="BY197" i="1" s="1"/>
  <c r="BX232" i="1"/>
  <c r="BY232" i="1" s="1"/>
  <c r="BX213" i="1"/>
  <c r="BY213" i="1" s="1"/>
  <c r="BX178" i="1"/>
  <c r="BY178" i="1" s="1"/>
  <c r="BX212" i="1"/>
  <c r="BY212" i="1" s="1"/>
  <c r="BX163" i="1"/>
  <c r="BY163" i="1" s="1"/>
  <c r="BX227" i="1"/>
  <c r="BY227" i="1" s="1"/>
  <c r="BX177" i="1"/>
  <c r="BY177" i="1" s="1"/>
  <c r="BX217" i="1"/>
  <c r="BY217" i="1" s="1"/>
  <c r="BX166" i="1"/>
  <c r="BY166" i="1" s="1"/>
  <c r="BX157" i="1"/>
  <c r="BY157" i="1" s="1"/>
  <c r="BX181" i="1"/>
  <c r="BY181" i="1" s="1"/>
  <c r="BX195" i="1"/>
  <c r="BY195" i="1" s="1"/>
  <c r="BX229" i="1"/>
  <c r="BY229" i="1" s="1"/>
  <c r="BX231" i="1"/>
  <c r="BY231" i="1" s="1"/>
  <c r="BX255" i="1"/>
  <c r="BY255" i="1" s="1"/>
  <c r="BX199" i="1"/>
  <c r="BY199" i="1" s="1"/>
  <c r="BX187" i="1"/>
  <c r="BY187" i="1" s="1"/>
  <c r="BX251" i="1"/>
  <c r="BY251" i="1" s="1"/>
  <c r="BX191" i="1"/>
  <c r="BY191" i="1" s="1"/>
  <c r="AT174" i="1"/>
  <c r="BD174" i="1" s="1"/>
  <c r="AT241" i="1"/>
  <c r="BD241" i="1" s="1"/>
  <c r="AT248" i="1"/>
  <c r="BD248" i="1" s="1"/>
  <c r="AT233" i="1"/>
  <c r="BD233" i="1" s="1"/>
  <c r="AT169" i="1"/>
  <c r="BD169" i="1" s="1"/>
  <c r="AT250" i="1"/>
  <c r="BD250" i="1" s="1"/>
  <c r="AT181" i="1"/>
  <c r="BD181" i="1" s="1"/>
  <c r="AT215" i="1"/>
  <c r="BD215" i="1" s="1"/>
  <c r="AT213" i="1"/>
  <c r="BD213" i="1" s="1"/>
  <c r="AT226" i="1"/>
  <c r="BD226" i="1" s="1"/>
  <c r="AT157" i="1"/>
  <c r="BD157" i="1" s="1"/>
  <c r="AT236" i="1"/>
  <c r="BD236" i="1" s="1"/>
  <c r="AT228" i="1"/>
  <c r="BA228" i="1" s="1"/>
  <c r="BB228" i="1" s="1"/>
  <c r="AT231" i="1"/>
  <c r="BA231" i="1" s="1"/>
  <c r="AT196" i="1"/>
  <c r="BA196" i="1" s="1"/>
  <c r="AT218" i="1"/>
  <c r="BA218" i="1" s="1"/>
  <c r="AT214" i="1"/>
  <c r="BD214" i="1" s="1"/>
  <c r="AT239" i="1"/>
  <c r="BA239" i="1" s="1"/>
  <c r="AT221" i="1"/>
  <c r="BA221" i="1" s="1"/>
  <c r="BB221" i="1" s="1"/>
  <c r="AT159" i="1"/>
  <c r="BA159" i="1" s="1"/>
  <c r="AT222" i="1"/>
  <c r="BD222" i="1" s="1"/>
  <c r="AT206" i="1"/>
  <c r="BA206" i="1" s="1"/>
  <c r="AT252" i="1"/>
  <c r="BA252" i="1" s="1"/>
  <c r="AT187" i="1"/>
  <c r="BD187" i="1" s="1"/>
  <c r="AT227" i="1"/>
  <c r="BA227" i="1" s="1"/>
  <c r="AT240" i="1"/>
  <c r="BA240" i="1" s="1"/>
  <c r="BB240" i="1" s="1"/>
  <c r="AT176" i="1"/>
  <c r="BA176" i="1" s="1"/>
  <c r="AT203" i="1"/>
  <c r="BA203" i="1" s="1"/>
  <c r="AT180" i="1"/>
  <c r="BA180" i="1" s="1"/>
  <c r="AT254" i="1"/>
  <c r="BA254" i="1" s="1"/>
  <c r="BB254" i="1" s="1"/>
  <c r="AT190" i="1"/>
  <c r="BA190" i="1" s="1"/>
  <c r="BB190" i="1" s="1"/>
  <c r="AT242" i="1"/>
  <c r="BA242" i="1" s="1"/>
  <c r="AT161" i="1"/>
  <c r="BA161" i="1" s="1"/>
  <c r="BB161" i="1" s="1"/>
  <c r="AT247" i="1"/>
  <c r="BA247" i="1" s="1"/>
  <c r="BB247" i="1" s="1"/>
  <c r="AT191" i="1"/>
  <c r="BA191" i="1" s="1"/>
  <c r="AT229" i="1"/>
  <c r="BA229" i="1" s="1"/>
  <c r="BB229" i="1" s="1"/>
  <c r="AT255" i="1"/>
  <c r="BA255" i="1" s="1"/>
  <c r="BB255" i="1" s="1"/>
  <c r="AT192" i="1"/>
  <c r="BA192" i="1" s="1"/>
  <c r="AT207" i="1"/>
  <c r="BA207" i="1" s="1"/>
  <c r="AT179" i="1"/>
  <c r="BA179" i="1" s="1"/>
  <c r="AT162" i="1"/>
  <c r="BA162" i="1" s="1"/>
  <c r="BB162" i="1" s="1"/>
  <c r="AT183" i="1"/>
  <c r="BA183" i="1" s="1"/>
  <c r="AT182" i="1"/>
  <c r="BA182" i="1" s="1"/>
  <c r="AT246" i="1"/>
  <c r="BA246" i="1" s="1"/>
  <c r="AT202" i="1"/>
  <c r="BA202" i="1" s="1"/>
  <c r="BB202" i="1" s="1"/>
  <c r="AT251" i="1"/>
  <c r="BA251" i="1" s="1"/>
  <c r="AT216" i="1"/>
  <c r="BA216" i="1" s="1"/>
  <c r="AT167" i="1"/>
  <c r="BA167" i="1" s="1"/>
  <c r="AT200" i="1"/>
  <c r="BA200" i="1" s="1"/>
  <c r="AT211" i="1"/>
  <c r="BA211" i="1" s="1"/>
  <c r="AT245" i="1"/>
  <c r="BA245" i="1" s="1"/>
  <c r="AT238" i="1"/>
  <c r="BA238" i="1" s="1"/>
  <c r="AT170" i="1"/>
  <c r="BA170" i="1" s="1"/>
  <c r="BB170" i="1" s="1"/>
  <c r="AT208" i="1"/>
  <c r="BA208" i="1" s="1"/>
  <c r="BB208" i="1" s="1"/>
  <c r="AT249" i="1"/>
  <c r="BA249" i="1" s="1"/>
  <c r="AT189" i="1"/>
  <c r="BA189" i="1" s="1"/>
  <c r="BB189" i="1" s="1"/>
  <c r="AT166" i="1"/>
  <c r="BA166" i="1" s="1"/>
  <c r="BB166" i="1" s="1"/>
  <c r="AT237" i="1"/>
  <c r="BA237" i="1" s="1"/>
  <c r="AT225" i="1"/>
  <c r="BA225" i="1" s="1"/>
  <c r="AT201" i="1"/>
  <c r="BA201" i="1" s="1"/>
  <c r="BB201" i="1" s="1"/>
  <c r="AT197" i="1"/>
  <c r="BA197" i="1" s="1"/>
  <c r="AT163" i="1"/>
  <c r="BA163" i="1" s="1"/>
  <c r="AT173" i="1"/>
  <c r="BA173" i="1" s="1"/>
  <c r="AT230" i="1"/>
  <c r="BA230" i="1" s="1"/>
  <c r="BB230" i="1" s="1"/>
  <c r="AT188" i="1"/>
  <c r="BA188" i="1" s="1"/>
  <c r="AT177" i="1"/>
  <c r="BA177" i="1" s="1"/>
  <c r="AT209" i="1"/>
  <c r="BA209" i="1" s="1"/>
  <c r="AT210" i="1"/>
  <c r="BA210" i="1" s="1"/>
  <c r="BB210" i="1" s="1"/>
  <c r="AT232" i="1"/>
  <c r="BA232" i="1" s="1"/>
  <c r="AT243" i="1"/>
  <c r="BA243" i="1" s="1"/>
  <c r="AT172" i="1"/>
  <c r="BA172" i="1" s="1"/>
  <c r="AT195" i="1"/>
  <c r="BA195" i="1" s="1"/>
  <c r="AT253" i="1"/>
  <c r="BA253" i="1" s="1"/>
  <c r="AT244" i="1"/>
  <c r="BA244" i="1" s="1"/>
  <c r="BB244" i="1" s="1"/>
  <c r="AT219" i="1"/>
  <c r="BA219" i="1" s="1"/>
  <c r="BB219" i="1" s="1"/>
  <c r="AT217" i="1"/>
  <c r="BA217" i="1" s="1"/>
  <c r="AT168" i="1"/>
  <c r="BA168" i="1" s="1"/>
  <c r="AT205" i="1"/>
  <c r="BA205" i="1" s="1"/>
  <c r="AT223" i="1"/>
  <c r="BA223" i="1" s="1"/>
  <c r="AT199" i="1"/>
  <c r="BA199" i="1" s="1"/>
  <c r="AT198" i="1"/>
  <c r="BA198" i="1" s="1"/>
  <c r="AT178" i="1"/>
  <c r="BA178" i="1" s="1"/>
  <c r="BB178" i="1" s="1"/>
  <c r="AT220" i="1"/>
  <c r="BA220" i="1" s="1"/>
  <c r="AT184" i="1"/>
  <c r="BA184" i="1" s="1"/>
  <c r="BB184" i="1" s="1"/>
  <c r="AT234" i="1"/>
  <c r="BA234" i="1" s="1"/>
  <c r="AT235" i="1"/>
  <c r="BA235" i="1" s="1"/>
  <c r="AT165" i="1"/>
  <c r="BA165" i="1" s="1"/>
  <c r="AT193" i="1"/>
  <c r="BA193" i="1" s="1"/>
  <c r="AT158" i="1"/>
  <c r="BA158" i="1" s="1"/>
  <c r="BB158" i="1" s="1"/>
  <c r="AT224" i="1"/>
  <c r="BA224" i="1" s="1"/>
  <c r="AT186" i="1"/>
  <c r="BA186" i="1" s="1"/>
  <c r="BB186" i="1" s="1"/>
  <c r="AT175" i="1"/>
  <c r="BA175" i="1" s="1"/>
  <c r="AT212" i="1"/>
  <c r="BA212" i="1" s="1"/>
  <c r="AT164" i="1"/>
  <c r="BA164" i="1" s="1"/>
  <c r="BB164" i="1" s="1"/>
  <c r="AT160" i="1"/>
  <c r="BA160" i="1" s="1"/>
  <c r="BB160" i="1" s="1"/>
  <c r="AT171" i="1"/>
  <c r="BA171" i="1" s="1"/>
  <c r="BB171" i="1" s="1"/>
  <c r="AT185" i="1"/>
  <c r="BA185" i="1" s="1"/>
  <c r="AT194" i="1"/>
  <c r="BA194" i="1" s="1"/>
  <c r="BB194" i="1" s="1"/>
  <c r="BD204" i="1"/>
  <c r="BA204" i="1"/>
  <c r="BA241" i="1"/>
  <c r="BB241" i="1" s="1"/>
  <c r="K309" i="2"/>
  <c r="L308" i="2"/>
  <c r="K95" i="2"/>
  <c r="L94" i="2"/>
  <c r="K576" i="2"/>
  <c r="L575" i="2"/>
  <c r="BA157" i="1" l="1"/>
  <c r="BB157" i="1" s="1"/>
  <c r="BA236" i="1"/>
  <c r="BB236" i="1" s="1"/>
  <c r="BA226" i="1"/>
  <c r="BB226" i="1" s="1"/>
  <c r="BA233" i="1"/>
  <c r="BB233" i="1" s="1"/>
  <c r="BA222" i="1"/>
  <c r="BB222" i="1" s="1"/>
  <c r="BA215" i="1"/>
  <c r="BB215" i="1" s="1"/>
  <c r="BA187" i="1"/>
  <c r="BB187" i="1" s="1"/>
  <c r="BA174" i="1"/>
  <c r="BB174" i="1" s="1"/>
  <c r="BA248" i="1"/>
  <c r="BB248" i="1" s="1"/>
  <c r="BA213" i="1"/>
  <c r="BB213" i="1" s="1"/>
  <c r="BA214" i="1"/>
  <c r="BB214" i="1" s="1"/>
  <c r="BA250" i="1"/>
  <c r="BB250" i="1" s="1"/>
  <c r="BA169" i="1"/>
  <c r="BB169" i="1" s="1"/>
  <c r="BA181" i="1"/>
  <c r="BB181" i="1" s="1"/>
  <c r="BD196" i="1"/>
  <c r="BE196" i="1" s="1"/>
  <c r="BD228" i="1"/>
  <c r="BE228" i="1" s="1"/>
  <c r="BF228" i="1" s="1"/>
  <c r="BD231" i="1"/>
  <c r="BE231" i="1" s="1"/>
  <c r="BD218" i="1"/>
  <c r="BE218" i="1" s="1"/>
  <c r="BD239" i="1"/>
  <c r="BE239" i="1" s="1"/>
  <c r="BZ157" i="1"/>
  <c r="CL157" i="1" s="1"/>
  <c r="BD221" i="1"/>
  <c r="BZ221" i="1" s="1"/>
  <c r="CL221" i="1" s="1"/>
  <c r="BZ215" i="1"/>
  <c r="CL215" i="1" s="1"/>
  <c r="BD159" i="1"/>
  <c r="BZ159" i="1" s="1"/>
  <c r="CL159" i="1" s="1"/>
  <c r="BZ181" i="1"/>
  <c r="CL181" i="1" s="1"/>
  <c r="BD227" i="1"/>
  <c r="BZ218" i="1"/>
  <c r="CL218" i="1" s="1"/>
  <c r="BZ239" i="1"/>
  <c r="CL239" i="1" s="1"/>
  <c r="BZ196" i="1"/>
  <c r="CL196" i="1" s="1"/>
  <c r="BZ222" i="1"/>
  <c r="CL222" i="1" s="1"/>
  <c r="BD206" i="1"/>
  <c r="BD252" i="1"/>
  <c r="BZ252" i="1" s="1"/>
  <c r="CL252" i="1" s="1"/>
  <c r="BD240" i="1"/>
  <c r="BE240" i="1" s="1"/>
  <c r="BF240" i="1" s="1"/>
  <c r="BD229" i="1"/>
  <c r="BZ226" i="1"/>
  <c r="CL226" i="1" s="1"/>
  <c r="BD180" i="1"/>
  <c r="BD192" i="1"/>
  <c r="BD242" i="1"/>
  <c r="BD254" i="1"/>
  <c r="BD203" i="1"/>
  <c r="BD179" i="1"/>
  <c r="BD176" i="1"/>
  <c r="BD247" i="1"/>
  <c r="BD202" i="1"/>
  <c r="BD190" i="1"/>
  <c r="BB218" i="1"/>
  <c r="BD182" i="1"/>
  <c r="BD255" i="1"/>
  <c r="BD197" i="1"/>
  <c r="BD249" i="1"/>
  <c r="BD207" i="1"/>
  <c r="BD167" i="1"/>
  <c r="BD163" i="1"/>
  <c r="BD189" i="1"/>
  <c r="BD246" i="1"/>
  <c r="BD161" i="1"/>
  <c r="BD232" i="1"/>
  <c r="BD191" i="1"/>
  <c r="BB238" i="1"/>
  <c r="BD183" i="1"/>
  <c r="BD209" i="1"/>
  <c r="BD225" i="1"/>
  <c r="BD170" i="1"/>
  <c r="BD162" i="1"/>
  <c r="BD251" i="1"/>
  <c r="BD205" i="1"/>
  <c r="BB159" i="1"/>
  <c r="BB198" i="1"/>
  <c r="BD193" i="1"/>
  <c r="BD199" i="1"/>
  <c r="BD211" i="1"/>
  <c r="BD166" i="1"/>
  <c r="BD230" i="1"/>
  <c r="BB165" i="1"/>
  <c r="BB203" i="1"/>
  <c r="BD200" i="1"/>
  <c r="BD195" i="1"/>
  <c r="BD188" i="1"/>
  <c r="BD245" i="1"/>
  <c r="BB239" i="1"/>
  <c r="BD216" i="1"/>
  <c r="BD173" i="1"/>
  <c r="BD238" i="1"/>
  <c r="BD177" i="1"/>
  <c r="BD219" i="1"/>
  <c r="BD237" i="1"/>
  <c r="BB220" i="1"/>
  <c r="BD208" i="1"/>
  <c r="BD172" i="1"/>
  <c r="BB224" i="1"/>
  <c r="BD198" i="1"/>
  <c r="BD184" i="1"/>
  <c r="BB249" i="1"/>
  <c r="BD186" i="1"/>
  <c r="BD164" i="1"/>
  <c r="BD201" i="1"/>
  <c r="BD210" i="1"/>
  <c r="BD217" i="1"/>
  <c r="BB246" i="1"/>
  <c r="BD244" i="1"/>
  <c r="BD243" i="1"/>
  <c r="BD185" i="1"/>
  <c r="BD253" i="1"/>
  <c r="BB191" i="1"/>
  <c r="BB207" i="1"/>
  <c r="BD175" i="1"/>
  <c r="BB196" i="1"/>
  <c r="BD220" i="1"/>
  <c r="BD224" i="1"/>
  <c r="BB192" i="1"/>
  <c r="BD234" i="1"/>
  <c r="BD168" i="1"/>
  <c r="BB242" i="1"/>
  <c r="BB199" i="1"/>
  <c r="BD223" i="1"/>
  <c r="BB234" i="1"/>
  <c r="BB188" i="1"/>
  <c r="BB168" i="1"/>
  <c r="BD178" i="1"/>
  <c r="BD158" i="1"/>
  <c r="BB211" i="1"/>
  <c r="BB163" i="1"/>
  <c r="BB195" i="1"/>
  <c r="BB235" i="1"/>
  <c r="BE215" i="1"/>
  <c r="BD160" i="1"/>
  <c r="BD171" i="1"/>
  <c r="BD235" i="1"/>
  <c r="BD212" i="1"/>
  <c r="BB173" i="1"/>
  <c r="BB252" i="1"/>
  <c r="BD165" i="1"/>
  <c r="BB182" i="1"/>
  <c r="BD194" i="1"/>
  <c r="BZ231" i="1"/>
  <c r="CL231" i="1" s="1"/>
  <c r="BZ250" i="1"/>
  <c r="CL250" i="1" s="1"/>
  <c r="BZ169" i="1"/>
  <c r="CL169" i="1" s="1"/>
  <c r="BZ233" i="1"/>
  <c r="CL233" i="1" s="1"/>
  <c r="BZ187" i="1"/>
  <c r="CL187" i="1" s="1"/>
  <c r="BZ241" i="1"/>
  <c r="CL241" i="1" s="1"/>
  <c r="BZ228" i="1"/>
  <c r="CL228" i="1" s="1"/>
  <c r="BZ214" i="1"/>
  <c r="CL214" i="1" s="1"/>
  <c r="BZ248" i="1"/>
  <c r="CL248" i="1" s="1"/>
  <c r="BZ236" i="1"/>
  <c r="CL236" i="1" s="1"/>
  <c r="BZ213" i="1"/>
  <c r="CL213" i="1" s="1"/>
  <c r="BZ174" i="1"/>
  <c r="CL174" i="1" s="1"/>
  <c r="BZ204" i="1"/>
  <c r="CL204" i="1" s="1"/>
  <c r="BB193" i="1"/>
  <c r="BB251" i="1"/>
  <c r="BB183" i="1"/>
  <c r="BB176" i="1"/>
  <c r="BB172" i="1"/>
  <c r="BB175" i="1"/>
  <c r="BB179" i="1"/>
  <c r="BB206" i="1"/>
  <c r="BB167" i="1"/>
  <c r="BB180" i="1"/>
  <c r="BB227" i="1"/>
  <c r="BB205" i="1"/>
  <c r="BB200" i="1"/>
  <c r="BB225" i="1"/>
  <c r="BB245" i="1"/>
  <c r="BB231" i="1"/>
  <c r="BB237" i="1"/>
  <c r="BB223" i="1"/>
  <c r="BB204" i="1"/>
  <c r="BB217" i="1"/>
  <c r="BB232" i="1"/>
  <c r="BB185" i="1"/>
  <c r="BB177" i="1"/>
  <c r="BB243" i="1"/>
  <c r="BB197" i="1"/>
  <c r="BB209" i="1"/>
  <c r="BB212" i="1"/>
  <c r="BB216" i="1"/>
  <c r="BB253" i="1"/>
  <c r="BE174" i="1"/>
  <c r="BE181" i="1"/>
  <c r="BE222" i="1"/>
  <c r="BE236" i="1"/>
  <c r="BE214" i="1"/>
  <c r="BE241" i="1"/>
  <c r="BF241" i="1" s="1"/>
  <c r="BE187" i="1"/>
  <c r="BE226" i="1"/>
  <c r="BE250" i="1"/>
  <c r="BE213" i="1"/>
  <c r="BE233" i="1"/>
  <c r="BE157" i="1"/>
  <c r="BE248" i="1"/>
  <c r="BE169" i="1"/>
  <c r="BE204" i="1"/>
  <c r="K577" i="2"/>
  <c r="L576" i="2"/>
  <c r="L95" i="2"/>
  <c r="K96" i="2"/>
  <c r="K310" i="2"/>
  <c r="L309" i="2"/>
  <c r="BF226" i="1" l="1"/>
  <c r="CG226" i="1" s="1"/>
  <c r="CQ226" i="1" s="1"/>
  <c r="BF236" i="1"/>
  <c r="CG236" i="1" s="1"/>
  <c r="CQ236" i="1" s="1"/>
  <c r="BF233" i="1"/>
  <c r="CG233" i="1" s="1"/>
  <c r="CQ233" i="1" s="1"/>
  <c r="BF187" i="1"/>
  <c r="CG187" i="1" s="1"/>
  <c r="CQ187" i="1" s="1"/>
  <c r="BF174" i="1"/>
  <c r="CG174" i="1" s="1"/>
  <c r="CQ174" i="1" s="1"/>
  <c r="BF248" i="1"/>
  <c r="CG248" i="1" s="1"/>
  <c r="CQ248" i="1" s="1"/>
  <c r="CM215" i="1"/>
  <c r="CN215" i="1" s="1"/>
  <c r="CU215" i="1"/>
  <c r="CM248" i="1"/>
  <c r="CN248" i="1" s="1"/>
  <c r="CU248" i="1"/>
  <c r="CM231" i="1"/>
  <c r="CN231" i="1" s="1"/>
  <c r="CU231" i="1"/>
  <c r="CM196" i="1"/>
  <c r="CN196" i="1" s="1"/>
  <c r="CU196" i="1"/>
  <c r="CM157" i="1"/>
  <c r="CN157" i="1" s="1"/>
  <c r="CU157" i="1"/>
  <c r="CM222" i="1"/>
  <c r="CN222" i="1" s="1"/>
  <c r="CU222" i="1"/>
  <c r="CM214" i="1"/>
  <c r="CN214" i="1" s="1"/>
  <c r="CU214" i="1"/>
  <c r="CM239" i="1"/>
  <c r="CN239" i="1" s="1"/>
  <c r="CU239" i="1"/>
  <c r="CM169" i="1"/>
  <c r="CN169" i="1" s="1"/>
  <c r="CU169" i="1"/>
  <c r="CM221" i="1"/>
  <c r="CN221" i="1" s="1"/>
  <c r="CU221" i="1"/>
  <c r="CM228" i="1"/>
  <c r="CN228" i="1" s="1"/>
  <c r="CU228" i="1"/>
  <c r="CM226" i="1"/>
  <c r="CN226" i="1" s="1"/>
  <c r="CU226" i="1"/>
  <c r="CM218" i="1"/>
  <c r="CN218" i="1" s="1"/>
  <c r="CU218" i="1"/>
  <c r="CM241" i="1"/>
  <c r="CN241" i="1" s="1"/>
  <c r="CU241" i="1"/>
  <c r="CM236" i="1"/>
  <c r="CN236" i="1" s="1"/>
  <c r="CU236" i="1"/>
  <c r="CM204" i="1"/>
  <c r="CN204" i="1" s="1"/>
  <c r="CU204" i="1"/>
  <c r="CM187" i="1"/>
  <c r="CN187" i="1" s="1"/>
  <c r="CU187" i="1"/>
  <c r="CM181" i="1"/>
  <c r="CN181" i="1" s="1"/>
  <c r="CU181" i="1"/>
  <c r="CM213" i="1"/>
  <c r="CN213" i="1" s="1"/>
  <c r="CU213" i="1"/>
  <c r="CM250" i="1"/>
  <c r="CN250" i="1" s="1"/>
  <c r="CU250" i="1"/>
  <c r="CM174" i="1"/>
  <c r="CN174" i="1" s="1"/>
  <c r="CU174" i="1"/>
  <c r="CM233" i="1"/>
  <c r="CN233" i="1" s="1"/>
  <c r="CU233" i="1"/>
  <c r="CM252" i="1"/>
  <c r="CN252" i="1" s="1"/>
  <c r="CU252" i="1"/>
  <c r="CM159" i="1"/>
  <c r="CN159" i="1" s="1"/>
  <c r="CU159" i="1"/>
  <c r="CG241" i="1"/>
  <c r="CQ241" i="1" s="1"/>
  <c r="CG228" i="1"/>
  <c r="CQ228" i="1" s="1"/>
  <c r="CG240" i="1"/>
  <c r="BE221" i="1"/>
  <c r="BF221" i="1" s="1"/>
  <c r="BE159" i="1"/>
  <c r="BF159" i="1" s="1"/>
  <c r="BE206" i="1"/>
  <c r="BF206" i="1" s="1"/>
  <c r="BE227" i="1"/>
  <c r="BF227" i="1" s="1"/>
  <c r="BZ227" i="1"/>
  <c r="CL227" i="1" s="1"/>
  <c r="BE252" i="1"/>
  <c r="BF252" i="1" s="1"/>
  <c r="BF214" i="1"/>
  <c r="BE229" i="1"/>
  <c r="BF229" i="1" s="1"/>
  <c r="BZ229" i="1"/>
  <c r="CL229" i="1" s="1"/>
  <c r="BZ223" i="1"/>
  <c r="CL223" i="1" s="1"/>
  <c r="BZ195" i="1"/>
  <c r="CL195" i="1" s="1"/>
  <c r="BZ242" i="1"/>
  <c r="CL242" i="1" s="1"/>
  <c r="BZ194" i="1"/>
  <c r="CL194" i="1" s="1"/>
  <c r="BZ175" i="1"/>
  <c r="CL175" i="1" s="1"/>
  <c r="BZ200" i="1"/>
  <c r="CL200" i="1" s="1"/>
  <c r="BZ190" i="1"/>
  <c r="CL190" i="1" s="1"/>
  <c r="BZ217" i="1"/>
  <c r="CL217" i="1" s="1"/>
  <c r="BZ198" i="1"/>
  <c r="CL198" i="1" s="1"/>
  <c r="BZ238" i="1"/>
  <c r="CL238" i="1" s="1"/>
  <c r="BZ183" i="1"/>
  <c r="CL183" i="1" s="1"/>
  <c r="BZ167" i="1"/>
  <c r="CL167" i="1" s="1"/>
  <c r="BZ202" i="1"/>
  <c r="CL202" i="1" s="1"/>
  <c r="BZ180" i="1"/>
  <c r="CL180" i="1" s="1"/>
  <c r="BZ165" i="1"/>
  <c r="CL165" i="1" s="1"/>
  <c r="BZ168" i="1"/>
  <c r="CL168" i="1" s="1"/>
  <c r="BZ173" i="1"/>
  <c r="CL173" i="1" s="1"/>
  <c r="BZ205" i="1"/>
  <c r="CL205" i="1" s="1"/>
  <c r="BZ207" i="1"/>
  <c r="CL207" i="1" s="1"/>
  <c r="BZ247" i="1"/>
  <c r="CL247" i="1" s="1"/>
  <c r="BZ171" i="1"/>
  <c r="CL171" i="1" s="1"/>
  <c r="BZ219" i="1"/>
  <c r="CL219" i="1" s="1"/>
  <c r="BZ189" i="1"/>
  <c r="CL189" i="1" s="1"/>
  <c r="BZ160" i="1"/>
  <c r="CL160" i="1" s="1"/>
  <c r="BZ209" i="1"/>
  <c r="CL209" i="1" s="1"/>
  <c r="BZ253" i="1"/>
  <c r="CL253" i="1" s="1"/>
  <c r="BZ216" i="1"/>
  <c r="CL216" i="1" s="1"/>
  <c r="BZ251" i="1"/>
  <c r="CL251" i="1" s="1"/>
  <c r="BZ176" i="1"/>
  <c r="CL176" i="1" s="1"/>
  <c r="BE242" i="1"/>
  <c r="BF242" i="1" s="1"/>
  <c r="BZ185" i="1"/>
  <c r="CL185" i="1" s="1"/>
  <c r="BZ201" i="1"/>
  <c r="CL201" i="1" s="1"/>
  <c r="BZ208" i="1"/>
  <c r="CL208" i="1" s="1"/>
  <c r="BZ166" i="1"/>
  <c r="CL166" i="1" s="1"/>
  <c r="BZ162" i="1"/>
  <c r="CL162" i="1" s="1"/>
  <c r="BZ232" i="1"/>
  <c r="CL232" i="1" s="1"/>
  <c r="BZ197" i="1"/>
  <c r="CL197" i="1" s="1"/>
  <c r="BZ179" i="1"/>
  <c r="CL179" i="1" s="1"/>
  <c r="BZ240" i="1"/>
  <c r="CL240" i="1" s="1"/>
  <c r="BZ225" i="1"/>
  <c r="CL225" i="1" s="1"/>
  <c r="BZ184" i="1"/>
  <c r="CL184" i="1" s="1"/>
  <c r="BZ163" i="1"/>
  <c r="CL163" i="1" s="1"/>
  <c r="BZ234" i="1"/>
  <c r="CL234" i="1" s="1"/>
  <c r="BZ172" i="1"/>
  <c r="CL172" i="1" s="1"/>
  <c r="BZ191" i="1"/>
  <c r="CL191" i="1" s="1"/>
  <c r="BZ249" i="1"/>
  <c r="CL249" i="1" s="1"/>
  <c r="BZ212" i="1"/>
  <c r="CL212" i="1" s="1"/>
  <c r="BZ224" i="1"/>
  <c r="CL224" i="1" s="1"/>
  <c r="BZ243" i="1"/>
  <c r="CL243" i="1" s="1"/>
  <c r="BZ164" i="1"/>
  <c r="CL164" i="1" s="1"/>
  <c r="BZ245" i="1"/>
  <c r="CL245" i="1" s="1"/>
  <c r="BZ211" i="1"/>
  <c r="CL211" i="1" s="1"/>
  <c r="BZ170" i="1"/>
  <c r="CL170" i="1" s="1"/>
  <c r="BZ161" i="1"/>
  <c r="CL161" i="1" s="1"/>
  <c r="BZ255" i="1"/>
  <c r="CL255" i="1" s="1"/>
  <c r="BZ203" i="1"/>
  <c r="CL203" i="1" s="1"/>
  <c r="BZ178" i="1"/>
  <c r="CL178" i="1" s="1"/>
  <c r="BZ193" i="1"/>
  <c r="CL193" i="1" s="1"/>
  <c r="BZ177" i="1"/>
  <c r="CL177" i="1" s="1"/>
  <c r="BZ192" i="1"/>
  <c r="CL192" i="1" s="1"/>
  <c r="BZ210" i="1"/>
  <c r="CL210" i="1" s="1"/>
  <c r="BZ230" i="1"/>
  <c r="CL230" i="1" s="1"/>
  <c r="BZ235" i="1"/>
  <c r="CL235" i="1" s="1"/>
  <c r="BZ158" i="1"/>
  <c r="CL158" i="1" s="1"/>
  <c r="BZ220" i="1"/>
  <c r="CL220" i="1" s="1"/>
  <c r="BZ244" i="1"/>
  <c r="CL244" i="1" s="1"/>
  <c r="BZ186" i="1"/>
  <c r="CL186" i="1" s="1"/>
  <c r="BZ237" i="1"/>
  <c r="CL237" i="1" s="1"/>
  <c r="BZ188" i="1"/>
  <c r="CL188" i="1" s="1"/>
  <c r="BZ199" i="1"/>
  <c r="CL199" i="1" s="1"/>
  <c r="BZ246" i="1"/>
  <c r="CL246" i="1" s="1"/>
  <c r="BZ182" i="1"/>
  <c r="CL182" i="1" s="1"/>
  <c r="BZ254" i="1"/>
  <c r="CL254" i="1" s="1"/>
  <c r="BZ206" i="1"/>
  <c r="CL206" i="1" s="1"/>
  <c r="BE180" i="1"/>
  <c r="BF180" i="1" s="1"/>
  <c r="BF222" i="1"/>
  <c r="BE192" i="1"/>
  <c r="BF192" i="1" s="1"/>
  <c r="BE195" i="1"/>
  <c r="BF195" i="1" s="1"/>
  <c r="BF196" i="1"/>
  <c r="BE254" i="1"/>
  <c r="BF254" i="1" s="1"/>
  <c r="BE188" i="1"/>
  <c r="BF188" i="1" s="1"/>
  <c r="BF169" i="1"/>
  <c r="BE255" i="1"/>
  <c r="BF255" i="1" s="1"/>
  <c r="BE170" i="1"/>
  <c r="BF170" i="1" s="1"/>
  <c r="BE203" i="1"/>
  <c r="BF203" i="1" s="1"/>
  <c r="BE161" i="1"/>
  <c r="BF161" i="1" s="1"/>
  <c r="BE179" i="1"/>
  <c r="BF179" i="1" s="1"/>
  <c r="BF250" i="1"/>
  <c r="BE207" i="1"/>
  <c r="BF207" i="1" s="1"/>
  <c r="BE247" i="1"/>
  <c r="BF247" i="1" s="1"/>
  <c r="BF213" i="1"/>
  <c r="BE176" i="1"/>
  <c r="BF176" i="1" s="1"/>
  <c r="BF181" i="1"/>
  <c r="BE167" i="1"/>
  <c r="BF167" i="1" s="1"/>
  <c r="BF157" i="1"/>
  <c r="BE190" i="1"/>
  <c r="BF190" i="1" s="1"/>
  <c r="BF218" i="1"/>
  <c r="BE163" i="1"/>
  <c r="BF163" i="1" s="1"/>
  <c r="BE202" i="1"/>
  <c r="BF202" i="1" s="1"/>
  <c r="BE209" i="1"/>
  <c r="BF209" i="1" s="1"/>
  <c r="BF231" i="1"/>
  <c r="BF215" i="1"/>
  <c r="BE197" i="1"/>
  <c r="BF197" i="1" s="1"/>
  <c r="BE232" i="1"/>
  <c r="BF232" i="1" s="1"/>
  <c r="BE182" i="1"/>
  <c r="BF182" i="1" s="1"/>
  <c r="BE246" i="1"/>
  <c r="BF246" i="1" s="1"/>
  <c r="BE237" i="1"/>
  <c r="BF237" i="1" s="1"/>
  <c r="BE158" i="1"/>
  <c r="BF158" i="1" s="1"/>
  <c r="BF204" i="1"/>
  <c r="BE199" i="1"/>
  <c r="BF199" i="1" s="1"/>
  <c r="BE244" i="1"/>
  <c r="BF244" i="1" s="1"/>
  <c r="BF239" i="1"/>
  <c r="BE191" i="1"/>
  <c r="BF191" i="1" s="1"/>
  <c r="BE249" i="1"/>
  <c r="BF249" i="1" s="1"/>
  <c r="BE219" i="1"/>
  <c r="BF219" i="1" s="1"/>
  <c r="BE223" i="1"/>
  <c r="BF223" i="1" s="1"/>
  <c r="BE189" i="1"/>
  <c r="BF189" i="1" s="1"/>
  <c r="BE178" i="1"/>
  <c r="BF178" i="1" s="1"/>
  <c r="BE225" i="1"/>
  <c r="BF225" i="1" s="1"/>
  <c r="BE171" i="1"/>
  <c r="BF171" i="1" s="1"/>
  <c r="BE193" i="1"/>
  <c r="BF193" i="1" s="1"/>
  <c r="BE183" i="1"/>
  <c r="BF183" i="1" s="1"/>
  <c r="BE166" i="1"/>
  <c r="BF166" i="1" s="1"/>
  <c r="BE162" i="1"/>
  <c r="BF162" i="1" s="1"/>
  <c r="BE205" i="1"/>
  <c r="BF205" i="1" s="1"/>
  <c r="BE251" i="1"/>
  <c r="BF251" i="1" s="1"/>
  <c r="BE198" i="1"/>
  <c r="BF198" i="1" s="1"/>
  <c r="BE164" i="1"/>
  <c r="BF164" i="1" s="1"/>
  <c r="BE224" i="1"/>
  <c r="BF224" i="1" s="1"/>
  <c r="BE245" i="1"/>
  <c r="BF245" i="1" s="1"/>
  <c r="BE211" i="1"/>
  <c r="BF211" i="1" s="1"/>
  <c r="BE212" i="1"/>
  <c r="BF212" i="1" s="1"/>
  <c r="BE243" i="1"/>
  <c r="BF243" i="1" s="1"/>
  <c r="BE216" i="1"/>
  <c r="BF216" i="1" s="1"/>
  <c r="BE238" i="1"/>
  <c r="BF238" i="1" s="1"/>
  <c r="BE210" i="1"/>
  <c r="BF210" i="1" s="1"/>
  <c r="BE230" i="1"/>
  <c r="BF230" i="1" s="1"/>
  <c r="BE177" i="1"/>
  <c r="BF177" i="1" s="1"/>
  <c r="BE184" i="1"/>
  <c r="BF184" i="1" s="1"/>
  <c r="BE200" i="1"/>
  <c r="BF200" i="1" s="1"/>
  <c r="BE201" i="1"/>
  <c r="BF201" i="1" s="1"/>
  <c r="BE185" i="1"/>
  <c r="BF185" i="1" s="1"/>
  <c r="BE173" i="1"/>
  <c r="BF173" i="1" s="1"/>
  <c r="BE208" i="1"/>
  <c r="BF208" i="1" s="1"/>
  <c r="BE172" i="1"/>
  <c r="BF172" i="1" s="1"/>
  <c r="BE234" i="1"/>
  <c r="BF234" i="1" s="1"/>
  <c r="BE253" i="1"/>
  <c r="BF253" i="1" s="1"/>
  <c r="BE186" i="1"/>
  <c r="BF186" i="1" s="1"/>
  <c r="BE235" i="1"/>
  <c r="BF235" i="1" s="1"/>
  <c r="BE220" i="1"/>
  <c r="BF220" i="1" s="1"/>
  <c r="BE217" i="1"/>
  <c r="BF217" i="1" s="1"/>
  <c r="BE175" i="1"/>
  <c r="BF175" i="1" s="1"/>
  <c r="BE168" i="1"/>
  <c r="BF168" i="1" s="1"/>
  <c r="BE194" i="1"/>
  <c r="BF194" i="1" s="1"/>
  <c r="BE160" i="1"/>
  <c r="BF160" i="1" s="1"/>
  <c r="BE165" i="1"/>
  <c r="BF165" i="1" s="1"/>
  <c r="L96" i="2"/>
  <c r="K97" i="2"/>
  <c r="L310" i="2"/>
  <c r="K311" i="2"/>
  <c r="K578" i="2"/>
  <c r="L577" i="2"/>
  <c r="CQ240" i="1" l="1"/>
  <c r="CV159" i="1"/>
  <c r="CV250" i="1"/>
  <c r="CV204" i="1"/>
  <c r="CV226" i="1"/>
  <c r="CV239" i="1"/>
  <c r="CV196" i="1"/>
  <c r="CV252" i="1"/>
  <c r="CV213" i="1"/>
  <c r="CV236" i="1"/>
  <c r="CV228" i="1"/>
  <c r="CV214" i="1"/>
  <c r="CV231" i="1"/>
  <c r="CV233" i="1"/>
  <c r="CV181" i="1"/>
  <c r="CV241" i="1"/>
  <c r="CV221" i="1"/>
  <c r="CV222" i="1"/>
  <c r="CV248" i="1"/>
  <c r="CV174" i="1"/>
  <c r="CV187" i="1"/>
  <c r="CV218" i="1"/>
  <c r="CV169" i="1"/>
  <c r="CV157" i="1"/>
  <c r="CV215" i="1"/>
  <c r="CM199" i="1"/>
  <c r="CN199" i="1" s="1"/>
  <c r="CU199" i="1"/>
  <c r="CM179" i="1"/>
  <c r="CN179" i="1" s="1"/>
  <c r="CU179" i="1"/>
  <c r="CM197" i="1"/>
  <c r="CN197" i="1" s="1"/>
  <c r="CU197" i="1"/>
  <c r="CM237" i="1"/>
  <c r="CN237" i="1" s="1"/>
  <c r="CU237" i="1"/>
  <c r="CM192" i="1"/>
  <c r="CN192" i="1" s="1"/>
  <c r="CU192" i="1"/>
  <c r="CM211" i="1"/>
  <c r="CN211" i="1" s="1"/>
  <c r="CU211" i="1"/>
  <c r="CM172" i="1"/>
  <c r="CN172" i="1" s="1"/>
  <c r="CU172" i="1"/>
  <c r="CM232" i="1"/>
  <c r="CN232" i="1" s="1"/>
  <c r="CU232" i="1"/>
  <c r="CM251" i="1"/>
  <c r="CN251" i="1" s="1"/>
  <c r="CU251" i="1"/>
  <c r="CM247" i="1"/>
  <c r="CN247" i="1" s="1"/>
  <c r="CU247" i="1"/>
  <c r="CM167" i="1"/>
  <c r="CN167" i="1" s="1"/>
  <c r="CU167" i="1"/>
  <c r="CM194" i="1"/>
  <c r="CN194" i="1" s="1"/>
  <c r="CU194" i="1"/>
  <c r="CM227" i="1"/>
  <c r="CN227" i="1" s="1"/>
  <c r="CU227" i="1"/>
  <c r="CM161" i="1"/>
  <c r="CN161" i="1" s="1"/>
  <c r="CU161" i="1"/>
  <c r="CM180" i="1"/>
  <c r="CN180" i="1" s="1"/>
  <c r="CU180" i="1"/>
  <c r="CM191" i="1"/>
  <c r="CN191" i="1" s="1"/>
  <c r="CU191" i="1"/>
  <c r="CM175" i="1"/>
  <c r="CN175" i="1" s="1"/>
  <c r="CU175" i="1"/>
  <c r="CM186" i="1"/>
  <c r="CN186" i="1" s="1"/>
  <c r="CU186" i="1"/>
  <c r="CM177" i="1"/>
  <c r="CN177" i="1" s="1"/>
  <c r="CU177" i="1"/>
  <c r="CM245" i="1"/>
  <c r="CN245" i="1" s="1"/>
  <c r="CU245" i="1"/>
  <c r="CM234" i="1"/>
  <c r="CN234" i="1" s="1"/>
  <c r="CU234" i="1"/>
  <c r="CM162" i="1"/>
  <c r="CN162" i="1" s="1"/>
  <c r="CU162" i="1"/>
  <c r="CM216" i="1"/>
  <c r="CN216" i="1" s="1"/>
  <c r="CU216" i="1"/>
  <c r="CM207" i="1"/>
  <c r="CN207" i="1" s="1"/>
  <c r="CU207" i="1"/>
  <c r="CM183" i="1"/>
  <c r="CN183" i="1" s="1"/>
  <c r="CU183" i="1"/>
  <c r="CM242" i="1"/>
  <c r="CN242" i="1" s="1"/>
  <c r="CU242" i="1"/>
  <c r="CM230" i="1"/>
  <c r="CN230" i="1" s="1"/>
  <c r="CU230" i="1"/>
  <c r="CM206" i="1"/>
  <c r="CN206" i="1" s="1"/>
  <c r="CU206" i="1"/>
  <c r="CM244" i="1"/>
  <c r="CN244" i="1" s="1"/>
  <c r="CU244" i="1"/>
  <c r="CM193" i="1"/>
  <c r="CN193" i="1" s="1"/>
  <c r="CU193" i="1"/>
  <c r="CM164" i="1"/>
  <c r="CN164" i="1" s="1"/>
  <c r="CU164" i="1"/>
  <c r="CM163" i="1"/>
  <c r="CN163" i="1" s="1"/>
  <c r="CU163" i="1"/>
  <c r="CM166" i="1"/>
  <c r="CN166" i="1" s="1"/>
  <c r="CU166" i="1"/>
  <c r="CM253" i="1"/>
  <c r="CN253" i="1" s="1"/>
  <c r="CU253" i="1"/>
  <c r="CM205" i="1"/>
  <c r="CN205" i="1" s="1"/>
  <c r="CU205" i="1"/>
  <c r="CM238" i="1"/>
  <c r="CN238" i="1" s="1"/>
  <c r="CU238" i="1"/>
  <c r="CM195" i="1"/>
  <c r="CN195" i="1" s="1"/>
  <c r="CU195" i="1"/>
  <c r="CM170" i="1"/>
  <c r="CN170" i="1" s="1"/>
  <c r="CU170" i="1"/>
  <c r="CM202" i="1"/>
  <c r="CN202" i="1" s="1"/>
  <c r="CU202" i="1"/>
  <c r="CM254" i="1"/>
  <c r="CN254" i="1" s="1"/>
  <c r="CU254" i="1"/>
  <c r="CM220" i="1"/>
  <c r="CN220" i="1" s="1"/>
  <c r="CU220" i="1"/>
  <c r="CM178" i="1"/>
  <c r="CN178" i="1" s="1"/>
  <c r="CU178" i="1"/>
  <c r="CM243" i="1"/>
  <c r="CN243" i="1" s="1"/>
  <c r="CU243" i="1"/>
  <c r="CM184" i="1"/>
  <c r="CN184" i="1" s="1"/>
  <c r="CU184" i="1"/>
  <c r="CM208" i="1"/>
  <c r="CN208" i="1" s="1"/>
  <c r="CU208" i="1"/>
  <c r="CM209" i="1"/>
  <c r="CN209" i="1" s="1"/>
  <c r="CU209" i="1"/>
  <c r="CM173" i="1"/>
  <c r="CN173" i="1" s="1"/>
  <c r="CU173" i="1"/>
  <c r="CM198" i="1"/>
  <c r="CN198" i="1" s="1"/>
  <c r="CU198" i="1"/>
  <c r="CM223" i="1"/>
  <c r="CN223" i="1" s="1"/>
  <c r="CU223" i="1"/>
  <c r="CM249" i="1"/>
  <c r="CN249" i="1" s="1"/>
  <c r="CU249" i="1"/>
  <c r="CM200" i="1"/>
  <c r="CN200" i="1" s="1"/>
  <c r="CU200" i="1"/>
  <c r="CM188" i="1"/>
  <c r="CN188" i="1" s="1"/>
  <c r="CU188" i="1"/>
  <c r="CM176" i="1"/>
  <c r="CN176" i="1" s="1"/>
  <c r="CU176" i="1"/>
  <c r="CM182" i="1"/>
  <c r="CN182" i="1" s="1"/>
  <c r="CU182" i="1"/>
  <c r="CM158" i="1"/>
  <c r="CN158" i="1" s="1"/>
  <c r="CU158" i="1"/>
  <c r="CM203" i="1"/>
  <c r="CN203" i="1" s="1"/>
  <c r="CU203" i="1"/>
  <c r="CM224" i="1"/>
  <c r="CN224" i="1" s="1"/>
  <c r="CU224" i="1"/>
  <c r="CM225" i="1"/>
  <c r="CN225" i="1" s="1"/>
  <c r="CU225" i="1"/>
  <c r="CM201" i="1"/>
  <c r="CN201" i="1" s="1"/>
  <c r="CU201" i="1"/>
  <c r="CM160" i="1"/>
  <c r="CN160" i="1" s="1"/>
  <c r="CU160" i="1"/>
  <c r="CM168" i="1"/>
  <c r="CN168" i="1" s="1"/>
  <c r="CU168" i="1"/>
  <c r="CM217" i="1"/>
  <c r="CN217" i="1" s="1"/>
  <c r="CU217" i="1"/>
  <c r="CM229" i="1"/>
  <c r="CN229" i="1" s="1"/>
  <c r="CU229" i="1"/>
  <c r="CM219" i="1"/>
  <c r="CN219" i="1" s="1"/>
  <c r="CU219" i="1"/>
  <c r="CM210" i="1"/>
  <c r="CN210" i="1" s="1"/>
  <c r="CU210" i="1"/>
  <c r="CM171" i="1"/>
  <c r="CN171" i="1" s="1"/>
  <c r="CU171" i="1"/>
  <c r="CM246" i="1"/>
  <c r="CN246" i="1" s="1"/>
  <c r="CU246" i="1"/>
  <c r="CM235" i="1"/>
  <c r="CN235" i="1" s="1"/>
  <c r="CU235" i="1"/>
  <c r="CM255" i="1"/>
  <c r="CN255" i="1" s="1"/>
  <c r="CU255" i="1"/>
  <c r="CM212" i="1"/>
  <c r="CN212" i="1" s="1"/>
  <c r="CU212" i="1"/>
  <c r="CM240" i="1"/>
  <c r="CN240" i="1" s="1"/>
  <c r="CU240" i="1"/>
  <c r="CM185" i="1"/>
  <c r="CN185" i="1" s="1"/>
  <c r="CU185" i="1"/>
  <c r="CM189" i="1"/>
  <c r="CN189" i="1" s="1"/>
  <c r="CU189" i="1"/>
  <c r="CM165" i="1"/>
  <c r="CN165" i="1" s="1"/>
  <c r="CU165" i="1"/>
  <c r="CM190" i="1"/>
  <c r="CN190" i="1" s="1"/>
  <c r="CU190" i="1"/>
  <c r="CG200" i="1"/>
  <c r="CQ200" i="1" s="1"/>
  <c r="CG212" i="1"/>
  <c r="CQ212" i="1" s="1"/>
  <c r="CG162" i="1"/>
  <c r="CQ162" i="1" s="1"/>
  <c r="CG223" i="1"/>
  <c r="CQ223" i="1" s="1"/>
  <c r="CG158" i="1"/>
  <c r="CQ158" i="1" s="1"/>
  <c r="CG209" i="1"/>
  <c r="CQ209" i="1" s="1"/>
  <c r="CG176" i="1"/>
  <c r="CQ176" i="1" s="1"/>
  <c r="CG170" i="1"/>
  <c r="CQ170" i="1" s="1"/>
  <c r="CG222" i="1"/>
  <c r="CQ222" i="1" s="1"/>
  <c r="CG184" i="1"/>
  <c r="CQ184" i="1" s="1"/>
  <c r="CG211" i="1"/>
  <c r="CQ211" i="1" s="1"/>
  <c r="CG166" i="1"/>
  <c r="CQ166" i="1" s="1"/>
  <c r="CG219" i="1"/>
  <c r="CQ219" i="1" s="1"/>
  <c r="CG237" i="1"/>
  <c r="CQ237" i="1" s="1"/>
  <c r="CG202" i="1"/>
  <c r="CQ202" i="1" s="1"/>
  <c r="CG213" i="1"/>
  <c r="CQ213" i="1" s="1"/>
  <c r="CG255" i="1"/>
  <c r="CQ255" i="1" s="1"/>
  <c r="CG180" i="1"/>
  <c r="CQ180" i="1" s="1"/>
  <c r="CG227" i="1"/>
  <c r="CQ227" i="1" s="1"/>
  <c r="CG177" i="1"/>
  <c r="CQ177" i="1" s="1"/>
  <c r="CG245" i="1"/>
  <c r="CQ245" i="1" s="1"/>
  <c r="CG183" i="1"/>
  <c r="CQ183" i="1" s="1"/>
  <c r="CG249" i="1"/>
  <c r="CQ249" i="1" s="1"/>
  <c r="CG246" i="1"/>
  <c r="CQ246" i="1" s="1"/>
  <c r="CG163" i="1"/>
  <c r="CQ163" i="1" s="1"/>
  <c r="CG247" i="1"/>
  <c r="CQ247" i="1" s="1"/>
  <c r="CG169" i="1"/>
  <c r="CQ169" i="1" s="1"/>
  <c r="CG206" i="1"/>
  <c r="CQ206" i="1" s="1"/>
  <c r="CG230" i="1"/>
  <c r="CQ230" i="1" s="1"/>
  <c r="CG224" i="1"/>
  <c r="CQ224" i="1" s="1"/>
  <c r="CG193" i="1"/>
  <c r="CQ193" i="1" s="1"/>
  <c r="CG191" i="1"/>
  <c r="CQ191" i="1" s="1"/>
  <c r="CG182" i="1"/>
  <c r="CQ182" i="1" s="1"/>
  <c r="CG218" i="1"/>
  <c r="CQ218" i="1" s="1"/>
  <c r="CG207" i="1"/>
  <c r="CQ207" i="1" s="1"/>
  <c r="CG188" i="1"/>
  <c r="CQ188" i="1" s="1"/>
  <c r="CG159" i="1"/>
  <c r="CQ159" i="1" s="1"/>
  <c r="CH241" i="1"/>
  <c r="CI241" i="1" s="1"/>
  <c r="CR241" i="1" s="1"/>
  <c r="CG175" i="1"/>
  <c r="CQ175" i="1" s="1"/>
  <c r="CG164" i="1"/>
  <c r="CQ164" i="1" s="1"/>
  <c r="CG171" i="1"/>
  <c r="CQ171" i="1" s="1"/>
  <c r="CG239" i="1"/>
  <c r="CQ239" i="1" s="1"/>
  <c r="CG232" i="1"/>
  <c r="CQ232" i="1" s="1"/>
  <c r="CG190" i="1"/>
  <c r="CQ190" i="1" s="1"/>
  <c r="CG250" i="1"/>
  <c r="CQ250" i="1" s="1"/>
  <c r="CG254" i="1"/>
  <c r="CQ254" i="1" s="1"/>
  <c r="CG221" i="1"/>
  <c r="CQ221" i="1" s="1"/>
  <c r="CG238" i="1"/>
  <c r="CQ238" i="1" s="1"/>
  <c r="CG198" i="1"/>
  <c r="CQ198" i="1" s="1"/>
  <c r="CG225" i="1"/>
  <c r="CQ225" i="1" s="1"/>
  <c r="CG197" i="1"/>
  <c r="CQ197" i="1" s="1"/>
  <c r="CG157" i="1"/>
  <c r="CQ157" i="1" s="1"/>
  <c r="CG179" i="1"/>
  <c r="CQ179" i="1" s="1"/>
  <c r="CG196" i="1"/>
  <c r="CQ196" i="1" s="1"/>
  <c r="CG229" i="1"/>
  <c r="CQ229" i="1" s="1"/>
  <c r="CG251" i="1"/>
  <c r="CQ251" i="1" s="1"/>
  <c r="CG178" i="1"/>
  <c r="CQ178" i="1" s="1"/>
  <c r="CG199" i="1"/>
  <c r="CQ199" i="1" s="1"/>
  <c r="CG215" i="1"/>
  <c r="CQ215" i="1" s="1"/>
  <c r="CG167" i="1"/>
  <c r="CQ167" i="1" s="1"/>
  <c r="CG161" i="1"/>
  <c r="CQ161" i="1" s="1"/>
  <c r="CG195" i="1"/>
  <c r="CQ195" i="1" s="1"/>
  <c r="CG242" i="1"/>
  <c r="CQ242" i="1" s="1"/>
  <c r="CG214" i="1"/>
  <c r="CQ214" i="1" s="1"/>
  <c r="CH233" i="1"/>
  <c r="CG220" i="1"/>
  <c r="CQ220" i="1" s="1"/>
  <c r="CG216" i="1"/>
  <c r="CQ216" i="1" s="1"/>
  <c r="CG243" i="1"/>
  <c r="CQ243" i="1" s="1"/>
  <c r="CG205" i="1"/>
  <c r="CQ205" i="1" s="1"/>
  <c r="CG189" i="1"/>
  <c r="CQ189" i="1" s="1"/>
  <c r="CG204" i="1"/>
  <c r="CQ204" i="1" s="1"/>
  <c r="CG231" i="1"/>
  <c r="CQ231" i="1" s="1"/>
  <c r="CG181" i="1"/>
  <c r="CQ181" i="1" s="1"/>
  <c r="CG203" i="1"/>
  <c r="CQ203" i="1" s="1"/>
  <c r="CG192" i="1"/>
  <c r="CQ192" i="1" s="1"/>
  <c r="CG252" i="1"/>
  <c r="CQ252" i="1" s="1"/>
  <c r="CH248" i="1"/>
  <c r="CH236" i="1"/>
  <c r="CG253" i="1"/>
  <c r="CQ253" i="1" s="1"/>
  <c r="CH240" i="1"/>
  <c r="CH187" i="1"/>
  <c r="CG234" i="1"/>
  <c r="CQ234" i="1" s="1"/>
  <c r="CH228" i="1"/>
  <c r="CH226" i="1"/>
  <c r="CG217" i="1"/>
  <c r="CQ217" i="1" s="1"/>
  <c r="CG208" i="1"/>
  <c r="CQ208" i="1" s="1"/>
  <c r="CG210" i="1"/>
  <c r="CQ210" i="1" s="1"/>
  <c r="CG172" i="1"/>
  <c r="CQ172" i="1" s="1"/>
  <c r="CG244" i="1"/>
  <c r="CQ244" i="1" s="1"/>
  <c r="CG168" i="1"/>
  <c r="CQ168" i="1" s="1"/>
  <c r="CG165" i="1"/>
  <c r="CQ165" i="1" s="1"/>
  <c r="CG173" i="1"/>
  <c r="CQ173" i="1" s="1"/>
  <c r="CG160" i="1"/>
  <c r="CQ160" i="1" s="1"/>
  <c r="CG235" i="1"/>
  <c r="CQ235" i="1" s="1"/>
  <c r="CG185" i="1"/>
  <c r="CQ185" i="1" s="1"/>
  <c r="CG194" i="1"/>
  <c r="CQ194" i="1" s="1"/>
  <c r="CG186" i="1"/>
  <c r="CQ186" i="1" s="1"/>
  <c r="CG201" i="1"/>
  <c r="CQ201" i="1" s="1"/>
  <c r="CH174" i="1"/>
  <c r="L311" i="2"/>
  <c r="K312" i="2"/>
  <c r="K98" i="2"/>
  <c r="L97" i="2"/>
  <c r="K579" i="2"/>
  <c r="L578" i="2"/>
  <c r="CV235" i="1" l="1"/>
  <c r="CV160" i="1"/>
  <c r="CV188" i="1"/>
  <c r="CV198" i="1"/>
  <c r="CV254" i="1"/>
  <c r="CV238" i="1"/>
  <c r="CV163" i="1"/>
  <c r="CV206" i="1"/>
  <c r="CV207" i="1"/>
  <c r="CV245" i="1"/>
  <c r="CV191" i="1"/>
  <c r="CV194" i="1"/>
  <c r="CV232" i="1"/>
  <c r="CV237" i="1"/>
  <c r="CV185" i="1"/>
  <c r="CV219" i="1"/>
  <c r="CV203" i="1"/>
  <c r="CV184" i="1"/>
  <c r="CV240" i="1"/>
  <c r="CV229" i="1"/>
  <c r="CV158" i="1"/>
  <c r="CV173" i="1"/>
  <c r="CV243" i="1"/>
  <c r="CV205" i="1"/>
  <c r="CV164" i="1"/>
  <c r="CV230" i="1"/>
  <c r="CV216" i="1"/>
  <c r="CV177" i="1"/>
  <c r="CV180" i="1"/>
  <c r="CV167" i="1"/>
  <c r="CV172" i="1"/>
  <c r="CV197" i="1"/>
  <c r="CV190" i="1"/>
  <c r="CV246" i="1"/>
  <c r="CV201" i="1"/>
  <c r="CV200" i="1"/>
  <c r="CV202" i="1"/>
  <c r="CV212" i="1"/>
  <c r="CV217" i="1"/>
  <c r="CV225" i="1"/>
  <c r="CV249" i="1"/>
  <c r="CV209" i="1"/>
  <c r="CV178" i="1"/>
  <c r="CV170" i="1"/>
  <c r="CV253" i="1"/>
  <c r="CV193" i="1"/>
  <c r="CV242" i="1"/>
  <c r="CV162" i="1"/>
  <c r="CV186" i="1"/>
  <c r="CV161" i="1"/>
  <c r="CV247" i="1"/>
  <c r="CV211" i="1"/>
  <c r="CV179" i="1"/>
  <c r="CV165" i="1"/>
  <c r="CV171" i="1"/>
  <c r="CV182" i="1"/>
  <c r="CV189" i="1"/>
  <c r="CV255" i="1"/>
  <c r="CV210" i="1"/>
  <c r="CV168" i="1"/>
  <c r="CV224" i="1"/>
  <c r="CV176" i="1"/>
  <c r="CV223" i="1"/>
  <c r="CV208" i="1"/>
  <c r="CV220" i="1"/>
  <c r="CV195" i="1"/>
  <c r="CV166" i="1"/>
  <c r="CV244" i="1"/>
  <c r="CV183" i="1"/>
  <c r="CV234" i="1"/>
  <c r="CV175" i="1"/>
  <c r="CV227" i="1"/>
  <c r="CV251" i="1"/>
  <c r="CV192" i="1"/>
  <c r="CV199" i="1"/>
  <c r="CH190" i="1"/>
  <c r="CI190" i="1" s="1"/>
  <c r="CR190" i="1" s="1"/>
  <c r="CH191" i="1"/>
  <c r="CI191" i="1" s="1"/>
  <c r="CR191" i="1" s="1"/>
  <c r="CH184" i="1"/>
  <c r="CI184" i="1" s="1"/>
  <c r="CR184" i="1" s="1"/>
  <c r="CH246" i="1"/>
  <c r="CI246" i="1" s="1"/>
  <c r="CR246" i="1" s="1"/>
  <c r="CH249" i="1"/>
  <c r="CI249" i="1" s="1"/>
  <c r="CR249" i="1" s="1"/>
  <c r="CH222" i="1"/>
  <c r="CI222" i="1" s="1"/>
  <c r="CR222" i="1" s="1"/>
  <c r="CH196" i="1"/>
  <c r="CI196" i="1" s="1"/>
  <c r="CR196" i="1" s="1"/>
  <c r="CH242" i="1"/>
  <c r="CI242" i="1" s="1"/>
  <c r="CR242" i="1" s="1"/>
  <c r="CH180" i="1"/>
  <c r="CI180" i="1" s="1"/>
  <c r="CR180" i="1" s="1"/>
  <c r="CH255" i="1"/>
  <c r="CI255" i="1" s="1"/>
  <c r="CR255" i="1" s="1"/>
  <c r="CH221" i="1"/>
  <c r="CI221" i="1" s="1"/>
  <c r="CR221" i="1" s="1"/>
  <c r="CH227" i="1"/>
  <c r="CI227" i="1" s="1"/>
  <c r="CR227" i="1" s="1"/>
  <c r="CH189" i="1"/>
  <c r="CI189" i="1" s="1"/>
  <c r="CR189" i="1" s="1"/>
  <c r="CH163" i="1"/>
  <c r="CI163" i="1" s="1"/>
  <c r="CR163" i="1" s="1"/>
  <c r="CH162" i="1"/>
  <c r="CI162" i="1" s="1"/>
  <c r="CR162" i="1" s="1"/>
  <c r="CH204" i="1"/>
  <c r="CI204" i="1" s="1"/>
  <c r="CR204" i="1" s="1"/>
  <c r="CH182" i="1"/>
  <c r="CI182" i="1" s="1"/>
  <c r="CR182" i="1" s="1"/>
  <c r="CH216" i="1"/>
  <c r="CI216" i="1" s="1"/>
  <c r="CR216" i="1" s="1"/>
  <c r="CH215" i="1"/>
  <c r="CI215" i="1" s="1"/>
  <c r="CR215" i="1" s="1"/>
  <c r="CH157" i="1"/>
  <c r="CI157" i="1" s="1"/>
  <c r="CR157" i="1" s="1"/>
  <c r="CH250" i="1"/>
  <c r="CI250" i="1" s="1"/>
  <c r="CR250" i="1" s="1"/>
  <c r="CH159" i="1"/>
  <c r="CI159" i="1" s="1"/>
  <c r="CR159" i="1" s="1"/>
  <c r="CH230" i="1"/>
  <c r="CI230" i="1" s="1"/>
  <c r="CR230" i="1" s="1"/>
  <c r="CH183" i="1"/>
  <c r="CI183" i="1" s="1"/>
  <c r="CR183" i="1" s="1"/>
  <c r="CH202" i="1"/>
  <c r="CI202" i="1" s="1"/>
  <c r="CR202" i="1" s="1"/>
  <c r="CH223" i="1"/>
  <c r="CI223" i="1" s="1"/>
  <c r="CR223" i="1" s="1"/>
  <c r="CH220" i="1"/>
  <c r="CI220" i="1" s="1"/>
  <c r="CR220" i="1" s="1"/>
  <c r="CH199" i="1"/>
  <c r="CI199" i="1" s="1"/>
  <c r="CR199" i="1" s="1"/>
  <c r="CH197" i="1"/>
  <c r="CI197" i="1" s="1"/>
  <c r="CR197" i="1" s="1"/>
  <c r="CH188" i="1"/>
  <c r="CI188" i="1" s="1"/>
  <c r="CR188" i="1" s="1"/>
  <c r="CH176" i="1"/>
  <c r="CI176" i="1" s="1"/>
  <c r="CR176" i="1" s="1"/>
  <c r="CH181" i="1"/>
  <c r="CI181" i="1" s="1"/>
  <c r="CR181" i="1" s="1"/>
  <c r="CH209" i="1"/>
  <c r="CI209" i="1" s="1"/>
  <c r="CR209" i="1" s="1"/>
  <c r="CH166" i="1"/>
  <c r="CI166" i="1" s="1"/>
  <c r="CR166" i="1" s="1"/>
  <c r="CH245" i="1"/>
  <c r="CI245" i="1" s="1"/>
  <c r="CR245" i="1" s="1"/>
  <c r="CH211" i="1"/>
  <c r="CI211" i="1" s="1"/>
  <c r="CR211" i="1" s="1"/>
  <c r="CH247" i="1"/>
  <c r="CI247" i="1" s="1"/>
  <c r="CR247" i="1" s="1"/>
  <c r="CH164" i="1"/>
  <c r="CI164" i="1" s="1"/>
  <c r="CR164" i="1" s="1"/>
  <c r="CH238" i="1"/>
  <c r="CI238" i="1" s="1"/>
  <c r="CR238" i="1" s="1"/>
  <c r="CH229" i="1"/>
  <c r="CI229" i="1" s="1"/>
  <c r="CR229" i="1" s="1"/>
  <c r="CH170" i="1"/>
  <c r="CI170" i="1" s="1"/>
  <c r="CR170" i="1" s="1"/>
  <c r="CH171" i="1"/>
  <c r="CI171" i="1" s="1"/>
  <c r="CR171" i="1" s="1"/>
  <c r="CH177" i="1"/>
  <c r="CI177" i="1" s="1"/>
  <c r="CR177" i="1" s="1"/>
  <c r="CH237" i="1"/>
  <c r="CI237" i="1" s="1"/>
  <c r="CR237" i="1" s="1"/>
  <c r="CH179" i="1"/>
  <c r="CI179" i="1" s="1"/>
  <c r="CR179" i="1" s="1"/>
  <c r="CH178" i="1"/>
  <c r="CH218" i="1"/>
  <c r="CI218" i="1" s="1"/>
  <c r="CR218" i="1" s="1"/>
  <c r="CH161" i="1"/>
  <c r="CI161" i="1" s="1"/>
  <c r="CR161" i="1" s="1"/>
  <c r="CH251" i="1"/>
  <c r="CI251" i="1" s="1"/>
  <c r="CR251" i="1" s="1"/>
  <c r="CH225" i="1"/>
  <c r="CI225" i="1" s="1"/>
  <c r="CR225" i="1" s="1"/>
  <c r="CH243" i="1"/>
  <c r="CI243" i="1" s="1"/>
  <c r="CR243" i="1" s="1"/>
  <c r="CH232" i="1"/>
  <c r="CI232" i="1" s="1"/>
  <c r="CR232" i="1" s="1"/>
  <c r="CH213" i="1"/>
  <c r="CI213" i="1" s="1"/>
  <c r="CR213" i="1" s="1"/>
  <c r="CH193" i="1"/>
  <c r="CI193" i="1" s="1"/>
  <c r="CR193" i="1" s="1"/>
  <c r="CH214" i="1"/>
  <c r="CI214" i="1" s="1"/>
  <c r="CR214" i="1" s="1"/>
  <c r="CH167" i="1"/>
  <c r="CI167" i="1" s="1"/>
  <c r="CR167" i="1" s="1"/>
  <c r="CH212" i="1"/>
  <c r="CI212" i="1" s="1"/>
  <c r="CR212" i="1" s="1"/>
  <c r="CH219" i="1"/>
  <c r="CI219" i="1" s="1"/>
  <c r="CR219" i="1" s="1"/>
  <c r="CH206" i="1"/>
  <c r="CI206" i="1" s="1"/>
  <c r="CR206" i="1" s="1"/>
  <c r="CH207" i="1"/>
  <c r="CI207" i="1" s="1"/>
  <c r="CR207" i="1" s="1"/>
  <c r="CH198" i="1"/>
  <c r="CI198" i="1" s="1"/>
  <c r="CR198" i="1" s="1"/>
  <c r="CH169" i="1"/>
  <c r="CI169" i="1" s="1"/>
  <c r="CR169" i="1" s="1"/>
  <c r="CH239" i="1"/>
  <c r="CI239" i="1" s="1"/>
  <c r="CR239" i="1" s="1"/>
  <c r="CH205" i="1"/>
  <c r="CI205" i="1" s="1"/>
  <c r="CR205" i="1" s="1"/>
  <c r="CH224" i="1"/>
  <c r="CI224" i="1" s="1"/>
  <c r="CR224" i="1" s="1"/>
  <c r="CH158" i="1"/>
  <c r="CI158" i="1" s="1"/>
  <c r="CR158" i="1" s="1"/>
  <c r="CH200" i="1"/>
  <c r="CI200" i="1" s="1"/>
  <c r="CR200" i="1" s="1"/>
  <c r="CH254" i="1"/>
  <c r="CI254" i="1" s="1"/>
  <c r="CR254" i="1" s="1"/>
  <c r="CH175" i="1"/>
  <c r="CI175" i="1" s="1"/>
  <c r="CR175" i="1" s="1"/>
  <c r="CH231" i="1"/>
  <c r="CI231" i="1" s="1"/>
  <c r="CR231" i="1" s="1"/>
  <c r="CH195" i="1"/>
  <c r="CI195" i="1" s="1"/>
  <c r="CR195" i="1" s="1"/>
  <c r="CH192" i="1"/>
  <c r="CI192" i="1" s="1"/>
  <c r="CR192" i="1" s="1"/>
  <c r="CI236" i="1"/>
  <c r="CR236" i="1" s="1"/>
  <c r="CH201" i="1"/>
  <c r="CH165" i="1"/>
  <c r="CI165" i="1" s="1"/>
  <c r="CR165" i="1" s="1"/>
  <c r="CH186" i="1"/>
  <c r="CI186" i="1" s="1"/>
  <c r="CR186" i="1" s="1"/>
  <c r="CH168" i="1"/>
  <c r="CH203" i="1"/>
  <c r="CH185" i="1"/>
  <c r="CI240" i="1"/>
  <c r="CR240" i="1" s="1"/>
  <c r="CH210" i="1"/>
  <c r="CH253" i="1"/>
  <c r="CI233" i="1"/>
  <c r="CR233" i="1" s="1"/>
  <c r="CH208" i="1"/>
  <c r="CI248" i="1"/>
  <c r="CR248" i="1" s="1"/>
  <c r="CH160" i="1"/>
  <c r="CH217" i="1"/>
  <c r="CH194" i="1"/>
  <c r="CI174" i="1"/>
  <c r="CR174" i="1" s="1"/>
  <c r="CH235" i="1"/>
  <c r="CI187" i="1"/>
  <c r="CR187" i="1" s="1"/>
  <c r="CI226" i="1"/>
  <c r="CR226" i="1" s="1"/>
  <c r="CI228" i="1"/>
  <c r="CR228" i="1" s="1"/>
  <c r="CH173" i="1"/>
  <c r="CH172" i="1"/>
  <c r="CH234" i="1"/>
  <c r="CH244" i="1"/>
  <c r="CH252" i="1"/>
  <c r="K313" i="2"/>
  <c r="L312" i="2"/>
  <c r="K580" i="2"/>
  <c r="L580" i="2" s="1"/>
  <c r="L579" i="2"/>
  <c r="L98" i="2"/>
  <c r="K99" i="2"/>
  <c r="CI168" i="1" l="1"/>
  <c r="CR168" i="1" s="1"/>
  <c r="CI178" i="1"/>
  <c r="CR178" i="1" s="1"/>
  <c r="CI194" i="1"/>
  <c r="CR194" i="1" s="1"/>
  <c r="CI160" i="1"/>
  <c r="CR160" i="1" s="1"/>
  <c r="CI185" i="1"/>
  <c r="CR185" i="1" s="1"/>
  <c r="CI217" i="1"/>
  <c r="CR217" i="1" s="1"/>
  <c r="CI253" i="1"/>
  <c r="CR253" i="1" s="1"/>
  <c r="CI208" i="1"/>
  <c r="CR208" i="1" s="1"/>
  <c r="CI210" i="1"/>
  <c r="CR210" i="1" s="1"/>
  <c r="CI235" i="1"/>
  <c r="CR235" i="1" s="1"/>
  <c r="CI203" i="1"/>
  <c r="CR203" i="1" s="1"/>
  <c r="CI201" i="1"/>
  <c r="CR201" i="1" s="1"/>
  <c r="CI244" i="1"/>
  <c r="CR244" i="1" s="1"/>
  <c r="CI172" i="1"/>
  <c r="CR172" i="1" s="1"/>
  <c r="CI173" i="1"/>
  <c r="CR173" i="1" s="1"/>
  <c r="CI252" i="1"/>
  <c r="CR252" i="1" s="1"/>
  <c r="CI234" i="1"/>
  <c r="CR234" i="1" s="1"/>
  <c r="K100" i="2"/>
  <c r="L99" i="2"/>
  <c r="L313" i="2"/>
  <c r="K314" i="2"/>
  <c r="K315" i="2" l="1"/>
  <c r="L314" i="2"/>
  <c r="K101" i="2"/>
  <c r="L100" i="2"/>
  <c r="L101" i="2" l="1"/>
  <c r="K102" i="2"/>
  <c r="K316" i="2"/>
  <c r="L315" i="2"/>
  <c r="K317" i="2" l="1"/>
  <c r="L316" i="2"/>
  <c r="K103" i="2"/>
  <c r="L102" i="2"/>
  <c r="L103" i="2" l="1"/>
  <c r="K104" i="2"/>
  <c r="K318" i="2"/>
  <c r="L317" i="2"/>
  <c r="L318" i="2" l="1"/>
  <c r="K319" i="2"/>
  <c r="L104" i="2"/>
  <c r="K105" i="2"/>
  <c r="L319" i="2" l="1"/>
  <c r="K320" i="2"/>
  <c r="K106" i="2"/>
  <c r="L105" i="2"/>
  <c r="K321" i="2" l="1"/>
  <c r="L320" i="2"/>
  <c r="L106" i="2"/>
  <c r="K107" i="2"/>
  <c r="K108" i="2" l="1"/>
  <c r="L107" i="2"/>
  <c r="L321" i="2"/>
  <c r="K322" i="2"/>
  <c r="K323" i="2" l="1"/>
  <c r="L322" i="2"/>
  <c r="K109" i="2"/>
  <c r="L108" i="2"/>
  <c r="L109" i="2" l="1"/>
  <c r="K110" i="2"/>
  <c r="K324" i="2"/>
  <c r="L323" i="2"/>
  <c r="K325" i="2" l="1"/>
  <c r="L324" i="2"/>
  <c r="K111" i="2"/>
  <c r="L110" i="2"/>
  <c r="L111" i="2" l="1"/>
  <c r="K112" i="2"/>
  <c r="K326" i="2"/>
  <c r="L325" i="2"/>
  <c r="L326" i="2" l="1"/>
  <c r="K327" i="2"/>
  <c r="K113" i="2"/>
  <c r="L112" i="2"/>
  <c r="K114" i="2" l="1"/>
  <c r="L113" i="2"/>
  <c r="L327" i="2"/>
  <c r="K328" i="2"/>
  <c r="K329" i="2" l="1"/>
  <c r="L328" i="2"/>
  <c r="L114" i="2"/>
  <c r="K115" i="2"/>
  <c r="K116" i="2" l="1"/>
  <c r="L115" i="2"/>
  <c r="L329" i="2"/>
  <c r="K330" i="2"/>
  <c r="K331" i="2" l="1"/>
  <c r="L330" i="2"/>
  <c r="L116" i="2"/>
  <c r="K117" i="2"/>
  <c r="K118" i="2" l="1"/>
  <c r="L117" i="2"/>
  <c r="K332" i="2"/>
  <c r="L331" i="2"/>
  <c r="K333" i="2" l="1"/>
  <c r="L332" i="2"/>
  <c r="K119" i="2"/>
  <c r="L118" i="2"/>
  <c r="L119" i="2" l="1"/>
  <c r="K120" i="2"/>
  <c r="K334" i="2"/>
  <c r="L333" i="2"/>
  <c r="L334" i="2" l="1"/>
  <c r="K335" i="2"/>
  <c r="K121" i="2"/>
  <c r="L120" i="2"/>
  <c r="K122" i="2" l="1"/>
  <c r="L121" i="2"/>
  <c r="L335" i="2"/>
  <c r="K336" i="2"/>
  <c r="K337" i="2" l="1"/>
  <c r="L336" i="2"/>
  <c r="L122" i="2"/>
  <c r="K123" i="2"/>
  <c r="K124" i="2" l="1"/>
  <c r="L123" i="2"/>
  <c r="L337" i="2"/>
  <c r="K338" i="2"/>
  <c r="K339" i="2" l="1"/>
  <c r="L338" i="2"/>
  <c r="L124" i="2"/>
  <c r="K125" i="2"/>
  <c r="K126" i="2" l="1"/>
  <c r="L125" i="2"/>
  <c r="K340" i="2"/>
  <c r="L339" i="2"/>
  <c r="K341" i="2" l="1"/>
  <c r="L340" i="2"/>
  <c r="K127" i="2"/>
  <c r="L126" i="2"/>
  <c r="L127" i="2" l="1"/>
  <c r="K128" i="2"/>
  <c r="K342" i="2"/>
  <c r="L341" i="2"/>
  <c r="L342" i="2" l="1"/>
  <c r="K343" i="2"/>
  <c r="K129" i="2"/>
  <c r="L128" i="2"/>
  <c r="K130" i="2" l="1"/>
  <c r="L129" i="2"/>
  <c r="L343" i="2"/>
  <c r="K344" i="2"/>
  <c r="K345" i="2" l="1"/>
  <c r="L344" i="2"/>
  <c r="L130" i="2"/>
  <c r="K131" i="2"/>
  <c r="K132" i="2" l="1"/>
  <c r="L131" i="2"/>
  <c r="L345" i="2"/>
  <c r="K346" i="2"/>
  <c r="K347" i="2" l="1"/>
  <c r="L346" i="2"/>
  <c r="L132" i="2"/>
  <c r="K133" i="2"/>
  <c r="K134" i="2" l="1"/>
  <c r="L133" i="2"/>
  <c r="K348" i="2"/>
  <c r="L347" i="2"/>
  <c r="K349" i="2" l="1"/>
  <c r="L348" i="2"/>
  <c r="K135" i="2"/>
  <c r="L134" i="2"/>
  <c r="L135" i="2" l="1"/>
  <c r="K136" i="2"/>
  <c r="K350" i="2"/>
  <c r="L349" i="2"/>
  <c r="L350" i="2" l="1"/>
  <c r="K351" i="2"/>
  <c r="K137" i="2"/>
  <c r="L136" i="2"/>
  <c r="L351" i="2" l="1"/>
  <c r="K352" i="2"/>
  <c r="K138" i="2"/>
  <c r="L137" i="2"/>
  <c r="L138" i="2" l="1"/>
  <c r="K139" i="2"/>
  <c r="K353" i="2"/>
  <c r="L352" i="2"/>
  <c r="L353" i="2" l="1"/>
  <c r="K354" i="2"/>
  <c r="K140" i="2"/>
  <c r="L139" i="2"/>
  <c r="L140" i="2" l="1"/>
  <c r="K141" i="2"/>
  <c r="K355" i="2"/>
  <c r="L354" i="2"/>
  <c r="K356" i="2" l="1"/>
  <c r="L355" i="2"/>
  <c r="K142" i="2"/>
  <c r="L141" i="2"/>
  <c r="K143" i="2" l="1"/>
  <c r="L142" i="2"/>
  <c r="K357" i="2"/>
  <c r="L356" i="2"/>
  <c r="K358" i="2" l="1"/>
  <c r="L357" i="2"/>
  <c r="L143" i="2"/>
  <c r="K144" i="2"/>
  <c r="K145" i="2" l="1"/>
  <c r="L144" i="2"/>
  <c r="L358" i="2"/>
  <c r="K359" i="2"/>
  <c r="L359" i="2" l="1"/>
  <c r="K360" i="2"/>
  <c r="K146" i="2"/>
  <c r="L145" i="2"/>
  <c r="L146" i="2" l="1"/>
  <c r="K147" i="2"/>
  <c r="K361" i="2"/>
  <c r="L360" i="2"/>
  <c r="L361" i="2" l="1"/>
  <c r="K362" i="2"/>
  <c r="K148" i="2"/>
  <c r="L147" i="2"/>
  <c r="L148" i="2" l="1"/>
  <c r="K149" i="2"/>
  <c r="K363" i="2"/>
  <c r="L362" i="2"/>
  <c r="K364" i="2" l="1"/>
  <c r="L363" i="2"/>
  <c r="K150" i="2"/>
  <c r="L149" i="2"/>
  <c r="K151" i="2" l="1"/>
  <c r="L150" i="2"/>
  <c r="K365" i="2"/>
  <c r="L364" i="2"/>
  <c r="K366" i="2" l="1"/>
  <c r="L365" i="2"/>
  <c r="L151" i="2"/>
  <c r="K152" i="2"/>
  <c r="K153" i="2" l="1"/>
  <c r="L152" i="2"/>
  <c r="L366" i="2"/>
  <c r="K367" i="2"/>
  <c r="L367" i="2" l="1"/>
  <c r="K368" i="2"/>
  <c r="K154" i="2"/>
  <c r="L153" i="2"/>
  <c r="K369" i="2" l="1"/>
  <c r="L368" i="2"/>
  <c r="L154" i="2"/>
  <c r="K155" i="2"/>
  <c r="K156" i="2" l="1"/>
  <c r="L155" i="2"/>
  <c r="L369" i="2"/>
  <c r="K370" i="2"/>
  <c r="K371" i="2" l="1"/>
  <c r="L370" i="2"/>
  <c r="L156" i="2"/>
  <c r="K157" i="2"/>
  <c r="K158" i="2" l="1"/>
  <c r="L157" i="2"/>
  <c r="K372" i="2"/>
  <c r="L371" i="2"/>
  <c r="K373" i="2" l="1"/>
  <c r="L372" i="2"/>
  <c r="K159" i="2"/>
  <c r="L158" i="2"/>
  <c r="L159" i="2" l="1"/>
  <c r="K160" i="2"/>
  <c r="K374" i="2"/>
  <c r="L373" i="2"/>
  <c r="L374" i="2" l="1"/>
  <c r="K375" i="2"/>
  <c r="K161" i="2"/>
  <c r="L160" i="2"/>
  <c r="K162" i="2" l="1"/>
  <c r="L161" i="2"/>
  <c r="L375" i="2"/>
  <c r="K376" i="2"/>
  <c r="K377" i="2" l="1"/>
  <c r="L376" i="2"/>
  <c r="L162" i="2"/>
  <c r="K163" i="2"/>
  <c r="K164" i="2" l="1"/>
  <c r="L163" i="2"/>
  <c r="L377" i="2"/>
  <c r="K378" i="2"/>
  <c r="K379" i="2" l="1"/>
  <c r="L378" i="2"/>
  <c r="L164" i="2"/>
  <c r="K165" i="2"/>
  <c r="K166" i="2" l="1"/>
  <c r="L165" i="2"/>
  <c r="K380" i="2"/>
  <c r="L379" i="2"/>
  <c r="K381" i="2" l="1"/>
  <c r="L380" i="2"/>
  <c r="K167" i="2"/>
  <c r="L166" i="2"/>
  <c r="L167" i="2" l="1"/>
  <c r="K168" i="2"/>
  <c r="K382" i="2"/>
  <c r="L381" i="2"/>
  <c r="L382" i="2" l="1"/>
  <c r="K383" i="2"/>
  <c r="K169" i="2"/>
  <c r="L168" i="2"/>
  <c r="L383" i="2" l="1"/>
  <c r="K384" i="2"/>
  <c r="K170" i="2"/>
  <c r="L169" i="2"/>
  <c r="K385" i="2" l="1"/>
  <c r="L384" i="2"/>
  <c r="L170" i="2"/>
  <c r="K171" i="2"/>
  <c r="K172" i="2" l="1"/>
  <c r="L171" i="2"/>
  <c r="K386" i="2"/>
  <c r="L385" i="2"/>
  <c r="K387" i="2" l="1"/>
  <c r="L386" i="2"/>
  <c r="K173" i="2"/>
  <c r="L172" i="2"/>
  <c r="L173" i="2" l="1"/>
  <c r="K174" i="2"/>
  <c r="K388" i="2"/>
  <c r="L388" i="2" s="1"/>
  <c r="L387" i="2"/>
  <c r="L174" i="2" l="1"/>
  <c r="K175" i="2"/>
  <c r="K176" i="2" l="1"/>
  <c r="L175" i="2"/>
  <c r="K177" i="2" l="1"/>
  <c r="L176" i="2"/>
  <c r="L177" i="2" l="1"/>
  <c r="K178" i="2"/>
  <c r="K179" i="2" l="1"/>
  <c r="L178" i="2"/>
  <c r="K180" i="2" l="1"/>
  <c r="L179" i="2"/>
  <c r="K181" i="2" l="1"/>
  <c r="L180" i="2"/>
  <c r="K182" i="2" l="1"/>
  <c r="L181" i="2"/>
  <c r="L182" i="2" l="1"/>
  <c r="K183" i="2"/>
  <c r="K184" i="2" l="1"/>
  <c r="L183" i="2"/>
  <c r="K185" i="2" l="1"/>
  <c r="L184" i="2"/>
  <c r="L185" i="2" l="1"/>
  <c r="K186" i="2"/>
  <c r="L186" i="2" l="1"/>
  <c r="K187" i="2"/>
  <c r="K188" i="2" l="1"/>
  <c r="L187" i="2"/>
  <c r="K189" i="2" l="1"/>
  <c r="L188" i="2"/>
  <c r="L189" i="2" l="1"/>
  <c r="K190" i="2"/>
  <c r="L190" i="2" l="1"/>
  <c r="K191" i="2"/>
  <c r="K192" i="2" l="1"/>
  <c r="L191" i="2"/>
  <c r="K193" i="2" l="1"/>
  <c r="L192" i="2"/>
  <c r="L193" i="2" l="1"/>
  <c r="K194" i="2"/>
  <c r="K195" i="2" l="1"/>
  <c r="L194" i="2"/>
  <c r="K196" i="2" l="1"/>
  <c r="L196" i="2" s="1"/>
  <c r="L195" i="2"/>
  <c r="CZ181" i="1" l="1"/>
  <c r="CY244" i="1"/>
  <c r="DD194" i="1"/>
  <c r="CY196" i="1"/>
  <c r="CZ241" i="1"/>
  <c r="DD178" i="1"/>
  <c r="CY181" i="1"/>
  <c r="CX188" i="1"/>
  <c r="CX218" i="1"/>
  <c r="DD159" i="1"/>
  <c r="DB205" i="1"/>
  <c r="DD247" i="1"/>
  <c r="CX224" i="1"/>
  <c r="CX157" i="1"/>
  <c r="CY234" i="1"/>
  <c r="CZ236" i="1"/>
  <c r="DB161" i="1"/>
  <c r="CZ208" i="1"/>
  <c r="DC250" i="1"/>
  <c r="DB241" i="1"/>
  <c r="CY245" i="1"/>
  <c r="CY229" i="1"/>
  <c r="DD223" i="1"/>
  <c r="DD164" i="1"/>
  <c r="DD228" i="1"/>
  <c r="CZ207" i="1"/>
  <c r="CX215" i="1"/>
  <c r="CY197" i="1"/>
  <c r="CY202" i="1"/>
  <c r="CZ166" i="1"/>
  <c r="CZ227" i="1"/>
  <c r="DC243" i="1"/>
  <c r="DC180" i="1"/>
  <c r="CY180" i="1"/>
  <c r="DB210" i="1"/>
  <c r="DC182" i="1"/>
  <c r="CY217" i="1"/>
  <c r="CY241" i="1"/>
  <c r="DC212" i="1"/>
  <c r="DC219" i="1"/>
  <c r="DC211" i="1"/>
  <c r="DB208" i="1"/>
  <c r="CX181" i="1"/>
  <c r="CZ201" i="1"/>
  <c r="CY236" i="1"/>
  <c r="CY199" i="1"/>
  <c r="DD172" i="1"/>
  <c r="CX159" i="1"/>
  <c r="DD245" i="1"/>
  <c r="DC177" i="1"/>
  <c r="DB187" i="1"/>
  <c r="CZ210" i="1"/>
  <c r="DD231" i="1"/>
  <c r="CY184" i="1"/>
  <c r="DC218" i="1"/>
  <c r="DD158" i="1"/>
  <c r="DD224" i="1"/>
  <c r="DD184" i="1"/>
  <c r="CY187" i="1"/>
  <c r="DB222" i="1"/>
  <c r="CZ213" i="1"/>
  <c r="DB198" i="1"/>
  <c r="CX193" i="1"/>
  <c r="CY178" i="1"/>
  <c r="DC189" i="1"/>
  <c r="CZ252" i="1"/>
  <c r="DC221" i="1"/>
  <c r="CY219" i="1"/>
  <c r="DB190" i="1"/>
  <c r="CZ224" i="1"/>
  <c r="CZ253" i="1"/>
  <c r="DD171" i="1"/>
  <c r="CX210" i="1"/>
  <c r="DD237" i="1"/>
  <c r="DC213" i="1"/>
  <c r="CZ177" i="1"/>
  <c r="DD213" i="1"/>
  <c r="DB185" i="1"/>
  <c r="DB203" i="1"/>
  <c r="CX187" i="1"/>
  <c r="DD246" i="1"/>
  <c r="CY166" i="1"/>
  <c r="DB157" i="1"/>
  <c r="DC187" i="1"/>
  <c r="DB220" i="1"/>
  <c r="DB179" i="1"/>
  <c r="CX185" i="1"/>
  <c r="CY163" i="1"/>
  <c r="DB214" i="1"/>
  <c r="CX162" i="1"/>
  <c r="DB218" i="1"/>
  <c r="CX227" i="1"/>
  <c r="DB225" i="1"/>
  <c r="CX196" i="1"/>
  <c r="CZ196" i="1"/>
  <c r="CZ249" i="1"/>
  <c r="CZ220" i="1"/>
  <c r="DD205" i="1"/>
  <c r="CY248" i="1"/>
  <c r="DB233" i="1"/>
  <c r="CZ216" i="1"/>
  <c r="DC192" i="1"/>
  <c r="CX202" i="1"/>
  <c r="DB235" i="1"/>
  <c r="CX240" i="1"/>
  <c r="DD202" i="1"/>
  <c r="CZ204" i="1"/>
  <c r="DC253" i="1"/>
  <c r="CX212" i="1"/>
  <c r="CX174" i="1"/>
  <c r="DD166" i="1"/>
  <c r="DD181" i="1"/>
  <c r="DC165" i="1"/>
  <c r="CZ228" i="1"/>
  <c r="CY176" i="1"/>
  <c r="DD169" i="1"/>
  <c r="DD180" i="1"/>
  <c r="CZ248" i="1"/>
  <c r="DC171" i="1"/>
  <c r="CY192" i="1"/>
  <c r="DB217" i="1"/>
  <c r="DD200" i="1"/>
  <c r="DC209" i="1"/>
  <c r="CY208" i="1"/>
  <c r="DC196" i="1"/>
  <c r="CY243" i="1"/>
  <c r="CY218" i="1"/>
  <c r="CX194" i="1"/>
  <c r="DB160" i="1"/>
  <c r="DB247" i="1"/>
  <c r="CZ156" i="1"/>
  <c r="DD204" i="1"/>
  <c r="DC195" i="1"/>
  <c r="DD176" i="1"/>
  <c r="DB246" i="1"/>
  <c r="DB172" i="1"/>
  <c r="DC252" i="1"/>
  <c r="CX191" i="1"/>
  <c r="DD163" i="1"/>
  <c r="DD251" i="1"/>
  <c r="DC159" i="1"/>
  <c r="CZ197" i="1"/>
  <c r="CY172" i="1"/>
  <c r="CY200" i="1"/>
  <c r="CZ158" i="1"/>
  <c r="DB194" i="1"/>
  <c r="CX249" i="1"/>
  <c r="DD248" i="1"/>
  <c r="CY179" i="1"/>
  <c r="CY242" i="1"/>
  <c r="CX234" i="1"/>
  <c r="DC255" i="1"/>
  <c r="CX232" i="1"/>
  <c r="CX199" i="1"/>
  <c r="CY167" i="1"/>
  <c r="DB159" i="1"/>
  <c r="CX171" i="1"/>
  <c r="DD206" i="1"/>
  <c r="CX230" i="1"/>
  <c r="CX254" i="1"/>
  <c r="DC172" i="1"/>
  <c r="DD235" i="1"/>
  <c r="DD193" i="1"/>
  <c r="DD187" i="1"/>
  <c r="DB243" i="1"/>
  <c r="CZ233" i="1"/>
  <c r="DB212" i="1"/>
  <c r="DB164" i="1"/>
  <c r="CZ165" i="1"/>
  <c r="DD189" i="1"/>
  <c r="DC193" i="1"/>
  <c r="DB209" i="1"/>
  <c r="CZ185" i="1"/>
  <c r="DB178" i="1"/>
  <c r="DC215" i="1"/>
  <c r="DD214" i="1"/>
  <c r="CX207" i="1"/>
  <c r="DD182" i="1"/>
  <c r="CY186" i="1"/>
  <c r="CZ184" i="1"/>
  <c r="DB202" i="1"/>
  <c r="DB249" i="1"/>
  <c r="DD156" i="1"/>
  <c r="DD157" i="1"/>
  <c r="CY213" i="1"/>
  <c r="DB165" i="1"/>
  <c r="CX197" i="1"/>
  <c r="DB176" i="1"/>
  <c r="CZ206" i="1"/>
  <c r="CX176" i="1"/>
  <c r="CZ244" i="1"/>
  <c r="DC190" i="1"/>
  <c r="DC173" i="1"/>
  <c r="CZ221" i="1"/>
  <c r="DB232" i="1"/>
  <c r="DD199" i="1"/>
  <c r="CZ238" i="1"/>
  <c r="CY227" i="1"/>
  <c r="DD230" i="1"/>
  <c r="CY223" i="1"/>
  <c r="CY204" i="1"/>
  <c r="CX184" i="1"/>
  <c r="DD227" i="1"/>
  <c r="CZ247" i="1"/>
  <c r="CY216" i="1"/>
  <c r="DB237" i="1"/>
  <c r="CY214" i="1"/>
  <c r="DD192" i="1"/>
  <c r="CX235" i="1"/>
  <c r="DD201" i="1"/>
  <c r="CZ230" i="1"/>
  <c r="DD252" i="1"/>
  <c r="CZ217" i="1"/>
  <c r="DC204" i="1"/>
  <c r="CY162" i="1"/>
  <c r="CX195" i="1"/>
  <c r="DB184" i="1"/>
  <c r="DC161" i="1"/>
  <c r="CY201" i="1"/>
  <c r="CY171" i="1"/>
  <c r="CX201" i="1"/>
  <c r="DB191" i="1"/>
  <c r="CX233" i="1"/>
  <c r="CY191" i="1"/>
  <c r="DD175" i="1"/>
  <c r="CX177" i="1"/>
  <c r="CZ243" i="1"/>
  <c r="CZ191" i="1"/>
  <c r="CZ169" i="1"/>
  <c r="CX172" i="1"/>
  <c r="DC186" i="1"/>
  <c r="CY157" i="1"/>
  <c r="CY215" i="1"/>
  <c r="DB199" i="1"/>
  <c r="CX243" i="1"/>
  <c r="CX216" i="1"/>
  <c r="CX229" i="1"/>
  <c r="DC179" i="1"/>
  <c r="DC185" i="1"/>
  <c r="DD253" i="1"/>
  <c r="CX183" i="1"/>
  <c r="DD203" i="1"/>
  <c r="CX164" i="1"/>
  <c r="DD168" i="1"/>
  <c r="CY188" i="1"/>
  <c r="DD197" i="1"/>
  <c r="CZ174" i="1"/>
  <c r="CZ215" i="1"/>
  <c r="DD165" i="1"/>
  <c r="CX214" i="1"/>
  <c r="CZ218" i="1"/>
  <c r="CY237" i="1"/>
  <c r="CY247" i="1"/>
  <c r="DD207" i="1"/>
  <c r="DC207" i="1"/>
  <c r="CZ209" i="1"/>
  <c r="DC169" i="1"/>
  <c r="CX219" i="1"/>
  <c r="DD229" i="1"/>
  <c r="DB181" i="1"/>
  <c r="DC229" i="1"/>
  <c r="DB193" i="1"/>
  <c r="DB255" i="1"/>
  <c r="DC194" i="1"/>
  <c r="CY182" i="1"/>
  <c r="CY220" i="1"/>
  <c r="CZ178" i="1"/>
  <c r="CX189" i="1"/>
  <c r="DD243" i="1"/>
  <c r="CY156" i="1"/>
  <c r="CY230" i="1"/>
  <c r="CY185" i="1"/>
  <c r="DC191" i="1"/>
  <c r="CZ237" i="1"/>
  <c r="CX178" i="1"/>
  <c r="CZ205" i="1"/>
  <c r="DC181" i="1"/>
  <c r="CY170" i="1"/>
  <c r="CZ163" i="1"/>
  <c r="CX204" i="1"/>
  <c r="DD190" i="1"/>
  <c r="CZ250" i="1"/>
  <c r="DB207" i="1"/>
  <c r="CZ173" i="1"/>
  <c r="CY221" i="1"/>
  <c r="CY165" i="1"/>
  <c r="DD212" i="1"/>
  <c r="DC227" i="1"/>
  <c r="DC202" i="1"/>
  <c r="CX222" i="1"/>
  <c r="DD167" i="1"/>
  <c r="CZ159" i="1"/>
  <c r="CZ242" i="1"/>
  <c r="CZ164" i="1"/>
  <c r="DC200" i="1"/>
  <c r="CX223" i="1"/>
  <c r="CY205" i="1"/>
  <c r="CX246" i="1"/>
  <c r="CX225" i="1"/>
  <c r="CY235" i="1"/>
  <c r="DC230" i="1"/>
  <c r="CY239" i="1"/>
  <c r="CZ162" i="1"/>
  <c r="DB186" i="1"/>
  <c r="CY159" i="1"/>
  <c r="DD244" i="1"/>
  <c r="DB216" i="1"/>
  <c r="DC241" i="1"/>
  <c r="CX209" i="1"/>
  <c r="CX213" i="1"/>
  <c r="DD215" i="1"/>
  <c r="CY210" i="1"/>
  <c r="DC231" i="1"/>
  <c r="K159" i="1"/>
  <c r="DD209" i="1"/>
  <c r="DD185" i="1"/>
  <c r="DD233" i="1"/>
  <c r="CZ239" i="1"/>
  <c r="CY206" i="1"/>
  <c r="DC225" i="1"/>
  <c r="DC206" i="1"/>
  <c r="DB167" i="1"/>
  <c r="DC198" i="1"/>
  <c r="CY207" i="1"/>
  <c r="DB189" i="1"/>
  <c r="DC201" i="1"/>
  <c r="DC160" i="1"/>
  <c r="CZ190" i="1"/>
  <c r="DB177" i="1"/>
  <c r="CY233" i="1"/>
  <c r="DB238" i="1"/>
  <c r="DB236" i="1"/>
  <c r="DD216" i="1"/>
  <c r="CZ188" i="1"/>
  <c r="DB158" i="1"/>
  <c r="CX231" i="1"/>
  <c r="CZ246" i="1"/>
  <c r="DB229" i="1"/>
  <c r="DD198" i="1"/>
  <c r="DD183" i="1"/>
  <c r="CX166" i="1"/>
  <c r="DD222" i="1"/>
  <c r="CZ161" i="1"/>
  <c r="DC157" i="1"/>
  <c r="CZ223" i="1"/>
  <c r="DD188" i="1"/>
  <c r="DB213" i="1"/>
  <c r="DC254" i="1"/>
  <c r="DD226" i="1"/>
  <c r="CZ192" i="1"/>
  <c r="DB226" i="1"/>
  <c r="CY228" i="1"/>
  <c r="CZ195" i="1"/>
  <c r="CY174" i="1"/>
  <c r="CY168" i="1"/>
  <c r="DB219" i="1"/>
  <c r="CY249" i="1"/>
  <c r="DB231" i="1"/>
  <c r="CX242" i="1"/>
  <c r="DB156" i="1"/>
  <c r="DD195" i="1"/>
  <c r="CY251" i="1"/>
  <c r="DC176" i="1"/>
  <c r="CY173" i="1"/>
  <c r="DC168" i="1"/>
  <c r="DC223" i="1"/>
  <c r="CY254" i="1"/>
  <c r="DD236" i="1"/>
  <c r="DD196" i="1"/>
  <c r="DD240" i="1"/>
  <c r="DB173" i="1"/>
  <c r="DC205" i="1"/>
  <c r="DC162" i="1"/>
  <c r="CX248" i="1"/>
  <c r="CX173" i="1"/>
  <c r="DD239" i="1"/>
  <c r="CY224" i="1"/>
  <c r="CX186" i="1"/>
  <c r="DC199" i="1"/>
  <c r="CX175" i="1"/>
  <c r="DC184" i="1"/>
  <c r="DB227" i="1"/>
  <c r="DC240" i="1"/>
  <c r="CX168" i="1"/>
  <c r="CX251" i="1"/>
  <c r="DB201" i="1"/>
  <c r="DD208" i="1"/>
  <c r="DD221" i="1"/>
  <c r="DD250" i="1"/>
  <c r="DC170" i="1"/>
  <c r="CX158" i="1"/>
  <c r="DC249" i="1"/>
  <c r="CX203" i="1"/>
  <c r="DB196" i="1"/>
  <c r="DD162" i="1"/>
  <c r="CZ234" i="1"/>
  <c r="CZ251" i="1"/>
  <c r="CX180" i="1"/>
  <c r="DC237" i="1"/>
  <c r="DD186" i="1"/>
  <c r="CY212" i="1"/>
  <c r="DC156" i="1"/>
  <c r="CY238" i="1"/>
  <c r="CY240" i="1"/>
  <c r="DD211" i="1"/>
  <c r="CZ160" i="1"/>
  <c r="DD256" i="1"/>
  <c r="DC178" i="1"/>
  <c r="DB175" i="1"/>
  <c r="CZ235" i="1"/>
  <c r="DC183" i="1"/>
  <c r="DB234" i="1"/>
  <c r="CY232" i="1"/>
  <c r="DD160" i="1"/>
  <c r="DB215" i="1"/>
  <c r="DD225" i="1"/>
  <c r="DB211" i="1"/>
  <c r="CZ231" i="1"/>
  <c r="DB166" i="1"/>
  <c r="CZ175" i="1"/>
  <c r="CZ229" i="1"/>
  <c r="CY183" i="1"/>
  <c r="DC236" i="1"/>
  <c r="DC175" i="1"/>
  <c r="CZ179" i="1"/>
  <c r="CX165" i="1"/>
  <c r="DB254" i="1"/>
  <c r="CY253" i="1"/>
  <c r="CZ167" i="1"/>
  <c r="DD254" i="1"/>
  <c r="DC222" i="1"/>
  <c r="CX255" i="1"/>
  <c r="CZ180" i="1"/>
  <c r="CY231" i="1"/>
  <c r="DB256" i="1"/>
  <c r="DC214" i="1"/>
  <c r="DC233" i="1"/>
  <c r="CZ245" i="1"/>
  <c r="DD232" i="1"/>
  <c r="CY255" i="1"/>
  <c r="DC166" i="1"/>
  <c r="DD179" i="1"/>
  <c r="CX238" i="1"/>
  <c r="CX237" i="1"/>
  <c r="DB163" i="1"/>
  <c r="CZ240" i="1"/>
  <c r="CX167" i="1"/>
  <c r="DB239" i="1"/>
  <c r="CZ187" i="1"/>
  <c r="DD217" i="1"/>
  <c r="CZ226" i="1"/>
  <c r="DD191" i="1"/>
  <c r="DB170" i="1"/>
  <c r="DC235" i="1"/>
  <c r="CY256" i="1"/>
  <c r="CZ212" i="1"/>
  <c r="CX221" i="1"/>
  <c r="DB245" i="1"/>
  <c r="CZ202" i="1"/>
  <c r="DB162" i="1"/>
  <c r="DC210" i="1"/>
  <c r="DD255" i="1"/>
  <c r="CY194" i="1"/>
  <c r="CX170" i="1"/>
  <c r="DC226" i="1"/>
  <c r="DC238" i="1"/>
  <c r="CX211" i="1"/>
  <c r="CZ214" i="1"/>
  <c r="DC174" i="1"/>
  <c r="DC203" i="1"/>
  <c r="CZ157" i="1"/>
  <c r="CY190" i="1"/>
  <c r="CX192" i="1"/>
  <c r="DD210" i="1"/>
  <c r="DC158" i="1"/>
  <c r="CX163" i="1"/>
  <c r="CZ219" i="1"/>
  <c r="CZ203" i="1"/>
  <c r="DB169" i="1"/>
  <c r="DB180" i="1"/>
  <c r="CZ256" i="1"/>
  <c r="CX241" i="1"/>
  <c r="DB242" i="1"/>
  <c r="CZ255" i="1"/>
  <c r="DB228" i="1"/>
  <c r="DB221" i="1"/>
  <c r="DC163" i="1"/>
  <c r="CZ225" i="1"/>
  <c r="CZ222" i="1"/>
  <c r="DB251" i="1"/>
  <c r="DD161" i="1"/>
  <c r="CY161" i="1"/>
  <c r="CY250" i="1"/>
  <c r="CX253" i="1"/>
  <c r="CX247" i="1"/>
  <c r="CX156" i="1"/>
  <c r="CX200" i="1"/>
  <c r="DC246" i="1"/>
  <c r="CY203" i="1"/>
  <c r="DD219" i="1"/>
  <c r="DB195" i="1"/>
  <c r="CX244" i="1"/>
  <c r="CY226" i="1"/>
  <c r="DC247" i="1"/>
  <c r="CY158" i="1"/>
  <c r="CY211" i="1"/>
  <c r="CX245" i="1"/>
  <c r="DB204" i="1"/>
  <c r="CY225" i="1"/>
  <c r="DB192" i="1"/>
  <c r="DD241" i="1"/>
  <c r="DC251" i="1"/>
  <c r="DC228" i="1"/>
  <c r="DC224" i="1"/>
  <c r="DD173" i="1"/>
  <c r="CZ189" i="1"/>
  <c r="CX190" i="1"/>
  <c r="CX160" i="1"/>
  <c r="DB183" i="1"/>
  <c r="DC234" i="1"/>
  <c r="CX256" i="1"/>
  <c r="DC244" i="1"/>
  <c r="DC197" i="1"/>
  <c r="DB206" i="1"/>
  <c r="DC217" i="1"/>
  <c r="CX217" i="1"/>
  <c r="DB174" i="1"/>
  <c r="CY209" i="1"/>
  <c r="DB182" i="1"/>
  <c r="CY177" i="1"/>
  <c r="CX161" i="1"/>
  <c r="CX220" i="1"/>
  <c r="CZ186" i="1"/>
  <c r="CX205" i="1"/>
  <c r="CY198" i="1"/>
  <c r="CX169" i="1"/>
  <c r="DC164" i="1"/>
  <c r="CZ232" i="1"/>
  <c r="CX228" i="1"/>
  <c r="DC216" i="1"/>
  <c r="CZ194" i="1"/>
  <c r="DB253" i="1"/>
  <c r="CX206" i="1"/>
  <c r="CZ193" i="1"/>
  <c r="DB240" i="1"/>
  <c r="CX198" i="1"/>
  <c r="DB200" i="1"/>
  <c r="DD249" i="1"/>
  <c r="CZ168" i="1"/>
  <c r="DD242" i="1"/>
  <c r="DC208" i="1"/>
  <c r="DB248" i="1"/>
  <c r="CY195" i="1"/>
  <c r="CY160" i="1"/>
  <c r="DB252" i="1"/>
  <c r="CX250" i="1"/>
  <c r="CX226" i="1"/>
  <c r="CZ200" i="1"/>
  <c r="CY189" i="1"/>
  <c r="CY246" i="1"/>
  <c r="DC232" i="1"/>
  <c r="CZ183" i="1"/>
  <c r="CX182" i="1"/>
  <c r="CY193" i="1"/>
  <c r="DB188" i="1"/>
  <c r="CZ182" i="1"/>
  <c r="DC167" i="1"/>
  <c r="CZ172" i="1"/>
  <c r="DD218" i="1"/>
  <c r="CX252" i="1"/>
  <c r="CZ198" i="1"/>
  <c r="CY169" i="1"/>
  <c r="CX239" i="1"/>
  <c r="DD234" i="1"/>
  <c r="DB171" i="1"/>
  <c r="CZ171" i="1"/>
  <c r="DB224" i="1"/>
  <c r="DC239" i="1"/>
  <c r="DB197" i="1"/>
  <c r="CZ211" i="1"/>
  <c r="DC220" i="1"/>
  <c r="DD238" i="1"/>
  <c r="CX236" i="1"/>
  <c r="DC242" i="1"/>
  <c r="DD220" i="1"/>
  <c r="CX208" i="1"/>
  <c r="CX179" i="1"/>
  <c r="DB230" i="1"/>
  <c r="DB223" i="1"/>
  <c r="DD170" i="1"/>
  <c r="CY222" i="1"/>
  <c r="DC188" i="1"/>
  <c r="BJ112" i="1"/>
  <c r="BK112" i="1"/>
  <c r="CY164" i="1"/>
  <c r="CZ170" i="1"/>
  <c r="DD174" i="1"/>
  <c r="DC248" i="1"/>
  <c r="DC256" i="1"/>
  <c r="DB244" i="1"/>
  <c r="DD177" i="1"/>
  <c r="DC245" i="1"/>
  <c r="DB168" i="1"/>
  <c r="CZ254" i="1"/>
  <c r="CZ199" i="1"/>
  <c r="CY175" i="1"/>
  <c r="DB250" i="1"/>
  <c r="CZ176" i="1"/>
  <c r="CY2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Rook, Jacob</author>
    <author>Timothy Hegarty</author>
  </authors>
  <commentList>
    <comment ref="F6" authorId="0" shapeId="0" xr:uid="{A08F4E13-5D83-45D5-872C-39198B011208}">
      <text>
        <r>
          <rPr>
            <b/>
            <u/>
            <sz val="9"/>
            <color indexed="81"/>
            <rFont val="Tahoma"/>
            <family val="2"/>
          </rPr>
          <t>Input Voltage - Min:</t>
        </r>
        <r>
          <rPr>
            <b/>
            <sz val="9"/>
            <color indexed="81"/>
            <rFont val="Tahoma"/>
            <family val="2"/>
          </rPr>
          <t xml:space="preserve">
</t>
        </r>
        <r>
          <rPr>
            <sz val="9"/>
            <color indexed="81"/>
            <rFont val="Tahoma"/>
            <family val="2"/>
          </rPr>
          <t>Minimum input voltage.</t>
        </r>
        <r>
          <rPr>
            <b/>
            <sz val="9"/>
            <color indexed="81"/>
            <rFont val="Tahoma"/>
            <family val="2"/>
          </rPr>
          <t xml:space="preserve">
Text in  cell is flag red if:
</t>
        </r>
        <r>
          <rPr>
            <sz val="9"/>
            <color indexed="81"/>
            <rFont val="Tahoma"/>
            <family val="2"/>
          </rPr>
          <t>The minimum input voltage is not in the 3.5 V to 40 V input range.</t>
        </r>
      </text>
    </comment>
    <comment ref="F7" authorId="0" shapeId="0" xr:uid="{AECA0331-2390-472D-BEEB-8C4A92C2C803}">
      <text>
        <r>
          <rPr>
            <b/>
            <sz val="9"/>
            <color indexed="81"/>
            <rFont val="Tahoma"/>
            <family val="2"/>
          </rPr>
          <t xml:space="preserve">Input Voltage - Max:
</t>
        </r>
        <r>
          <rPr>
            <sz val="9"/>
            <color indexed="81"/>
            <rFont val="Tahoma"/>
            <family val="2"/>
          </rPr>
          <t>Nominal input voltage.</t>
        </r>
        <r>
          <rPr>
            <b/>
            <sz val="9"/>
            <color indexed="81"/>
            <rFont val="Tahoma"/>
            <family val="2"/>
          </rPr>
          <t xml:space="preserve">
Text in  cell is flag red if:
</t>
        </r>
        <r>
          <rPr>
            <sz val="9"/>
            <color indexed="81"/>
            <rFont val="Tahoma"/>
            <family val="2"/>
          </rPr>
          <t>The nominal input voltage is not in the 3.5 V to 40 V input range or it is not in between the entered min and max.</t>
        </r>
      </text>
    </comment>
    <comment ref="F8" authorId="0" shapeId="0" xr:uid="{560E3F37-9B18-498E-8C39-4A20CB29D7A5}">
      <text>
        <r>
          <rPr>
            <b/>
            <u/>
            <sz val="9"/>
            <color indexed="81"/>
            <rFont val="Tahoma"/>
            <family val="2"/>
          </rPr>
          <t xml:space="preserve">Input Voltage - Max:
</t>
        </r>
        <r>
          <rPr>
            <sz val="9"/>
            <color indexed="81"/>
            <rFont val="Tahoma"/>
            <family val="2"/>
          </rPr>
          <t xml:space="preserve">Maximum input voltage.
</t>
        </r>
        <r>
          <rPr>
            <b/>
            <sz val="9"/>
            <color indexed="81"/>
            <rFont val="Tahoma"/>
            <family val="2"/>
          </rPr>
          <t xml:space="preserve">
Text in  cell is flag red if:
</t>
        </r>
        <r>
          <rPr>
            <sz val="9"/>
            <color indexed="81"/>
            <rFont val="Tahoma"/>
            <family val="2"/>
          </rPr>
          <t>The maximum input voltage is not in the 3.5 V to 40 V input range.</t>
        </r>
      </text>
    </comment>
    <comment ref="F9" authorId="0" shapeId="0" xr:uid="{552B32B1-661F-4441-9065-58CCB2859DFE}">
      <text>
        <r>
          <rPr>
            <b/>
            <u/>
            <sz val="9"/>
            <color indexed="81"/>
            <rFont val="Tahoma"/>
            <family val="2"/>
          </rPr>
          <t xml:space="preserve">Battery Voltage:
</t>
        </r>
        <r>
          <rPr>
            <sz val="9"/>
            <color indexed="81"/>
            <rFont val="Tahoma"/>
            <family val="2"/>
          </rPr>
          <t xml:space="preserve">Battery charge voltage.
</t>
        </r>
        <r>
          <rPr>
            <b/>
            <sz val="9"/>
            <color indexed="81"/>
            <rFont val="Tahoma"/>
            <family val="2"/>
          </rPr>
          <t xml:space="preserve">Text in the cell is flagged red if:
</t>
        </r>
        <r>
          <rPr>
            <sz val="9"/>
            <color indexed="81"/>
            <rFont val="Tahoma"/>
            <family val="2"/>
          </rPr>
          <t xml:space="preserve">The voltage is outside the battery regulation range of 5 V to 23 V. </t>
        </r>
      </text>
    </comment>
    <comment ref="F10" authorId="0" shapeId="0" xr:uid="{83830970-19B9-4191-B782-DACC6945DB26}">
      <text>
        <r>
          <rPr>
            <b/>
            <u/>
            <sz val="9"/>
            <color indexed="81"/>
            <rFont val="Tahoma"/>
            <family val="2"/>
          </rPr>
          <t xml:space="preserve">Full Load Output Current:
</t>
        </r>
        <r>
          <rPr>
            <sz val="9"/>
            <color indexed="81"/>
            <rFont val="Tahoma"/>
            <family val="2"/>
          </rPr>
          <t xml:space="preserve">The Full Load Output current is the sum of the maximum charge current and maximum system load current. </t>
        </r>
      </text>
    </comment>
    <comment ref="F13" authorId="0" shapeId="0" xr:uid="{2239DE73-466B-42C5-BBD2-402D8A13849E}">
      <text>
        <r>
          <rPr>
            <b/>
            <u/>
            <sz val="9"/>
            <color indexed="81"/>
            <rFont val="Tahoma"/>
            <family val="2"/>
          </rPr>
          <t>Desired Switching Frequency:</t>
        </r>
        <r>
          <rPr>
            <sz val="9"/>
            <color indexed="81"/>
            <rFont val="Tahoma"/>
            <family val="2"/>
          </rPr>
          <t xml:space="preserve">
The device switching frequency can be programmed between 200 kHz to 600 kHz using a resistor from the FSW_SYNC pin to PGND. Enter Desired Switching Frequency to get the recommended Switching Frequency Resistor needed for that switching frequency.
</t>
        </r>
        <r>
          <rPr>
            <b/>
            <sz val="9"/>
            <color indexed="81"/>
            <rFont val="Tahoma"/>
            <family val="2"/>
          </rPr>
          <t>Note:</t>
        </r>
        <r>
          <rPr>
            <sz val="9"/>
            <color indexed="81"/>
            <rFont val="Tahoma"/>
            <family val="2"/>
          </rPr>
          <t xml:space="preserve"> Calculations that require the Switching Frequency will use the </t>
        </r>
        <r>
          <rPr>
            <u/>
            <sz val="9"/>
            <color indexed="81"/>
            <rFont val="Tahoma"/>
            <family val="2"/>
          </rPr>
          <t>Recognized Switching Frequency</t>
        </r>
        <r>
          <rPr>
            <sz val="9"/>
            <color indexed="81"/>
            <rFont val="Tahoma"/>
            <family val="2"/>
          </rPr>
          <t xml:space="preserve"> </t>
        </r>
        <r>
          <rPr>
            <b/>
            <sz val="9"/>
            <color indexed="81"/>
            <rFont val="Tahoma"/>
            <family val="2"/>
          </rPr>
          <t>not</t>
        </r>
        <r>
          <rPr>
            <sz val="9"/>
            <color indexed="81"/>
            <rFont val="Tahoma"/>
            <family val="2"/>
          </rPr>
          <t xml:space="preserve"> the </t>
        </r>
        <r>
          <rPr>
            <u/>
            <sz val="9"/>
            <color indexed="81"/>
            <rFont val="Tahoma"/>
            <family val="2"/>
          </rPr>
          <t>Desired Switching Frequency</t>
        </r>
        <r>
          <rPr>
            <sz val="9"/>
            <color indexed="81"/>
            <rFont val="Tahoma"/>
            <family val="2"/>
          </rPr>
          <t xml:space="preserve">
</t>
        </r>
        <r>
          <rPr>
            <b/>
            <sz val="9"/>
            <color indexed="81"/>
            <rFont val="Tahoma"/>
            <family val="2"/>
          </rPr>
          <t xml:space="preserve">Text in cell is flagged red if:
</t>
        </r>
        <r>
          <rPr>
            <sz val="9"/>
            <color indexed="81"/>
            <rFont val="Tahoma"/>
            <family val="2"/>
          </rPr>
          <t>The Desired Switching Frequency is outside the operating switching frequency range of 200 kHz to 600 kHz.</t>
        </r>
      </text>
    </comment>
    <comment ref="F14" authorId="0" shapeId="0" xr:uid="{DBE3A63F-45EF-4F1E-BD2B-5D70F397330E}">
      <text>
        <r>
          <rPr>
            <b/>
            <u/>
            <sz val="9"/>
            <color indexed="81"/>
            <rFont val="Tahoma"/>
            <family val="2"/>
          </rPr>
          <t>Recommended Switching Frequency Resistor:</t>
        </r>
        <r>
          <rPr>
            <b/>
            <sz val="9"/>
            <color indexed="81"/>
            <rFont val="Tahoma"/>
            <family val="2"/>
          </rPr>
          <t xml:space="preserve">
</t>
        </r>
        <r>
          <rPr>
            <sz val="9"/>
            <color indexed="81"/>
            <rFont val="Tahoma"/>
            <family val="2"/>
          </rPr>
          <t>The device switching frequency can be programmed between 200 kHz to 600 kHz using a resistor from the FSW_SYNC pin to PGND. The R</t>
        </r>
        <r>
          <rPr>
            <vertAlign val="subscript"/>
            <sz val="9"/>
            <color indexed="81"/>
            <rFont val="Tahoma"/>
            <family val="2"/>
          </rPr>
          <t>FSW</t>
        </r>
        <r>
          <rPr>
            <sz val="9"/>
            <color indexed="81"/>
            <rFont val="Tahoma"/>
            <family val="2"/>
          </rPr>
          <t xml:space="preserve"> resistor is related to the nominal switching frequency (F</t>
        </r>
        <r>
          <rPr>
            <vertAlign val="subscript"/>
            <sz val="9"/>
            <color indexed="81"/>
            <rFont val="Tahoma"/>
            <family val="2"/>
          </rPr>
          <t>SW</t>
        </r>
        <r>
          <rPr>
            <sz val="9"/>
            <color indexed="81"/>
            <rFont val="Tahoma"/>
            <family val="2"/>
          </rPr>
          <t xml:space="preserve">) by the equation:
</t>
        </r>
        <r>
          <rPr>
            <b/>
            <sz val="9"/>
            <color indexed="81"/>
            <rFont val="Tahoma"/>
            <family val="2"/>
          </rPr>
          <t>R</t>
        </r>
        <r>
          <rPr>
            <b/>
            <vertAlign val="subscript"/>
            <sz val="9"/>
            <color indexed="81"/>
            <rFont val="Tahoma"/>
            <family val="2"/>
          </rPr>
          <t xml:space="preserve">FSW </t>
        </r>
        <r>
          <rPr>
            <b/>
            <sz val="9"/>
            <color indexed="81"/>
            <rFont val="Tahoma"/>
            <family val="2"/>
          </rPr>
          <t>= 1/(10*(F</t>
        </r>
        <r>
          <rPr>
            <b/>
            <vertAlign val="subscript"/>
            <sz val="9"/>
            <color indexed="81"/>
            <rFont val="Tahoma"/>
            <family val="2"/>
          </rPr>
          <t>SW</t>
        </r>
        <r>
          <rPr>
            <b/>
            <sz val="9"/>
            <color indexed="81"/>
            <rFont val="Tahoma"/>
            <family val="2"/>
          </rPr>
          <t>*5*10^-12 - 500*10^-9) )</t>
        </r>
      </text>
    </comment>
    <comment ref="F15" authorId="0" shapeId="0" xr:uid="{6B0E1F8B-C145-4209-9F55-E20DACAE3C55}">
      <text>
        <r>
          <rPr>
            <b/>
            <u/>
            <sz val="9"/>
            <color indexed="81"/>
            <rFont val="Tahoma"/>
            <family val="2"/>
          </rPr>
          <t>Selected Switching Frequency Resistor:</t>
        </r>
        <r>
          <rPr>
            <b/>
            <sz val="9"/>
            <color indexed="81"/>
            <rFont val="Tahoma"/>
            <family val="2"/>
          </rPr>
          <t xml:space="preserve">
</t>
        </r>
        <r>
          <rPr>
            <sz val="9"/>
            <color indexed="81"/>
            <rFont val="Tahoma"/>
            <family val="2"/>
          </rPr>
          <t xml:space="preserve">Resistor placed between FSW_SYNC to PGND pin. 
</t>
        </r>
        <r>
          <rPr>
            <b/>
            <sz val="9"/>
            <color indexed="81"/>
            <rFont val="Tahoma"/>
            <family val="2"/>
          </rPr>
          <t xml:space="preserve">Text in cell is flagged red if:
</t>
        </r>
        <r>
          <rPr>
            <sz val="9"/>
            <color indexed="81"/>
            <rFont val="Tahoma"/>
            <family val="2"/>
          </rPr>
          <t>The entered resistance is not in between 40 kΩ to 200 kΩ.</t>
        </r>
      </text>
    </comment>
    <comment ref="F16" authorId="0" shapeId="0" xr:uid="{B1686199-44C5-464E-94D7-68CFED0DDF97}">
      <text>
        <r>
          <rPr>
            <b/>
            <u/>
            <sz val="9"/>
            <color indexed="81"/>
            <rFont val="Tahoma"/>
            <family val="2"/>
          </rPr>
          <t xml:space="preserve">Recognized Switching Frequency:
</t>
        </r>
        <r>
          <rPr>
            <sz val="9"/>
            <color indexed="81"/>
            <rFont val="Tahoma"/>
            <family val="2"/>
          </rPr>
          <t xml:space="preserve">Recognized Switching Frequency based off the Selected Switching Frequency Resistor.
</t>
        </r>
        <r>
          <rPr>
            <b/>
            <sz val="9"/>
            <color indexed="81"/>
            <rFont val="Tahoma"/>
            <family val="2"/>
          </rPr>
          <t>Note:</t>
        </r>
        <r>
          <rPr>
            <sz val="9"/>
            <color indexed="81"/>
            <rFont val="Tahoma"/>
            <family val="2"/>
          </rPr>
          <t xml:space="preserve"> The Recognized Switching Frequency is used for all of the calculations that require the Switching Frequency.
</t>
        </r>
        <r>
          <rPr>
            <b/>
            <sz val="9"/>
            <color indexed="81"/>
            <rFont val="Tahoma"/>
            <family val="2"/>
          </rPr>
          <t>Text in cell is flagged red if:</t>
        </r>
        <r>
          <rPr>
            <sz val="9"/>
            <color indexed="81"/>
            <rFont val="Tahoma"/>
            <family val="2"/>
          </rPr>
          <t xml:space="preserve">
The Recognized Switching Frequency does not match the Desired Switching Frequency.</t>
        </r>
      </text>
    </comment>
    <comment ref="F17" authorId="0" shapeId="0" xr:uid="{7140F9B9-C271-46EA-B60F-A32D91AD8BB8}">
      <text>
        <r>
          <rPr>
            <b/>
            <u/>
            <sz val="9"/>
            <color indexed="81"/>
            <rFont val="Tahoma"/>
            <family val="2"/>
          </rPr>
          <t>Duty Cycle Limitation:</t>
        </r>
        <r>
          <rPr>
            <b/>
            <sz val="9"/>
            <color indexed="81"/>
            <rFont val="Tahoma"/>
            <family val="2"/>
          </rPr>
          <t xml:space="preserve">
</t>
        </r>
        <r>
          <rPr>
            <sz val="9"/>
            <color indexed="81"/>
            <rFont val="Tahoma"/>
            <family val="2"/>
          </rPr>
          <t>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t>
        </r>
        <r>
          <rPr>
            <sz val="9"/>
            <color indexed="81"/>
            <rFont val="Tahoma"/>
            <family val="2"/>
          </rPr>
          <t xml:space="preserve">
</t>
        </r>
      </text>
    </comment>
    <comment ref="F18" authorId="0" shapeId="0" xr:uid="{53AF9208-79B4-4A55-A643-619646137FE0}">
      <text>
        <r>
          <rPr>
            <b/>
            <u/>
            <sz val="9"/>
            <color indexed="81"/>
            <rFont val="Tahoma"/>
            <family val="2"/>
          </rPr>
          <t>Boost Output Limitation at V</t>
        </r>
        <r>
          <rPr>
            <b/>
            <u/>
            <vertAlign val="subscript"/>
            <sz val="9"/>
            <color indexed="81"/>
            <rFont val="Tahoma"/>
            <family val="2"/>
          </rPr>
          <t>AC(min)</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AC(min)</t>
        </r>
        <r>
          <rPr>
            <sz val="9"/>
            <color indexed="81"/>
            <rFont val="Tahoma"/>
            <family val="2"/>
          </rPr>
          <t xml:space="preserve"> voltage. 
If V</t>
        </r>
        <r>
          <rPr>
            <vertAlign val="subscript"/>
            <sz val="9"/>
            <color indexed="81"/>
            <rFont val="Tahoma"/>
            <family val="2"/>
          </rPr>
          <t>AC(min)</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19" authorId="0" shapeId="0" xr:uid="{C70347DD-0D27-47C5-9E81-84093A1B24B9}">
      <text>
        <r>
          <rPr>
            <b/>
            <u/>
            <sz val="9"/>
            <color indexed="81"/>
            <rFont val="Tahoma"/>
            <family val="2"/>
          </rPr>
          <t>Boost Output Limitation at V</t>
        </r>
        <r>
          <rPr>
            <b/>
            <u/>
            <vertAlign val="subscript"/>
            <sz val="9"/>
            <color indexed="81"/>
            <rFont val="Tahoma"/>
            <family val="2"/>
          </rPr>
          <t>AC(nom)</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AC(nom)</t>
        </r>
        <r>
          <rPr>
            <sz val="9"/>
            <color indexed="81"/>
            <rFont val="Tahoma"/>
            <family val="2"/>
          </rPr>
          <t xml:space="preserve"> voltage. 
If V</t>
        </r>
        <r>
          <rPr>
            <vertAlign val="subscript"/>
            <sz val="9"/>
            <color indexed="81"/>
            <rFont val="Tahoma"/>
            <family val="2"/>
          </rPr>
          <t>AC(nom)</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20" authorId="0" shapeId="0" xr:uid="{7B52F920-E567-4040-A67C-89776EBE8EE5}">
      <text>
        <r>
          <rPr>
            <b/>
            <u/>
            <sz val="9"/>
            <color indexed="81"/>
            <rFont val="Tahoma"/>
            <family val="2"/>
          </rPr>
          <t>Boost Output Limitation at V</t>
        </r>
        <r>
          <rPr>
            <b/>
            <u/>
            <vertAlign val="subscript"/>
            <sz val="9"/>
            <color indexed="81"/>
            <rFont val="Tahoma"/>
            <family val="2"/>
          </rPr>
          <t>AC(max)</t>
        </r>
        <r>
          <rPr>
            <b/>
            <u/>
            <sz val="9"/>
            <color indexed="81"/>
            <rFont val="Tahoma"/>
            <family val="2"/>
          </rPr>
          <t>:</t>
        </r>
        <r>
          <rPr>
            <sz val="9"/>
            <color indexed="81"/>
            <rFont val="Tahoma"/>
            <family val="2"/>
          </rPr>
          <t xml:space="preserve">
Maximum boost output voltage based off the Duty Cycle Limitation at the V</t>
        </r>
        <r>
          <rPr>
            <vertAlign val="subscript"/>
            <sz val="9"/>
            <color indexed="81"/>
            <rFont val="Tahoma"/>
            <family val="2"/>
          </rPr>
          <t>AC(max)</t>
        </r>
        <r>
          <rPr>
            <sz val="9"/>
            <color indexed="81"/>
            <rFont val="Tahoma"/>
            <family val="2"/>
          </rPr>
          <t xml:space="preserve"> voltage. 
If V</t>
        </r>
        <r>
          <rPr>
            <vertAlign val="subscript"/>
            <sz val="9"/>
            <color indexed="81"/>
            <rFont val="Tahoma"/>
            <family val="2"/>
          </rPr>
          <t>AC(max)</t>
        </r>
        <r>
          <rPr>
            <sz val="9"/>
            <color indexed="81"/>
            <rFont val="Tahoma"/>
            <family val="2"/>
          </rPr>
          <t xml:space="preserve"> is higher than the Battery Voltage, then this voltage does not apply to the Boost Output Limitation and the cell will display "N/A".
</t>
        </r>
        <r>
          <rPr>
            <b/>
            <sz val="9"/>
            <color indexed="81"/>
            <rFont val="Tahoma"/>
            <family val="2"/>
          </rPr>
          <t xml:space="preserve">Text in cell is flagged red if:
</t>
        </r>
        <r>
          <rPr>
            <sz val="9"/>
            <color indexed="81"/>
            <rFont val="Tahoma"/>
            <family val="2"/>
          </rPr>
          <t xml:space="preserve">Boost Output Limitation Voltage is lower than the Battery Voltage. 
</t>
        </r>
      </text>
    </comment>
    <comment ref="F23" authorId="0" shapeId="0" xr:uid="{347297A4-C0F3-4BE0-A4ED-1ADC8EA83674}">
      <text>
        <r>
          <rPr>
            <b/>
            <u/>
            <sz val="9"/>
            <color indexed="81"/>
            <rFont val="Tahoma"/>
            <family val="2"/>
          </rPr>
          <t xml:space="preserve">Maximum Average Inductor Current:
</t>
        </r>
        <r>
          <rPr>
            <sz val="9"/>
            <color indexed="81"/>
            <rFont val="Tahoma"/>
            <family val="2"/>
          </rPr>
          <t xml:space="preserve">The maximum average inductor current occurs at the minimum input voltage and maximum load current:
</t>
        </r>
        <r>
          <rPr>
            <b/>
            <sz val="9"/>
            <color indexed="81"/>
            <rFont val="Tahoma"/>
            <family val="2"/>
          </rPr>
          <t>I</t>
        </r>
        <r>
          <rPr>
            <b/>
            <vertAlign val="subscript"/>
            <sz val="9"/>
            <color indexed="81"/>
            <rFont val="Tahoma"/>
            <family val="2"/>
          </rPr>
          <t>L(MAX)</t>
        </r>
        <r>
          <rPr>
            <b/>
            <sz val="9"/>
            <color indexed="81"/>
            <rFont val="Tahoma"/>
            <family val="2"/>
          </rPr>
          <t>=V</t>
        </r>
        <r>
          <rPr>
            <b/>
            <vertAlign val="subscript"/>
            <sz val="9"/>
            <color indexed="81"/>
            <rFont val="Tahoma"/>
            <family val="2"/>
          </rPr>
          <t>BAT</t>
        </r>
        <r>
          <rPr>
            <b/>
            <sz val="9"/>
            <color indexed="81"/>
            <rFont val="Tahoma"/>
            <family val="2"/>
          </rPr>
          <t>*I</t>
        </r>
        <r>
          <rPr>
            <b/>
            <vertAlign val="subscript"/>
            <sz val="9"/>
            <color indexed="81"/>
            <rFont val="Tahoma"/>
            <family val="2"/>
          </rPr>
          <t>OUT(MAX)</t>
        </r>
        <r>
          <rPr>
            <b/>
            <sz val="9"/>
            <color indexed="81"/>
            <rFont val="Tahoma"/>
            <family val="2"/>
          </rPr>
          <t>/(ⴄ*V</t>
        </r>
        <r>
          <rPr>
            <b/>
            <vertAlign val="subscript"/>
            <sz val="9"/>
            <color indexed="81"/>
            <rFont val="Tahoma"/>
            <family val="2"/>
          </rPr>
          <t>AC(MIN)</t>
        </r>
        <r>
          <rPr>
            <b/>
            <sz val="9"/>
            <color indexed="81"/>
            <rFont val="Tahoma"/>
            <family val="2"/>
          </rPr>
          <t>)</t>
        </r>
      </text>
    </comment>
    <comment ref="F24" authorId="0" shapeId="0" xr:uid="{A40E549E-8AC8-4651-92AE-7EC20D27A18F}">
      <text>
        <r>
          <rPr>
            <b/>
            <sz val="9"/>
            <color indexed="81"/>
            <rFont val="Tahoma"/>
            <family val="2"/>
          </rPr>
          <t xml:space="preserve">Selected Inductor Saturation Current:
</t>
        </r>
        <r>
          <rPr>
            <sz val="9"/>
            <color indexed="81"/>
            <rFont val="Tahoma"/>
            <family val="2"/>
          </rPr>
          <t xml:space="preserve">Saturation current of the inductor that the users intends on using. The Saturation current should be higher than the Maximum Average Inductor Current. 
The Maximum Average Inductor Current can be reduced by changing the Operating Specifications. 
</t>
        </r>
        <r>
          <rPr>
            <b/>
            <sz val="9"/>
            <color indexed="81"/>
            <rFont val="Tahoma"/>
            <family val="2"/>
          </rPr>
          <t xml:space="preserve">Text in cell is flagged red if:
</t>
        </r>
        <r>
          <rPr>
            <sz val="9"/>
            <color indexed="81"/>
            <rFont val="Tahoma"/>
            <family val="2"/>
          </rPr>
          <t>The Selected Inductor Saturation Current is less than the Maximum Average Inductor Current.</t>
        </r>
      </text>
    </comment>
    <comment ref="F25" authorId="0" shapeId="0" xr:uid="{A167B101-7FDB-4A08-A48F-98E654BBA149}">
      <text>
        <r>
          <rPr>
            <b/>
            <u/>
            <sz val="9"/>
            <color indexed="81"/>
            <rFont val="Tahoma"/>
            <family val="2"/>
          </rPr>
          <t>Minimum Inductance:</t>
        </r>
        <r>
          <rPr>
            <sz val="9"/>
            <color indexed="81"/>
            <rFont val="Tahoma"/>
            <family val="2"/>
          </rPr>
          <t xml:space="preserve">
Higher switching frequency allows the use of smaller inductor and capacitor values. Inductor Saturation Current should be higher than the Maximum Average Inductor Current I</t>
        </r>
        <r>
          <rPr>
            <vertAlign val="subscript"/>
            <sz val="9"/>
            <color indexed="81"/>
            <rFont val="Tahoma"/>
            <family val="2"/>
          </rPr>
          <t>L(max)</t>
        </r>
        <r>
          <rPr>
            <sz val="9"/>
            <color indexed="81"/>
            <rFont val="Tahoma"/>
            <family val="2"/>
          </rPr>
          <t xml:space="preserve"> plus half the Maximum Ripple Current I</t>
        </r>
        <r>
          <rPr>
            <vertAlign val="subscript"/>
            <sz val="9"/>
            <color indexed="81"/>
            <rFont val="Tahoma"/>
            <family val="2"/>
          </rPr>
          <t>Ripple(max)</t>
        </r>
        <r>
          <rPr>
            <sz val="9"/>
            <color indexed="81"/>
            <rFont val="Tahoma"/>
            <family val="2"/>
          </rPr>
          <t xml:space="preserve">. 
It is recommended to use an Inductor with and Inductance between 2.2 - 15 µH.
</t>
        </r>
        <r>
          <rPr>
            <b/>
            <sz val="9"/>
            <color indexed="81"/>
            <rFont val="Tahoma"/>
            <family val="2"/>
          </rPr>
          <t>I</t>
        </r>
        <r>
          <rPr>
            <b/>
            <vertAlign val="subscript"/>
            <sz val="9"/>
            <color indexed="81"/>
            <rFont val="Tahoma"/>
            <family val="2"/>
          </rPr>
          <t>SAT</t>
        </r>
        <r>
          <rPr>
            <b/>
            <sz val="9"/>
            <color indexed="81"/>
            <rFont val="Tahoma"/>
            <family val="2"/>
          </rPr>
          <t xml:space="preserve"> ≥ I</t>
        </r>
        <r>
          <rPr>
            <b/>
            <vertAlign val="subscript"/>
            <sz val="9"/>
            <color indexed="81"/>
            <rFont val="Tahoma"/>
            <family val="2"/>
          </rPr>
          <t>L(max)</t>
        </r>
        <r>
          <rPr>
            <b/>
            <sz val="9"/>
            <color indexed="81"/>
            <rFont val="Tahoma"/>
            <family val="2"/>
          </rPr>
          <t xml:space="preserve"> + 0.5 * I</t>
        </r>
        <r>
          <rPr>
            <b/>
            <vertAlign val="subscript"/>
            <sz val="9"/>
            <color indexed="81"/>
            <rFont val="Tahoma"/>
            <family val="2"/>
          </rPr>
          <t>Ripple(max)</t>
        </r>
        <r>
          <rPr>
            <sz val="9"/>
            <color indexed="81"/>
            <rFont val="Tahoma"/>
            <family val="2"/>
          </rPr>
          <t xml:space="preserve">
The inductor ripple current in buck operation depends on input voltage (V</t>
        </r>
        <r>
          <rPr>
            <vertAlign val="subscript"/>
            <sz val="9"/>
            <color indexed="81"/>
            <rFont val="Tahoma"/>
            <family val="2"/>
          </rPr>
          <t>AC</t>
        </r>
        <r>
          <rPr>
            <sz val="9"/>
            <color indexed="81"/>
            <rFont val="Tahoma"/>
            <family val="2"/>
          </rPr>
          <t>), duty cycle (D</t>
        </r>
        <r>
          <rPr>
            <vertAlign val="subscript"/>
            <sz val="9"/>
            <color indexed="81"/>
            <rFont val="Tahoma"/>
            <family val="2"/>
          </rPr>
          <t>Buck</t>
        </r>
        <r>
          <rPr>
            <sz val="9"/>
            <color indexed="81"/>
            <rFont val="Tahoma"/>
            <family val="2"/>
          </rPr>
          <t xml:space="preserve"> = V</t>
        </r>
        <r>
          <rPr>
            <vertAlign val="subscript"/>
            <sz val="9"/>
            <color indexed="81"/>
            <rFont val="Tahoma"/>
            <family val="2"/>
          </rPr>
          <t>BAT</t>
        </r>
        <r>
          <rPr>
            <sz val="9"/>
            <color indexed="81"/>
            <rFont val="Tahoma"/>
            <family val="2"/>
          </rPr>
          <t>/V</t>
        </r>
        <r>
          <rPr>
            <vertAlign val="subscript"/>
            <sz val="9"/>
            <color indexed="81"/>
            <rFont val="Tahoma"/>
            <family val="2"/>
          </rPr>
          <t>AC</t>
        </r>
        <r>
          <rPr>
            <sz val="9"/>
            <color indexed="81"/>
            <rFont val="Tahoma"/>
            <family val="2"/>
          </rPr>
          <t>), switching frequency (F</t>
        </r>
        <r>
          <rPr>
            <vertAlign val="subscript"/>
            <sz val="9"/>
            <color indexed="81"/>
            <rFont val="Tahoma"/>
            <family val="2"/>
          </rPr>
          <t>SW</t>
        </r>
        <r>
          <rPr>
            <sz val="9"/>
            <color indexed="81"/>
            <rFont val="Tahoma"/>
            <family val="2"/>
          </rPr>
          <t xml:space="preserve">) and inductance (L).
</t>
        </r>
        <r>
          <rPr>
            <b/>
            <sz val="9"/>
            <color indexed="81"/>
            <rFont val="Tahoma"/>
            <family val="2"/>
          </rPr>
          <t>I</t>
        </r>
        <r>
          <rPr>
            <b/>
            <vertAlign val="subscript"/>
            <sz val="9"/>
            <color indexed="81"/>
            <rFont val="Tahoma"/>
            <family val="2"/>
          </rPr>
          <t>Ripple_Buck</t>
        </r>
        <r>
          <rPr>
            <b/>
            <sz val="9"/>
            <color indexed="81"/>
            <rFont val="Tahoma"/>
            <family val="2"/>
          </rPr>
          <t xml:space="preserve"> = V</t>
        </r>
        <r>
          <rPr>
            <b/>
            <vertAlign val="subscript"/>
            <sz val="9"/>
            <color indexed="81"/>
            <rFont val="Tahoma"/>
            <family val="2"/>
          </rPr>
          <t>AC</t>
        </r>
        <r>
          <rPr>
            <b/>
            <sz val="9"/>
            <color indexed="81"/>
            <rFont val="Tahoma"/>
            <family val="2"/>
          </rPr>
          <t>*D</t>
        </r>
        <r>
          <rPr>
            <b/>
            <vertAlign val="subscript"/>
            <sz val="9"/>
            <color indexed="81"/>
            <rFont val="Tahoma"/>
            <family val="2"/>
          </rPr>
          <t>Buck</t>
        </r>
        <r>
          <rPr>
            <b/>
            <sz val="9"/>
            <color indexed="81"/>
            <rFont val="Tahoma"/>
            <family val="2"/>
          </rPr>
          <t>*(1-D</t>
        </r>
        <r>
          <rPr>
            <b/>
            <vertAlign val="subscript"/>
            <sz val="9"/>
            <color indexed="81"/>
            <rFont val="Tahoma"/>
            <family val="2"/>
          </rPr>
          <t>Buck</t>
        </r>
        <r>
          <rPr>
            <b/>
            <sz val="9"/>
            <color indexed="81"/>
            <rFont val="Tahoma"/>
            <family val="2"/>
          </rPr>
          <t>)/(F</t>
        </r>
        <r>
          <rPr>
            <b/>
            <vertAlign val="subscript"/>
            <sz val="9"/>
            <color indexed="81"/>
            <rFont val="Tahoma"/>
            <family val="2"/>
          </rPr>
          <t>SW</t>
        </r>
        <r>
          <rPr>
            <b/>
            <sz val="9"/>
            <color indexed="81"/>
            <rFont val="Tahoma"/>
            <family val="2"/>
          </rPr>
          <t>*L)</t>
        </r>
        <r>
          <rPr>
            <sz val="9"/>
            <color indexed="81"/>
            <rFont val="Tahoma"/>
            <family val="2"/>
          </rPr>
          <t xml:space="preserve">
During boost operation, the duty cycle is: D</t>
        </r>
        <r>
          <rPr>
            <vertAlign val="subscript"/>
            <sz val="9"/>
            <color indexed="81"/>
            <rFont val="Tahoma"/>
            <family val="2"/>
          </rPr>
          <t>Boost</t>
        </r>
        <r>
          <rPr>
            <sz val="9"/>
            <color indexed="81"/>
            <rFont val="Tahoma"/>
            <family val="2"/>
          </rPr>
          <t xml:space="preserve"> = 1 - (V</t>
        </r>
        <r>
          <rPr>
            <vertAlign val="subscript"/>
            <sz val="9"/>
            <color indexed="81"/>
            <rFont val="Tahoma"/>
            <family val="2"/>
          </rPr>
          <t>AC</t>
        </r>
        <r>
          <rPr>
            <sz val="9"/>
            <color indexed="81"/>
            <rFont val="Tahoma"/>
            <family val="2"/>
          </rPr>
          <t>/V</t>
        </r>
        <r>
          <rPr>
            <vertAlign val="subscript"/>
            <sz val="9"/>
            <color indexed="81"/>
            <rFont val="Tahoma"/>
            <family val="2"/>
          </rPr>
          <t>BAT</t>
        </r>
        <r>
          <rPr>
            <sz val="9"/>
            <color indexed="81"/>
            <rFont val="Tahoma"/>
            <family val="2"/>
          </rPr>
          <t xml:space="preserve">). The inductor ripple current is:
</t>
        </r>
        <r>
          <rPr>
            <b/>
            <sz val="9"/>
            <color indexed="81"/>
            <rFont val="Tahoma"/>
            <family val="2"/>
          </rPr>
          <t>I</t>
        </r>
        <r>
          <rPr>
            <b/>
            <vertAlign val="subscript"/>
            <sz val="9"/>
            <color indexed="81"/>
            <rFont val="Tahoma"/>
            <family val="2"/>
          </rPr>
          <t>Ripple_Boost</t>
        </r>
        <r>
          <rPr>
            <b/>
            <sz val="9"/>
            <color indexed="81"/>
            <rFont val="Tahoma"/>
            <family val="2"/>
          </rPr>
          <t xml:space="preserve"> = V</t>
        </r>
        <r>
          <rPr>
            <b/>
            <vertAlign val="subscript"/>
            <sz val="9"/>
            <color indexed="81"/>
            <rFont val="Tahoma"/>
            <family val="2"/>
          </rPr>
          <t>AC</t>
        </r>
        <r>
          <rPr>
            <b/>
            <sz val="9"/>
            <color indexed="81"/>
            <rFont val="Tahoma"/>
            <family val="2"/>
          </rPr>
          <t>*D</t>
        </r>
        <r>
          <rPr>
            <b/>
            <vertAlign val="subscript"/>
            <sz val="9"/>
            <color indexed="81"/>
            <rFont val="Tahoma"/>
            <family val="2"/>
          </rPr>
          <t>Boost</t>
        </r>
        <r>
          <rPr>
            <b/>
            <sz val="9"/>
            <color indexed="81"/>
            <rFont val="Tahoma"/>
            <family val="2"/>
          </rPr>
          <t>/(F</t>
        </r>
        <r>
          <rPr>
            <b/>
            <vertAlign val="subscript"/>
            <sz val="9"/>
            <color indexed="81"/>
            <rFont val="Tahoma"/>
            <family val="2"/>
          </rPr>
          <t>SW</t>
        </r>
        <r>
          <rPr>
            <b/>
            <sz val="9"/>
            <color indexed="81"/>
            <rFont val="Tahoma"/>
            <family val="2"/>
          </rPr>
          <t>*L)</t>
        </r>
        <r>
          <rPr>
            <sz val="9"/>
            <color indexed="81"/>
            <rFont val="Tahoma"/>
            <family val="2"/>
          </rPr>
          <t xml:space="preserve">
The maximum inductor ripple current happens with D = 0.5 or close to 0.5. 
Usually inductor ripple is designed in the range of (20-40%) maximum charging current as a trade-off between inductor size and efficiency for practical design. 
</t>
        </r>
        <r>
          <rPr>
            <b/>
            <sz val="9"/>
            <color indexed="81"/>
            <rFont val="Tahoma"/>
            <family val="2"/>
          </rPr>
          <t xml:space="preserve">Text in cell is flagged red if:
</t>
        </r>
        <r>
          <rPr>
            <sz val="9"/>
            <color indexed="81"/>
            <rFont val="Tahoma"/>
            <family val="2"/>
          </rPr>
          <t xml:space="preserve">The minimum inductance is not within the recommended inductance range.
</t>
        </r>
        <r>
          <rPr>
            <b/>
            <sz val="9"/>
            <color indexed="81"/>
            <rFont val="Tahoma"/>
            <family val="2"/>
          </rPr>
          <t>Text in cell shows "ERROR" if:</t>
        </r>
        <r>
          <rPr>
            <sz val="9"/>
            <color indexed="81"/>
            <rFont val="Tahoma"/>
            <family val="2"/>
          </rPr>
          <t xml:space="preserve">
The Selected Inductor Saturation Current is lower than the Maximum Average Inductor Current.</t>
        </r>
      </text>
    </comment>
    <comment ref="F26" authorId="0" shapeId="0" xr:uid="{E79C7901-4AA5-4544-896B-2B9DE4C25F82}">
      <text>
        <r>
          <rPr>
            <b/>
            <u/>
            <sz val="9"/>
            <color indexed="81"/>
            <rFont val="Tahoma"/>
            <family val="2"/>
          </rPr>
          <t xml:space="preserve">Selected Inductance:
</t>
        </r>
        <r>
          <rPr>
            <sz val="9"/>
            <color indexed="81"/>
            <rFont val="Tahoma"/>
            <family val="2"/>
          </rPr>
          <t xml:space="preserve">Recommended to use the Recommended Inductance for the most efficient use of the charger.
</t>
        </r>
        <r>
          <rPr>
            <b/>
            <sz val="9"/>
            <color indexed="81"/>
            <rFont val="Tahoma"/>
            <family val="2"/>
          </rPr>
          <t xml:space="preserve">Text in cell is flagged red if:
</t>
        </r>
        <r>
          <rPr>
            <sz val="9"/>
            <color indexed="81"/>
            <rFont val="Tahoma"/>
            <family val="2"/>
          </rPr>
          <t>Value is less than Minimum Inductance.</t>
        </r>
      </text>
    </comment>
    <comment ref="F27" authorId="1" shapeId="0" xr:uid="{6361F962-34B5-49AB-83C6-EDB5DF251972}">
      <text>
        <r>
          <rPr>
            <b/>
            <u/>
            <sz val="9"/>
            <color indexed="81"/>
            <rFont val="Tahoma"/>
            <family val="2"/>
          </rPr>
          <t>Recommended Inductor DCR</t>
        </r>
        <r>
          <rPr>
            <b/>
            <sz val="9"/>
            <color indexed="81"/>
            <rFont val="Tahoma"/>
            <family val="2"/>
          </rPr>
          <t xml:space="preserve">:
</t>
        </r>
        <r>
          <rPr>
            <sz val="9"/>
            <color indexed="81"/>
            <rFont val="Tahoma"/>
            <family val="2"/>
          </rPr>
          <t>The recommended inductor DCR range is 5mohm~25mohm. Inductor DCR beyond this range may hold system stability risk which is not recommended.</t>
        </r>
      </text>
    </comment>
    <comment ref="F28" authorId="1" shapeId="0" xr:uid="{EC6666E0-DD1A-4914-94AB-4879A66A8B81}">
      <text>
        <r>
          <rPr>
            <b/>
            <u/>
            <sz val="9"/>
            <color indexed="81"/>
            <rFont val="Tahoma"/>
            <family val="2"/>
          </rPr>
          <t>Recommended Inductor DCR</t>
        </r>
        <r>
          <rPr>
            <b/>
            <sz val="9"/>
            <color indexed="81"/>
            <rFont val="Tahoma"/>
            <family val="2"/>
          </rPr>
          <t xml:space="preserve">:
</t>
        </r>
        <r>
          <rPr>
            <sz val="9"/>
            <color indexed="81"/>
            <rFont val="Tahoma"/>
            <family val="2"/>
          </rPr>
          <t>The recommended inductor DCR range is 5mohm~25mohm. Inductor DCR beyond this range may hold system stability risk which is not recommended.</t>
        </r>
      </text>
    </comment>
    <comment ref="F29" authorId="0" shapeId="0" xr:uid="{40E1B18A-AD79-44FD-848B-3621C44CDAE2}">
      <text>
        <r>
          <rPr>
            <b/>
            <u/>
            <sz val="9"/>
            <color indexed="81"/>
            <rFont val="Tahoma"/>
            <family val="2"/>
          </rPr>
          <t xml:space="preserve">Selected Inductor DCR:
</t>
        </r>
        <r>
          <rPr>
            <sz val="9"/>
            <color indexed="81"/>
            <rFont val="Tahoma"/>
            <family val="2"/>
          </rPr>
          <t xml:space="preserve">The recommended inductor DCR range is 5~25 mΩ for each phase. Inductor DCR beyond this range may hold system stability risk which is not recommended.
</t>
        </r>
        <r>
          <rPr>
            <b/>
            <sz val="9"/>
            <color indexed="81"/>
            <rFont val="Tahoma"/>
            <family val="2"/>
          </rPr>
          <t xml:space="preserve">Text in cell is flagged red if:
</t>
        </r>
        <r>
          <rPr>
            <sz val="9"/>
            <color indexed="81"/>
            <rFont val="Tahoma"/>
            <family val="2"/>
          </rPr>
          <t xml:space="preserve">Value is outside the recommended range.
</t>
        </r>
      </text>
    </comment>
    <comment ref="F36" authorId="0" shapeId="0" xr:uid="{9F8F1260-B798-45E8-8B61-1E8AF21B5534}">
      <text>
        <r>
          <rPr>
            <b/>
            <u/>
            <sz val="9"/>
            <color indexed="81"/>
            <rFont val="Tahoma"/>
            <family val="2"/>
          </rPr>
          <t xml:space="preserve">Peak Inductor Current:
</t>
        </r>
        <r>
          <rPr>
            <sz val="9"/>
            <color indexed="81"/>
            <rFont val="Tahoma"/>
            <family val="2"/>
          </rPr>
          <t xml:space="preserve">The peak inductor current occurs at minimum input voltage and is given by:
</t>
        </r>
        <r>
          <rPr>
            <b/>
            <sz val="9"/>
            <color indexed="81"/>
            <rFont val="Tahoma"/>
            <family val="2"/>
          </rPr>
          <t>I</t>
        </r>
        <r>
          <rPr>
            <b/>
            <vertAlign val="subscript"/>
            <sz val="9"/>
            <color indexed="81"/>
            <rFont val="Tahoma"/>
            <family val="2"/>
          </rPr>
          <t>L(PEAK)</t>
        </r>
        <r>
          <rPr>
            <b/>
            <sz val="9"/>
            <color indexed="81"/>
            <rFont val="Tahoma"/>
            <family val="2"/>
          </rPr>
          <t>=I</t>
        </r>
        <r>
          <rPr>
            <b/>
            <vertAlign val="subscript"/>
            <sz val="9"/>
            <color indexed="81"/>
            <rFont val="Tahoma"/>
            <family val="2"/>
          </rPr>
          <t>L(MAX)</t>
        </r>
        <r>
          <rPr>
            <b/>
            <sz val="9"/>
            <color indexed="81"/>
            <rFont val="Tahoma"/>
            <family val="2"/>
          </rPr>
          <t>+V</t>
        </r>
        <r>
          <rPr>
            <b/>
            <vertAlign val="subscript"/>
            <sz val="9"/>
            <color indexed="81"/>
            <rFont val="Tahoma"/>
            <family val="2"/>
          </rPr>
          <t>IN(MIN)</t>
        </r>
        <r>
          <rPr>
            <b/>
            <sz val="9"/>
            <color indexed="81"/>
            <rFont val="Tahoma"/>
            <family val="2"/>
          </rPr>
          <t>*(V</t>
        </r>
        <r>
          <rPr>
            <b/>
            <vertAlign val="subscript"/>
            <sz val="9"/>
            <color indexed="81"/>
            <rFont val="Tahoma"/>
            <family val="2"/>
          </rPr>
          <t>OUT</t>
        </r>
        <r>
          <rPr>
            <b/>
            <sz val="9"/>
            <color indexed="81"/>
            <rFont val="Tahoma"/>
            <family val="2"/>
          </rPr>
          <t>-V</t>
        </r>
        <r>
          <rPr>
            <b/>
            <vertAlign val="subscript"/>
            <sz val="9"/>
            <color indexed="81"/>
            <rFont val="Tahoma"/>
            <family val="2"/>
          </rPr>
          <t>IN(MIN)</t>
        </r>
        <r>
          <rPr>
            <b/>
            <sz val="9"/>
            <color indexed="81"/>
            <rFont val="Tahoma"/>
            <family val="2"/>
          </rPr>
          <t>)/(2*L*F</t>
        </r>
        <r>
          <rPr>
            <b/>
            <vertAlign val="subscript"/>
            <sz val="9"/>
            <color indexed="81"/>
            <rFont val="Tahoma"/>
            <family val="2"/>
          </rPr>
          <t>SW</t>
        </r>
        <r>
          <rPr>
            <b/>
            <sz val="9"/>
            <color indexed="81"/>
            <rFont val="Tahoma"/>
            <family val="2"/>
          </rPr>
          <t>*V</t>
        </r>
        <r>
          <rPr>
            <b/>
            <vertAlign val="subscript"/>
            <sz val="9"/>
            <color indexed="81"/>
            <rFont val="Tahoma"/>
            <family val="2"/>
          </rPr>
          <t>OUT</t>
        </r>
        <r>
          <rPr>
            <b/>
            <sz val="9"/>
            <color indexed="81"/>
            <rFont val="Tahoma"/>
            <family val="2"/>
          </rPr>
          <t>)</t>
        </r>
      </text>
    </comment>
    <comment ref="F39" authorId="0" shapeId="0" xr:uid="{411C585F-6A77-4313-B1CF-A49234BE088F}">
      <text>
        <r>
          <rPr>
            <b/>
            <u/>
            <sz val="9"/>
            <color indexed="81"/>
            <rFont val="Tahoma"/>
            <family val="2"/>
          </rPr>
          <t xml:space="preserve">Recommended Input Current Sense Resistor:
</t>
        </r>
        <r>
          <rPr>
            <sz val="9"/>
            <color indexed="81"/>
            <rFont val="Tahoma"/>
            <family val="2"/>
          </rPr>
          <t>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40" authorId="0" shapeId="0" xr:uid="{DE142475-538D-44F9-A886-E55D4FC7DCAD}">
      <text>
        <r>
          <rPr>
            <b/>
            <u/>
            <sz val="9"/>
            <color indexed="81"/>
            <rFont val="Tahoma"/>
            <family val="2"/>
          </rPr>
          <t xml:space="preserve">Selected Input Current Sense Resistor:
</t>
        </r>
        <r>
          <rPr>
            <sz val="9"/>
            <color indexed="81"/>
            <rFont val="Tahoma"/>
            <family val="2"/>
          </rPr>
          <t xml:space="preserve">Enter selected Input Current Sense Resistor. If  the input current limit function is not desired, enter 0 into the cell.
</t>
        </r>
      </text>
    </comment>
    <comment ref="F41" authorId="0" shapeId="0" xr:uid="{C460B828-7ABD-4445-90F9-F39A7FF9EBB4}">
      <text>
        <r>
          <rPr>
            <b/>
            <u/>
            <sz val="9"/>
            <color indexed="81"/>
            <rFont val="Tahoma"/>
            <family val="2"/>
          </rPr>
          <t xml:space="preserve">Maximum Input Current Limit: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AC_MAX(max)</t>
        </r>
        <r>
          <rPr>
            <b/>
            <sz val="9"/>
            <color indexed="81"/>
            <rFont val="Tahoma"/>
            <family val="2"/>
          </rPr>
          <t xml:space="preserve"> = 50 A * 2 mΩ/R</t>
        </r>
        <r>
          <rPr>
            <b/>
            <vertAlign val="subscript"/>
            <sz val="9"/>
            <color indexed="81"/>
            <rFont val="Tahoma"/>
            <family val="2"/>
          </rPr>
          <t>AC_SNS</t>
        </r>
      </text>
    </comment>
    <comment ref="F42" authorId="0" shapeId="0" xr:uid="{CD7D536A-CFE2-487D-8AD9-08B7D6D79F7F}">
      <text>
        <r>
          <rPr>
            <b/>
            <u/>
            <sz val="9"/>
            <color indexed="81"/>
            <rFont val="Tahoma"/>
            <family val="2"/>
          </rPr>
          <t xml:space="preserve">Input Current Resolution: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t>
        </r>
        <r>
          <rPr>
            <b/>
            <sz val="9"/>
            <color indexed="81"/>
            <rFont val="Tahoma"/>
            <family val="2"/>
          </rPr>
          <t xml:space="preserve"> = 125 mA/step * 2 mΩ/R</t>
        </r>
        <r>
          <rPr>
            <b/>
            <vertAlign val="subscript"/>
            <sz val="9"/>
            <color indexed="81"/>
            <rFont val="Tahoma"/>
            <family val="2"/>
          </rPr>
          <t>AC_SNS</t>
        </r>
      </text>
    </comment>
    <comment ref="F43" authorId="0" shapeId="0" xr:uid="{F57F49D2-E933-4F18-B2E0-45D759A4771C}">
      <text>
        <r>
          <rPr>
            <b/>
            <u/>
            <sz val="9"/>
            <color indexed="81"/>
            <rFont val="Tahoma"/>
            <family val="2"/>
          </rPr>
          <t xml:space="preserve">Desired Input Current Limit:
</t>
        </r>
        <r>
          <rPr>
            <sz val="9"/>
            <color indexed="81"/>
            <rFont val="Tahoma"/>
            <family val="2"/>
          </rPr>
          <t>To set the maximum input current using the IIN pin, a pull-down resistor to PGND is used. When using a 2-mΩ R</t>
        </r>
        <r>
          <rPr>
            <vertAlign val="subscript"/>
            <sz val="9"/>
            <color indexed="81"/>
            <rFont val="Tahoma"/>
            <family val="2"/>
          </rPr>
          <t>AC_SNS</t>
        </r>
        <r>
          <rPr>
            <sz val="9"/>
            <color indexed="81"/>
            <rFont val="Tahoma"/>
            <family val="2"/>
          </rPr>
          <t xml:space="preserve"> resistor, the input current limit is controlled by: 
</t>
        </r>
        <r>
          <rPr>
            <b/>
            <sz val="9"/>
            <color indexed="81"/>
            <rFont val="Tahoma"/>
            <family val="2"/>
          </rPr>
          <t>I</t>
        </r>
        <r>
          <rPr>
            <b/>
            <vertAlign val="subscript"/>
            <sz val="9"/>
            <color indexed="81"/>
            <rFont val="Tahoma"/>
            <family val="2"/>
          </rPr>
          <t>AC_MAX</t>
        </r>
        <r>
          <rPr>
            <b/>
            <sz val="9"/>
            <color indexed="81"/>
            <rFont val="Tahoma"/>
            <family val="2"/>
          </rPr>
          <t xml:space="preserve"> = K</t>
        </r>
        <r>
          <rPr>
            <b/>
            <vertAlign val="subscript"/>
            <sz val="9"/>
            <color indexed="81"/>
            <rFont val="Tahoma"/>
            <family val="2"/>
          </rPr>
          <t>ILIM</t>
        </r>
        <r>
          <rPr>
            <b/>
            <sz val="9"/>
            <color indexed="81"/>
            <rFont val="Tahoma"/>
            <family val="2"/>
          </rPr>
          <t xml:space="preserve"> / R</t>
        </r>
        <r>
          <rPr>
            <b/>
            <vertAlign val="subscript"/>
            <sz val="9"/>
            <color indexed="81"/>
            <rFont val="Tahoma"/>
            <family val="2"/>
          </rPr>
          <t>IIN</t>
        </r>
        <r>
          <rPr>
            <b/>
            <sz val="9"/>
            <color indexed="81"/>
            <rFont val="Tahoma"/>
            <family val="2"/>
          </rPr>
          <t xml:space="preserve">
K</t>
        </r>
        <r>
          <rPr>
            <b/>
            <vertAlign val="subscript"/>
            <sz val="9"/>
            <color indexed="81"/>
            <rFont val="Tahoma"/>
            <family val="2"/>
          </rPr>
          <t>ILIM</t>
        </r>
        <r>
          <rPr>
            <b/>
            <sz val="9"/>
            <color indexed="81"/>
            <rFont val="Tahoma"/>
            <family val="2"/>
          </rPr>
          <t xml:space="preserve"> = 50 A-kΩ *2-mΩ/R</t>
        </r>
        <r>
          <rPr>
            <b/>
            <vertAlign val="subscript"/>
            <sz val="9"/>
            <color indexed="81"/>
            <rFont val="Tahoma"/>
            <family val="2"/>
          </rPr>
          <t>AC_SNS</t>
        </r>
        <r>
          <rPr>
            <sz val="9"/>
            <color indexed="81"/>
            <rFont val="Tahoma"/>
            <family val="2"/>
          </rPr>
          <t xml:space="preserve">
The actual input current limit is the lower value between IIN pin setting and register setting (IAC_DPM). For example, if the register setting is 20 A, and IIN pin has a 5-kΩ resistor (K</t>
        </r>
        <r>
          <rPr>
            <vertAlign val="subscript"/>
            <sz val="9"/>
            <color indexed="81"/>
            <rFont val="Tahoma"/>
            <family val="2"/>
          </rPr>
          <t>ILIM</t>
        </r>
        <r>
          <rPr>
            <sz val="9"/>
            <color indexed="81"/>
            <rFont val="Tahoma"/>
            <family val="2"/>
          </rPr>
          <t xml:space="preserve"> = 50 A-kΩ) to ground for 10 A, the actual input current limit is 10 A.
The IIN pin can also be used to monitor input current. The voltage on IIN pin (V</t>
        </r>
        <r>
          <rPr>
            <vertAlign val="subscript"/>
            <sz val="9"/>
            <color indexed="81"/>
            <rFont val="Tahoma"/>
            <family val="2"/>
          </rPr>
          <t>IIN</t>
        </r>
        <r>
          <rPr>
            <sz val="9"/>
            <color indexed="81"/>
            <rFont val="Tahoma"/>
            <family val="2"/>
          </rPr>
          <t xml:space="preserve">) is proportional to the input current. Pin voltage can be used to monitor input current with the following relationship:
</t>
        </r>
        <r>
          <rPr>
            <b/>
            <sz val="9"/>
            <color indexed="81"/>
            <rFont val="Tahoma"/>
            <family val="2"/>
          </rPr>
          <t>I</t>
        </r>
        <r>
          <rPr>
            <b/>
            <vertAlign val="subscript"/>
            <sz val="9"/>
            <color indexed="81"/>
            <rFont val="Tahoma"/>
            <family val="2"/>
          </rPr>
          <t>AC</t>
        </r>
        <r>
          <rPr>
            <b/>
            <sz val="9"/>
            <color indexed="81"/>
            <rFont val="Tahoma"/>
            <family val="2"/>
          </rPr>
          <t xml:space="preserve"> = K</t>
        </r>
        <r>
          <rPr>
            <b/>
            <vertAlign val="subscript"/>
            <sz val="9"/>
            <color indexed="81"/>
            <rFont val="Tahoma"/>
            <family val="2"/>
          </rPr>
          <t>ILIM</t>
        </r>
        <r>
          <rPr>
            <b/>
            <sz val="9"/>
            <color indexed="81"/>
            <rFont val="Tahoma"/>
            <family val="2"/>
          </rPr>
          <t xml:space="preserve"> * V</t>
        </r>
        <r>
          <rPr>
            <b/>
            <vertAlign val="subscript"/>
            <sz val="9"/>
            <color indexed="81"/>
            <rFont val="Tahoma"/>
            <family val="2"/>
          </rPr>
          <t>IIN</t>
        </r>
        <r>
          <rPr>
            <b/>
            <sz val="9"/>
            <color indexed="81"/>
            <rFont val="Tahoma"/>
            <family val="2"/>
          </rPr>
          <t xml:space="preserve"> / (R</t>
        </r>
        <r>
          <rPr>
            <b/>
            <vertAlign val="subscript"/>
            <sz val="9"/>
            <color indexed="81"/>
            <rFont val="Tahoma"/>
            <family val="2"/>
          </rPr>
          <t>IIN</t>
        </r>
        <r>
          <rPr>
            <b/>
            <sz val="9"/>
            <color indexed="81"/>
            <rFont val="Tahoma"/>
            <family val="2"/>
          </rPr>
          <t xml:space="preserve"> * V</t>
        </r>
        <r>
          <rPr>
            <b/>
            <vertAlign val="subscript"/>
            <sz val="9"/>
            <color indexed="81"/>
            <rFont val="Tahoma"/>
            <family val="2"/>
          </rPr>
          <t>REF_ILIM_HIZ</t>
        </r>
        <r>
          <rPr>
            <b/>
            <sz val="9"/>
            <color indexed="81"/>
            <rFont val="Tahoma"/>
            <family val="2"/>
          </rPr>
          <t xml:space="preserve">)
</t>
        </r>
        <r>
          <rPr>
            <sz val="9"/>
            <color indexed="81"/>
            <rFont val="Tahoma"/>
            <family val="2"/>
          </rPr>
          <t>If IIN pin is shorted, the input current limit is set by the IAC_DPM register. If hardware input current limit function is not needed, it is recommended to short this pin to GND. If IIN pin is pulled above V</t>
        </r>
        <r>
          <rPr>
            <vertAlign val="subscript"/>
            <sz val="9"/>
            <color indexed="81"/>
            <rFont val="Tahoma"/>
            <family val="2"/>
          </rPr>
          <t>IH_ILIM_HIZ</t>
        </r>
        <r>
          <rPr>
            <sz val="9"/>
            <color indexed="81"/>
            <rFont val="Tahoma"/>
            <family val="2"/>
          </rPr>
          <t>, the device enters HIZ mode. The IIN pin function can be disabled by setting the EN_IIN_PIN bit to 0. When the pin is disabled, input current limit and monitoring functions as well as HIZ mode control via the pin are not available.</t>
        </r>
      </text>
    </comment>
    <comment ref="F45" authorId="0" shapeId="0" xr:uid="{E55498C5-FC41-47D3-AE23-03F051AAB86D}">
      <text>
        <r>
          <rPr>
            <b/>
            <u/>
            <sz val="9"/>
            <color indexed="81"/>
            <rFont val="Tahoma"/>
            <family val="2"/>
          </rPr>
          <t xml:space="preserve">Selected Input Pull-down Resistor:
</t>
        </r>
        <r>
          <rPr>
            <sz val="9"/>
            <color indexed="81"/>
            <rFont val="Tahoma"/>
            <family val="2"/>
          </rPr>
          <t xml:space="preserve">Enter Selected Input Pull-down Resistor.
</t>
        </r>
        <r>
          <rPr>
            <b/>
            <sz val="9"/>
            <color indexed="81"/>
            <rFont val="Tahoma"/>
            <family val="2"/>
          </rPr>
          <t>Text in cell is flagged red if:</t>
        </r>
        <r>
          <rPr>
            <sz val="9"/>
            <color indexed="81"/>
            <rFont val="Tahoma"/>
            <family val="2"/>
          </rPr>
          <t xml:space="preserve">
Entered Selected Input Pull-down Resistor is not between 1 kΩ and 50 kΩ.</t>
        </r>
      </text>
    </comment>
    <comment ref="F46" authorId="0" shapeId="0" xr:uid="{1AA9770D-450E-44C4-A519-A30BA370CB54}">
      <text>
        <r>
          <rPr>
            <b/>
            <u/>
            <sz val="9"/>
            <color indexed="81"/>
            <rFont val="Tahoma"/>
            <family val="2"/>
          </rPr>
          <t xml:space="preserve">Recognized Input Current Limit:
</t>
        </r>
        <r>
          <rPr>
            <sz val="9"/>
            <color indexed="81"/>
            <rFont val="Tahoma"/>
            <family val="2"/>
          </rPr>
          <t xml:space="preserve">Recognized Input Current Limit based off the Selected Input Current Sense Resistor and Selected Input Pull-down Resistor. 
</t>
        </r>
        <r>
          <rPr>
            <b/>
            <sz val="9"/>
            <color indexed="81"/>
            <rFont val="Tahoma"/>
            <family val="2"/>
          </rPr>
          <t>Text in cell is flagged red if:</t>
        </r>
        <r>
          <rPr>
            <sz val="9"/>
            <color indexed="81"/>
            <rFont val="Tahoma"/>
            <family val="2"/>
          </rPr>
          <t xml:space="preserve">
The Recognized Input Current Limit is not within ±5% of Desired Input Current Limit.</t>
        </r>
      </text>
    </comment>
    <comment ref="F49" authorId="0" shapeId="0" xr:uid="{B1BDFD68-5B27-47A1-B069-1067171AE1B5}">
      <text>
        <r>
          <rPr>
            <b/>
            <u/>
            <sz val="9"/>
            <color indexed="81"/>
            <rFont val="Tahoma"/>
            <family val="2"/>
          </rPr>
          <t xml:space="preserve">Battery Current Sense Resistor:
</t>
        </r>
        <r>
          <rPr>
            <sz val="9"/>
            <color indexed="81"/>
            <rFont val="Tahoma"/>
            <family val="2"/>
          </rPr>
          <t xml:space="preserve">The battery current sense resistor between SRP and SRN is fixed at 5 mΩ; using a different value is not recommended.
</t>
        </r>
      </text>
    </comment>
    <comment ref="F50" authorId="0" shapeId="0" xr:uid="{44028D73-9FFF-4A2E-AF33-C27AAF122E9A}">
      <text>
        <r>
          <rPr>
            <b/>
            <u/>
            <sz val="9"/>
            <color indexed="81"/>
            <rFont val="Tahoma"/>
            <family val="2"/>
          </rPr>
          <t xml:space="preserve">Maximum Output Current Limit:
</t>
        </r>
        <r>
          <rPr>
            <sz val="9"/>
            <color indexed="81"/>
            <rFont val="Tahoma"/>
            <family val="2"/>
          </rPr>
          <t xml:space="preserve">Maximum Input Current Limit is fixed at 20 A. </t>
        </r>
      </text>
    </comment>
    <comment ref="F51" authorId="0" shapeId="0" xr:uid="{20054DBB-810D-4864-BE37-F20E5B862F07}">
      <text>
        <r>
          <rPr>
            <b/>
            <u/>
            <sz val="9"/>
            <color indexed="81"/>
            <rFont val="Tahoma"/>
            <family val="2"/>
          </rPr>
          <t xml:space="preserve">Output Current Resolution:
</t>
        </r>
        <r>
          <rPr>
            <sz val="9"/>
            <color indexed="81"/>
            <rFont val="Tahoma"/>
            <family val="2"/>
          </rPr>
          <t>Output Current Resolution is fixed at 50 mA/step.</t>
        </r>
      </text>
    </comment>
    <comment ref="F52" authorId="0" shapeId="0" xr:uid="{B6FB0578-23DE-4526-B3E4-CEA82A127D43}">
      <text>
        <r>
          <rPr>
            <b/>
            <u/>
            <sz val="9"/>
            <color indexed="81"/>
            <rFont val="Tahoma"/>
            <family val="2"/>
          </rPr>
          <t xml:space="preserve">Recommended Input Current Sense Resistor:
</t>
        </r>
        <r>
          <rPr>
            <sz val="9"/>
            <color indexed="81"/>
            <rFont val="Tahoma"/>
            <family val="2"/>
          </rPr>
          <t>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54" authorId="0" shapeId="0" xr:uid="{2E15EFC7-1DD6-4F5B-B178-CE69725A10D3}">
      <text>
        <r>
          <rPr>
            <b/>
            <u/>
            <sz val="9"/>
            <color indexed="81"/>
            <rFont val="Tahoma"/>
            <family val="2"/>
          </rPr>
          <t xml:space="preserve">Selected Output Pull-down Resistor:
</t>
        </r>
        <r>
          <rPr>
            <sz val="9"/>
            <color indexed="81"/>
            <rFont val="Tahoma"/>
            <family val="2"/>
          </rPr>
          <t xml:space="preserve">Enter Selected Output Pull-down Resistor.
</t>
        </r>
        <r>
          <rPr>
            <b/>
            <sz val="9"/>
            <color indexed="81"/>
            <rFont val="Tahoma"/>
            <family val="2"/>
          </rPr>
          <t>Text in cell is flagged red if:</t>
        </r>
        <r>
          <rPr>
            <sz val="9"/>
            <color indexed="81"/>
            <rFont val="Tahoma"/>
            <family val="2"/>
          </rPr>
          <t xml:space="preserve">
Entered Selected Output Pull-down Resistor is not between 1 kΩ and 50 kΩ.</t>
        </r>
      </text>
    </comment>
    <comment ref="F55" authorId="0" shapeId="0" xr:uid="{B7D38879-E308-4882-B3EC-29F96E0F006F}">
      <text>
        <r>
          <rPr>
            <b/>
            <u/>
            <sz val="9"/>
            <color indexed="81"/>
            <rFont val="Tahoma"/>
            <family val="2"/>
          </rPr>
          <t xml:space="preserve">Recognized Output Current Limit:
</t>
        </r>
        <r>
          <rPr>
            <sz val="9"/>
            <color indexed="81"/>
            <rFont val="Tahoma"/>
            <family val="2"/>
          </rPr>
          <t xml:space="preserve">Recognized Output Current Limit based off the Battery Current Sense Resistor and Selected Output Pull-down Resistor. 
</t>
        </r>
        <r>
          <rPr>
            <b/>
            <sz val="9"/>
            <color indexed="81"/>
            <rFont val="Tahoma"/>
            <family val="2"/>
          </rPr>
          <t>Text in cell is flagged red if:</t>
        </r>
        <r>
          <rPr>
            <sz val="9"/>
            <color indexed="81"/>
            <rFont val="Tahoma"/>
            <family val="2"/>
          </rPr>
          <t xml:space="preserve">
The Recognized Output Current Limit is not within ±5% of Desired Output Current Limit.</t>
        </r>
      </text>
    </comment>
    <comment ref="F58" authorId="0" shapeId="0" xr:uid="{C1F68868-BEEC-4AC4-9E18-B244905D72A6}">
      <text>
        <r>
          <rPr>
            <b/>
            <u/>
            <sz val="9"/>
            <color indexed="81"/>
            <rFont val="Tahoma"/>
            <family val="2"/>
          </rPr>
          <t xml:space="preserve">Desired Input Overvoltage Limit:
</t>
        </r>
        <r>
          <rPr>
            <sz val="9"/>
            <color indexed="81"/>
            <rFont val="Tahoma"/>
            <family val="2"/>
          </rPr>
          <t>The input operating window is programmed via the ACUV and ACOV pins using a three-resistor divider from V</t>
        </r>
        <r>
          <rPr>
            <vertAlign val="subscript"/>
            <sz val="9"/>
            <color indexed="81"/>
            <rFont val="Tahoma"/>
            <family val="2"/>
          </rPr>
          <t>AC</t>
        </r>
        <r>
          <rPr>
            <sz val="9"/>
            <color indexed="81"/>
            <rFont val="Tahoma"/>
            <family val="2"/>
          </rPr>
          <t xml:space="preserve"> to PGND. When the input voltage is outside the programmed window, the device automatically stops switching, and the PG pin pulls HIGH.
</t>
        </r>
        <r>
          <rPr>
            <b/>
            <sz val="9"/>
            <color indexed="81"/>
            <rFont val="Tahoma"/>
            <family val="2"/>
          </rPr>
          <t>Note:</t>
        </r>
        <r>
          <rPr>
            <sz val="9"/>
            <color indexed="81"/>
            <rFont val="Tahoma"/>
            <family val="2"/>
          </rPr>
          <t xml:space="preserve"> The device also features an internal over-voltage protection preset at V</t>
        </r>
        <r>
          <rPr>
            <vertAlign val="subscript"/>
            <sz val="9"/>
            <color indexed="81"/>
            <rFont val="Tahoma"/>
            <family val="2"/>
          </rPr>
          <t>VAC_INT_OV</t>
        </r>
        <r>
          <rPr>
            <sz val="9"/>
            <color indexed="81"/>
            <rFont val="Tahoma"/>
            <family val="2"/>
          </rPr>
          <t>. When the input voltage rises above the lower of these two thresholds, the device disables the charger.</t>
        </r>
      </text>
    </comment>
    <comment ref="F59" authorId="0" shapeId="0" xr:uid="{89017203-5ED3-4165-AE58-8201DF9F379A}">
      <text>
        <r>
          <rPr>
            <b/>
            <u/>
            <sz val="9"/>
            <color indexed="81"/>
            <rFont val="Tahoma"/>
            <family val="2"/>
          </rPr>
          <t xml:space="preserve">Desired Input Undervoltage Limit:
</t>
        </r>
        <r>
          <rPr>
            <sz val="9"/>
            <color indexed="81"/>
            <rFont val="Tahoma"/>
            <family val="2"/>
          </rPr>
          <t>The input operating window is programmed via the ACUV and ACOV pins using a three-resistor divider from V</t>
        </r>
        <r>
          <rPr>
            <vertAlign val="subscript"/>
            <sz val="9"/>
            <color indexed="81"/>
            <rFont val="Tahoma"/>
            <family val="2"/>
          </rPr>
          <t>AC</t>
        </r>
        <r>
          <rPr>
            <sz val="9"/>
            <color indexed="81"/>
            <rFont val="Tahoma"/>
            <family val="2"/>
          </rPr>
          <t xml:space="preserve"> to PGND. When the input voltage is outside the programmed window, the device automatically stops switching, and the PG pin pulls HIGH.
</t>
        </r>
        <r>
          <rPr>
            <b/>
            <sz val="9"/>
            <color indexed="81"/>
            <rFont val="Tahoma"/>
            <family val="2"/>
          </rPr>
          <t>Note:</t>
        </r>
        <r>
          <rPr>
            <sz val="9"/>
            <color indexed="81"/>
            <rFont val="Tahoma"/>
            <family val="2"/>
          </rPr>
          <t xml:space="preserve"> If VAC_DPM register is programmed to a value higher than POR, the device regulates the V</t>
        </r>
        <r>
          <rPr>
            <vertAlign val="subscript"/>
            <sz val="9"/>
            <color indexed="81"/>
            <rFont val="Tahoma"/>
            <family val="2"/>
          </rPr>
          <t>AC</t>
        </r>
        <r>
          <rPr>
            <sz val="9"/>
            <color indexed="81"/>
            <rFont val="Tahoma"/>
            <family val="2"/>
          </rPr>
          <t xml:space="preserve"> voltage to the higher of VAC_DPM register or V</t>
        </r>
        <r>
          <rPr>
            <vertAlign val="subscript"/>
            <sz val="9"/>
            <color indexed="81"/>
            <rFont val="Tahoma"/>
            <family val="2"/>
          </rPr>
          <t>ACUV_DPM</t>
        </r>
        <r>
          <rPr>
            <sz val="9"/>
            <color indexed="81"/>
            <rFont val="Tahoma"/>
            <family val="2"/>
          </rPr>
          <t xml:space="preserve"> pin voltage. </t>
        </r>
      </text>
    </comment>
    <comment ref="F60" authorId="0" shapeId="0" xr:uid="{C067F047-8D22-46D2-91C0-317F81166323}">
      <text>
        <r>
          <rPr>
            <b/>
            <u/>
            <sz val="9"/>
            <color indexed="81"/>
            <rFont val="Tahoma"/>
            <family val="2"/>
          </rPr>
          <t>Recommended Top Resister:</t>
        </r>
        <r>
          <rPr>
            <u/>
            <sz val="9"/>
            <color indexed="81"/>
            <rFont val="Tahoma"/>
            <family val="2"/>
          </rPr>
          <t xml:space="preserve">
</t>
        </r>
        <r>
          <rPr>
            <sz val="9"/>
            <color indexed="81"/>
            <rFont val="Tahoma"/>
            <family val="2"/>
          </rPr>
          <t>The top resistor, R</t>
        </r>
        <r>
          <rPr>
            <vertAlign val="subscript"/>
            <sz val="9"/>
            <color indexed="81"/>
            <rFont val="Tahoma"/>
            <family val="2"/>
          </rPr>
          <t>AC1</t>
        </r>
        <r>
          <rPr>
            <sz val="9"/>
            <color indexed="81"/>
            <rFont val="Tahoma"/>
            <family val="2"/>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1" authorId="0" shapeId="0" xr:uid="{67ABC96D-AD36-4B21-B271-4D83A1788047}">
      <text>
        <r>
          <rPr>
            <b/>
            <u/>
            <sz val="9"/>
            <color indexed="81"/>
            <rFont val="Tahoma"/>
            <family val="2"/>
          </rPr>
          <t>Recommended Middle Resister:</t>
        </r>
        <r>
          <rPr>
            <u/>
            <sz val="9"/>
            <color indexed="81"/>
            <rFont val="Tahoma"/>
            <family val="2"/>
          </rPr>
          <t xml:space="preserve">
</t>
        </r>
        <r>
          <rPr>
            <sz val="9"/>
            <color indexed="81"/>
            <rFont val="Tahoma"/>
            <family val="2"/>
          </rPr>
          <t xml:space="preserve">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2" authorId="0" shapeId="0" xr:uid="{4CEDAF32-4105-4C82-8AF3-425855FC52EF}">
      <text>
        <r>
          <rPr>
            <b/>
            <u/>
            <sz val="9"/>
            <color indexed="81"/>
            <rFont val="Tahoma"/>
            <family val="2"/>
          </rPr>
          <t>Recommended Bottom Resister:</t>
        </r>
        <r>
          <rPr>
            <u/>
            <sz val="9"/>
            <color indexed="81"/>
            <rFont val="Tahoma"/>
            <family val="2"/>
          </rPr>
          <t xml:space="preserve">
</t>
        </r>
        <r>
          <rPr>
            <sz val="9"/>
            <color indexed="81"/>
            <rFont val="Tahoma"/>
            <family val="2"/>
          </rPr>
          <t xml:space="preserve">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6" authorId="0" shapeId="0" xr:uid="{52E8F071-2B4C-4968-AFFC-7BCAB634FF22}">
      <text>
        <r>
          <rPr>
            <b/>
            <u/>
            <sz val="9"/>
            <color indexed="81"/>
            <rFont val="Tahoma"/>
            <family val="2"/>
          </rPr>
          <t xml:space="preserve">Recognized Input Overvoltage Limit:
</t>
        </r>
        <r>
          <rPr>
            <sz val="9"/>
            <color indexed="81"/>
            <rFont val="Tahoma"/>
            <family val="2"/>
          </rPr>
          <t>Recognized Input Overvoltage Limit based off R</t>
        </r>
        <r>
          <rPr>
            <vertAlign val="subscript"/>
            <sz val="9"/>
            <color indexed="81"/>
            <rFont val="Tahoma"/>
            <family val="2"/>
          </rPr>
          <t>AC1</t>
        </r>
        <r>
          <rPr>
            <sz val="9"/>
            <color indexed="81"/>
            <rFont val="Tahoma"/>
            <family val="2"/>
          </rPr>
          <t>, R</t>
        </r>
        <r>
          <rPr>
            <vertAlign val="subscript"/>
            <sz val="9"/>
            <color indexed="81"/>
            <rFont val="Tahoma"/>
            <family val="2"/>
          </rPr>
          <t>AC2</t>
        </r>
        <r>
          <rPr>
            <sz val="9"/>
            <color indexed="81"/>
            <rFont val="Tahoma"/>
            <family val="2"/>
          </rPr>
          <t>, and R</t>
        </r>
        <r>
          <rPr>
            <vertAlign val="subscript"/>
            <sz val="9"/>
            <color indexed="81"/>
            <rFont val="Tahoma"/>
            <family val="2"/>
          </rPr>
          <t>AC3</t>
        </r>
        <r>
          <rPr>
            <sz val="9"/>
            <color indexed="81"/>
            <rFont val="Tahoma"/>
            <family val="2"/>
          </rPr>
          <t xml:space="preserve">. 
</t>
        </r>
        <r>
          <rPr>
            <b/>
            <sz val="9"/>
            <color indexed="81"/>
            <rFont val="Tahoma"/>
            <family val="2"/>
          </rPr>
          <t>Text in cell is flagged red if:</t>
        </r>
        <r>
          <rPr>
            <sz val="9"/>
            <color indexed="81"/>
            <rFont val="Tahoma"/>
            <family val="2"/>
          </rPr>
          <t xml:space="preserve">
The Recognized Input Overvoltage Limit is not within ±5% of Desired Input Overvoltage Limit.</t>
        </r>
      </text>
    </comment>
    <comment ref="F67" authorId="0" shapeId="0" xr:uid="{46E90CD1-88B4-4679-A7E5-6B4971633007}">
      <text>
        <r>
          <rPr>
            <b/>
            <u/>
            <sz val="9"/>
            <color indexed="81"/>
            <rFont val="Tahoma"/>
            <family val="2"/>
          </rPr>
          <t xml:space="preserve">Recognized Input Undervoltage Limit:
</t>
        </r>
        <r>
          <rPr>
            <sz val="9"/>
            <color indexed="81"/>
            <rFont val="Tahoma"/>
            <family val="2"/>
          </rPr>
          <t>Recognized Input Undervoltage Limit based off R</t>
        </r>
        <r>
          <rPr>
            <vertAlign val="subscript"/>
            <sz val="9"/>
            <color indexed="81"/>
            <rFont val="Tahoma"/>
            <family val="2"/>
          </rPr>
          <t>AC1</t>
        </r>
        <r>
          <rPr>
            <sz val="9"/>
            <color indexed="81"/>
            <rFont val="Tahoma"/>
            <family val="2"/>
          </rPr>
          <t>, R</t>
        </r>
        <r>
          <rPr>
            <vertAlign val="subscript"/>
            <sz val="9"/>
            <color indexed="81"/>
            <rFont val="Tahoma"/>
            <family val="2"/>
          </rPr>
          <t>AC2</t>
        </r>
        <r>
          <rPr>
            <sz val="9"/>
            <color indexed="81"/>
            <rFont val="Tahoma"/>
            <family val="2"/>
          </rPr>
          <t>, and R</t>
        </r>
        <r>
          <rPr>
            <vertAlign val="subscript"/>
            <sz val="9"/>
            <color indexed="81"/>
            <rFont val="Tahoma"/>
            <family val="2"/>
          </rPr>
          <t>AC3</t>
        </r>
        <r>
          <rPr>
            <sz val="9"/>
            <color indexed="81"/>
            <rFont val="Tahoma"/>
            <family val="2"/>
          </rPr>
          <t xml:space="preserve">. 
</t>
        </r>
        <r>
          <rPr>
            <b/>
            <sz val="9"/>
            <color indexed="81"/>
            <rFont val="Tahoma"/>
            <family val="2"/>
          </rPr>
          <t>Text in cell is flagged red if:</t>
        </r>
        <r>
          <rPr>
            <sz val="9"/>
            <color indexed="81"/>
            <rFont val="Tahoma"/>
            <family val="2"/>
          </rPr>
          <t xml:space="preserve">
The Recognized Input Undervoltage Limit is not within ±5% of Desired Input Undervoltage Limit.</t>
        </r>
      </text>
    </comment>
    <comment ref="F70" authorId="0" shapeId="0" xr:uid="{E019C1C6-B088-41AE-B988-92C5A04A7687}">
      <text>
        <r>
          <rPr>
            <b/>
            <u/>
            <sz val="9"/>
            <color indexed="81"/>
            <rFont val="Tahoma"/>
            <family val="2"/>
          </rPr>
          <t xml:space="preserve">Desired Battery Regulation Target:
</t>
        </r>
        <r>
          <rPr>
            <sz val="9"/>
            <color indexed="81"/>
            <rFont val="Tahoma"/>
            <family val="2"/>
          </rPr>
          <t xml:space="preserve">The battery regulation voltage is programmed using a resistor divider to the FB pin. The default internal voltage reference is 1.536V, and can be changed via the VFB_REG register bits. The top of the resistor divider is recommended to be 249 kΩ.
The bottom resistor can be calculated as:
</t>
        </r>
        <r>
          <rPr>
            <b/>
            <sz val="9"/>
            <color indexed="81"/>
            <rFont val="Tahoma"/>
            <family val="2"/>
          </rPr>
          <t>R</t>
        </r>
        <r>
          <rPr>
            <b/>
            <vertAlign val="subscript"/>
            <sz val="9"/>
            <color indexed="81"/>
            <rFont val="Tahoma"/>
            <family val="2"/>
          </rPr>
          <t>FB_BOT</t>
        </r>
        <r>
          <rPr>
            <b/>
            <sz val="9"/>
            <color indexed="81"/>
            <rFont val="Tahoma"/>
            <family val="2"/>
          </rPr>
          <t xml:space="preserve"> = (R</t>
        </r>
        <r>
          <rPr>
            <b/>
            <vertAlign val="subscript"/>
            <sz val="9"/>
            <color indexed="81"/>
            <rFont val="Tahoma"/>
            <family val="2"/>
          </rPr>
          <t>FB_TOP</t>
        </r>
        <r>
          <rPr>
            <b/>
            <sz val="9"/>
            <color indexed="81"/>
            <rFont val="Tahoma"/>
            <family val="2"/>
          </rPr>
          <t>* V</t>
        </r>
        <r>
          <rPr>
            <b/>
            <vertAlign val="subscript"/>
            <sz val="9"/>
            <color indexed="81"/>
            <rFont val="Tahoma"/>
            <family val="2"/>
          </rPr>
          <t>FB</t>
        </r>
        <r>
          <rPr>
            <b/>
            <sz val="9"/>
            <color indexed="81"/>
            <rFont val="Tahoma"/>
            <family val="2"/>
          </rPr>
          <t xml:space="preserve"> / (V</t>
        </r>
        <r>
          <rPr>
            <b/>
            <vertAlign val="subscript"/>
            <sz val="9"/>
            <color indexed="81"/>
            <rFont val="Tahoma"/>
            <family val="2"/>
          </rPr>
          <t>BATREG</t>
        </r>
        <r>
          <rPr>
            <b/>
            <sz val="9"/>
            <color indexed="81"/>
            <rFont val="Tahoma"/>
            <family val="2"/>
          </rPr>
          <t xml:space="preserve"> - V</t>
        </r>
        <r>
          <rPr>
            <b/>
            <vertAlign val="subscript"/>
            <sz val="9"/>
            <color indexed="81"/>
            <rFont val="Tahoma"/>
            <family val="2"/>
          </rPr>
          <t>FB</t>
        </r>
        <r>
          <rPr>
            <b/>
            <sz val="9"/>
            <color indexed="81"/>
            <rFont val="Tahoma"/>
            <family val="2"/>
          </rPr>
          <t>) ) + R</t>
        </r>
        <r>
          <rPr>
            <b/>
            <vertAlign val="subscript"/>
            <sz val="9"/>
            <color indexed="81"/>
            <rFont val="Tahoma"/>
            <family val="2"/>
          </rPr>
          <t>FBG</t>
        </r>
        <r>
          <rPr>
            <sz val="9"/>
            <color indexed="81"/>
            <rFont val="Tahoma"/>
            <family val="2"/>
          </rPr>
          <t xml:space="preserve">
where:
V</t>
        </r>
        <r>
          <rPr>
            <vertAlign val="subscript"/>
            <sz val="9"/>
            <color indexed="81"/>
            <rFont val="Tahoma"/>
            <family val="2"/>
          </rPr>
          <t>FB</t>
        </r>
        <r>
          <rPr>
            <sz val="9"/>
            <color indexed="81"/>
            <rFont val="Tahoma"/>
            <family val="2"/>
          </rPr>
          <t xml:space="preserve"> is the target feedback voltage programmed through I2C (default 1.536V)
V</t>
        </r>
        <r>
          <rPr>
            <vertAlign val="subscript"/>
            <sz val="9"/>
            <color indexed="81"/>
            <rFont val="Tahoma"/>
            <family val="2"/>
          </rPr>
          <t>BATREG</t>
        </r>
        <r>
          <rPr>
            <sz val="9"/>
            <color indexed="81"/>
            <rFont val="Tahoma"/>
            <family val="2"/>
          </rPr>
          <t xml:space="preserve"> is the desired battery regulation target
R</t>
        </r>
        <r>
          <rPr>
            <vertAlign val="subscript"/>
            <sz val="9"/>
            <color indexed="81"/>
            <rFont val="Tahoma"/>
            <family val="2"/>
          </rPr>
          <t>FBG</t>
        </r>
        <r>
          <rPr>
            <sz val="9"/>
            <color indexed="81"/>
            <rFont val="Tahoma"/>
            <family val="2"/>
          </rPr>
          <t xml:space="preserve"> is the internal FBG pull-down resistor (33 Ω)
Further fine-tuning of the regulation voltage can be achieved by changing the internal feedback reference (V</t>
        </r>
        <r>
          <rPr>
            <vertAlign val="subscript"/>
            <sz val="9"/>
            <color indexed="81"/>
            <rFont val="Tahoma"/>
            <family val="2"/>
          </rPr>
          <t>FB</t>
        </r>
        <r>
          <rPr>
            <sz val="9"/>
            <color indexed="81"/>
            <rFont val="Tahoma"/>
            <family val="2"/>
          </rPr>
          <t>).</t>
        </r>
      </text>
    </comment>
    <comment ref="F76" authorId="0" shapeId="0" xr:uid="{ABBB25A8-5587-4F44-A6B1-D8C4E95695A0}">
      <text>
        <r>
          <rPr>
            <b/>
            <u/>
            <sz val="9"/>
            <color indexed="81"/>
            <rFont val="Tahoma"/>
            <family val="2"/>
          </rPr>
          <t xml:space="preserve">Selected Target Feedback Voltage:
</t>
        </r>
        <r>
          <rPr>
            <sz val="9"/>
            <color indexed="81"/>
            <rFont val="Tahoma"/>
            <family val="2"/>
          </rPr>
          <t xml:space="preserve">The default internal voltage reference is 1.536 V, and can be changed via the VFB_REG register bits. 
Range: 1.504 V to 1.566 V
Bit Step: 2 mV
</t>
        </r>
      </text>
    </comment>
    <comment ref="F77" authorId="0" shapeId="0" xr:uid="{865F7ED6-60EF-41C9-947F-B6E59284A208}">
      <text>
        <r>
          <rPr>
            <b/>
            <u/>
            <sz val="9"/>
            <color indexed="81"/>
            <rFont val="Tahoma"/>
            <family val="2"/>
          </rPr>
          <t xml:space="preserve">Recognized Battery Regulation Target:
</t>
        </r>
        <r>
          <rPr>
            <sz val="9"/>
            <color indexed="81"/>
            <rFont val="Tahoma"/>
            <family val="2"/>
          </rPr>
          <t xml:space="preserve">Recognized Battery Regulation Target based of the Selected Feedback Top and Bottom Resistors. 
</t>
        </r>
        <r>
          <rPr>
            <b/>
            <sz val="9"/>
            <color indexed="81"/>
            <rFont val="Tahoma"/>
            <family val="2"/>
          </rPr>
          <t xml:space="preserve">
Text in cell is flagged red if:</t>
        </r>
        <r>
          <rPr>
            <sz val="9"/>
            <color indexed="81"/>
            <rFont val="Tahoma"/>
            <family val="2"/>
          </rPr>
          <t xml:space="preserve">
The Recognized Battery Regulation Target is not within ±0.5% of the Desired Battery Regulation Target.</t>
        </r>
      </text>
    </comment>
    <comment ref="A79" authorId="0" shapeId="0" xr:uid="{0B92D508-E951-4EE4-A8BF-686DF646A5B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80" authorId="0" shapeId="0" xr:uid="{33E9653D-0430-4808-9C73-89C6CD33291E}">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81" authorId="0" shapeId="0" xr:uid="{736AE559-90E8-4328-9066-F0ECA95F8209}">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shapeId="0" xr:uid="{835201C3-6CA3-4A5D-8DAD-0B98E1246C11}">
      <text>
        <r>
          <rPr>
            <b/>
            <u/>
            <sz val="9"/>
            <color indexed="81"/>
            <rFont val="Tahoma"/>
            <family val="2"/>
          </rPr>
          <t>Selected Thermistor Cold Resistance:</t>
        </r>
        <r>
          <rPr>
            <sz val="9"/>
            <color indexed="81"/>
            <rFont val="Tahoma"/>
            <family val="2"/>
          </rPr>
          <t xml:space="preserve">
Resistance of the chosen thermistor at the Selected Cold Temperature threshold. This can be found in the Thermistor's datasheet.</t>
        </r>
      </text>
    </comment>
    <comment ref="F83" authorId="0" shapeId="0" xr:uid="{055F69C6-E056-4F0F-B048-AD2FEADEBA9F}">
      <text>
        <r>
          <rPr>
            <b/>
            <u/>
            <sz val="9"/>
            <color indexed="81"/>
            <rFont val="Tahoma"/>
            <family val="2"/>
          </rPr>
          <t>Selected Thermistor Hot Resistance:</t>
        </r>
        <r>
          <rPr>
            <sz val="9"/>
            <color indexed="81"/>
            <rFont val="Tahoma"/>
            <family val="2"/>
          </rPr>
          <t xml:space="preserve">
Resistance of the chosen thermistor at the Selected Hot Temperature threshold. This can be found in the Thermistor's datasheet.</t>
        </r>
      </text>
    </comment>
    <comment ref="F84" authorId="0" shapeId="0" xr:uid="{C66E1830-2C68-4D29-BF39-B06EEA76BD88}">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5" authorId="0" shapeId="0" xr:uid="{4F7BEF7B-2B0B-4DB5-B489-A094351B7E1E}">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8" authorId="0" shapeId="0" xr:uid="{23428B91-2E50-459F-8EA6-65831174376C}">
      <text>
        <r>
          <rPr>
            <b/>
            <u/>
            <sz val="9"/>
            <color indexed="81"/>
            <rFont val="Tahoma"/>
            <family val="2"/>
          </rPr>
          <t xml:space="preserve">Desired Operation:
</t>
        </r>
        <r>
          <rPr>
            <sz val="9"/>
            <color indexed="81"/>
            <rFont val="Tahoma"/>
            <family val="2"/>
          </rPr>
          <t xml:space="preserve">The MODE pin can be used to configure the device as either a Buck-Boost or Buck-Only configuration. When configured as Buck-Only typical inductor value used must be provided to appropriately compensate the converter. 
The Recommended MODE Resistance should be used to get the Desired Operation with the proper converter compensation for the Selected Inductance. 
At POR, the device detects the MODE pin pull down resistance, then sets the device operating mode as shown below. The MODE pin resistance detection is only done one time at the device POR, after that, the charger will not sense the MODE pin voltage anymore. 
Refer to section </t>
        </r>
        <r>
          <rPr>
            <b/>
            <sz val="9"/>
            <color indexed="81"/>
            <rFont val="Tahoma"/>
            <family val="2"/>
          </rPr>
          <t>7.3.3.2 MODE Pin Configuration</t>
        </r>
        <r>
          <rPr>
            <sz val="9"/>
            <color indexed="81"/>
            <rFont val="Tahoma"/>
            <family val="2"/>
          </rPr>
          <t xml:space="preserve"> of the datasheet for further guidance. </t>
        </r>
      </text>
    </comment>
    <comment ref="F93" authorId="0" shapeId="0" xr:uid="{C6337D27-3B49-4FDF-9588-B43C67F9FF18}">
      <text>
        <r>
          <rPr>
            <b/>
            <u/>
            <sz val="9"/>
            <color indexed="81"/>
            <rFont val="Tahoma"/>
            <family val="2"/>
          </rPr>
          <t xml:space="preserve">Recognized Operation:
</t>
        </r>
        <r>
          <rPr>
            <sz val="9"/>
            <color indexed="81"/>
            <rFont val="Tahoma"/>
            <family val="2"/>
          </rPr>
          <t xml:space="preserve">This is the Operation recognized after POR and is solely based off MODE Resistance. 
</t>
        </r>
        <r>
          <rPr>
            <b/>
            <sz val="9"/>
            <color indexed="81"/>
            <rFont val="Tahoma"/>
            <family val="2"/>
          </rPr>
          <t xml:space="preserve">Text in this cell is flagged red if:
</t>
        </r>
        <r>
          <rPr>
            <sz val="9"/>
            <color indexed="81"/>
            <rFont val="Tahoma"/>
            <family val="2"/>
          </rPr>
          <t xml:space="preserve">The value in the cell does not match the Desired Operation.
</t>
        </r>
        <r>
          <rPr>
            <b/>
            <sz val="9"/>
            <color indexed="81"/>
            <rFont val="Tahoma"/>
            <family val="2"/>
          </rPr>
          <t xml:space="preserve">Text in this cell is flagged Undefined if:
</t>
        </r>
        <r>
          <rPr>
            <sz val="9"/>
            <color indexed="81"/>
            <rFont val="Tahoma"/>
            <family val="2"/>
          </rPr>
          <t xml:space="preserve">MODE resistance fall in between two valid MODE resistance ranges that would result in an Undefined MODE. </t>
        </r>
      </text>
    </comment>
    <comment ref="F94" authorId="0" shapeId="0" xr:uid="{C1C3B86D-8ADC-40C3-9624-5AD7D6DB45F9}">
      <text>
        <r>
          <rPr>
            <b/>
            <u/>
            <sz val="9"/>
            <color indexed="81"/>
            <rFont val="Tahoma"/>
            <family val="2"/>
          </rPr>
          <t>Recognized Nominal Inductance:</t>
        </r>
        <r>
          <rPr>
            <sz val="9"/>
            <color indexed="81"/>
            <rFont val="Tahoma"/>
            <family val="2"/>
          </rPr>
          <t xml:space="preserve">
This is the Nominal Inductance recognized after POR and is solely based off MODE Resistance.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5" authorId="0" shapeId="0" xr:uid="{37232F35-6273-4CFB-92AF-A3D8A0A8B057}">
      <text>
        <r>
          <rPr>
            <b/>
            <u/>
            <sz val="9"/>
            <color indexed="81"/>
            <rFont val="Tahoma"/>
            <family val="2"/>
          </rPr>
          <t>Minimum Inductor DCR:</t>
        </r>
        <r>
          <rPr>
            <sz val="9"/>
            <color indexed="81"/>
            <rFont val="Tahoma"/>
            <family val="2"/>
          </rPr>
          <t xml:space="preserve">
This is the Minimum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6" authorId="0" shapeId="0" xr:uid="{F0405EF6-8294-4456-8D9C-2EBC42833C65}">
      <text>
        <r>
          <rPr>
            <b/>
            <u/>
            <sz val="9"/>
            <color indexed="81"/>
            <rFont val="Tahoma"/>
            <family val="2"/>
          </rPr>
          <t>Maximum Inductor DCR:</t>
        </r>
        <r>
          <rPr>
            <sz val="9"/>
            <color indexed="81"/>
            <rFont val="Tahoma"/>
            <family val="2"/>
          </rPr>
          <t xml:space="preserve">
This is the Maximum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 xml:space="preserve">
Text in this cell is flagged Undefined if:</t>
        </r>
        <r>
          <rPr>
            <sz val="9"/>
            <color indexed="81"/>
            <rFont val="Tahoma"/>
            <family val="2"/>
          </rPr>
          <t xml:space="preserve">
MODE resistance fall in between two valid MODE resistance ranges that would result in an Undefined MODE. </t>
        </r>
      </text>
    </comment>
    <comment ref="F100" authorId="0" shapeId="0" xr:uid="{5CF4E940-827F-4361-8E05-1FC5C035B917}">
      <text>
        <r>
          <rPr>
            <b/>
            <u/>
            <sz val="9"/>
            <color indexed="81"/>
            <rFont val="Tahoma"/>
            <family val="2"/>
          </rPr>
          <t>Input Capacitance:</t>
        </r>
        <r>
          <rPr>
            <sz val="9"/>
            <color indexed="81"/>
            <rFont val="Tahoma"/>
            <family val="2"/>
          </rPr>
          <t xml:space="preserve">
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sz val="9"/>
            <color indexed="81"/>
            <rFont val="Tahoma"/>
            <family val="2"/>
          </rPr>
          <t xml:space="preserve">
I</t>
        </r>
        <r>
          <rPr>
            <b/>
            <vertAlign val="subscript"/>
            <sz val="9"/>
            <color indexed="81"/>
            <rFont val="Tahoma"/>
            <family val="2"/>
          </rPr>
          <t>CIN</t>
        </r>
        <r>
          <rPr>
            <b/>
            <sz val="9"/>
            <color indexed="81"/>
            <rFont val="Tahoma"/>
            <family val="2"/>
          </rPr>
          <t xml:space="preserve"> = I</t>
        </r>
        <r>
          <rPr>
            <b/>
            <vertAlign val="subscript"/>
            <sz val="9"/>
            <color indexed="81"/>
            <rFont val="Tahoma"/>
            <family val="2"/>
          </rPr>
          <t>CHG</t>
        </r>
        <r>
          <rPr>
            <b/>
            <sz val="9"/>
            <color indexed="81"/>
            <rFont val="Tahoma"/>
            <family val="2"/>
          </rPr>
          <t xml:space="preserve"> * sqrt(D*(1-D))</t>
        </r>
        <r>
          <rPr>
            <sz val="9"/>
            <color indexed="81"/>
            <rFont val="Tahoma"/>
            <family val="2"/>
          </rPr>
          <t xml:space="preserve">
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indexed="81"/>
            <rFont val="Tahoma"/>
            <family val="2"/>
          </rPr>
          <t>AC_SNS</t>
        </r>
        <r>
          <rPr>
            <sz val="9"/>
            <color indexed="81"/>
            <rFont val="Tahoma"/>
            <family val="2"/>
          </rPr>
          <t xml:space="preserve">. 
</t>
        </r>
        <r>
          <rPr>
            <b/>
            <sz val="9"/>
            <color indexed="81"/>
            <rFont val="Tahoma"/>
            <family val="2"/>
          </rPr>
          <t>Text in this cell is flagged red if:</t>
        </r>
        <r>
          <rPr>
            <sz val="9"/>
            <color indexed="81"/>
            <rFont val="Tahoma"/>
            <family val="2"/>
          </rPr>
          <t xml:space="preserve">
The value entered is </t>
        </r>
        <r>
          <rPr>
            <b/>
            <sz val="9"/>
            <color indexed="81"/>
            <rFont val="Tahoma"/>
            <family val="2"/>
          </rPr>
          <t>below</t>
        </r>
        <r>
          <rPr>
            <sz val="9"/>
            <color indexed="81"/>
            <rFont val="Tahoma"/>
            <family val="2"/>
          </rPr>
          <t xml:space="preserve"> the </t>
        </r>
        <r>
          <rPr>
            <b/>
            <sz val="9"/>
            <color indexed="81"/>
            <rFont val="Tahoma"/>
            <family val="2"/>
          </rPr>
          <t>Minimum Input Capacitance</t>
        </r>
        <r>
          <rPr>
            <sz val="9"/>
            <color indexed="81"/>
            <rFont val="Tahoma"/>
            <family val="2"/>
          </rPr>
          <t>.</t>
        </r>
      </text>
    </comment>
    <comment ref="F106" authorId="0" shapeId="0" xr:uid="{BFD71ABA-A541-46BF-87F8-C3AA3712215A}">
      <text>
        <r>
          <rPr>
            <b/>
            <u/>
            <sz val="9"/>
            <color indexed="81"/>
            <rFont val="Tahoma"/>
            <family val="2"/>
          </rPr>
          <t xml:space="preserve">Output Capacitance:
</t>
        </r>
        <r>
          <rPr>
            <sz val="9"/>
            <color indexed="81"/>
            <rFont val="Tahoma"/>
            <family val="2"/>
          </rPr>
          <t xml:space="preserve">In forward boost mode or reverse buck mode, the output capacitor conducts high ripple current. The output capacitor RMS ripple current is given by where the minimum VAC corresponds to the maximum capacitor current.
</t>
        </r>
        <r>
          <rPr>
            <b/>
            <sz val="9"/>
            <color indexed="81"/>
            <rFont val="Tahoma"/>
            <family val="2"/>
          </rPr>
          <t>I</t>
        </r>
        <r>
          <rPr>
            <b/>
            <vertAlign val="subscript"/>
            <sz val="9"/>
            <color indexed="81"/>
            <rFont val="Tahoma"/>
            <family val="2"/>
          </rPr>
          <t>CBAT</t>
        </r>
        <r>
          <rPr>
            <b/>
            <sz val="9"/>
            <color indexed="81"/>
            <rFont val="Tahoma"/>
            <family val="2"/>
          </rPr>
          <t xml:space="preserve"> = I</t>
        </r>
        <r>
          <rPr>
            <b/>
            <vertAlign val="subscript"/>
            <sz val="9"/>
            <color indexed="81"/>
            <rFont val="Tahoma"/>
            <family val="2"/>
          </rPr>
          <t>BAT</t>
        </r>
        <r>
          <rPr>
            <b/>
            <sz val="9"/>
            <color indexed="81"/>
            <rFont val="Tahoma"/>
            <family val="2"/>
          </rPr>
          <t xml:space="preserve"> * sqrt (V</t>
        </r>
        <r>
          <rPr>
            <b/>
            <vertAlign val="subscript"/>
            <sz val="9"/>
            <color indexed="81"/>
            <rFont val="Tahoma"/>
            <family val="2"/>
          </rPr>
          <t>BAT</t>
        </r>
        <r>
          <rPr>
            <b/>
            <sz val="9"/>
            <color indexed="81"/>
            <rFont val="Tahoma"/>
            <family val="2"/>
          </rPr>
          <t>/V</t>
        </r>
        <r>
          <rPr>
            <b/>
            <vertAlign val="subscript"/>
            <sz val="9"/>
            <color indexed="81"/>
            <rFont val="Tahoma"/>
            <family val="2"/>
          </rPr>
          <t>AC</t>
        </r>
        <r>
          <rPr>
            <b/>
            <sz val="9"/>
            <color indexed="81"/>
            <rFont val="Tahoma"/>
            <family val="2"/>
          </rPr>
          <t xml:space="preserve"> - 1)</t>
        </r>
        <r>
          <rPr>
            <sz val="9"/>
            <color indexed="81"/>
            <rFont val="Tahoma"/>
            <family val="2"/>
          </rPr>
          <t xml:space="preserve">
Output capacitor ESR causes an output voltage ripple given by:
</t>
        </r>
        <r>
          <rPr>
            <b/>
            <sz val="9"/>
            <color indexed="81"/>
            <rFont val="Tahoma"/>
            <family val="2"/>
          </rPr>
          <t>V</t>
        </r>
        <r>
          <rPr>
            <b/>
            <vertAlign val="subscript"/>
            <sz val="9"/>
            <color indexed="81"/>
            <rFont val="Tahoma"/>
            <family val="2"/>
          </rPr>
          <t>RIPPLE(ESR)</t>
        </r>
        <r>
          <rPr>
            <b/>
            <sz val="9"/>
            <color indexed="81"/>
            <rFont val="Tahoma"/>
            <family val="2"/>
          </rPr>
          <t xml:space="preserve"> = I</t>
        </r>
        <r>
          <rPr>
            <b/>
            <vertAlign val="subscript"/>
            <sz val="9"/>
            <color indexed="81"/>
            <rFont val="Tahoma"/>
            <family val="2"/>
          </rPr>
          <t>BAT</t>
        </r>
        <r>
          <rPr>
            <b/>
            <sz val="9"/>
            <color indexed="81"/>
            <rFont val="Tahoma"/>
            <family val="2"/>
          </rPr>
          <t xml:space="preserve"> * V</t>
        </r>
        <r>
          <rPr>
            <b/>
            <vertAlign val="subscript"/>
            <sz val="9"/>
            <color indexed="81"/>
            <rFont val="Tahoma"/>
            <family val="2"/>
          </rPr>
          <t>BAT</t>
        </r>
        <r>
          <rPr>
            <b/>
            <sz val="9"/>
            <color indexed="81"/>
            <rFont val="Tahoma"/>
            <family val="2"/>
          </rPr>
          <t>/V</t>
        </r>
        <r>
          <rPr>
            <b/>
            <vertAlign val="subscript"/>
            <sz val="9"/>
            <color indexed="81"/>
            <rFont val="Tahoma"/>
            <family val="2"/>
          </rPr>
          <t>AC,min</t>
        </r>
        <r>
          <rPr>
            <b/>
            <sz val="9"/>
            <color indexed="81"/>
            <rFont val="Tahoma"/>
            <family val="2"/>
          </rPr>
          <t xml:space="preserve"> * ESR</t>
        </r>
        <r>
          <rPr>
            <sz val="9"/>
            <color indexed="81"/>
            <rFont val="Tahoma"/>
            <family val="2"/>
          </rPr>
          <t xml:space="preserve">
The output capacitor causes a capacitive ripple voltage given by:
</t>
        </r>
        <r>
          <rPr>
            <b/>
            <sz val="9"/>
            <color indexed="81"/>
            <rFont val="Tahoma"/>
            <family val="2"/>
          </rPr>
          <t>V</t>
        </r>
        <r>
          <rPr>
            <b/>
            <vertAlign val="subscript"/>
            <sz val="9"/>
            <color indexed="81"/>
            <rFont val="Tahoma"/>
            <family val="2"/>
          </rPr>
          <t>RIPPLE(CBAT)</t>
        </r>
        <r>
          <rPr>
            <b/>
            <sz val="9"/>
            <color indexed="81"/>
            <rFont val="Tahoma"/>
            <family val="2"/>
          </rPr>
          <t xml:space="preserve"> = I</t>
        </r>
        <r>
          <rPr>
            <b/>
            <vertAlign val="subscript"/>
            <sz val="9"/>
            <color indexed="81"/>
            <rFont val="Tahoma"/>
            <family val="2"/>
          </rPr>
          <t>BAT</t>
        </r>
        <r>
          <rPr>
            <b/>
            <sz val="9"/>
            <color indexed="81"/>
            <rFont val="Tahoma"/>
            <family val="2"/>
          </rPr>
          <t xml:space="preserve"> * (1 - V</t>
        </r>
        <r>
          <rPr>
            <b/>
            <vertAlign val="subscript"/>
            <sz val="9"/>
            <color indexed="81"/>
            <rFont val="Tahoma"/>
            <family val="2"/>
          </rPr>
          <t>AC,min</t>
        </r>
        <r>
          <rPr>
            <b/>
            <sz val="9"/>
            <color indexed="81"/>
            <rFont val="Tahoma"/>
            <family val="2"/>
          </rPr>
          <t>/V</t>
        </r>
        <r>
          <rPr>
            <b/>
            <vertAlign val="subscript"/>
            <sz val="9"/>
            <color indexed="81"/>
            <rFont val="Tahoma"/>
            <family val="2"/>
          </rPr>
          <t>BAT</t>
        </r>
        <r>
          <rPr>
            <b/>
            <sz val="9"/>
            <color indexed="81"/>
            <rFont val="Tahoma"/>
            <family val="2"/>
          </rPr>
          <t>)/(C</t>
        </r>
        <r>
          <rPr>
            <b/>
            <vertAlign val="subscript"/>
            <sz val="9"/>
            <color indexed="81"/>
            <rFont val="Tahoma"/>
            <family val="2"/>
          </rPr>
          <t>BAT</t>
        </r>
        <r>
          <rPr>
            <b/>
            <sz val="9"/>
            <color indexed="81"/>
            <rFont val="Tahoma"/>
            <family val="2"/>
          </rPr>
          <t>*f</t>
        </r>
        <r>
          <rPr>
            <b/>
            <vertAlign val="subscript"/>
            <sz val="9"/>
            <color indexed="81"/>
            <rFont val="Tahoma"/>
            <family val="2"/>
          </rPr>
          <t>SW</t>
        </r>
        <r>
          <rPr>
            <b/>
            <sz val="9"/>
            <color indexed="81"/>
            <rFont val="Tahoma"/>
            <family val="2"/>
          </rPr>
          <t>)</t>
        </r>
        <r>
          <rPr>
            <sz val="9"/>
            <color indexed="81"/>
            <rFont val="Tahoma"/>
            <family val="2"/>
          </rPr>
          <t xml:space="preserve">
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indexed="81"/>
            <rFont val="Tahoma"/>
            <family val="2"/>
          </rPr>
          <t>BAT_SNS</t>
        </r>
        <r>
          <rPr>
            <sz val="9"/>
            <color indexed="81"/>
            <rFont val="Tahoma"/>
            <family val="2"/>
          </rPr>
          <t xml:space="preserve">. 
</t>
        </r>
        <r>
          <rPr>
            <b/>
            <u/>
            <sz val="9"/>
            <color indexed="81"/>
            <rFont val="Tahoma"/>
            <family val="2"/>
          </rPr>
          <t xml:space="preserve">
</t>
        </r>
        <r>
          <rPr>
            <b/>
            <sz val="9"/>
            <color indexed="81"/>
            <rFont val="Tahoma"/>
            <family val="2"/>
          </rPr>
          <t xml:space="preserve">Text in this cell is flagged red if:
</t>
        </r>
        <r>
          <rPr>
            <sz val="9"/>
            <color indexed="81"/>
            <rFont val="Tahoma"/>
            <family val="2"/>
          </rPr>
          <t xml:space="preserve">The value entered is </t>
        </r>
        <r>
          <rPr>
            <b/>
            <sz val="9"/>
            <color indexed="81"/>
            <rFont val="Tahoma"/>
            <family val="2"/>
          </rPr>
          <t>below</t>
        </r>
        <r>
          <rPr>
            <sz val="9"/>
            <color indexed="81"/>
            <rFont val="Tahoma"/>
            <family val="2"/>
          </rPr>
          <t xml:space="preserve"> the </t>
        </r>
        <r>
          <rPr>
            <b/>
            <sz val="9"/>
            <color indexed="81"/>
            <rFont val="Tahoma"/>
            <family val="2"/>
          </rPr>
          <t>Minimum Output Capacitance</t>
        </r>
        <r>
          <rPr>
            <u/>
            <sz val="9"/>
            <color indexed="81"/>
            <rFont val="Tahoma"/>
            <family val="2"/>
          </rPr>
          <t>.</t>
        </r>
        <r>
          <rPr>
            <sz val="9"/>
            <color indexed="81"/>
            <rFont val="Tahoma"/>
            <family val="2"/>
          </rPr>
          <t xml:space="preserve">
</t>
        </r>
      </text>
    </comment>
    <comment ref="A112" authorId="0" shapeId="0" xr:uid="{7C9C4550-A9B3-4FAC-ADCF-868BE7087268}">
      <text>
        <r>
          <rPr>
            <b/>
            <u/>
            <sz val="9"/>
            <color indexed="81"/>
            <rFont val="Tahoma"/>
            <family val="2"/>
          </rPr>
          <t xml:space="preserve">Efficiency / Power Loss Analyzer:
</t>
        </r>
        <r>
          <rPr>
            <sz val="9"/>
            <color indexed="81"/>
            <rFont val="Tahoma"/>
            <family val="2"/>
          </rPr>
          <t xml:space="preserve">The Efficiency / Power Loss Analyzer is not a 100% accurate tool. The purpose of the tool is to compare the relative efficiency with different components. </t>
        </r>
      </text>
    </comment>
    <comment ref="E119" authorId="0" shapeId="0" xr:uid="{A118CBAC-792D-411B-A7DA-5556946EAC29}">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19" authorId="0" shapeId="0" xr:uid="{D57E14FD-8D5F-4B5C-8E9C-62D221663C77}">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22" authorId="0" shapeId="0" xr:uid="{63EC3039-583A-45C8-93C5-70D94F85C543}">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22" authorId="0" shapeId="0" xr:uid="{2BD75198-28AA-436A-BCBC-3639837DAC0D}">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E137" authorId="0" shapeId="0" xr:uid="{F3785C72-330C-4727-9158-6AB98790D5BE}">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37" authorId="0" shapeId="0" xr:uid="{E46F9B85-E94C-4C6A-99C0-30AFB8A1BAD5}">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40" authorId="0" shapeId="0" xr:uid="{C0B84D91-9555-4934-82A3-6B5667BE485E}">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40" authorId="0" shapeId="0" xr:uid="{CBB72169-DBAB-4DAD-AE6C-4F84484E25F2}">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52" authorId="0" shapeId="0" xr:uid="{E9DBE561-F8A7-4F0D-AF52-E1F8078CD771}">
      <text>
        <r>
          <rPr>
            <b/>
            <sz val="9"/>
            <color indexed="81"/>
            <rFont val="Tahoma"/>
            <family val="2"/>
          </rPr>
          <t xml:space="preserve">Custom Gate Drive Voltage: 
</t>
        </r>
        <r>
          <rPr>
            <sz val="9"/>
            <color indexed="81"/>
            <rFont val="Tahoma"/>
            <family val="2"/>
          </rPr>
          <t xml:space="preserve">In high-voltage applications, it is possible to directly provide the DRV_SUP voltage with an external supply up to 12 V to achieve higher switching efficiency. See </t>
        </r>
        <r>
          <rPr>
            <b/>
            <sz val="9"/>
            <color indexed="81"/>
            <rFont val="Tahoma"/>
            <family val="2"/>
          </rPr>
          <t>Section 7.3.3.2</t>
        </r>
        <r>
          <rPr>
            <sz val="9"/>
            <color indexed="81"/>
            <rFont val="Tahoma"/>
            <family val="2"/>
          </rPr>
          <t xml:space="preserve"> in the datasheet for more details.
The user can enter their own Custom Gate Drive Voltage, but in order for them to see how this affects the efficiency curves, the user will need to enter the MOSFET R</t>
        </r>
        <r>
          <rPr>
            <vertAlign val="subscript"/>
            <sz val="9"/>
            <color indexed="81"/>
            <rFont val="Tahoma"/>
            <family val="2"/>
          </rPr>
          <t>DS(on)</t>
        </r>
        <r>
          <rPr>
            <sz val="9"/>
            <color indexed="81"/>
            <rFont val="Tahoma"/>
            <family val="2"/>
          </rPr>
          <t xml:space="preserve"> and Q</t>
        </r>
        <r>
          <rPr>
            <vertAlign val="subscript"/>
            <sz val="9"/>
            <color indexed="81"/>
            <rFont val="Tahoma"/>
            <family val="2"/>
          </rPr>
          <t>G</t>
        </r>
        <r>
          <rPr>
            <sz val="9"/>
            <color indexed="81"/>
            <rFont val="Tahoma"/>
            <family val="2"/>
          </rPr>
          <t xml:space="preserve"> for the MOSFET that they are using with that given gate drive.
</t>
        </r>
        <r>
          <rPr>
            <b/>
            <sz val="9"/>
            <color indexed="81"/>
            <rFont val="Tahoma"/>
            <family val="2"/>
          </rPr>
          <t>Note:</t>
        </r>
        <r>
          <rPr>
            <sz val="9"/>
            <color indexed="81"/>
            <rFont val="Tahoma"/>
            <family val="2"/>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A154" authorId="0" shapeId="0" xr:uid="{027B0E25-AE07-480B-9ACC-C6F1EF537977}">
      <text>
        <r>
          <rPr>
            <b/>
            <sz val="9"/>
            <color indexed="81"/>
            <rFont val="Tahoma"/>
            <family val="2"/>
          </rPr>
          <t xml:space="preserve">Efficiency / Power Loss Analyzer:
</t>
        </r>
        <r>
          <rPr>
            <sz val="9"/>
            <color indexed="81"/>
            <rFont val="Tahoma"/>
            <family val="2"/>
          </rPr>
          <t xml:space="preserve">This tool displays the </t>
        </r>
        <r>
          <rPr>
            <b/>
            <u/>
            <sz val="9"/>
            <color indexed="81"/>
            <rFont val="Tahoma"/>
            <family val="2"/>
          </rPr>
          <t>estimated</t>
        </r>
        <r>
          <rPr>
            <sz val="9"/>
            <color indexed="81"/>
            <rFont val="Tahoma"/>
            <family val="2"/>
          </rPr>
          <t xml:space="preserve"> efficiency curve with Selected Components / Operating Specifications and allows the user to compare how the efficiency curves will be affected with different Selected Components / Operating Specifications.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t>
        </r>
      </text>
    </comment>
    <comment ref="G157" authorId="0" shapeId="0" xr:uid="{A0B42E2A-C72E-47C1-834F-A57366CD22C1}">
      <text>
        <r>
          <rPr>
            <b/>
            <u/>
            <sz val="9"/>
            <color indexed="81"/>
            <rFont val="Tahoma"/>
            <family val="2"/>
          </rPr>
          <t>MOSFET Selection:</t>
        </r>
        <r>
          <rPr>
            <sz val="9"/>
            <color indexed="81"/>
            <rFont val="Tahoma"/>
            <family val="2"/>
          </rPr>
          <t xml:space="preserve">
The user can choose to plot the estimated efficiency curves using the TI Recommended MOSFET by selecting </t>
        </r>
        <r>
          <rPr>
            <b/>
            <sz val="9"/>
            <color indexed="81"/>
            <rFont val="Tahoma"/>
            <family val="2"/>
          </rPr>
          <t xml:space="preserve">TI Recommendation </t>
        </r>
        <r>
          <rPr>
            <sz val="9"/>
            <color indexed="81"/>
            <rFont val="Tahoma"/>
            <family val="2"/>
          </rPr>
          <t xml:space="preserve">or the user's Custom MOSFET by selecting </t>
        </r>
        <r>
          <rPr>
            <b/>
            <sz val="9"/>
            <color indexed="81"/>
            <rFont val="Tahoma"/>
            <family val="2"/>
          </rPr>
          <t>Custom</t>
        </r>
        <r>
          <rPr>
            <sz val="9"/>
            <color indexed="81"/>
            <rFont val="Tahoma"/>
            <family val="2"/>
          </rPr>
          <t xml:space="preserve">. The user can also plot the estimated efficiency curves for both MOSFETs by selecting </t>
        </r>
        <r>
          <rPr>
            <b/>
            <sz val="9"/>
            <color indexed="81"/>
            <rFont val="Tahoma"/>
            <family val="2"/>
          </rPr>
          <t>Compare</t>
        </r>
        <r>
          <rPr>
            <sz val="9"/>
            <color indexed="81"/>
            <rFont val="Tahoma"/>
            <family val="2"/>
          </rPr>
          <t xml:space="preserve">.
</t>
        </r>
      </text>
    </comment>
    <comment ref="G158" authorId="0" shapeId="0" xr:uid="{8221FD47-9E6A-4F0B-BB21-2B8BA7646B58}">
      <text>
        <r>
          <rPr>
            <b/>
            <u/>
            <sz val="9"/>
            <color indexed="81"/>
            <rFont val="Tahoma"/>
            <family val="2"/>
          </rPr>
          <t>Selected Gate Drive Voltage:</t>
        </r>
        <r>
          <rPr>
            <sz val="9"/>
            <color indexed="81"/>
            <rFont val="Tahoma"/>
            <family val="2"/>
          </rPr>
          <t xml:space="preserve">
This is the Gate Drive Voltage used in the efficiency calculation. Only one Gate Drive voltage can be used at a time. To compare how the Gate Drive Voltages affect the efficiency curves, the user will need to save the efficiency data with the </t>
        </r>
        <r>
          <rPr>
            <b/>
            <sz val="9"/>
            <color indexed="81"/>
            <rFont val="Tahoma"/>
            <family val="2"/>
          </rPr>
          <t>Save Button</t>
        </r>
        <r>
          <rPr>
            <sz val="9"/>
            <color indexed="81"/>
            <rFont val="Tahoma"/>
            <family val="2"/>
          </rPr>
          <t>.
The MOSFET parameters shown below are pulled from the corresponded parameters entered above.</t>
        </r>
      </text>
    </comment>
    <comment ref="G159" authorId="0" shapeId="0" xr:uid="{A2C3A251-398E-49AB-96BD-982C382E69B0}">
      <text>
        <r>
          <rPr>
            <b/>
            <u/>
            <sz val="9"/>
            <color indexed="81"/>
            <rFont val="Tahoma"/>
            <family val="2"/>
          </rPr>
          <t>Save Button:</t>
        </r>
        <r>
          <rPr>
            <sz val="9"/>
            <color indexed="81"/>
            <rFont val="Tahoma"/>
            <family val="2"/>
          </rPr>
          <t xml:space="preserve">
Use the save button to save the current efficiency plots. To save the current plots, you will need to clear the previous plot by selecting </t>
        </r>
        <r>
          <rPr>
            <b/>
            <sz val="9"/>
            <color indexed="81"/>
            <rFont val="Tahoma"/>
            <family val="2"/>
          </rPr>
          <t>Clear Save</t>
        </r>
        <r>
          <rPr>
            <sz val="9"/>
            <color indexed="81"/>
            <rFont val="Tahoma"/>
            <family val="2"/>
          </rPr>
          <t xml:space="preserve"> then you will need to select </t>
        </r>
        <r>
          <rPr>
            <b/>
            <sz val="9"/>
            <color indexed="81"/>
            <rFont val="Tahoma"/>
            <family val="2"/>
          </rPr>
          <t>Save</t>
        </r>
        <r>
          <rPr>
            <sz val="9"/>
            <color indexed="81"/>
            <rFont val="Tahoma"/>
            <family val="2"/>
          </rPr>
          <t xml:space="preserve"> to save the current efficiency plots. 
Once you have the plots saved, you will be able to change the components to see how the efficiency plots will vary.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If you don't want to save the previous data, select </t>
        </r>
        <r>
          <rPr>
            <b/>
            <sz val="9"/>
            <color indexed="81"/>
            <rFont val="Tahoma"/>
            <family val="2"/>
          </rPr>
          <t>Clear Save</t>
        </r>
        <r>
          <rPr>
            <sz val="9"/>
            <color indexed="81"/>
            <rFont val="Tahoma"/>
            <family val="2"/>
          </rPr>
          <t xml:space="preserve">.
</t>
        </r>
        <r>
          <rPr>
            <b/>
            <sz val="9"/>
            <color indexed="81"/>
            <rFont val="Tahoma"/>
            <family val="2"/>
          </rPr>
          <t>Text in cell is flagged red if:</t>
        </r>
        <r>
          <rPr>
            <sz val="9"/>
            <color indexed="81"/>
            <rFont val="Tahoma"/>
            <family val="2"/>
          </rPr>
          <t xml:space="preserve">
The Full Load Output Current IOUT(max) is changed after selecting </t>
        </r>
        <r>
          <rPr>
            <b/>
            <sz val="9"/>
            <color indexed="81"/>
            <rFont val="Tahoma"/>
            <family val="2"/>
          </rPr>
          <t>Save</t>
        </r>
        <r>
          <rPr>
            <sz val="9"/>
            <color indexed="81"/>
            <rFont val="Tahoma"/>
            <family val="2"/>
          </rPr>
          <t>. The efficiency tool will not catch that you changed the range of IOUT and will not correct the data shown.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Rook, Jacob</author>
  </authors>
  <commentList>
    <comment ref="A5" authorId="0" shapeId="0" xr:uid="{C549DB87-4910-4A56-9645-D3EE0459D0A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6" authorId="0" shapeId="0" xr:uid="{207A2C04-91BA-4438-BEC4-4A9F0A7BD842}">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shapeId="0" xr:uid="{66596CE3-E6A4-455E-88DC-4A47FDF55E3F}">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shapeId="0" xr:uid="{08E0E430-6E59-444F-BB70-37022CEBEDBF}">
      <text>
        <r>
          <rPr>
            <b/>
            <u/>
            <sz val="9"/>
            <color indexed="81"/>
            <rFont val="Tahoma"/>
            <family val="2"/>
          </rPr>
          <t>Thermistor Cold Resistance:</t>
        </r>
        <r>
          <rPr>
            <sz val="9"/>
            <color indexed="81"/>
            <rFont val="Tahoma"/>
            <family val="2"/>
          </rPr>
          <t xml:space="preserve">
Resistance of the chosen thermistor at the Selected Cold Temperature threshold. This value is pulled from the entered Thermistor Resistance Profile data. </t>
        </r>
      </text>
    </comment>
    <comment ref="F11" authorId="0" shapeId="0" xr:uid="{D4F3BCCD-4965-4C37-B13F-49BCE2D76D34}">
      <text>
        <r>
          <rPr>
            <b/>
            <u/>
            <sz val="9"/>
            <color indexed="81"/>
            <rFont val="Tahoma"/>
            <family val="2"/>
          </rPr>
          <t>Thermistor Hot Resistance:</t>
        </r>
        <r>
          <rPr>
            <sz val="9"/>
            <color indexed="81"/>
            <rFont val="Tahoma"/>
            <family val="2"/>
          </rPr>
          <t xml:space="preserve">
Resistance of the chosen thermistor at the Selected Hot Temperature threshold. This value is pulled from the entered Thermistor Resistance Profile data. </t>
        </r>
      </text>
    </comment>
    <comment ref="F12" authorId="0" shapeId="0" xr:uid="{CBF20758-8B27-4168-9D16-10C2892DF23A}">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3" authorId="0" shapeId="0" xr:uid="{168FFEB8-543D-4B6C-BE51-91BEE25CF95A}">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6" authorId="0" shapeId="0" xr:uid="{6A5662C2-0B04-4ACA-B968-DDE0B4CCBE7D}">
      <text>
        <r>
          <rPr>
            <b/>
            <u/>
            <sz val="9"/>
            <color indexed="81"/>
            <rFont val="Tahoma"/>
            <family val="2"/>
          </rPr>
          <t>Typ Recommended Real TS Top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RT1</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 ref="F17" authorId="0" shapeId="0" xr:uid="{B61334BB-D70F-4B4D-9915-C6B4BBB7047F}">
      <text>
        <r>
          <rPr>
            <b/>
            <u/>
            <sz val="9"/>
            <color indexed="81"/>
            <rFont val="Tahoma"/>
            <family val="2"/>
          </rPr>
          <t>Typ Recommended Real TS Bottom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RT2</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<sst xmlns="http://schemas.openxmlformats.org/spreadsheetml/2006/main" count="845" uniqueCount="348">
  <si>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Step 1: Operating Specifications</t>
  </si>
  <si>
    <t>V</t>
  </si>
  <si>
    <t>A</t>
  </si>
  <si>
    <t>kHz</t>
  </si>
  <si>
    <r>
      <t>Full Load Output Current, I</t>
    </r>
    <r>
      <rPr>
        <b/>
        <vertAlign val="subscript"/>
        <sz val="10"/>
        <color theme="1"/>
        <rFont val="Arial"/>
        <family val="2"/>
      </rPr>
      <t>OUT(max)</t>
    </r>
  </si>
  <si>
    <t>µH</t>
  </si>
  <si>
    <t>%</t>
  </si>
  <si>
    <r>
      <t>A</t>
    </r>
    <r>
      <rPr>
        <vertAlign val="subscript"/>
        <sz val="10"/>
        <color theme="1"/>
        <rFont val="Arial"/>
        <family val="2"/>
      </rPr>
      <t>pk-pk</t>
    </r>
  </si>
  <si>
    <t>Output Capacitor ESR</t>
  </si>
  <si>
    <t>µF</t>
  </si>
  <si>
    <t>Efficiency / Power Loss Analyzer</t>
  </si>
  <si>
    <r>
      <rPr>
        <b/>
        <u/>
        <sz val="10"/>
        <color rgb="FF0000FF"/>
        <rFont val="Arial"/>
        <family val="2"/>
      </rPr>
      <t>Buck</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</si>
  <si>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CSD18563Q5A</t>
  </si>
  <si>
    <t>Hi-side</t>
  </si>
  <si>
    <t>Low-side</t>
  </si>
  <si>
    <r>
      <t>Gate-Drain Charge, Q</t>
    </r>
    <r>
      <rPr>
        <b/>
        <vertAlign val="subscript"/>
        <sz val="10"/>
        <color theme="1"/>
        <rFont val="Arial"/>
        <family val="2"/>
      </rPr>
      <t>GD</t>
    </r>
  </si>
  <si>
    <r>
      <t>Gate-Source Charge, Q</t>
    </r>
    <r>
      <rPr>
        <b/>
        <vertAlign val="subscript"/>
        <sz val="10"/>
        <color theme="1"/>
        <rFont val="Arial"/>
        <family val="2"/>
      </rPr>
      <t>GS</t>
    </r>
  </si>
  <si>
    <r>
      <t>Gate Resistance, R</t>
    </r>
    <r>
      <rPr>
        <b/>
        <vertAlign val="subscript"/>
        <sz val="10"/>
        <color theme="1"/>
        <rFont val="Arial"/>
        <family val="2"/>
      </rPr>
      <t>G</t>
    </r>
  </si>
  <si>
    <r>
      <t>Transconductance, g</t>
    </r>
    <r>
      <rPr>
        <b/>
        <vertAlign val="subscript"/>
        <sz val="10"/>
        <color theme="1"/>
        <rFont val="Arial"/>
        <family val="2"/>
      </rPr>
      <t>FS</t>
    </r>
  </si>
  <si>
    <r>
      <t>Gate-Source Threshold Voltage, V</t>
    </r>
    <r>
      <rPr>
        <b/>
        <vertAlign val="subscript"/>
        <sz val="10"/>
        <color theme="1"/>
        <rFont val="Arial"/>
        <family val="2"/>
      </rPr>
      <t>TH</t>
    </r>
  </si>
  <si>
    <r>
      <t>Body Diode Rev Recovery Charge, Q</t>
    </r>
    <r>
      <rPr>
        <b/>
        <vertAlign val="subscript"/>
        <sz val="10"/>
        <color theme="1"/>
        <rFont val="Arial"/>
        <family val="2"/>
      </rPr>
      <t>RR</t>
    </r>
  </si>
  <si>
    <r>
      <t xml:space="preserve">Thermal Resistance, </t>
    </r>
    <r>
      <rPr>
        <b/>
        <sz val="10"/>
        <color theme="1"/>
        <rFont val="Calibri"/>
        <family val="2"/>
      </rPr>
      <t>θ</t>
    </r>
    <r>
      <rPr>
        <b/>
        <vertAlign val="subscript"/>
        <sz val="10"/>
        <color theme="1"/>
        <rFont val="Arial"/>
        <family val="2"/>
      </rPr>
      <t>JA</t>
    </r>
  </si>
  <si>
    <r>
      <t>m</t>
    </r>
    <r>
      <rPr>
        <sz val="10"/>
        <color theme="1"/>
        <rFont val="Calibri"/>
        <family val="2"/>
      </rPr>
      <t>Ω</t>
    </r>
  </si>
  <si>
    <t>nC</t>
  </si>
  <si>
    <t>Ω</t>
  </si>
  <si>
    <t>S</t>
  </si>
  <si>
    <r>
      <rPr>
        <sz val="10"/>
        <color theme="1"/>
        <rFont val="Calibri"/>
        <family val="2"/>
      </rPr>
      <t>°</t>
    </r>
    <r>
      <rPr>
        <sz val="10"/>
        <color theme="1"/>
        <rFont val="Arial"/>
        <family val="2"/>
      </rPr>
      <t>C/W</t>
    </r>
  </si>
  <si>
    <r>
      <rPr>
        <b/>
        <u/>
        <sz val="10"/>
        <color rgb="FF0000FF"/>
        <rFont val="Arial"/>
        <family val="2"/>
      </rPr>
      <t>Boost</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</si>
  <si>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CSD16321Q5</t>
  </si>
  <si>
    <t>mΩ</t>
  </si>
  <si>
    <t>kΩ</t>
  </si>
  <si>
    <r>
      <t>Maximum Average Inductor Current, I</t>
    </r>
    <r>
      <rPr>
        <vertAlign val="subscript"/>
        <sz val="10"/>
        <color theme="1"/>
        <rFont val="Arial"/>
        <family val="2"/>
      </rPr>
      <t>L(MAX)</t>
    </r>
  </si>
  <si>
    <r>
      <t>Peak Inductor Current, I</t>
    </r>
    <r>
      <rPr>
        <vertAlign val="subscript"/>
        <sz val="10"/>
        <color theme="1"/>
        <rFont val="Arial"/>
        <family val="2"/>
      </rPr>
      <t>L(PEAK)</t>
    </r>
  </si>
  <si>
    <r>
      <t>Recommended MODE Resistance, R</t>
    </r>
    <r>
      <rPr>
        <vertAlign val="subscript"/>
        <sz val="10"/>
        <color theme="1"/>
        <rFont val="Arial"/>
        <family val="2"/>
      </rPr>
      <t>MODE</t>
    </r>
  </si>
  <si>
    <r>
      <t>Minimum MODE Resistance, R</t>
    </r>
    <r>
      <rPr>
        <vertAlign val="subscript"/>
        <sz val="10"/>
        <color theme="1"/>
        <rFont val="Arial"/>
        <family val="2"/>
      </rPr>
      <t>MODE</t>
    </r>
  </si>
  <si>
    <r>
      <t>Maximum MODE Resistance, R</t>
    </r>
    <r>
      <rPr>
        <vertAlign val="subscript"/>
        <sz val="10"/>
        <color theme="1"/>
        <rFont val="Arial"/>
        <family val="2"/>
      </rPr>
      <t>MODE</t>
    </r>
  </si>
  <si>
    <t>Recognized Topology</t>
  </si>
  <si>
    <t xml:space="preserve">       --     </t>
  </si>
  <si>
    <t>Open Circuit</t>
  </si>
  <si>
    <t xml:space="preserve"> = Input Box</t>
  </si>
  <si>
    <t>Duty Cycle</t>
  </si>
  <si>
    <t>Efficiency</t>
  </si>
  <si>
    <t>I_L RMS</t>
  </si>
  <si>
    <t>I_L</t>
  </si>
  <si>
    <t>I_L pkpk</t>
  </si>
  <si>
    <r>
      <t>E24 Standard Resistor Values (</t>
    </r>
    <r>
      <rPr>
        <b/>
        <sz val="11"/>
        <color theme="1"/>
        <rFont val="Calibri"/>
        <family val="2"/>
      </rPr>
      <t>±5</t>
    </r>
    <r>
      <rPr>
        <b/>
        <sz val="11"/>
        <color theme="1"/>
        <rFont val="Calibri"/>
        <family val="2"/>
        <scheme val="minor"/>
      </rPr>
      <t>%)</t>
    </r>
  </si>
  <si>
    <r>
      <t>E96 Standard Resistor Values (</t>
    </r>
    <r>
      <rPr>
        <b/>
        <sz val="11"/>
        <color theme="1"/>
        <rFont val="Calibri"/>
        <family val="2"/>
      </rPr>
      <t>±1</t>
    </r>
    <r>
      <rPr>
        <b/>
        <sz val="11"/>
        <color theme="1"/>
        <rFont val="Calibri"/>
        <family val="2"/>
        <scheme val="minor"/>
      </rPr>
      <t>%)</t>
    </r>
  </si>
  <si>
    <r>
      <t>Standard Resistor Values (</t>
    </r>
    <r>
      <rPr>
        <b/>
        <sz val="11"/>
        <color theme="1"/>
        <rFont val="Calibri"/>
        <family val="2"/>
      </rPr>
      <t>±0.1</t>
    </r>
    <r>
      <rPr>
        <b/>
        <sz val="11"/>
        <color theme="1"/>
        <rFont val="Calibri"/>
        <family val="2"/>
        <scheme val="minor"/>
      </rPr>
      <t>%)</t>
    </r>
  </si>
  <si>
    <t>Inductors</t>
  </si>
  <si>
    <t>MLCC</t>
  </si>
  <si>
    <t>Decade</t>
  </si>
  <si>
    <t>Resistance</t>
  </si>
  <si>
    <t>N</t>
  </si>
  <si>
    <t>L (uH)</t>
  </si>
  <si>
    <r>
      <t>Minimum Input Capacitance, C</t>
    </r>
    <r>
      <rPr>
        <vertAlign val="subscript"/>
        <sz val="10"/>
        <color theme="1"/>
        <rFont val="Arial"/>
        <family val="2"/>
      </rPr>
      <t>IN</t>
    </r>
  </si>
  <si>
    <r>
      <t>Battery Voltage, V</t>
    </r>
    <r>
      <rPr>
        <b/>
        <vertAlign val="subscript"/>
        <sz val="10"/>
        <color theme="1"/>
        <rFont val="Arial"/>
        <family val="2"/>
      </rPr>
      <t>BAT</t>
    </r>
  </si>
  <si>
    <t>Selected Inductor DCR</t>
  </si>
  <si>
    <r>
      <t>Selected MODE Resistance, R</t>
    </r>
    <r>
      <rPr>
        <b/>
        <vertAlign val="subscript"/>
        <sz val="10"/>
        <color theme="1"/>
        <rFont val="Arial"/>
        <family val="2"/>
      </rPr>
      <t>MODE</t>
    </r>
  </si>
  <si>
    <t>Index</t>
  </si>
  <si>
    <t>Total Sense Loss</t>
  </si>
  <si>
    <t>Total MOSFET Loss</t>
  </si>
  <si>
    <r>
      <t>Output chare, Q</t>
    </r>
    <r>
      <rPr>
        <b/>
        <vertAlign val="subscript"/>
        <sz val="10"/>
        <color theme="1"/>
        <rFont val="Arial"/>
        <family val="2"/>
      </rPr>
      <t>OSS</t>
    </r>
  </si>
  <si>
    <t>Save</t>
  </si>
  <si>
    <t>Clear Save</t>
  </si>
  <si>
    <t>View Password</t>
  </si>
  <si>
    <t>BQ2575X</t>
  </si>
  <si>
    <t>Red Text = Conditional Formatting Conditions</t>
  </si>
  <si>
    <t>Black Text = Lists or Formulas</t>
  </si>
  <si>
    <t>Step 2: Switching Frequency</t>
  </si>
  <si>
    <r>
      <t>Recommended Switching Frequency Resistor, R</t>
    </r>
    <r>
      <rPr>
        <vertAlign val="subscript"/>
        <sz val="10"/>
        <color theme="1"/>
        <rFont val="Arial"/>
        <family val="2"/>
      </rPr>
      <t>FSW</t>
    </r>
  </si>
  <si>
    <r>
      <t>Selected Switching Frequency Resistor, R</t>
    </r>
    <r>
      <rPr>
        <b/>
        <vertAlign val="subscript"/>
        <sz val="10"/>
        <color theme="1"/>
        <rFont val="Arial"/>
        <family val="2"/>
      </rPr>
      <t>FSW</t>
    </r>
  </si>
  <si>
    <r>
      <t>Recognized Switching Frequency, F</t>
    </r>
    <r>
      <rPr>
        <vertAlign val="subscript"/>
        <sz val="10"/>
        <color theme="1"/>
        <rFont val="Arial"/>
        <family val="2"/>
      </rPr>
      <t>SW</t>
    </r>
  </si>
  <si>
    <r>
      <t>Selected Inductor Saturation Current, I</t>
    </r>
    <r>
      <rPr>
        <vertAlign val="subscript"/>
        <sz val="10"/>
        <color theme="1"/>
        <rFont val="Arial"/>
        <family val="2"/>
      </rPr>
      <t>SAT</t>
    </r>
  </si>
  <si>
    <r>
      <t>Input Voltage - Nom, V</t>
    </r>
    <r>
      <rPr>
        <b/>
        <vertAlign val="subscript"/>
        <sz val="10"/>
        <color theme="1"/>
        <rFont val="Arial"/>
        <family val="2"/>
      </rPr>
      <t>AC(nom)</t>
    </r>
  </si>
  <si>
    <r>
      <t>Input Voltage - Min, V</t>
    </r>
    <r>
      <rPr>
        <b/>
        <vertAlign val="subscript"/>
        <sz val="10"/>
        <color theme="1"/>
        <rFont val="Arial"/>
        <family val="2"/>
      </rPr>
      <t>AC(min)</t>
    </r>
  </si>
  <si>
    <r>
      <t>Input Voltage - Max, V</t>
    </r>
    <r>
      <rPr>
        <b/>
        <vertAlign val="subscript"/>
        <sz val="10"/>
        <color theme="1"/>
        <rFont val="Arial"/>
        <family val="2"/>
      </rPr>
      <t>AC(max)</t>
    </r>
  </si>
  <si>
    <t>Minimum Inductance, L</t>
  </si>
  <si>
    <r>
      <t>Pk-to-Pk Ripple Current at V</t>
    </r>
    <r>
      <rPr>
        <vertAlign val="subscript"/>
        <sz val="10"/>
        <color theme="1"/>
        <rFont val="Arial"/>
        <family val="2"/>
      </rPr>
      <t>AC(min)</t>
    </r>
    <r>
      <rPr>
        <sz val="10"/>
        <color theme="1"/>
        <rFont val="Arial"/>
        <family val="2"/>
      </rPr>
      <t>, ∆I</t>
    </r>
    <r>
      <rPr>
        <vertAlign val="subscript"/>
        <sz val="10"/>
        <color theme="1"/>
        <rFont val="Arial"/>
        <family val="2"/>
      </rPr>
      <t>L1</t>
    </r>
  </si>
  <si>
    <r>
      <t>Pk-to-Pk Ripple Current at V</t>
    </r>
    <r>
      <rPr>
        <vertAlign val="subscript"/>
        <sz val="10"/>
        <color theme="1"/>
        <rFont val="Arial"/>
        <family val="2"/>
      </rPr>
      <t>AC(nom)</t>
    </r>
    <r>
      <rPr>
        <sz val="10"/>
        <color theme="1"/>
        <rFont val="Arial"/>
        <family val="2"/>
      </rPr>
      <t>, ∆I</t>
    </r>
    <r>
      <rPr>
        <vertAlign val="subscript"/>
        <sz val="10"/>
        <color theme="1"/>
        <rFont val="Arial"/>
        <family val="2"/>
      </rPr>
      <t>L2</t>
    </r>
  </si>
  <si>
    <r>
      <t>Pk-to-Pk Ripple Current at V</t>
    </r>
    <r>
      <rPr>
        <vertAlign val="subscript"/>
        <sz val="10"/>
        <color theme="1"/>
        <rFont val="Arial"/>
        <family val="2"/>
      </rPr>
      <t>AC(max)</t>
    </r>
    <r>
      <rPr>
        <sz val="10"/>
        <color theme="1"/>
        <rFont val="Arial"/>
        <family val="2"/>
      </rPr>
      <t>, ∆I</t>
    </r>
    <r>
      <rPr>
        <vertAlign val="subscript"/>
        <sz val="10"/>
        <color theme="1"/>
        <rFont val="Arial"/>
        <family val="2"/>
      </rPr>
      <t>L3</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</si>
  <si>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AC(min)</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</si>
  <si>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AC(nom)</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</si>
  <si>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AC(max)</t>
    </r>
  </si>
  <si>
    <r>
      <t>Desired Switching Frequency, F</t>
    </r>
    <r>
      <rPr>
        <b/>
        <vertAlign val="subscript"/>
        <sz val="10"/>
        <color theme="1"/>
        <rFont val="Arial"/>
        <family val="2"/>
      </rPr>
      <t>DFW</t>
    </r>
  </si>
  <si>
    <t>Desired Input Undervoltage Limit, ACUV</t>
  </si>
  <si>
    <t>Desired Input Overvoltage Limit, ACOV</t>
  </si>
  <si>
    <r>
      <rPr>
        <sz val="10"/>
        <color theme="1"/>
        <rFont val="Arial"/>
        <family val="2"/>
      </rPr>
      <t>Recommended Top Resistor, R</t>
    </r>
    <r>
      <rPr>
        <vertAlign val="subscript"/>
        <sz val="10"/>
        <color theme="1"/>
        <rFont val="Arial"/>
        <family val="2"/>
      </rPr>
      <t>AC1</t>
    </r>
  </si>
  <si>
    <r>
      <t>Recommended Middle Resistor, R</t>
    </r>
    <r>
      <rPr>
        <vertAlign val="subscript"/>
        <sz val="10"/>
        <color theme="1"/>
        <rFont val="Arial"/>
        <family val="2"/>
      </rPr>
      <t>AC2</t>
    </r>
  </si>
  <si>
    <r>
      <t>Recommended Bottom Resistor, R</t>
    </r>
    <r>
      <rPr>
        <vertAlign val="subscript"/>
        <sz val="10"/>
        <color theme="1"/>
        <rFont val="Arial"/>
        <family val="2"/>
      </rPr>
      <t>AC3</t>
    </r>
  </si>
  <si>
    <r>
      <t>Selected Top Resistor, R</t>
    </r>
    <r>
      <rPr>
        <b/>
        <vertAlign val="subscript"/>
        <sz val="10"/>
        <color theme="1"/>
        <rFont val="Arial"/>
        <family val="2"/>
      </rPr>
      <t>AC1</t>
    </r>
  </si>
  <si>
    <r>
      <t>Selected Middle Resistor, R</t>
    </r>
    <r>
      <rPr>
        <b/>
        <vertAlign val="subscript"/>
        <sz val="10"/>
        <color theme="1"/>
        <rFont val="Arial"/>
        <family val="2"/>
      </rPr>
      <t>AC2</t>
    </r>
  </si>
  <si>
    <r>
      <t>Selected Bottom Resistor, R</t>
    </r>
    <r>
      <rPr>
        <b/>
        <vertAlign val="subscript"/>
        <sz val="10"/>
        <color theme="1"/>
        <rFont val="Arial"/>
        <family val="2"/>
      </rPr>
      <t>AC3</t>
    </r>
  </si>
  <si>
    <t>Recognized Input Overvoltage Limit, ACOV</t>
  </si>
  <si>
    <t>Recognized Input Undervoltage Limit, ACUV</t>
  </si>
  <si>
    <r>
      <t>Recommended Input Current Sense Resistor, R</t>
    </r>
    <r>
      <rPr>
        <vertAlign val="subscript"/>
        <sz val="10"/>
        <color theme="1"/>
        <rFont val="Arial"/>
        <family val="2"/>
      </rPr>
      <t>AC_SNS</t>
    </r>
  </si>
  <si>
    <r>
      <t>Selected Input Current Sense Resistor, R</t>
    </r>
    <r>
      <rPr>
        <b/>
        <vertAlign val="subscript"/>
        <sz val="10"/>
        <color theme="1"/>
        <rFont val="Arial"/>
        <family val="2"/>
      </rPr>
      <t>AC_SNS</t>
    </r>
  </si>
  <si>
    <r>
      <t>Desired Input Current Limit, I</t>
    </r>
    <r>
      <rPr>
        <b/>
        <vertAlign val="subscript"/>
        <sz val="10"/>
        <color theme="1"/>
        <rFont val="Arial"/>
        <family val="2"/>
      </rPr>
      <t>AC_MAX</t>
    </r>
  </si>
  <si>
    <r>
      <t>Maximum Input Current Limit, I</t>
    </r>
    <r>
      <rPr>
        <vertAlign val="subscript"/>
        <sz val="10"/>
        <color theme="1"/>
        <rFont val="Arial"/>
        <family val="2"/>
      </rPr>
      <t>AC_MAX(max)</t>
    </r>
  </si>
  <si>
    <r>
      <t>Recommended Input Pull-down Resistor, R</t>
    </r>
    <r>
      <rPr>
        <vertAlign val="subscript"/>
        <sz val="10"/>
        <color theme="1"/>
        <rFont val="Arial"/>
        <family val="2"/>
      </rPr>
      <t>IIN</t>
    </r>
  </si>
  <si>
    <r>
      <t>Selected Input Pull-down Resistor, R</t>
    </r>
    <r>
      <rPr>
        <b/>
        <vertAlign val="subscript"/>
        <sz val="10"/>
        <color theme="1"/>
        <rFont val="Arial"/>
        <family val="2"/>
      </rPr>
      <t>IIN</t>
    </r>
  </si>
  <si>
    <r>
      <t>Recognized Input Current Limit, I</t>
    </r>
    <r>
      <rPr>
        <vertAlign val="subscript"/>
        <sz val="10"/>
        <color theme="1"/>
        <rFont val="Arial"/>
        <family val="2"/>
      </rPr>
      <t>AC_MAX</t>
    </r>
  </si>
  <si>
    <r>
      <t>Battery Current Sense Resistor, R</t>
    </r>
    <r>
      <rPr>
        <b/>
        <vertAlign val="subscript"/>
        <sz val="10"/>
        <color theme="1"/>
        <rFont val="Arial"/>
        <family val="2"/>
      </rPr>
      <t>BAT_SNS</t>
    </r>
  </si>
  <si>
    <r>
      <t>Desired Output Current Limit, I</t>
    </r>
    <r>
      <rPr>
        <b/>
        <vertAlign val="subscript"/>
        <sz val="10"/>
        <color theme="1"/>
        <rFont val="Arial"/>
        <family val="2"/>
      </rPr>
      <t>OUT_MAX</t>
    </r>
  </si>
  <si>
    <r>
      <t>Recommended Output Pull-down Resistor, R</t>
    </r>
    <r>
      <rPr>
        <vertAlign val="subscript"/>
        <sz val="10"/>
        <color theme="1"/>
        <rFont val="Arial"/>
        <family val="2"/>
      </rPr>
      <t>IOUT</t>
    </r>
  </si>
  <si>
    <r>
      <t>Selected Output Pull-down Resistor, R</t>
    </r>
    <r>
      <rPr>
        <b/>
        <vertAlign val="subscript"/>
        <sz val="10"/>
        <color theme="1"/>
        <rFont val="Arial"/>
        <family val="2"/>
      </rPr>
      <t>IOUT</t>
    </r>
  </si>
  <si>
    <r>
      <t>Recognized Output Current Limit, I</t>
    </r>
    <r>
      <rPr>
        <vertAlign val="subscript"/>
        <sz val="10"/>
        <color theme="1"/>
        <rFont val="Arial"/>
        <family val="2"/>
      </rPr>
      <t>AC_MAX</t>
    </r>
  </si>
  <si>
    <t>mA/step</t>
  </si>
  <si>
    <r>
      <t>Input Current Resolution, I</t>
    </r>
    <r>
      <rPr>
        <vertAlign val="subscript"/>
        <sz val="10"/>
        <color theme="1"/>
        <rFont val="Arial"/>
        <family val="2"/>
      </rPr>
      <t>AC_MAX(</t>
    </r>
    <r>
      <rPr>
        <vertAlign val="subscript"/>
        <sz val="10"/>
        <color theme="1"/>
        <rFont val="Calibri"/>
        <family val="2"/>
      </rPr>
      <t>∆</t>
    </r>
    <r>
      <rPr>
        <vertAlign val="subscript"/>
        <sz val="10"/>
        <color theme="1"/>
        <rFont val="Arial"/>
        <family val="2"/>
      </rPr>
      <t>)</t>
    </r>
  </si>
  <si>
    <r>
      <t>Maximum Output Current Limit, I</t>
    </r>
    <r>
      <rPr>
        <vertAlign val="subscript"/>
        <sz val="10"/>
        <color theme="1"/>
        <rFont val="Arial"/>
        <family val="2"/>
      </rPr>
      <t>OUT_MAX(max)</t>
    </r>
  </si>
  <si>
    <r>
      <t>Output Current Resolution, I</t>
    </r>
    <r>
      <rPr>
        <vertAlign val="subscript"/>
        <sz val="10"/>
        <color theme="1"/>
        <rFont val="Arial"/>
        <family val="2"/>
      </rPr>
      <t>OUT_MAX(</t>
    </r>
    <r>
      <rPr>
        <vertAlign val="subscript"/>
        <sz val="10"/>
        <color theme="1"/>
        <rFont val="Calibri"/>
        <family val="2"/>
      </rPr>
      <t>∆</t>
    </r>
    <r>
      <rPr>
        <vertAlign val="subscript"/>
        <sz val="10"/>
        <color theme="1"/>
        <rFont val="Arial"/>
        <family val="2"/>
      </rPr>
      <t>)</t>
    </r>
  </si>
  <si>
    <t>Buck-Boost</t>
  </si>
  <si>
    <t>Buck-Only</t>
  </si>
  <si>
    <t>Desired Operation</t>
  </si>
  <si>
    <t>2.2 - 15</t>
  </si>
  <si>
    <r>
      <t>Maximum Inductor DCR, R</t>
    </r>
    <r>
      <rPr>
        <vertAlign val="subscript"/>
        <sz val="10"/>
        <color theme="1"/>
        <rFont val="Arial"/>
        <family val="2"/>
      </rPr>
      <t>DCR(max)</t>
    </r>
  </si>
  <si>
    <r>
      <t>Minimum Inductor DCR, R</t>
    </r>
    <r>
      <rPr>
        <vertAlign val="subscript"/>
        <sz val="10"/>
        <color theme="1"/>
        <rFont val="Arial"/>
        <family val="2"/>
      </rPr>
      <t>DCR(min)</t>
    </r>
  </si>
  <si>
    <r>
      <t>Recognized Nominal Inductance, L</t>
    </r>
    <r>
      <rPr>
        <vertAlign val="subscript"/>
        <sz val="10"/>
        <color theme="1"/>
        <rFont val="Arial"/>
        <family val="2"/>
      </rPr>
      <t>(nom)</t>
    </r>
  </si>
  <si>
    <r>
      <t>Desired Battery Regulation Target, V</t>
    </r>
    <r>
      <rPr>
        <b/>
        <vertAlign val="subscript"/>
        <sz val="10"/>
        <color theme="1"/>
        <rFont val="Arial"/>
        <family val="2"/>
      </rPr>
      <t>BATREG</t>
    </r>
  </si>
  <si>
    <r>
      <t>Selected Target Feedback Voltage, V</t>
    </r>
    <r>
      <rPr>
        <b/>
        <vertAlign val="subscript"/>
        <sz val="10"/>
        <color theme="1"/>
        <rFont val="Arial"/>
        <family val="2"/>
      </rPr>
      <t>FB</t>
    </r>
  </si>
  <si>
    <r>
      <t>Selected Feedback Top Resistor, R</t>
    </r>
    <r>
      <rPr>
        <b/>
        <vertAlign val="subscript"/>
        <sz val="10"/>
        <color theme="1"/>
        <rFont val="Arial"/>
        <family val="2"/>
      </rPr>
      <t>FB_TOP</t>
    </r>
  </si>
  <si>
    <r>
      <t>Selected Feedback Bottom Resistor, R</t>
    </r>
    <r>
      <rPr>
        <b/>
        <vertAlign val="subscript"/>
        <sz val="10"/>
        <color theme="1"/>
        <rFont val="Arial"/>
        <family val="2"/>
      </rPr>
      <t>FB_BOT</t>
    </r>
  </si>
  <si>
    <r>
      <t>Recognized Battery Regulation Target, V</t>
    </r>
    <r>
      <rPr>
        <vertAlign val="subscript"/>
        <sz val="10"/>
        <color theme="1"/>
        <rFont val="Arial"/>
        <family val="2"/>
      </rPr>
      <t>BATREG</t>
    </r>
  </si>
  <si>
    <r>
      <t>Selected Thermistor Cold Resistance, RTH</t>
    </r>
    <r>
      <rPr>
        <b/>
        <vertAlign val="subscript"/>
        <sz val="10"/>
        <color theme="1"/>
        <rFont val="Arial"/>
        <family val="2"/>
      </rPr>
      <t>COLD</t>
    </r>
  </si>
  <si>
    <r>
      <t>Selected Thermistor Hot Resistance, RTH</t>
    </r>
    <r>
      <rPr>
        <b/>
        <vertAlign val="subscript"/>
        <sz val="10"/>
        <color theme="1"/>
        <rFont val="Arial"/>
        <family val="2"/>
      </rPr>
      <t>HOT</t>
    </r>
  </si>
  <si>
    <r>
      <t>C</t>
    </r>
    <r>
      <rPr>
        <sz val="11"/>
        <color theme="1"/>
        <rFont val="Calibri"/>
        <family val="2"/>
      </rPr>
      <t>°</t>
    </r>
  </si>
  <si>
    <t>Parameter</t>
  </si>
  <si>
    <t>AONS66614</t>
  </si>
  <si>
    <t>SiR880BDP</t>
  </si>
  <si>
    <t>Units</t>
  </si>
  <si>
    <t>Custom</t>
  </si>
  <si>
    <r>
      <t>On-State Resistance V</t>
    </r>
    <r>
      <rPr>
        <b/>
        <vertAlign val="subscript"/>
        <sz val="10"/>
        <color theme="1"/>
        <rFont val="Arial"/>
        <family val="2"/>
      </rPr>
      <t>gs</t>
    </r>
    <r>
      <rPr>
        <b/>
        <sz val="10"/>
        <color theme="1"/>
        <rFont val="Arial"/>
        <family val="2"/>
      </rPr>
      <t xml:space="preserve"> = 4.5 V, R</t>
    </r>
    <r>
      <rPr>
        <b/>
        <vertAlign val="subscript"/>
        <sz val="10"/>
        <color theme="1"/>
        <rFont val="Arial"/>
        <family val="2"/>
      </rPr>
      <t>DS(on)</t>
    </r>
  </si>
  <si>
    <r>
      <t>On-State Resistance V</t>
    </r>
    <r>
      <rPr>
        <b/>
        <vertAlign val="subscript"/>
        <sz val="10"/>
        <color theme="1"/>
        <rFont val="Arial"/>
        <family val="2"/>
      </rPr>
      <t>gs</t>
    </r>
    <r>
      <rPr>
        <b/>
        <sz val="10"/>
        <color theme="1"/>
        <rFont val="Arial"/>
        <family val="2"/>
      </rPr>
      <t xml:space="preserve"> = 10 V, R</t>
    </r>
    <r>
      <rPr>
        <b/>
        <vertAlign val="subscript"/>
        <sz val="10"/>
        <color theme="1"/>
        <rFont val="Arial"/>
        <family val="2"/>
      </rPr>
      <t>DS(on)</t>
    </r>
  </si>
  <si>
    <r>
      <t>Custom Gate Drive Voltage, V</t>
    </r>
    <r>
      <rPr>
        <b/>
        <vertAlign val="subscript"/>
        <sz val="10"/>
        <color theme="1"/>
        <rFont val="Arial"/>
        <family val="2"/>
      </rPr>
      <t>gs</t>
    </r>
  </si>
  <si>
    <r>
      <t>On-State Resistance V</t>
    </r>
    <r>
      <rPr>
        <b/>
        <vertAlign val="subscript"/>
        <sz val="10"/>
        <color theme="1"/>
        <rFont val="Arial"/>
        <family val="2"/>
      </rPr>
      <t>gs</t>
    </r>
    <r>
      <rPr>
        <b/>
        <sz val="10"/>
        <color theme="1"/>
        <rFont val="Arial"/>
        <family val="2"/>
      </rPr>
      <t xml:space="preserve"> = Custom Voltage, R</t>
    </r>
    <r>
      <rPr>
        <b/>
        <vertAlign val="subscript"/>
        <sz val="10"/>
        <color theme="1"/>
        <rFont val="Arial"/>
        <family val="2"/>
      </rPr>
      <t>DS(on)</t>
    </r>
  </si>
  <si>
    <r>
      <t>Total Gate Charge Vgs = 4.5 V, Q</t>
    </r>
    <r>
      <rPr>
        <b/>
        <vertAlign val="subscript"/>
        <sz val="10"/>
        <color theme="1"/>
        <rFont val="Arial"/>
        <family val="2"/>
      </rPr>
      <t>G</t>
    </r>
  </si>
  <si>
    <r>
      <t>Total Gate Charge Vgs = 10 V, Q</t>
    </r>
    <r>
      <rPr>
        <b/>
        <vertAlign val="subscript"/>
        <sz val="10"/>
        <color theme="1"/>
        <rFont val="Arial"/>
        <family val="2"/>
      </rPr>
      <t>G</t>
    </r>
  </si>
  <si>
    <r>
      <t>Total Gate Charge Vgs = Custom Voltage, Q</t>
    </r>
    <r>
      <rPr>
        <b/>
        <vertAlign val="subscript"/>
        <sz val="10"/>
        <color theme="1"/>
        <rFont val="Arial"/>
        <family val="2"/>
      </rPr>
      <t>G</t>
    </r>
  </si>
  <si>
    <r>
      <t>Diode Forward Voltage, V</t>
    </r>
    <r>
      <rPr>
        <b/>
        <vertAlign val="subscript"/>
        <sz val="10"/>
        <color theme="1"/>
        <rFont val="Arial"/>
        <family val="2"/>
      </rPr>
      <t>SD</t>
    </r>
  </si>
  <si>
    <r>
      <t>Reverse Recovery Charge, Q</t>
    </r>
    <r>
      <rPr>
        <b/>
        <vertAlign val="subscript"/>
        <sz val="10"/>
        <color theme="1"/>
        <rFont val="Arial"/>
        <family val="2"/>
      </rPr>
      <t>RR</t>
    </r>
  </si>
  <si>
    <t>Custom MOSFET</t>
  </si>
  <si>
    <t>Step 11: Gate Drive Voltage</t>
  </si>
  <si>
    <t>MOSFET Selection</t>
  </si>
  <si>
    <t>TI Recommendation</t>
  </si>
  <si>
    <t>Compare</t>
  </si>
  <si>
    <t>Step 3: Filter Inductor</t>
  </si>
  <si>
    <t>Step 4a: Input Sense Resistors and Input Current Limit</t>
  </si>
  <si>
    <t>Step 4b: Output Current Limit</t>
  </si>
  <si>
    <t>Step 5: ACUV / ACOV Input Voltage Operating Window Programming</t>
  </si>
  <si>
    <t>Step 6: Charge Voltage Selection</t>
  </si>
  <si>
    <t>Step 7: Thermistor Qualification</t>
  </si>
  <si>
    <t>Step 8: MODE Resistance (BQ25758 Only)</t>
  </si>
  <si>
    <r>
      <t>On-State Resistance, R</t>
    </r>
    <r>
      <rPr>
        <b/>
        <vertAlign val="subscript"/>
        <sz val="10"/>
        <color theme="1"/>
        <rFont val="Arial"/>
        <family val="2"/>
      </rPr>
      <t>DS(on)</t>
    </r>
  </si>
  <si>
    <r>
      <t>Total Gate Charge, Q</t>
    </r>
    <r>
      <rPr>
        <b/>
        <vertAlign val="subscript"/>
        <sz val="10"/>
        <color theme="1"/>
        <rFont val="Arial"/>
        <family val="2"/>
      </rPr>
      <t>G</t>
    </r>
  </si>
  <si>
    <r>
      <t>P</t>
    </r>
    <r>
      <rPr>
        <vertAlign val="subscript"/>
        <sz val="11"/>
        <color theme="1"/>
        <rFont val="Calibri"/>
        <family val="2"/>
        <scheme val="minor"/>
      </rPr>
      <t>con_top</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</si>
  <si>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t>
    </r>
  </si>
  <si>
    <r>
      <t>I</t>
    </r>
    <r>
      <rPr>
        <vertAlign val="subscript"/>
        <sz val="11"/>
        <color theme="1"/>
        <rFont val="Calibri"/>
        <family val="2"/>
        <scheme val="minor"/>
      </rPr>
      <t>peak</t>
    </r>
    <r>
      <rPr>
        <sz val="11"/>
        <color theme="1"/>
        <rFont val="Calibri"/>
        <family val="2"/>
        <scheme val="minor"/>
      </rPr>
      <t xml:space="preserve"> (A)</t>
    </r>
  </si>
  <si>
    <r>
      <t>I</t>
    </r>
    <r>
      <rPr>
        <vertAlign val="subscript"/>
        <sz val="11"/>
        <color theme="1"/>
        <rFont val="Calibri"/>
        <family val="2"/>
        <scheme val="minor"/>
      </rPr>
      <t>on</t>
    </r>
    <r>
      <rPr>
        <sz val="11"/>
        <color theme="1"/>
        <rFont val="Calibri"/>
        <family val="2"/>
        <scheme val="minor"/>
      </rPr>
      <t xml:space="preserve"> (A)</t>
    </r>
  </si>
  <si>
    <r>
      <t>I</t>
    </r>
    <r>
      <rPr>
        <vertAlign val="subscript"/>
        <sz val="11"/>
        <color theme="1"/>
        <rFont val="Calibri"/>
        <family val="2"/>
        <scheme val="minor"/>
      </rPr>
      <t>off</t>
    </r>
    <r>
      <rPr>
        <sz val="11"/>
        <color theme="1"/>
        <rFont val="Calibri"/>
        <family val="2"/>
        <scheme val="minor"/>
      </rPr>
      <t xml:space="preserve"> (A)</t>
    </r>
  </si>
  <si>
    <r>
      <t>t</t>
    </r>
    <r>
      <rPr>
        <vertAlign val="subscript"/>
        <sz val="11"/>
        <color theme="1"/>
        <rFont val="Calibri"/>
        <family val="2"/>
        <scheme val="minor"/>
      </rPr>
      <t>on</t>
    </r>
    <r>
      <rPr>
        <sz val="11"/>
        <color theme="1"/>
        <rFont val="Calibri"/>
        <family val="2"/>
        <scheme val="minor"/>
      </rPr>
      <t xml:space="preserve"> (ns)</t>
    </r>
  </si>
  <si>
    <r>
      <t>t</t>
    </r>
    <r>
      <rPr>
        <vertAlign val="subscript"/>
        <sz val="11"/>
        <color theme="1"/>
        <rFont val="Calibri"/>
        <family val="2"/>
        <scheme val="minor"/>
      </rPr>
      <t>off</t>
    </r>
    <r>
      <rPr>
        <sz val="11"/>
        <color theme="1"/>
        <rFont val="Calibri"/>
        <family val="2"/>
        <scheme val="minor"/>
      </rPr>
      <t xml:space="preserve"> (ns)</t>
    </r>
  </si>
  <si>
    <t>Column1</t>
  </si>
  <si>
    <r>
      <t>P</t>
    </r>
    <r>
      <rPr>
        <vertAlign val="subscript"/>
        <sz val="11"/>
        <color theme="1"/>
        <rFont val="Calibri"/>
        <family val="2"/>
        <scheme val="minor"/>
      </rPr>
      <t>IV</t>
    </r>
    <r>
      <rPr>
        <sz val="11"/>
        <color theme="1"/>
        <rFont val="Calibri"/>
        <family val="2"/>
        <scheme val="minor"/>
      </rPr>
      <t xml:space="preserve"> (mW)</t>
    </r>
  </si>
  <si>
    <r>
      <t>P</t>
    </r>
    <r>
      <rPr>
        <vertAlign val="subscript"/>
        <sz val="11"/>
        <color theme="1"/>
        <rFont val="Calibri"/>
        <family val="2"/>
        <scheme val="minor"/>
      </rPr>
      <t xml:space="preserve">qoss </t>
    </r>
    <r>
      <rPr>
        <sz val="11"/>
        <color theme="1"/>
        <rFont val="Calibri"/>
        <family val="2"/>
        <scheme val="minor"/>
      </rPr>
      <t>(mW)</t>
    </r>
  </si>
  <si>
    <r>
      <t>P</t>
    </r>
    <r>
      <rPr>
        <vertAlign val="subscript"/>
        <sz val="11"/>
        <color theme="1"/>
        <rFont val="Calibri"/>
        <family val="2"/>
        <scheme val="minor"/>
      </rPr>
      <t>sw_top</t>
    </r>
    <r>
      <rPr>
        <sz val="11"/>
        <color theme="1"/>
        <rFont val="Calibri"/>
        <family val="2"/>
        <scheme val="minor"/>
      </rPr>
      <t xml:space="preserve"> (mW)</t>
    </r>
  </si>
  <si>
    <r>
      <t>P</t>
    </r>
    <r>
      <rPr>
        <vertAlign val="subscript"/>
        <sz val="11"/>
        <color theme="1"/>
        <rFont val="Calibri"/>
        <family val="2"/>
        <scheme val="minor"/>
      </rPr>
      <t>top</t>
    </r>
    <r>
      <rPr>
        <sz val="11"/>
        <color theme="1"/>
        <rFont val="Calibri"/>
        <family val="2"/>
        <scheme val="minor"/>
      </rPr>
      <t xml:space="preserve"> (mW)</t>
    </r>
  </si>
  <si>
    <r>
      <t>P</t>
    </r>
    <r>
      <rPr>
        <vertAlign val="subscript"/>
        <sz val="11"/>
        <color theme="1"/>
        <rFont val="Calibri"/>
        <family val="2"/>
        <scheme val="minor"/>
      </rPr>
      <t>con_bottom</t>
    </r>
    <r>
      <rPr>
        <sz val="11"/>
        <color theme="1"/>
        <rFont val="Calibri"/>
        <family val="2"/>
        <scheme val="minor"/>
      </rPr>
      <t xml:space="preserve"> (mW)</t>
    </r>
  </si>
  <si>
    <r>
      <t>P</t>
    </r>
    <r>
      <rPr>
        <vertAlign val="subscript"/>
        <sz val="11"/>
        <color theme="1"/>
        <rFont val="Calibri"/>
        <family val="2"/>
        <scheme val="minor"/>
      </rPr>
      <t>RR</t>
    </r>
    <r>
      <rPr>
        <sz val="11"/>
        <color theme="1"/>
        <rFont val="Calibri"/>
        <family val="2"/>
        <scheme val="minor"/>
      </rPr>
      <t xml:space="preserve"> (mW)</t>
    </r>
  </si>
  <si>
    <r>
      <t>Body Diode Forward Voltage, V</t>
    </r>
    <r>
      <rPr>
        <b/>
        <vertAlign val="subscript"/>
        <sz val="10"/>
        <color theme="1"/>
        <rFont val="Arial"/>
        <family val="2"/>
      </rPr>
      <t>SD</t>
    </r>
  </si>
  <si>
    <r>
      <t>P</t>
    </r>
    <r>
      <rPr>
        <vertAlign val="subscript"/>
        <sz val="11"/>
        <color theme="1"/>
        <rFont val="Calibri"/>
        <family val="2"/>
        <scheme val="minor"/>
      </rPr>
      <t xml:space="preserve">dead </t>
    </r>
    <r>
      <rPr>
        <sz val="11"/>
        <color theme="1"/>
        <rFont val="Calibri"/>
        <family val="2"/>
        <scheme val="minor"/>
      </rPr>
      <t>(mW)</t>
    </r>
  </si>
  <si>
    <r>
      <t>P</t>
    </r>
    <r>
      <rPr>
        <vertAlign val="subscript"/>
        <sz val="11"/>
        <color theme="1"/>
        <rFont val="Calibri"/>
        <family val="2"/>
        <scheme val="minor"/>
      </rPr>
      <t>gate_bottom</t>
    </r>
    <r>
      <rPr>
        <sz val="11"/>
        <color theme="1"/>
        <rFont val="Calibri"/>
        <family val="2"/>
        <scheme val="minor"/>
      </rPr>
      <t xml:space="preserve"> (mW)</t>
    </r>
  </si>
  <si>
    <r>
      <t>P</t>
    </r>
    <r>
      <rPr>
        <vertAlign val="subscript"/>
        <sz val="11"/>
        <color theme="1"/>
        <rFont val="Calibri"/>
        <family val="2"/>
        <scheme val="minor"/>
      </rPr>
      <t xml:space="preserve">gate_top </t>
    </r>
    <r>
      <rPr>
        <sz val="11"/>
        <color theme="1"/>
        <rFont val="Calibri"/>
        <family val="2"/>
        <scheme val="minor"/>
      </rPr>
      <t>(mW)</t>
    </r>
  </si>
  <si>
    <r>
      <t>P</t>
    </r>
    <r>
      <rPr>
        <vertAlign val="subscript"/>
        <sz val="11"/>
        <color theme="1"/>
        <rFont val="Calibri"/>
        <family val="2"/>
        <scheme val="minor"/>
      </rPr>
      <t>bottom</t>
    </r>
    <r>
      <rPr>
        <sz val="11"/>
        <color theme="1"/>
        <rFont val="Calibri"/>
        <family val="2"/>
        <scheme val="minor"/>
      </rPr>
      <t xml:space="preserve"> (mW)</t>
    </r>
  </si>
  <si>
    <r>
      <t>Boost Output Voltage Limitation at V</t>
    </r>
    <r>
      <rPr>
        <vertAlign val="subscript"/>
        <sz val="10"/>
        <color theme="1"/>
        <rFont val="Arial"/>
        <family val="2"/>
      </rPr>
      <t>AC(min)</t>
    </r>
  </si>
  <si>
    <r>
      <t>Boost Output Voltage Limitation at V</t>
    </r>
    <r>
      <rPr>
        <vertAlign val="subscript"/>
        <sz val="10"/>
        <color theme="1"/>
        <rFont val="Arial"/>
        <family val="2"/>
      </rPr>
      <t>AC(nom)</t>
    </r>
  </si>
  <si>
    <r>
      <t>Boost Output Voltage Limitation at V</t>
    </r>
    <r>
      <rPr>
        <vertAlign val="subscript"/>
        <sz val="10"/>
        <color theme="1"/>
        <rFont val="Arial"/>
        <family val="2"/>
      </rPr>
      <t>AC(max)</t>
    </r>
  </si>
  <si>
    <t>Column2</t>
  </si>
  <si>
    <t>Column3</t>
  </si>
  <si>
    <t>Column4</t>
  </si>
  <si>
    <t>Column5</t>
  </si>
  <si>
    <t>Column6</t>
  </si>
  <si>
    <t>Column7</t>
  </si>
  <si>
    <t>Column10</t>
  </si>
  <si>
    <t>Pbottom (mW)20</t>
  </si>
  <si>
    <t>TI MOSFET Recommendation Power Losses</t>
  </si>
  <si>
    <t>Custom MOSFET Power Losses</t>
  </si>
  <si>
    <t>Total TI (mW)</t>
  </si>
  <si>
    <r>
      <t>P</t>
    </r>
    <r>
      <rPr>
        <vertAlign val="subscript"/>
        <sz val="11"/>
        <color theme="1"/>
        <rFont val="Calibri"/>
        <family val="2"/>
        <scheme val="minor"/>
      </rPr>
      <t>sw_bottom</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</si>
  <si>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 C</t>
    </r>
  </si>
  <si>
    <r>
      <t>I</t>
    </r>
    <r>
      <rPr>
        <vertAlign val="subscript"/>
        <sz val="11"/>
        <color theme="1"/>
        <rFont val="Calibri"/>
        <family val="2"/>
        <scheme val="minor"/>
      </rPr>
      <t>peak</t>
    </r>
    <r>
      <rPr>
        <sz val="11"/>
        <color theme="1"/>
        <rFont val="Calibri"/>
        <family val="2"/>
        <scheme val="minor"/>
      </rPr>
      <t xml:space="preserve"> (A) C</t>
    </r>
  </si>
  <si>
    <r>
      <t>I</t>
    </r>
    <r>
      <rPr>
        <vertAlign val="subscript"/>
        <sz val="11"/>
        <color theme="1"/>
        <rFont val="Calibri"/>
        <family val="2"/>
        <scheme val="minor"/>
      </rPr>
      <t>on</t>
    </r>
    <r>
      <rPr>
        <sz val="11"/>
        <color theme="1"/>
        <rFont val="Calibri"/>
        <family val="2"/>
        <scheme val="minor"/>
      </rPr>
      <t xml:space="preserve"> (A) C</t>
    </r>
  </si>
  <si>
    <r>
      <t>I</t>
    </r>
    <r>
      <rPr>
        <vertAlign val="subscript"/>
        <sz val="11"/>
        <color theme="1"/>
        <rFont val="Calibri"/>
        <family val="2"/>
        <scheme val="minor"/>
      </rPr>
      <t>off</t>
    </r>
    <r>
      <rPr>
        <sz val="11"/>
        <color theme="1"/>
        <rFont val="Calibri"/>
        <family val="2"/>
        <scheme val="minor"/>
      </rPr>
      <t xml:space="preserve"> (A) C</t>
    </r>
  </si>
  <si>
    <r>
      <t>t</t>
    </r>
    <r>
      <rPr>
        <vertAlign val="subscript"/>
        <sz val="11"/>
        <color theme="1"/>
        <rFont val="Calibri"/>
        <family val="2"/>
        <scheme val="minor"/>
      </rPr>
      <t>on</t>
    </r>
    <r>
      <rPr>
        <sz val="11"/>
        <color theme="1"/>
        <rFont val="Calibri"/>
        <family val="2"/>
        <scheme val="minor"/>
      </rPr>
      <t xml:space="preserve"> (ns) C</t>
    </r>
  </si>
  <si>
    <r>
      <t>t</t>
    </r>
    <r>
      <rPr>
        <vertAlign val="subscript"/>
        <sz val="11"/>
        <color theme="1"/>
        <rFont val="Calibri"/>
        <family val="2"/>
        <scheme val="minor"/>
      </rPr>
      <t>off</t>
    </r>
    <r>
      <rPr>
        <sz val="11"/>
        <color theme="1"/>
        <rFont val="Calibri"/>
        <family val="2"/>
        <scheme val="minor"/>
      </rPr>
      <t xml:space="preserve"> (ns) C</t>
    </r>
  </si>
  <si>
    <r>
      <t>P</t>
    </r>
    <r>
      <rPr>
        <vertAlign val="subscript"/>
        <sz val="11"/>
        <color theme="1"/>
        <rFont val="Calibri"/>
        <family val="2"/>
        <scheme val="minor"/>
      </rPr>
      <t>IV</t>
    </r>
    <r>
      <rPr>
        <sz val="11"/>
        <color theme="1"/>
        <rFont val="Calibri"/>
        <family val="2"/>
        <scheme val="minor"/>
      </rPr>
      <t xml:space="preserve"> (mW) C</t>
    </r>
  </si>
  <si>
    <r>
      <t>P</t>
    </r>
    <r>
      <rPr>
        <vertAlign val="subscript"/>
        <sz val="11"/>
        <color theme="1"/>
        <rFont val="Calibri"/>
        <family val="2"/>
        <scheme val="minor"/>
      </rPr>
      <t>Qoss</t>
    </r>
    <r>
      <rPr>
        <sz val="11"/>
        <color theme="1"/>
        <rFont val="Calibri"/>
        <family val="2"/>
        <scheme val="minor"/>
      </rPr>
      <t xml:space="preserve"> (mW) C</t>
    </r>
  </si>
  <si>
    <r>
      <t>P</t>
    </r>
    <r>
      <rPr>
        <vertAlign val="subscript"/>
        <sz val="11"/>
        <color theme="1"/>
        <rFont val="Calibri"/>
        <family val="2"/>
        <scheme val="minor"/>
      </rPr>
      <t>gate_top</t>
    </r>
    <r>
      <rPr>
        <sz val="11"/>
        <color theme="1"/>
        <rFont val="Calibri"/>
        <family val="2"/>
        <scheme val="minor"/>
      </rPr>
      <t xml:space="preserve"> (mW) C</t>
    </r>
  </si>
  <si>
    <r>
      <t>P</t>
    </r>
    <r>
      <rPr>
        <vertAlign val="subscript"/>
        <sz val="11"/>
        <color theme="1"/>
        <rFont val="Calibri"/>
        <family val="2"/>
        <scheme val="minor"/>
      </rPr>
      <t>RR</t>
    </r>
    <r>
      <rPr>
        <sz val="11"/>
        <color theme="1"/>
        <rFont val="Calibri"/>
        <family val="2"/>
        <scheme val="minor"/>
      </rPr>
      <t xml:space="preserve"> (mW) C</t>
    </r>
  </si>
  <si>
    <r>
      <t>P</t>
    </r>
    <r>
      <rPr>
        <vertAlign val="subscript"/>
        <sz val="11"/>
        <color theme="1"/>
        <rFont val="Calibri"/>
        <family val="2"/>
        <scheme val="minor"/>
      </rPr>
      <t>dead</t>
    </r>
    <r>
      <rPr>
        <sz val="11"/>
        <color theme="1"/>
        <rFont val="Calibri"/>
        <family val="2"/>
        <scheme val="minor"/>
      </rPr>
      <t xml:space="preserve"> (mW) C</t>
    </r>
  </si>
  <si>
    <r>
      <t>P</t>
    </r>
    <r>
      <rPr>
        <vertAlign val="subscript"/>
        <sz val="11"/>
        <color theme="1"/>
        <rFont val="Calibri"/>
        <family val="2"/>
        <scheme val="minor"/>
      </rPr>
      <t>gate_bottom</t>
    </r>
    <r>
      <rPr>
        <sz val="11"/>
        <color theme="1"/>
        <rFont val="Calibri"/>
        <family val="2"/>
        <scheme val="minor"/>
      </rPr>
      <t xml:space="preserve"> (mW) C</t>
    </r>
  </si>
  <si>
    <r>
      <t>P</t>
    </r>
    <r>
      <rPr>
        <vertAlign val="subscript"/>
        <sz val="11"/>
        <color theme="1"/>
        <rFont val="Calibri"/>
        <family val="2"/>
        <scheme val="minor"/>
      </rPr>
      <t>con_top</t>
    </r>
    <r>
      <rPr>
        <sz val="11"/>
        <color theme="1"/>
        <rFont val="Calibri"/>
        <family val="2"/>
        <scheme val="minor"/>
      </rPr>
      <t xml:space="preserve"> (mW) C</t>
    </r>
  </si>
  <si>
    <r>
      <t>P</t>
    </r>
    <r>
      <rPr>
        <vertAlign val="subscript"/>
        <sz val="11"/>
        <color theme="1"/>
        <rFont val="Calibri"/>
        <family val="2"/>
        <scheme val="minor"/>
      </rPr>
      <t>sw_top</t>
    </r>
    <r>
      <rPr>
        <sz val="11"/>
        <color theme="1"/>
        <rFont val="Calibri"/>
        <family val="2"/>
        <scheme val="minor"/>
      </rPr>
      <t xml:space="preserve"> (mW) C</t>
    </r>
  </si>
  <si>
    <r>
      <t>P</t>
    </r>
    <r>
      <rPr>
        <vertAlign val="subscript"/>
        <sz val="11"/>
        <color theme="1"/>
        <rFont val="Calibri"/>
        <family val="2"/>
        <scheme val="minor"/>
      </rPr>
      <t>top</t>
    </r>
    <r>
      <rPr>
        <sz val="11"/>
        <color theme="1"/>
        <rFont val="Calibri"/>
        <family val="2"/>
        <scheme val="minor"/>
      </rPr>
      <t xml:space="preserve"> (mW) C</t>
    </r>
  </si>
  <si>
    <r>
      <t>P</t>
    </r>
    <r>
      <rPr>
        <vertAlign val="subscript"/>
        <sz val="11"/>
        <color theme="1"/>
        <rFont val="Calibri"/>
        <family val="2"/>
        <scheme val="minor"/>
      </rPr>
      <t>con_bottom</t>
    </r>
    <r>
      <rPr>
        <sz val="11"/>
        <color theme="1"/>
        <rFont val="Calibri"/>
        <family val="2"/>
        <scheme val="minor"/>
      </rPr>
      <t xml:space="preserve"> (mW) C</t>
    </r>
  </si>
  <si>
    <r>
      <t>P</t>
    </r>
    <r>
      <rPr>
        <vertAlign val="subscript"/>
        <sz val="11"/>
        <color theme="1"/>
        <rFont val="Calibri"/>
        <family val="2"/>
        <scheme val="minor"/>
      </rPr>
      <t>sw_bottom</t>
    </r>
    <r>
      <rPr>
        <sz val="11"/>
        <color theme="1"/>
        <rFont val="Calibri"/>
        <family val="2"/>
        <scheme val="minor"/>
      </rPr>
      <t xml:space="preserve"> (mV) C</t>
    </r>
  </si>
  <si>
    <r>
      <t>P</t>
    </r>
    <r>
      <rPr>
        <vertAlign val="subscript"/>
        <sz val="11"/>
        <color theme="1"/>
        <rFont val="Calibri"/>
        <family val="2"/>
        <scheme val="minor"/>
      </rPr>
      <t>bottom</t>
    </r>
    <r>
      <rPr>
        <sz val="11"/>
        <color theme="1"/>
        <rFont val="Calibri"/>
        <family val="2"/>
        <scheme val="minor"/>
      </rPr>
      <t xml:space="preserve"> (mW) C</t>
    </r>
  </si>
  <si>
    <t>R_AC (mW)</t>
  </si>
  <si>
    <t>Inductor Loss (mW)</t>
  </si>
  <si>
    <t>R_SR (mW)</t>
  </si>
  <si>
    <t>Sense and Inductor Loss</t>
  </si>
  <si>
    <t>Total Power Loss (W)</t>
  </si>
  <si>
    <r>
      <t>P</t>
    </r>
    <r>
      <rPr>
        <vertAlign val="subscript"/>
        <sz val="11"/>
        <color theme="1"/>
        <rFont val="Calibri"/>
        <family val="2"/>
        <scheme val="minor"/>
      </rPr>
      <t>OUT</t>
    </r>
    <r>
      <rPr>
        <sz val="11"/>
        <color theme="1"/>
        <rFont val="Calibri"/>
        <family val="2"/>
        <scheme val="minor"/>
      </rPr>
      <t xml:space="preserve"> (W)</t>
    </r>
  </si>
  <si>
    <r>
      <t>I</t>
    </r>
    <r>
      <rPr>
        <vertAlign val="subscript"/>
        <sz val="11"/>
        <color theme="1"/>
        <rFont val="Arial"/>
        <family val="2"/>
      </rPr>
      <t>OUT</t>
    </r>
    <r>
      <rPr>
        <sz val="11"/>
        <color theme="1"/>
        <rFont val="Arial"/>
        <family val="2"/>
      </rPr>
      <t xml:space="preserve"> (A)</t>
    </r>
  </si>
  <si>
    <t>TI MOSFET Efficiency</t>
  </si>
  <si>
    <t>Column52</t>
  </si>
  <si>
    <t>Total Sense Loss C</t>
  </si>
  <si>
    <t>Total MOSFET Loss C</t>
  </si>
  <si>
    <t>Total Power Loss (W) C</t>
  </si>
  <si>
    <t>Efficiency C</t>
  </si>
  <si>
    <t>Total (mW) C</t>
  </si>
  <si>
    <t>Total Sense Loss P1</t>
  </si>
  <si>
    <t>Total MOSFET Loss P1</t>
  </si>
  <si>
    <t>Efficiency P1</t>
  </si>
  <si>
    <t>Efficiency P2</t>
  </si>
  <si>
    <t>Custom MOSFET Efficiency</t>
  </si>
  <si>
    <t>Plot 1</t>
  </si>
  <si>
    <t>Total Sense Loss P2</t>
  </si>
  <si>
    <t>Total MOSFET Loss P2</t>
  </si>
  <si>
    <t>Plot 2</t>
  </si>
  <si>
    <t>Total Sense Loss P1 Saved</t>
  </si>
  <si>
    <t>Total MOSFET Loss P1 Saved</t>
  </si>
  <si>
    <t>Efficiency P1 Saved</t>
  </si>
  <si>
    <t>Total Sense Loss P2 Saved</t>
  </si>
  <si>
    <t>Total MOSFET Loss P2 Saved</t>
  </si>
  <si>
    <t>Efficiency P2 Saved</t>
  </si>
  <si>
    <t>Saved Plot 1</t>
  </si>
  <si>
    <t>Saved Plot 2</t>
  </si>
  <si>
    <r>
      <t>Selected Gate Drive Voltage, V</t>
    </r>
    <r>
      <rPr>
        <b/>
        <vertAlign val="subscript"/>
        <sz val="10"/>
        <color theme="1"/>
        <rFont val="Arial"/>
        <family val="2"/>
      </rPr>
      <t>gs</t>
    </r>
  </si>
  <si>
    <t>Maximum Recommended Inductor DCR</t>
  </si>
  <si>
    <t>Minimum Recommended Inductor DCR</t>
  </si>
  <si>
    <r>
      <t>Recommended Target Feedback Voltage, V</t>
    </r>
    <r>
      <rPr>
        <vertAlign val="subscript"/>
        <sz val="10"/>
        <color theme="1"/>
        <rFont val="Arial"/>
        <family val="2"/>
      </rPr>
      <t>FB</t>
    </r>
  </si>
  <si>
    <r>
      <t>Output Capacitance, C</t>
    </r>
    <r>
      <rPr>
        <b/>
        <vertAlign val="subscript"/>
        <sz val="10"/>
        <color theme="1"/>
        <rFont val="Arial"/>
        <family val="2"/>
      </rPr>
      <t>OUT</t>
    </r>
  </si>
  <si>
    <r>
      <t>Minimum Output Capacitance, C</t>
    </r>
    <r>
      <rPr>
        <vertAlign val="subscript"/>
        <sz val="10"/>
        <color theme="1"/>
        <rFont val="Arial"/>
        <family val="2"/>
      </rPr>
      <t>OUT</t>
    </r>
  </si>
  <si>
    <r>
      <t>Output Capacitor RMS Ripple Current, I</t>
    </r>
    <r>
      <rPr>
        <vertAlign val="subscript"/>
        <sz val="10"/>
        <color theme="1"/>
        <rFont val="Arial"/>
        <family val="2"/>
      </rPr>
      <t>CBAT</t>
    </r>
  </si>
  <si>
    <t>mV</t>
  </si>
  <si>
    <r>
      <t>Output Capacitive Ripple Voltage, V</t>
    </r>
    <r>
      <rPr>
        <vertAlign val="subscript"/>
        <sz val="10"/>
        <color theme="1"/>
        <rFont val="Arial"/>
        <family val="2"/>
      </rPr>
      <t>RIPPLE(CBAT)</t>
    </r>
  </si>
  <si>
    <r>
      <t>Output ESR Voltage Ripple, V</t>
    </r>
    <r>
      <rPr>
        <vertAlign val="subscript"/>
        <sz val="10"/>
        <color theme="1"/>
        <rFont val="Arial"/>
        <family val="2"/>
      </rPr>
      <t>RIPPLE(ESR)</t>
    </r>
  </si>
  <si>
    <r>
      <t>Input Capacitance, C</t>
    </r>
    <r>
      <rPr>
        <b/>
        <vertAlign val="subscript"/>
        <sz val="10"/>
        <color theme="1"/>
        <rFont val="Arial"/>
        <family val="2"/>
      </rPr>
      <t>OUT</t>
    </r>
  </si>
  <si>
    <t>Input Capacitor ESR</t>
  </si>
  <si>
    <r>
      <t>Input Capacitor RMS Ripple Current, I</t>
    </r>
    <r>
      <rPr>
        <vertAlign val="subscript"/>
        <sz val="10"/>
        <color theme="1"/>
        <rFont val="Arial"/>
        <family val="2"/>
      </rPr>
      <t>CBAT</t>
    </r>
  </si>
  <si>
    <t>Step 9: Input Capacitor</t>
  </si>
  <si>
    <t>Step 10: Output Capacitor</t>
  </si>
  <si>
    <r>
      <t>Output Charge, Q</t>
    </r>
    <r>
      <rPr>
        <b/>
        <vertAlign val="subscript"/>
        <sz val="10"/>
        <color theme="1"/>
        <rFont val="Arial"/>
        <family val="2"/>
      </rPr>
      <t>OSS</t>
    </r>
  </si>
  <si>
    <t>Show TI MOSFET Recommendation</t>
  </si>
  <si>
    <t>No</t>
  </si>
  <si>
    <t>TI Recommended MOSFET</t>
  </si>
  <si>
    <t>Yes</t>
  </si>
  <si>
    <t>Save Button</t>
  </si>
  <si>
    <t>Ideal TS Top Resistor, RT1</t>
  </si>
  <si>
    <t>Ideal TS Bottom Resistor, RT2</t>
  </si>
  <si>
    <t>Thermistor Qualification</t>
  </si>
  <si>
    <t>0.1% Real RT Resistors</t>
  </si>
  <si>
    <t>Min</t>
  </si>
  <si>
    <t>Typ</t>
  </si>
  <si>
    <t>Max</t>
  </si>
  <si>
    <t>Unit</t>
  </si>
  <si>
    <r>
      <t>Selected Cold Temperature Threshold, T</t>
    </r>
    <r>
      <rPr>
        <b/>
        <vertAlign val="subscript"/>
        <sz val="10"/>
        <color theme="1"/>
        <rFont val="Arial"/>
        <family val="2"/>
      </rPr>
      <t>1</t>
    </r>
  </si>
  <si>
    <r>
      <t>Selected Hot Temperature Threshold, T</t>
    </r>
    <r>
      <rPr>
        <b/>
        <vertAlign val="subscript"/>
        <sz val="10"/>
        <color theme="1"/>
        <rFont val="Arial"/>
        <family val="2"/>
      </rPr>
      <t>5</t>
    </r>
  </si>
  <si>
    <r>
      <t>Selected Warm Temperature Threshold, T</t>
    </r>
    <r>
      <rPr>
        <b/>
        <vertAlign val="subscript"/>
        <sz val="10"/>
        <color theme="1"/>
        <rFont val="Arial"/>
        <family val="2"/>
      </rPr>
      <t>3</t>
    </r>
  </si>
  <si>
    <r>
      <t>Selected Cool Temperature Threshold, T</t>
    </r>
    <r>
      <rPr>
        <b/>
        <vertAlign val="subscript"/>
        <sz val="10"/>
        <color theme="1"/>
        <rFont val="Arial"/>
        <family val="2"/>
      </rPr>
      <t>2</t>
    </r>
  </si>
  <si>
    <t>Enter COLD, VT1_RISE</t>
  </si>
  <si>
    <t>Exit COLD, VT1_FALL</t>
  </si>
  <si>
    <t>Enter COOL, VT2_RISE</t>
  </si>
  <si>
    <t>EXIT COOL, VT2_FALL</t>
  </si>
  <si>
    <t>Enter WARM, VT3_RISE</t>
  </si>
  <si>
    <t>EXIT WARM, VT3_FALL</t>
  </si>
  <si>
    <t>Enter HOT, VT5_RISE</t>
  </si>
  <si>
    <t>EXIT HOT, VT5_FALL</t>
  </si>
  <si>
    <t>Thermistor Resistance Profile</t>
  </si>
  <si>
    <r>
      <t>V</t>
    </r>
    <r>
      <rPr>
        <vertAlign val="subscript"/>
        <sz val="11"/>
        <color theme="1"/>
        <rFont val="Calibri"/>
        <family val="2"/>
        <scheme val="minor"/>
      </rPr>
      <t>min</t>
    </r>
    <r>
      <rPr>
        <sz val="11"/>
        <color theme="1"/>
        <rFont val="Calibri"/>
        <family val="2"/>
        <scheme val="minor"/>
      </rPr>
      <t xml:space="preserve"> (%)</t>
    </r>
  </si>
  <si>
    <r>
      <t>R</t>
    </r>
    <r>
      <rPr>
        <vertAlign val="subscript"/>
        <sz val="11"/>
        <color theme="1"/>
        <rFont val="Calibri"/>
        <family val="2"/>
        <scheme val="minor"/>
      </rPr>
      <t>Lower(min)</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</si>
  <si>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Lower(nom)</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</si>
  <si>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Lower(max)</t>
    </r>
    <r>
      <rPr>
        <sz val="11"/>
        <color theme="1"/>
        <rFont val="Calibri"/>
        <family val="2"/>
        <scheme val="minor"/>
      </rPr>
      <t xml:space="preserve"> (k</t>
    </r>
    <r>
      <rPr>
        <sz val="11"/>
        <color theme="1"/>
        <rFont val="Calibri"/>
        <family val="2"/>
      </rPr>
      <t>Ω)</t>
    </r>
  </si>
  <si>
    <r>
      <t>V</t>
    </r>
    <r>
      <rPr>
        <vertAlign val="subscript"/>
        <sz val="11"/>
        <color theme="1"/>
        <rFont val="Calibri"/>
        <family val="2"/>
        <scheme val="minor"/>
      </rPr>
      <t>nom</t>
    </r>
    <r>
      <rPr>
        <sz val="11"/>
        <color theme="1"/>
        <rFont val="Calibri"/>
        <family val="2"/>
        <scheme val="minor"/>
      </rPr>
      <t xml:space="preserve"> (%)</t>
    </r>
  </si>
  <si>
    <r>
      <t>V</t>
    </r>
    <r>
      <rPr>
        <vertAlign val="subscript"/>
        <sz val="11"/>
        <color theme="1"/>
        <rFont val="Calibri"/>
        <family val="2"/>
        <scheme val="minor"/>
      </rPr>
      <t>max</t>
    </r>
    <r>
      <rPr>
        <sz val="11"/>
        <color theme="1"/>
        <rFont val="Calibri"/>
        <family val="2"/>
        <scheme val="minor"/>
      </rPr>
      <t xml:space="preserve"> (%)</t>
    </r>
  </si>
  <si>
    <t>Charging Code</t>
  </si>
  <si>
    <t>Hysteresis</t>
  </si>
  <si>
    <t>Charging Region</t>
  </si>
  <si>
    <r>
      <t>RTH</t>
    </r>
    <r>
      <rPr>
        <vertAlign val="subscript"/>
        <sz val="11"/>
        <color theme="1"/>
        <rFont val="Calibri"/>
        <family val="2"/>
        <scheme val="minor"/>
      </rPr>
      <t>(min)</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</si>
  <si>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(nom)</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</si>
  <si>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(max)</t>
    </r>
    <r>
      <rPr>
        <sz val="11"/>
        <color theme="1"/>
        <rFont val="Calibri"/>
        <family val="2"/>
        <scheme val="minor"/>
      </rPr>
      <t xml:space="preserve"> (k</t>
    </r>
    <r>
      <rPr>
        <sz val="11"/>
        <color theme="1"/>
        <rFont val="Calibri"/>
        <family val="2"/>
      </rPr>
      <t>Ω)</t>
    </r>
  </si>
  <si>
    <t>Temperature</t>
  </si>
  <si>
    <t>Enter Cold</t>
  </si>
  <si>
    <t>°C</t>
  </si>
  <si>
    <t>Exit Cold</t>
  </si>
  <si>
    <t>Enter Cool</t>
  </si>
  <si>
    <t>Exit Cool</t>
  </si>
  <si>
    <t>Exit Warm</t>
  </si>
  <si>
    <t>Enter Warm</t>
  </si>
  <si>
    <t>Exit Hot</t>
  </si>
  <si>
    <t>Enter Hot</t>
  </si>
  <si>
    <t>Target (MIN)</t>
  </si>
  <si>
    <t>1st VLOOK MIN</t>
  </si>
  <si>
    <t>2nd VLOOK MIN</t>
  </si>
  <si>
    <t>1st Diff</t>
  </si>
  <si>
    <t>2nd Diff</t>
  </si>
  <si>
    <t>Closest VLOOK MIN</t>
  </si>
  <si>
    <t>MIN Temp</t>
  </si>
  <si>
    <t>Target (Typ)</t>
  </si>
  <si>
    <t>1st VLOOK TYP</t>
  </si>
  <si>
    <t>2nd VLOOK TYP</t>
  </si>
  <si>
    <t>1st Diff Typ</t>
  </si>
  <si>
    <t>2nd Diff TYP</t>
  </si>
  <si>
    <t>Closest VLOOK TYP</t>
  </si>
  <si>
    <t>TYP Temp</t>
  </si>
  <si>
    <t>Target (MAX)</t>
  </si>
  <si>
    <t>1st VLOOK MAX</t>
  </si>
  <si>
    <t>2nd VLOOK MAX</t>
  </si>
  <si>
    <t>1st Diff MAX</t>
  </si>
  <si>
    <t>2nd Diff MAX</t>
  </si>
  <si>
    <t>Closest VLOOK MAX</t>
  </si>
  <si>
    <t>MAX Temp</t>
  </si>
  <si>
    <r>
      <t>Thermistor Cold Resistance, RTH</t>
    </r>
    <r>
      <rPr>
        <b/>
        <vertAlign val="subscript"/>
        <sz val="10"/>
        <color theme="1"/>
        <rFont val="Arial"/>
        <family val="2"/>
      </rPr>
      <t>COLD</t>
    </r>
  </si>
  <si>
    <r>
      <t>Thermistor Hot Resistance, RTH</t>
    </r>
    <r>
      <rPr>
        <b/>
        <vertAlign val="subscript"/>
        <sz val="10"/>
        <color theme="1"/>
        <rFont val="Arial"/>
        <family val="2"/>
      </rPr>
      <t>HOT</t>
    </r>
  </si>
  <si>
    <t>SiR680LDP</t>
  </si>
  <si>
    <t>Boost Duty Cycle Limitation</t>
  </si>
  <si>
    <r>
      <rPr>
        <sz val="11"/>
        <color theme="1"/>
        <rFont val="Calibri"/>
        <family val="2"/>
      </rPr>
      <t>°</t>
    </r>
    <r>
      <rPr>
        <sz val="11"/>
        <color theme="1"/>
        <rFont val="Arial"/>
        <family val="2"/>
      </rPr>
      <t>C</t>
    </r>
  </si>
  <si>
    <t>Recommended Real TS Top Resistor, RT1</t>
  </si>
  <si>
    <t>Recommended Real TS Bottom Resistor, RT2</t>
  </si>
  <si>
    <t>RISE min</t>
  </si>
  <si>
    <t>RISE typ</t>
  </si>
  <si>
    <t>RISE max</t>
  </si>
  <si>
    <t>FALL min</t>
  </si>
  <si>
    <t>FALL typ</t>
  </si>
  <si>
    <t>FALL max</t>
  </si>
  <si>
    <t>Temp</t>
  </si>
  <si>
    <r>
      <t>Desired Cold Temperature Threshold, T</t>
    </r>
    <r>
      <rPr>
        <b/>
        <vertAlign val="subscript"/>
        <sz val="10"/>
        <color theme="1"/>
        <rFont val="Arial"/>
        <family val="2"/>
      </rPr>
      <t>COLD</t>
    </r>
  </si>
  <si>
    <r>
      <t>Desired Hot Temperature Threshold, T</t>
    </r>
    <r>
      <rPr>
        <b/>
        <vertAlign val="subscript"/>
        <sz val="10"/>
        <color theme="1"/>
        <rFont val="Arial"/>
        <family val="2"/>
      </rPr>
      <t>HOT</t>
    </r>
  </si>
  <si>
    <t>Custom Power MOSFETs</t>
  </si>
  <si>
    <t>Step 12: Efficiency Calculation Configuration</t>
  </si>
  <si>
    <t>Selected Inductance, L</t>
  </si>
  <si>
    <r>
      <t>Recommended Feedback Top Resistor, R</t>
    </r>
    <r>
      <rPr>
        <vertAlign val="subscript"/>
        <sz val="10"/>
        <color theme="1"/>
        <rFont val="Arial"/>
        <family val="2"/>
      </rPr>
      <t>FB_TOP</t>
    </r>
  </si>
  <si>
    <r>
      <t>Recommended Feedback Bottom Resistor, R</t>
    </r>
    <r>
      <rPr>
        <vertAlign val="subscript"/>
        <sz val="10"/>
        <color theme="1"/>
        <rFont val="Arial"/>
        <family val="2"/>
      </rPr>
      <t>FB_BOT</t>
    </r>
  </si>
  <si>
    <t>Recommended Ideal TS Top Resistor, RT1</t>
  </si>
  <si>
    <t>Recommended Ideal TS Bottom Resistor, RT2</t>
  </si>
  <si>
    <t>Tolerance (%)</t>
  </si>
  <si>
    <t>BQ25756 Buck-Boost Battery Charger Design Calculator</t>
  </si>
  <si>
    <t xml:space="preserve">BQ25756 Buck-Boost Battery Charger Design Calculator </t>
  </si>
  <si>
    <t>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</si>
</sst>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47" x14ac:knownFonts="1">
    <font>
      <sz val="11"/>
      <color theme="1"/>
      <name val="Calibri"/>
      <family val="2"/>
      <scheme val="minor"/>
    </font>
    <font>
      <b/>
      <sz val="11"/>
      <color rgb="FF0000FF"/>
      <name val="Arial"/>
      <family val="2"/>
    </font>
    <font>
      <sz val="11"/>
      <color theme="1"/>
      <name val="Arial"/>
      <family val="2"/>
    </font>
    <font>
      <b/>
      <sz val="11"/>
      <color theme="1"/>
      <name val="Arial"/>
      <family val="2"/>
    </font>
    <font>
      <b/>
      <sz val="10"/>
      <color theme="1"/>
      <name val="Arial"/>
      <family val="2"/>
    </font>
    <font>
      <b/>
      <vertAlign val="subscript"/>
      <sz val="10"/>
      <color theme="1"/>
      <name val="Arial"/>
      <family val="2"/>
    </font>
    <font>
      <sz val="10"/>
      <color theme="1"/>
      <name val="Arial"/>
      <family val="2"/>
    </font>
    <font>
      <vertAlign val="subscript"/>
      <sz val="10"/>
      <color theme="1"/>
      <name val="Arial"/>
      <family val="2"/>
    </font>
    <font>
      <sz val="10"/>
      <color theme="1"/>
      <name val="Calibri"/>
      <family val="2"/>
    </font>
    <font>
      <sz val="10"/>
      <color theme="1"/>
      <name val="Calibri"/>
      <family val="2"/>
      <scheme val="minor"/>
    </font>
    <font>
      <b/>
      <sz val="10"/>
      <color rgb="FF0000FF"/>
      <name val="Arial"/>
      <family val="2"/>
    </font>
    <font>
      <b/>
      <sz val="18"/>
      <color theme="0"/>
      <name val="Arial"/>
      <family val="2"/>
    </font>
    <font>
      <b/>
      <sz val="20"/>
      <color rgb="FFFFFFFF"/>
      <name val="Calibri"/>
      <family val="2"/>
      <scheme val="minor"/>
    </font>
    <font>
      <b/>
      <vertAlign val="subscript"/>
      <sz val="10"/>
      <color rgb="FF0000FF"/>
      <name val="Arial"/>
      <family val="2"/>
    </font>
    <font>
      <b/>
      <u/>
      <sz val="10"/>
      <color rgb="FF0000FF"/>
      <name val="Arial"/>
      <family val="2"/>
    </font>
    <font>
      <b/>
      <sz val="10"/>
      <color rgb="FFFF0000"/>
      <name val="Arial"/>
      <family val="2"/>
    </font>
    <font>
      <b/>
      <sz val="10"/>
      <color theme="1"/>
      <name val="Calibri"/>
      <family val="2"/>
    </font>
    <font>
      <b/>
      <sz val="10"/>
      <name val="Arial"/>
      <family val="2"/>
    </font>
    <font>
      <b/>
      <sz val="9"/>
      <color indexed="81"/>
      <name val="Tahoma"/>
      <family val="2"/>
    </font>
    <font>
      <sz val="9"/>
      <color indexed="81"/>
      <name val="Tahoma"/>
      <family val="2"/>
    </font>
    <font>
      <b/>
      <u/>
      <sz val="9"/>
      <color indexed="81"/>
      <name val="Tahoma"/>
      <family val="2"/>
    </font>
    <font>
      <vertAlign val="subscript"/>
      <sz val="9"/>
      <color indexed="81"/>
      <name val="Tahoma"/>
      <family val="2"/>
    </font>
    <font>
      <sz val="10"/>
      <name val="Arial"/>
      <family val="2"/>
    </font>
    <font>
      <sz val="10"/>
      <color rgb="FF00B050"/>
      <name val="Arial"/>
      <family val="2"/>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Arial"/>
      <family val="2"/>
    </font>
    <font>
      <vertAlign val="subscript"/>
      <sz val="11"/>
      <color theme="1"/>
      <name val="Calibri"/>
      <family val="2"/>
      <scheme val="minor"/>
    </font>
    <font>
      <b/>
      <sz val="11"/>
      <color theme="1"/>
      <name val="Calibri"/>
      <family val="2"/>
    </font>
    <font>
      <u/>
      <sz val="9"/>
      <color indexed="81"/>
      <name val="Tahoma"/>
      <family val="2"/>
    </font>
    <font>
      <sz val="11"/>
      <color rgb="FFFF0000"/>
      <name val="Calibri"/>
      <family val="2"/>
      <scheme val="minor"/>
    </font>
    <font>
      <sz val="11"/>
      <color rgb="FFFF0000"/>
      <name val="Arial"/>
      <family val="2"/>
    </font>
    <font>
      <sz val="11"/>
      <color theme="1" tint="0.14999847407452621"/>
      <name val="Calibri"/>
      <family val="2"/>
      <scheme val="minor"/>
    </font>
    <font>
      <b/>
      <vertAlign val="subscript"/>
      <sz val="9"/>
      <color indexed="81"/>
      <name val="Tahoma"/>
      <family val="2"/>
    </font>
    <font>
      <vertAlign val="subscript"/>
      <sz val="10"/>
      <color theme="1"/>
      <name val="Calibri"/>
      <family val="2"/>
    </font>
    <font>
      <sz val="11"/>
      <color theme="1"/>
      <name val="Calibri"/>
      <family val="2"/>
    </font>
    <font>
      <b/>
      <u/>
      <vertAlign val="subscript"/>
      <sz val="9"/>
      <color indexed="81"/>
      <name val="Tahoma"/>
      <family val="2"/>
    </font>
    <font>
      <sz val="11"/>
      <color theme="0"/>
      <name val="Calibri"/>
      <family val="2"/>
      <scheme val="minor"/>
    </font>
    <font>
      <b/>
      <sz val="16"/>
      <color theme="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b/>
      <sz val="10"/>
      <color theme="1"/>
      <name val="Calibri"/>
      <family val="2"/>
      <scheme val="minor"/>
    </font>
    <font>
      <b/>
      <sz val="12"/>
      <name val="Calibri"/>
      <family val="2"/>
      <scheme val="minor"/>
    </font>
    <font>
      <sz val="11"/>
      <color rgb="FF006100"/>
      <name val="Calibri"/>
      <family val="2"/>
      <scheme val="minor"/>
    </font>
    <font>
      <sz val="10"/>
      <color rgb="FFFF0000"/>
      <name val="Arial"/>
      <family val="2"/>
    </font>
  </fonts>
  <fills count="1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1" tint="0.14996795556505021"/>
        <bgColor indexed="64"/>
      </patternFill>
    </fill>
    <fill>
      <patternFill patternType="solid">
        <fgColor rgb="FFFFFF00"/>
        <bgColor indexed="64"/>
      </patternFill>
    </fill>
    <fill>
      <patternFill patternType="solid">
        <fgColor rgb="FF00206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theme="8" tint="0.59999389629810485"/>
        <bgColor indexed="64"/>
      </patternFill>
    </fill>
    <fill>
      <patternFill patternType="solid">
        <fgColor rgb="FF0070C0"/>
        <bgColor indexed="64"/>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4" fillId="0" borderId="0" applyFont="0" applyFill="0" applyBorder="0" applyAlignment="0" applyProtection="0"/>
    <xf numFmtId="0" fontId="22" fillId="0" borderId="0"/>
    <xf numFmtId="0" fontId="45" fillId="13" borderId="0" applyNumberFormat="0" applyBorder="0" applyAlignment="0" applyProtection="0"/>
  </cellStyleXfs>
  <cellXfs count="263">
    <xf numFmtId="0" fontId="0" fillId="0" borderId="0" xfId="0"/>
    <xf numFmtId="164" fontId="17" fillId="6" borderId="0" xfId="0" applyNumberFormat="1" applyFont="1" applyFill="1" applyBorder="1" applyProtection="1">
      <protection locked="0"/>
    </xf>
    <xf numFmtId="0" fontId="17" fillId="6" borderId="0" xfId="0" applyNumberFormat="1" applyFont="1" applyFill="1" applyBorder="1" applyProtection="1">
      <protection locked="0"/>
    </xf>
    <xf numFmtId="0" fontId="17" fillId="6" borderId="0" xfId="0" applyFont="1" applyFill="1" applyBorder="1" applyProtection="1">
      <protection locked="0"/>
    </xf>
    <xf numFmtId="0" fontId="17" fillId="6" borderId="7" xfId="0" applyFont="1" applyFill="1" applyBorder="1" applyProtection="1">
      <protection locked="0"/>
    </xf>
    <xf numFmtId="0" fontId="17" fillId="8" borderId="3" xfId="0" applyFont="1" applyFill="1" applyBorder="1" applyAlignment="1" applyProtection="1">
      <alignment vertical="center"/>
    </xf>
    <xf numFmtId="0" fontId="17" fillId="8" borderId="5" xfId="0" applyFont="1" applyFill="1" applyBorder="1" applyAlignment="1" applyProtection="1">
      <alignment horizontal="left" vertical="center"/>
    </xf>
    <xf numFmtId="0" fontId="17" fillId="6" borderId="2" xfId="0" applyNumberFormat="1" applyFont="1" applyFill="1" applyBorder="1" applyAlignment="1" applyProtection="1">
      <alignment vertical="center"/>
      <protection locked="0"/>
    </xf>
    <xf numFmtId="0" fontId="17" fillId="6" borderId="0" xfId="0" applyNumberFormat="1" applyFont="1" applyFill="1" applyBorder="1" applyAlignment="1" applyProtection="1">
      <alignment vertical="center"/>
      <protection locked="0"/>
    </xf>
    <xf numFmtId="0" fontId="17" fillId="8" borderId="5" xfId="0" applyFont="1" applyFill="1" applyBorder="1" applyAlignment="1" applyProtection="1">
      <alignment vertical="center"/>
    </xf>
    <xf numFmtId="0" fontId="17" fillId="8" borderId="5" xfId="0" applyFont="1" applyFill="1" applyBorder="1" applyProtection="1"/>
    <xf numFmtId="0" fontId="22" fillId="8" borderId="5" xfId="0" applyFont="1" applyFill="1" applyBorder="1" applyAlignment="1" applyProtection="1"/>
    <xf numFmtId="0" fontId="22" fillId="8" borderId="8" xfId="0" applyFont="1" applyFill="1" applyBorder="1" applyAlignment="1" applyProtection="1"/>
    <xf numFmtId="0" fontId="22" fillId="8" borderId="5" xfId="0" applyFont="1" applyFill="1" applyBorder="1" applyProtection="1"/>
    <xf numFmtId="0" fontId="22" fillId="8" borderId="3" xfId="0" applyFont="1" applyFill="1" applyBorder="1" applyAlignment="1" applyProtection="1"/>
    <xf numFmtId="0" fontId="2" fillId="4" borderId="0" xfId="0" applyFont="1" applyFill="1" applyBorder="1" applyProtection="1">
      <protection hidden="1"/>
    </xf>
    <xf numFmtId="0" fontId="0" fillId="2" borderId="9" xfId="0" applyFill="1" applyBorder="1" applyProtection="1">
      <protection hidden="1"/>
    </xf>
    <xf numFmtId="0" fontId="0" fillId="2" borderId="10" xfId="0" applyFill="1" applyBorder="1" applyProtection="1">
      <protection hidden="1"/>
    </xf>
    <xf numFmtId="0" fontId="12" fillId="2" borderId="10" xfId="0" applyFont="1" applyFill="1" applyBorder="1" applyAlignment="1" applyProtection="1">
      <alignment horizontal="left" vertical="center"/>
      <protection hidden="1"/>
    </xf>
    <xf numFmtId="0" fontId="0" fillId="2" borderId="11" xfId="0" applyFill="1" applyBorder="1" applyProtection="1">
      <protection hidden="1"/>
    </xf>
    <xf numFmtId="0" fontId="0" fillId="3" borderId="0" xfId="0" applyFill="1" applyProtection="1">
      <protection hidden="1"/>
    </xf>
    <xf numFmtId="0" fontId="0" fillId="5" borderId="0" xfId="0" applyFill="1" applyProtection="1">
      <protection hidden="1"/>
    </xf>
    <xf numFmtId="0" fontId="0" fillId="0" borderId="0" xfId="0" applyProtection="1">
      <protection hidden="1"/>
    </xf>
    <xf numFmtId="0" fontId="25" fillId="3" borderId="0" xfId="0" applyFont="1" applyFill="1" applyProtection="1">
      <protection hidden="1"/>
    </xf>
    <xf numFmtId="0" fontId="1" fillId="4" borderId="1" xfId="0" applyFont="1" applyFill="1" applyBorder="1" applyProtection="1">
      <protection hidden="1"/>
    </xf>
    <xf numFmtId="0" fontId="2" fillId="4" borderId="2" xfId="0" applyFont="1" applyFill="1" applyBorder="1" applyProtection="1">
      <protection hidden="1"/>
    </xf>
    <xf numFmtId="0" fontId="2" fillId="0" borderId="2" xfId="0" applyFont="1" applyBorder="1" applyProtection="1">
      <protection hidden="1"/>
    </xf>
    <xf numFmtId="0" fontId="0" fillId="4" borderId="2" xfId="0" applyFill="1" applyBorder="1" applyProtection="1">
      <protection hidden="1"/>
    </xf>
    <xf numFmtId="0" fontId="0" fillId="4" borderId="3" xfId="0" applyFill="1" applyBorder="1" applyProtection="1">
      <protection hidden="1"/>
    </xf>
    <xf numFmtId="0" fontId="2" fillId="4" borderId="1" xfId="0" applyFont="1" applyFill="1" applyBorder="1" applyProtection="1">
      <protection hidden="1"/>
    </xf>
    <xf numFmtId="0" fontId="4" fillId="4" borderId="2" xfId="0" applyFont="1" applyFill="1" applyBorder="1" applyAlignment="1" applyProtection="1">
      <alignment horizontal="right"/>
      <protection hidden="1"/>
    </xf>
    <xf numFmtId="0" fontId="0" fillId="4" borderId="0" xfId="0" applyFill="1" applyBorder="1" applyProtection="1">
      <protection hidden="1"/>
    </xf>
    <xf numFmtId="0" fontId="0" fillId="4" borderId="5" xfId="0" applyFill="1" applyBorder="1" applyProtection="1">
      <protection hidden="1"/>
    </xf>
    <xf numFmtId="0" fontId="2" fillId="4" borderId="4" xfId="0" applyFont="1" applyFill="1" applyBorder="1" applyProtection="1">
      <protection hidden="1"/>
    </xf>
    <xf numFmtId="0" fontId="4" fillId="4" borderId="0" xfId="0" applyFont="1" applyFill="1" applyBorder="1" applyAlignment="1" applyProtection="1">
      <alignment horizontal="right"/>
      <protection hidden="1"/>
    </xf>
    <xf numFmtId="0" fontId="2" fillId="4" borderId="6" xfId="0" applyFont="1" applyFill="1" applyBorder="1" applyProtection="1">
      <protection hidden="1"/>
    </xf>
    <xf numFmtId="0" fontId="2" fillId="4" borderId="7" xfId="0" applyFont="1" applyFill="1" applyBorder="1" applyProtection="1">
      <protection hidden="1"/>
    </xf>
    <xf numFmtId="0" fontId="4" fillId="4" borderId="7" xfId="0" applyFont="1" applyFill="1" applyBorder="1" applyAlignment="1" applyProtection="1">
      <alignment horizontal="right"/>
      <protection hidden="1"/>
    </xf>
    <xf numFmtId="0" fontId="1" fillId="4" borderId="4" xfId="0" applyFont="1" applyFill="1" applyBorder="1" applyProtection="1">
      <protection hidden="1"/>
    </xf>
    <xf numFmtId="0" fontId="6" fillId="4" borderId="2" xfId="0" applyFont="1" applyFill="1" applyBorder="1" applyAlignment="1" applyProtection="1">
      <alignment horizontal="right"/>
      <protection hidden="1"/>
    </xf>
    <xf numFmtId="0" fontId="6" fillId="4" borderId="3" xfId="0" applyFont="1" applyFill="1" applyBorder="1" applyProtection="1">
      <protection hidden="1"/>
    </xf>
    <xf numFmtId="0" fontId="6" fillId="4" borderId="0" xfId="0" applyFont="1" applyFill="1" applyBorder="1" applyAlignment="1" applyProtection="1">
      <alignment horizontal="right"/>
      <protection hidden="1"/>
    </xf>
    <xf numFmtId="2" fontId="6" fillId="4" borderId="0" xfId="0" applyNumberFormat="1" applyFont="1" applyFill="1" applyBorder="1" applyAlignment="1" applyProtection="1">
      <alignment horizontal="right"/>
      <protection hidden="1"/>
    </xf>
    <xf numFmtId="2" fontId="2" fillId="4" borderId="0" xfId="0" applyNumberFormat="1" applyFont="1" applyFill="1" applyBorder="1" applyProtection="1">
      <protection hidden="1"/>
    </xf>
    <xf numFmtId="0" fontId="6" fillId="4" borderId="5" xfId="0" applyFont="1" applyFill="1" applyBorder="1" applyProtection="1">
      <protection hidden="1"/>
    </xf>
    <xf numFmtId="0" fontId="6" fillId="4" borderId="7" xfId="0" applyFont="1" applyFill="1" applyBorder="1" applyAlignment="1" applyProtection="1">
      <alignment horizontal="right"/>
      <protection hidden="1"/>
    </xf>
    <xf numFmtId="2" fontId="2" fillId="4" borderId="7" xfId="0" applyNumberFormat="1" applyFont="1" applyFill="1" applyBorder="1" applyProtection="1">
      <protection hidden="1"/>
    </xf>
    <xf numFmtId="0" fontId="6" fillId="4" borderId="8" xfId="0" applyFont="1" applyFill="1" applyBorder="1" applyProtection="1">
      <protection hidden="1"/>
    </xf>
    <xf numFmtId="0" fontId="6" fillId="4" borderId="6" xfId="0" applyFont="1" applyFill="1" applyBorder="1" applyProtection="1">
      <protection hidden="1"/>
    </xf>
    <xf numFmtId="0" fontId="6" fillId="4" borderId="7" xfId="0" applyFont="1" applyFill="1" applyBorder="1" applyProtection="1">
      <protection hidden="1"/>
    </xf>
    <xf numFmtId="0" fontId="6" fillId="4" borderId="4" xfId="0" applyFont="1" applyFill="1" applyBorder="1" applyProtection="1">
      <protection hidden="1"/>
    </xf>
    <xf numFmtId="0" fontId="6" fillId="4" borderId="0" xfId="0" applyFont="1" applyFill="1" applyBorder="1" applyProtection="1">
      <protection hidden="1"/>
    </xf>
    <xf numFmtId="0" fontId="6" fillId="4" borderId="2" xfId="0" applyFont="1" applyFill="1" applyBorder="1" applyProtection="1">
      <protection hidden="1"/>
    </xf>
    <xf numFmtId="0" fontId="2" fillId="4" borderId="0" xfId="0" applyFont="1" applyFill="1" applyBorder="1" applyAlignment="1" applyProtection="1">
      <alignment horizontal="right"/>
      <protection hidden="1"/>
    </xf>
    <xf numFmtId="0" fontId="0" fillId="4" borderId="0" xfId="0" applyFill="1" applyBorder="1" applyAlignment="1" applyProtection="1">
      <alignment horizontal="right"/>
      <protection hidden="1"/>
    </xf>
    <xf numFmtId="0" fontId="23" fillId="4" borderId="0" xfId="0" applyFont="1" applyFill="1" applyBorder="1" applyAlignment="1" applyProtection="1">
      <alignment horizontal="right"/>
      <protection hidden="1"/>
    </xf>
    <xf numFmtId="0" fontId="6" fillId="4" borderId="1" xfId="0" applyFont="1" applyFill="1" applyBorder="1" applyProtection="1">
      <protection hidden="1"/>
    </xf>
    <xf numFmtId="0" fontId="0" fillId="4" borderId="0" xfId="0" applyFill="1" applyProtection="1">
      <protection hidden="1"/>
    </xf>
    <xf numFmtId="2" fontId="6" fillId="4" borderId="2" xfId="0" applyNumberFormat="1" applyFont="1" applyFill="1" applyBorder="1" applyAlignment="1" applyProtection="1">
      <alignment horizontal="right"/>
      <protection hidden="1"/>
    </xf>
    <xf numFmtId="0" fontId="6" fillId="7" borderId="10" xfId="0" applyFont="1" applyFill="1" applyBorder="1" applyProtection="1">
      <protection hidden="1"/>
    </xf>
    <xf numFmtId="0" fontId="2" fillId="7" borderId="10" xfId="0" applyFont="1" applyFill="1" applyBorder="1" applyProtection="1">
      <protection hidden="1"/>
    </xf>
    <xf numFmtId="0" fontId="0" fillId="7" borderId="10" xfId="0" applyFill="1" applyBorder="1" applyProtection="1">
      <protection hidden="1"/>
    </xf>
    <xf numFmtId="0" fontId="0" fillId="7" borderId="11" xfId="0" applyFill="1" applyBorder="1" applyProtection="1">
      <protection hidden="1"/>
    </xf>
    <xf numFmtId="0" fontId="33" fillId="5" borderId="0" xfId="0" applyFont="1" applyFill="1" applyProtection="1">
      <protection hidden="1"/>
    </xf>
    <xf numFmtId="0" fontId="0" fillId="6" borderId="0" xfId="0" applyFill="1" applyAlignment="1" applyProtection="1">
      <alignment horizontal="right"/>
      <protection hidden="1"/>
    </xf>
    <xf numFmtId="0" fontId="0" fillId="0" borderId="2" xfId="0" applyBorder="1" applyProtection="1">
      <protection hidden="1"/>
    </xf>
    <xf numFmtId="0" fontId="10" fillId="4" borderId="2" xfId="0" applyFont="1" applyFill="1" applyBorder="1" applyAlignment="1" applyProtection="1">
      <alignment horizontal="right"/>
      <protection hidden="1"/>
    </xf>
    <xf numFmtId="0" fontId="15" fillId="4" borderId="2" xfId="0" applyFont="1" applyFill="1" applyBorder="1" applyProtection="1">
      <protection hidden="1"/>
    </xf>
    <xf numFmtId="0" fontId="6" fillId="0" borderId="0" xfId="0" applyFont="1" applyFill="1" applyBorder="1" applyProtection="1">
      <protection hidden="1"/>
    </xf>
    <xf numFmtId="0" fontId="17" fillId="4" borderId="0" xfId="0" applyFont="1" applyFill="1" applyBorder="1" applyAlignment="1" applyProtection="1">
      <alignment horizontal="right"/>
      <protection hidden="1"/>
    </xf>
    <xf numFmtId="0" fontId="9" fillId="5" borderId="0" xfId="0" applyFont="1" applyFill="1" applyProtection="1">
      <protection hidden="1"/>
    </xf>
    <xf numFmtId="0" fontId="2" fillId="6" borderId="2" xfId="0" applyFont="1" applyFill="1" applyBorder="1" applyProtection="1">
      <protection locked="0"/>
    </xf>
    <xf numFmtId="0" fontId="2" fillId="6" borderId="0" xfId="0" applyFont="1" applyFill="1" applyBorder="1" applyProtection="1">
      <protection locked="0"/>
    </xf>
    <xf numFmtId="0" fontId="6" fillId="6" borderId="2" xfId="0" applyFont="1" applyFill="1" applyBorder="1" applyAlignment="1" applyProtection="1">
      <alignment horizontal="right"/>
      <protection locked="0"/>
    </xf>
    <xf numFmtId="0" fontId="6" fillId="6" borderId="0" xfId="0" applyFont="1" applyFill="1" applyBorder="1" applyProtection="1">
      <protection locked="0"/>
    </xf>
    <xf numFmtId="0" fontId="6" fillId="4" borderId="3" xfId="0" applyFont="1" applyFill="1" applyBorder="1" applyProtection="1"/>
    <xf numFmtId="0" fontId="6" fillId="4" borderId="5" xfId="0" applyFont="1" applyFill="1" applyBorder="1" applyProtection="1"/>
    <xf numFmtId="0" fontId="6" fillId="4" borderId="8" xfId="0" applyFont="1" applyFill="1" applyBorder="1" applyProtection="1"/>
    <xf numFmtId="165" fontId="0" fillId="0" borderId="0" xfId="0" applyNumberFormat="1" applyProtection="1">
      <protection hidden="1"/>
    </xf>
    <xf numFmtId="0" fontId="0" fillId="0" borderId="0" xfId="0" applyAlignment="1" applyProtection="1">
      <alignment horizontal="center"/>
      <protection hidden="1"/>
    </xf>
    <xf numFmtId="48" fontId="0" fillId="0" borderId="0" xfId="0" applyNumberFormat="1" applyProtection="1">
      <protection hidden="1"/>
    </xf>
    <xf numFmtId="165" fontId="0" fillId="9" borderId="14" xfId="0" applyNumberFormat="1" applyFont="1" applyFill="1" applyBorder="1" applyProtection="1">
      <protection hidden="1"/>
    </xf>
    <xf numFmtId="0" fontId="26" fillId="0" borderId="0" xfId="0" applyFont="1" applyBorder="1" applyAlignment="1" applyProtection="1">
      <protection hidden="1"/>
    </xf>
    <xf numFmtId="11" fontId="0" fillId="0" borderId="0" xfId="0" applyNumberFormat="1" applyProtection="1">
      <protection hidden="1"/>
    </xf>
    <xf numFmtId="166" fontId="0" fillId="0" borderId="0" xfId="1" applyNumberFormat="1" applyFont="1" applyProtection="1">
      <protection hidden="1"/>
    </xf>
    <xf numFmtId="1" fontId="0" fillId="0" borderId="0" xfId="0" applyNumberFormat="1" applyProtection="1">
      <protection hidden="1"/>
    </xf>
    <xf numFmtId="165" fontId="0" fillId="9" borderId="15" xfId="0" applyNumberFormat="1" applyFont="1" applyFill="1" applyBorder="1" applyProtection="1">
      <protection hidden="1"/>
    </xf>
    <xf numFmtId="0" fontId="32" fillId="4" borderId="0" xfId="0" applyFont="1" applyFill="1" applyBorder="1" applyProtection="1">
      <protection hidden="1"/>
    </xf>
    <xf numFmtId="0" fontId="31" fillId="4" borderId="0" xfId="0" applyFont="1" applyFill="1" applyBorder="1" applyProtection="1">
      <protection hidden="1"/>
    </xf>
    <xf numFmtId="0" fontId="32" fillId="4" borderId="2" xfId="0" applyFont="1" applyFill="1" applyBorder="1" applyProtection="1">
      <protection hidden="1"/>
    </xf>
    <xf numFmtId="1" fontId="17" fillId="6" borderId="0" xfId="0" applyNumberFormat="1" applyFont="1" applyFill="1" applyBorder="1" applyAlignment="1" applyProtection="1">
      <alignment vertical="center"/>
      <protection locked="0"/>
    </xf>
    <xf numFmtId="0" fontId="17" fillId="6" borderId="7" xfId="0" applyNumberFormat="1" applyFont="1" applyFill="1" applyBorder="1" applyAlignment="1" applyProtection="1">
      <alignment vertical="center"/>
      <protection locked="0"/>
    </xf>
    <xf numFmtId="0" fontId="3" fillId="4" borderId="8" xfId="0" applyFont="1" applyFill="1" applyBorder="1" applyProtection="1"/>
    <xf numFmtId="1" fontId="2" fillId="4" borderId="0" xfId="0" applyNumberFormat="1" applyFont="1" applyFill="1" applyBorder="1" applyProtection="1">
      <protection hidden="1"/>
    </xf>
    <xf numFmtId="1" fontId="32" fillId="4" borderId="0" xfId="0" applyNumberFormat="1" applyFont="1" applyFill="1" applyBorder="1" applyProtection="1">
      <protection hidden="1"/>
    </xf>
    <xf numFmtId="1" fontId="17" fillId="6" borderId="2" xfId="0" applyNumberFormat="1" applyFont="1" applyFill="1" applyBorder="1" applyAlignment="1" applyProtection="1">
      <alignment vertical="center"/>
      <protection locked="0"/>
    </xf>
    <xf numFmtId="0" fontId="22" fillId="8" borderId="5" xfId="0" applyFont="1" applyFill="1" applyBorder="1" applyAlignment="1" applyProtection="1">
      <alignment vertical="center"/>
    </xf>
    <xf numFmtId="2" fontId="32" fillId="4" borderId="0" xfId="0" applyNumberFormat="1" applyFont="1" applyFill="1" applyBorder="1" applyProtection="1">
      <protection hidden="1"/>
    </xf>
    <xf numFmtId="0" fontId="0" fillId="4" borderId="5" xfId="0" applyFont="1" applyFill="1" applyBorder="1" applyProtection="1">
      <protection hidden="1"/>
    </xf>
    <xf numFmtId="2" fontId="2" fillId="4" borderId="2" xfId="0" applyNumberFormat="1" applyFont="1" applyFill="1" applyBorder="1" applyProtection="1">
      <protection hidden="1"/>
    </xf>
    <xf numFmtId="0" fontId="0" fillId="0" borderId="4" xfId="0" applyBorder="1" applyProtection="1">
      <protection hidden="1"/>
    </xf>
    <xf numFmtId="0" fontId="3" fillId="4" borderId="2" xfId="0" applyFont="1" applyFill="1" applyBorder="1" applyProtection="1">
      <protection hidden="1"/>
    </xf>
    <xf numFmtId="0" fontId="2" fillId="4" borderId="7" xfId="0" applyFont="1" applyFill="1" applyBorder="1" applyAlignment="1" applyProtection="1">
      <alignment horizontal="right"/>
      <protection hidden="1"/>
    </xf>
    <xf numFmtId="11" fontId="0" fillId="4" borderId="0" xfId="0" applyNumberFormat="1" applyFill="1" applyBorder="1" applyAlignment="1" applyProtection="1">
      <alignment horizontal="right"/>
      <protection hidden="1"/>
    </xf>
    <xf numFmtId="0" fontId="32" fillId="4" borderId="0" xfId="0" applyFont="1" applyFill="1" applyBorder="1" applyAlignment="1" applyProtection="1">
      <alignment horizontal="right"/>
      <protection hidden="1"/>
    </xf>
    <xf numFmtId="0" fontId="1" fillId="4" borderId="6" xfId="0" applyFont="1" applyFill="1" applyBorder="1" applyProtection="1">
      <protection hidden="1"/>
    </xf>
    <xf numFmtId="0" fontId="15" fillId="4" borderId="0" xfId="0" applyFont="1" applyFill="1" applyBorder="1" applyProtection="1">
      <protection hidden="1"/>
    </xf>
    <xf numFmtId="0" fontId="15" fillId="4" borderId="0" xfId="0" applyFont="1" applyFill="1" applyBorder="1" applyAlignment="1" applyProtection="1">
      <alignment horizontal="right"/>
      <protection hidden="1"/>
    </xf>
    <xf numFmtId="0" fontId="6" fillId="4" borderId="10" xfId="0" applyFont="1" applyFill="1" applyBorder="1" applyProtection="1">
      <protection hidden="1"/>
    </xf>
    <xf numFmtId="0" fontId="6" fillId="4" borderId="0" xfId="0" applyFont="1" applyFill="1" applyBorder="1" applyProtection="1"/>
    <xf numFmtId="0" fontId="6" fillId="4" borderId="0" xfId="0" applyFont="1" applyFill="1" applyBorder="1" applyAlignment="1" applyProtection="1">
      <alignment horizontal="center"/>
      <protection hidden="1"/>
    </xf>
    <xf numFmtId="1" fontId="2" fillId="4" borderId="0" xfId="0" applyNumberFormat="1" applyFont="1" applyFill="1" applyBorder="1" applyAlignment="1" applyProtection="1">
      <alignment horizontal="right"/>
      <protection hidden="1"/>
    </xf>
    <xf numFmtId="1" fontId="2" fillId="4" borderId="7" xfId="0" applyNumberFormat="1" applyFont="1" applyFill="1" applyBorder="1" applyAlignment="1" applyProtection="1">
      <alignment horizontal="right"/>
      <protection hidden="1"/>
    </xf>
    <xf numFmtId="0" fontId="22" fillId="8" borderId="8" xfId="0" applyFont="1" applyFill="1" applyBorder="1" applyAlignment="1" applyProtection="1">
      <alignment vertical="center"/>
    </xf>
    <xf numFmtId="0" fontId="6" fillId="4" borderId="9" xfId="0" applyFont="1" applyFill="1" applyBorder="1" applyProtection="1">
      <protection hidden="1"/>
    </xf>
    <xf numFmtId="0" fontId="4" fillId="4" borderId="10" xfId="0" applyFont="1" applyFill="1" applyBorder="1" applyAlignment="1" applyProtection="1">
      <alignment horizontal="right"/>
      <protection hidden="1"/>
    </xf>
    <xf numFmtId="0" fontId="0" fillId="0" borderId="0" xfId="0" applyBorder="1" applyProtection="1">
      <protection hidden="1"/>
    </xf>
    <xf numFmtId="0" fontId="0" fillId="4" borderId="1" xfId="0" applyFill="1" applyBorder="1" applyProtection="1">
      <protection hidden="1"/>
    </xf>
    <xf numFmtId="0" fontId="0" fillId="4" borderId="4" xfId="0" applyFill="1" applyBorder="1" applyProtection="1">
      <protection hidden="1"/>
    </xf>
    <xf numFmtId="0" fontId="0" fillId="4" borderId="7" xfId="0" applyFill="1" applyBorder="1" applyProtection="1">
      <protection hidden="1"/>
    </xf>
    <xf numFmtId="0" fontId="0" fillId="4" borderId="8" xfId="0" applyFill="1" applyBorder="1" applyProtection="1">
      <protection hidden="1"/>
    </xf>
    <xf numFmtId="0" fontId="10" fillId="4" borderId="4" xfId="0" applyFont="1" applyFill="1" applyBorder="1" applyProtection="1">
      <protection hidden="1"/>
    </xf>
    <xf numFmtId="0" fontId="17" fillId="4" borderId="0" xfId="0" applyNumberFormat="1" applyFont="1" applyFill="1" applyBorder="1" applyProtection="1">
      <protection hidden="1"/>
    </xf>
    <xf numFmtId="164" fontId="17" fillId="6" borderId="0" xfId="0" applyNumberFormat="1" applyFont="1" applyFill="1" applyBorder="1" applyProtection="1">
      <protection hidden="1"/>
    </xf>
    <xf numFmtId="0" fontId="17" fillId="6" borderId="0" xfId="0" applyFont="1" applyFill="1" applyBorder="1" applyProtection="1">
      <protection hidden="1"/>
    </xf>
    <xf numFmtId="0" fontId="17" fillId="6" borderId="0" xfId="0" applyFont="1" applyFill="1" applyProtection="1">
      <protection hidden="1"/>
    </xf>
    <xf numFmtId="0" fontId="17" fillId="6" borderId="0" xfId="0" applyNumberFormat="1" applyFont="1" applyFill="1" applyBorder="1" applyProtection="1">
      <protection hidden="1"/>
    </xf>
    <xf numFmtId="0" fontId="8" fillId="4" borderId="5" xfId="0" applyFont="1" applyFill="1" applyBorder="1" applyProtection="1">
      <protection hidden="1"/>
    </xf>
    <xf numFmtId="0" fontId="17" fillId="4" borderId="7" xfId="0" applyNumberFormat="1" applyFont="1" applyFill="1" applyBorder="1" applyProtection="1">
      <protection hidden="1"/>
    </xf>
    <xf numFmtId="0" fontId="17" fillId="6" borderId="7" xfId="0" applyFont="1" applyFill="1" applyBorder="1" applyProtection="1">
      <protection hidden="1"/>
    </xf>
    <xf numFmtId="0" fontId="17" fillId="4" borderId="0" xfId="0" applyFont="1" applyFill="1" applyBorder="1" applyProtection="1">
      <protection hidden="1"/>
    </xf>
    <xf numFmtId="0" fontId="17" fillId="4" borderId="7" xfId="0" applyFont="1" applyFill="1" applyBorder="1" applyProtection="1">
      <protection hidden="1"/>
    </xf>
    <xf numFmtId="0" fontId="17" fillId="4" borderId="0" xfId="0" applyNumberFormat="1" applyFont="1" applyFill="1" applyBorder="1" applyAlignment="1" applyProtection="1">
      <alignment horizontal="right"/>
      <protection hidden="1"/>
    </xf>
    <xf numFmtId="0" fontId="17" fillId="4" borderId="7" xfId="0" applyNumberFormat="1" applyFont="1" applyFill="1" applyBorder="1" applyAlignment="1" applyProtection="1">
      <alignment horizontal="right"/>
      <protection hidden="1"/>
    </xf>
    <xf numFmtId="164" fontId="17" fillId="4" borderId="0" xfId="0" applyNumberFormat="1" applyFont="1" applyFill="1" applyBorder="1" applyProtection="1">
      <protection hidden="1"/>
    </xf>
    <xf numFmtId="0" fontId="15" fillId="6" borderId="2" xfId="0" applyFont="1" applyFill="1" applyBorder="1" applyProtection="1">
      <protection locked="0"/>
    </xf>
    <xf numFmtId="0" fontId="6" fillId="6" borderId="10" xfId="0" applyFont="1" applyFill="1" applyBorder="1" applyProtection="1">
      <protection locked="0"/>
    </xf>
    <xf numFmtId="0" fontId="2" fillId="4" borderId="0" xfId="0" applyFont="1" applyFill="1" applyBorder="1" applyProtection="1"/>
    <xf numFmtId="0" fontId="2" fillId="4" borderId="5" xfId="0" applyFont="1" applyFill="1" applyBorder="1" applyProtection="1"/>
    <xf numFmtId="0" fontId="4" fillId="4" borderId="5" xfId="0" applyFont="1" applyFill="1" applyBorder="1" applyProtection="1"/>
    <xf numFmtId="0" fontId="3" fillId="4" borderId="5" xfId="0" applyFont="1" applyFill="1" applyBorder="1" applyProtection="1"/>
    <xf numFmtId="0" fontId="4" fillId="4" borderId="3" xfId="0" applyFont="1" applyFill="1" applyBorder="1" applyProtection="1"/>
    <xf numFmtId="0" fontId="2" fillId="4" borderId="3" xfId="0" applyFont="1" applyFill="1" applyBorder="1" applyProtection="1"/>
    <xf numFmtId="0" fontId="3" fillId="4" borderId="3" xfId="0" applyFont="1" applyFill="1" applyBorder="1" applyProtection="1"/>
    <xf numFmtId="0" fontId="2" fillId="4" borderId="8" xfId="0" applyFont="1" applyFill="1" applyBorder="1" applyProtection="1"/>
    <xf numFmtId="0" fontId="22" fillId="8" borderId="0" xfId="0" applyFont="1" applyFill="1" applyBorder="1" applyAlignment="1" applyProtection="1"/>
    <xf numFmtId="0" fontId="26" fillId="4" borderId="5" xfId="0" applyFont="1" applyFill="1" applyBorder="1" applyProtection="1"/>
    <xf numFmtId="0" fontId="6" fillId="4" borderId="11" xfId="0" applyFont="1" applyFill="1" applyBorder="1" applyProtection="1"/>
    <xf numFmtId="0" fontId="2" fillId="2" borderId="0" xfId="0" applyFont="1"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0" xfId="0" applyFill="1" applyAlignment="1" applyProtection="1">
      <alignment horizontal="left" vertical="center"/>
      <protection hidden="1"/>
    </xf>
    <xf numFmtId="0" fontId="31" fillId="2" borderId="0" xfId="0" applyFont="1" applyFill="1" applyAlignment="1" applyProtection="1">
      <alignment horizontal="left" vertical="center"/>
      <protection hidden="1"/>
    </xf>
    <xf numFmtId="0" fontId="0" fillId="2" borderId="0" xfId="0" applyFill="1" applyProtection="1">
      <protection hidden="1"/>
    </xf>
    <xf numFmtId="2" fontId="0" fillId="2" borderId="0" xfId="0" applyNumberFormat="1" applyFill="1" applyAlignment="1" applyProtection="1">
      <alignment horizontal="right" vertical="center"/>
      <protection hidden="1"/>
    </xf>
    <xf numFmtId="0" fontId="2" fillId="0" borderId="0" xfId="0" applyFont="1" applyFill="1" applyBorder="1" applyAlignment="1" applyProtection="1">
      <alignment horizontal="right"/>
      <protection hidden="1"/>
    </xf>
    <xf numFmtId="0" fontId="0" fillId="0" borderId="0" xfId="0" applyFill="1" applyBorder="1" applyAlignment="1" applyProtection="1">
      <alignment horizontal="right"/>
      <protection hidden="1"/>
    </xf>
    <xf numFmtId="2" fontId="0" fillId="0" borderId="0" xfId="0" applyNumberFormat="1" applyFill="1" applyAlignment="1" applyProtection="1">
      <alignment horizontal="right"/>
      <protection hidden="1"/>
    </xf>
    <xf numFmtId="2" fontId="0" fillId="2" borderId="0" xfId="0" applyNumberFormat="1" applyFill="1" applyAlignment="1" applyProtection="1">
      <alignment horizontal="right"/>
      <protection hidden="1"/>
    </xf>
    <xf numFmtId="2" fontId="0" fillId="0" borderId="18" xfId="0" applyNumberFormat="1" applyFill="1" applyBorder="1" applyAlignment="1" applyProtection="1">
      <alignment horizontal="right"/>
      <protection hidden="1"/>
    </xf>
    <xf numFmtId="2" fontId="31" fillId="2" borderId="0" xfId="0" applyNumberFormat="1" applyFont="1" applyFill="1" applyAlignment="1" applyProtection="1">
      <alignment horizontal="right"/>
      <protection hidden="1"/>
    </xf>
    <xf numFmtId="0" fontId="0" fillId="0" borderId="0" xfId="0" applyFill="1" applyAlignment="1" applyProtection="1">
      <alignment horizontal="right"/>
      <protection hidden="1"/>
    </xf>
    <xf numFmtId="2" fontId="0" fillId="0" borderId="0" xfId="1" applyNumberFormat="1" applyFont="1" applyFill="1" applyAlignment="1" applyProtection="1">
      <alignment horizontal="right"/>
      <protection hidden="1"/>
    </xf>
    <xf numFmtId="0" fontId="2" fillId="0" borderId="0" xfId="0" applyFont="1" applyFill="1" applyAlignment="1" applyProtection="1">
      <alignment horizontal="right"/>
      <protection hidden="1"/>
    </xf>
    <xf numFmtId="2" fontId="0" fillId="0" borderId="19" xfId="0" applyNumberFormat="1" applyFill="1" applyBorder="1" applyAlignment="1" applyProtection="1">
      <alignment horizontal="right"/>
      <protection hidden="1"/>
    </xf>
    <xf numFmtId="2" fontId="0" fillId="0" borderId="0" xfId="0" applyNumberFormat="1" applyFill="1" applyBorder="1" applyAlignment="1" applyProtection="1">
      <alignment horizontal="right"/>
      <protection hidden="1"/>
    </xf>
    <xf numFmtId="0" fontId="0" fillId="2" borderId="16" xfId="0" applyFill="1" applyBorder="1" applyAlignment="1" applyProtection="1">
      <alignment horizontal="left" vertical="center"/>
      <protection hidden="1"/>
    </xf>
    <xf numFmtId="0" fontId="0" fillId="2" borderId="0" xfId="0" applyFill="1" applyAlignment="1" applyProtection="1">
      <alignment horizontal="right"/>
      <protection hidden="1"/>
    </xf>
    <xf numFmtId="2" fontId="0" fillId="2" borderId="0" xfId="1" applyNumberFormat="1" applyFont="1" applyFill="1" applyAlignment="1" applyProtection="1">
      <alignment horizontal="right"/>
      <protection hidden="1"/>
    </xf>
    <xf numFmtId="16" fontId="2" fillId="4" borderId="2" xfId="0" applyNumberFormat="1" applyFont="1" applyFill="1" applyBorder="1" applyAlignment="1" applyProtection="1">
      <alignment horizontal="right"/>
      <protection hidden="1"/>
    </xf>
    <xf numFmtId="167" fontId="2" fillId="4" borderId="0" xfId="0" applyNumberFormat="1" applyFont="1" applyFill="1" applyBorder="1" applyProtection="1">
      <protection hidden="1"/>
    </xf>
    <xf numFmtId="0" fontId="26" fillId="0" borderId="0" xfId="0" applyFont="1" applyProtection="1">
      <protection hidden="1"/>
    </xf>
    <xf numFmtId="0" fontId="26" fillId="4" borderId="0" xfId="0" applyFont="1" applyFill="1" applyBorder="1" applyProtection="1">
      <protection hidden="1"/>
    </xf>
    <xf numFmtId="1" fontId="26" fillId="4" borderId="0" xfId="0" applyNumberFormat="1" applyFont="1" applyFill="1" applyBorder="1" applyProtection="1">
      <protection hidden="1"/>
    </xf>
    <xf numFmtId="0" fontId="43" fillId="4" borderId="0" xfId="0" applyFont="1" applyFill="1" applyBorder="1" applyProtection="1">
      <protection hidden="1"/>
    </xf>
    <xf numFmtId="0" fontId="22" fillId="8" borderId="8" xfId="0" applyFont="1" applyFill="1" applyBorder="1" applyProtection="1"/>
    <xf numFmtId="0" fontId="0" fillId="4" borderId="1" xfId="0" applyFill="1" applyBorder="1"/>
    <xf numFmtId="0" fontId="0" fillId="4" borderId="2" xfId="0" applyFill="1" applyBorder="1"/>
    <xf numFmtId="0" fontId="0" fillId="4" borderId="6" xfId="0" applyFill="1" applyBorder="1"/>
    <xf numFmtId="0" fontId="0" fillId="4" borderId="7" xfId="0" applyFill="1" applyBorder="1"/>
    <xf numFmtId="0" fontId="0" fillId="4" borderId="0" xfId="0" applyFill="1" applyBorder="1"/>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pplyProtection="1">
      <alignment horizontal="center"/>
      <protection hidden="1"/>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pplyProtection="1">
      <alignment horizontal="center"/>
      <protection hidden="1"/>
    </xf>
    <xf numFmtId="0" fontId="0" fillId="4" borderId="4" xfId="0" applyFill="1" applyBorder="1"/>
    <xf numFmtId="0" fontId="0" fillId="4" borderId="2" xfId="0" applyFill="1" applyBorder="1" applyAlignment="1">
      <alignment horizontal="right"/>
    </xf>
    <xf numFmtId="0" fontId="0" fillId="4" borderId="0" xfId="0" applyFill="1" applyBorder="1" applyAlignment="1">
      <alignment horizontal="right"/>
    </xf>
    <xf numFmtId="0" fontId="0" fillId="4" borderId="6" xfId="0" applyFill="1" applyBorder="1" applyProtection="1">
      <protection hidden="1"/>
    </xf>
    <xf numFmtId="0" fontId="0" fillId="4" borderId="7" xfId="0" applyFill="1" applyBorder="1" applyAlignment="1">
      <alignment horizontal="right"/>
    </xf>
    <xf numFmtId="0" fontId="6" fillId="4" borderId="16" xfId="0" applyFont="1" applyFill="1" applyBorder="1" applyAlignment="1" applyProtection="1">
      <alignment horizontal="right"/>
      <protection hidden="1"/>
    </xf>
    <xf numFmtId="0" fontId="2" fillId="4" borderId="2" xfId="0" applyFont="1" applyFill="1" applyBorder="1" applyProtection="1"/>
    <xf numFmtId="0" fontId="26" fillId="4" borderId="2" xfId="0" applyFont="1" applyFill="1" applyBorder="1" applyProtection="1">
      <protection hidden="1"/>
    </xf>
    <xf numFmtId="0" fontId="0" fillId="0" borderId="0" xfId="0" applyFill="1" applyProtection="1">
      <protection hidden="1"/>
    </xf>
    <xf numFmtId="0" fontId="0" fillId="0" borderId="0" xfId="0" applyFill="1" applyBorder="1" applyProtection="1">
      <protection hidden="1"/>
    </xf>
    <xf numFmtId="0" fontId="0" fillId="10" borderId="0" xfId="0" applyFill="1" applyBorder="1" applyProtection="1">
      <protection hidden="1"/>
    </xf>
    <xf numFmtId="0" fontId="0" fillId="0" borderId="0" xfId="0" applyFill="1" applyBorder="1" applyAlignment="1" applyProtection="1">
      <alignment horizontal="center"/>
      <protection hidden="1"/>
    </xf>
    <xf numFmtId="0" fontId="44" fillId="0" borderId="12" xfId="0" applyFont="1" applyBorder="1"/>
    <xf numFmtId="0" fontId="44" fillId="0" borderId="12" xfId="0" applyFont="1" applyBorder="1" applyAlignment="1">
      <alignment horizontal="center"/>
    </xf>
    <xf numFmtId="0" fontId="17" fillId="0" borderId="12" xfId="0" applyFont="1" applyBorder="1" applyAlignment="1">
      <alignment horizontal="center"/>
    </xf>
    <xf numFmtId="1" fontId="44" fillId="11" borderId="12" xfId="0" applyNumberFormat="1" applyFont="1" applyFill="1" applyBorder="1" applyAlignment="1">
      <alignment horizontal="center"/>
    </xf>
    <xf numFmtId="0" fontId="0" fillId="12" borderId="0" xfId="0" applyFill="1" applyProtection="1">
      <protection hidden="1"/>
    </xf>
    <xf numFmtId="0" fontId="0" fillId="0" borderId="0" xfId="0" applyNumberFormat="1" applyFill="1" applyProtection="1">
      <protection hidden="1"/>
    </xf>
    <xf numFmtId="2" fontId="0" fillId="4" borderId="3" xfId="0" applyNumberFormat="1" applyFill="1" applyBorder="1" applyProtection="1">
      <protection hidden="1"/>
    </xf>
    <xf numFmtId="2" fontId="0" fillId="4" borderId="8" xfId="0" applyNumberFormat="1" applyFill="1" applyBorder="1" applyProtection="1">
      <protection hidden="1"/>
    </xf>
    <xf numFmtId="0" fontId="25" fillId="14" borderId="0" xfId="0" applyFont="1" applyFill="1" applyBorder="1"/>
    <xf numFmtId="0" fontId="0" fillId="15" borderId="0" xfId="0" applyFont="1" applyFill="1" applyBorder="1"/>
    <xf numFmtId="0" fontId="0" fillId="0" borderId="0" xfId="0" applyFont="1" applyBorder="1"/>
    <xf numFmtId="0" fontId="0" fillId="0" borderId="0" xfId="0" applyNumberFormat="1" applyFont="1" applyBorder="1"/>
    <xf numFmtId="0" fontId="0" fillId="15" borderId="0" xfId="0" applyNumberFormat="1" applyFont="1" applyFill="1" applyBorder="1"/>
    <xf numFmtId="2" fontId="0" fillId="4" borderId="1" xfId="0" applyNumberFormat="1" applyFill="1" applyBorder="1" applyProtection="1">
      <protection hidden="1"/>
    </xf>
    <xf numFmtId="2" fontId="45" fillId="13" borderId="2" xfId="3" applyNumberFormat="1" applyBorder="1" applyProtection="1">
      <protection hidden="1"/>
    </xf>
    <xf numFmtId="2" fontId="0" fillId="4" borderId="6" xfId="0" applyNumberFormat="1" applyFill="1" applyBorder="1" applyProtection="1">
      <protection hidden="1"/>
    </xf>
    <xf numFmtId="2" fontId="45" fillId="13" borderId="7" xfId="3" applyNumberFormat="1" applyBorder="1" applyProtection="1">
      <protection hidden="1"/>
    </xf>
    <xf numFmtId="0" fontId="0" fillId="4" borderId="17" xfId="0" applyFill="1" applyBorder="1" applyProtection="1">
      <protection locked="0"/>
    </xf>
    <xf numFmtId="0" fontId="0" fillId="6" borderId="1" xfId="0" applyFill="1" applyBorder="1" applyProtection="1">
      <protection locked="0"/>
    </xf>
    <xf numFmtId="0" fontId="0" fillId="6" borderId="2" xfId="0" applyFill="1" applyBorder="1" applyProtection="1">
      <protection locked="0"/>
    </xf>
    <xf numFmtId="0" fontId="0" fillId="6" borderId="3" xfId="0" applyFill="1" applyBorder="1" applyProtection="1">
      <protection locked="0"/>
    </xf>
    <xf numFmtId="0" fontId="0" fillId="4" borderId="18" xfId="0" applyFill="1" applyBorder="1" applyProtection="1">
      <protection locked="0"/>
    </xf>
    <xf numFmtId="0" fontId="0" fillId="6" borderId="4" xfId="0" applyFill="1" applyBorder="1" applyProtection="1">
      <protection locked="0"/>
    </xf>
    <xf numFmtId="0" fontId="0" fillId="6" borderId="0" xfId="0" applyFill="1" applyBorder="1" applyProtection="1">
      <protection locked="0"/>
    </xf>
    <xf numFmtId="0" fontId="0" fillId="6" borderId="5" xfId="0" applyFill="1" applyBorder="1" applyProtection="1">
      <protection locked="0"/>
    </xf>
    <xf numFmtId="0" fontId="0" fillId="4" borderId="19" xfId="0" applyFill="1" applyBorder="1" applyProtection="1">
      <protection locked="0"/>
    </xf>
    <xf numFmtId="0" fontId="0" fillId="5" borderId="0" xfId="0" applyFill="1" applyBorder="1" applyProtection="1">
      <protection hidden="1"/>
    </xf>
    <xf numFmtId="2" fontId="6" fillId="4" borderId="0" xfId="0" applyNumberFormat="1" applyFont="1" applyFill="1" applyBorder="1" applyProtection="1"/>
    <xf numFmtId="2" fontId="6" fillId="4" borderId="7" xfId="0" applyNumberFormat="1" applyFont="1" applyFill="1" applyBorder="1" applyProtection="1"/>
    <xf numFmtId="0" fontId="1" fillId="4" borderId="6" xfId="0" applyFont="1" applyFill="1" applyBorder="1" applyAlignment="1" applyProtection="1">
      <protection hidden="1"/>
    </xf>
    <xf numFmtId="0" fontId="1" fillId="4" borderId="7" xfId="0" applyFont="1" applyFill="1" applyBorder="1" applyAlignment="1" applyProtection="1">
      <protection hidden="1"/>
    </xf>
    <xf numFmtId="11" fontId="0" fillId="6" borderId="6" xfId="0" applyNumberFormat="1" applyFill="1" applyBorder="1" applyProtection="1">
      <protection locked="0"/>
    </xf>
    <xf numFmtId="11" fontId="0" fillId="6" borderId="7" xfId="0" applyNumberFormat="1" applyFill="1" applyBorder="1" applyProtection="1">
      <protection locked="0"/>
    </xf>
    <xf numFmtId="11" fontId="0" fillId="6" borderId="8" xfId="0" applyNumberFormat="1" applyFill="1" applyBorder="1" applyProtection="1">
      <protection locked="0"/>
    </xf>
    <xf numFmtId="11" fontId="0" fillId="6" borderId="4" xfId="0" applyNumberFormat="1" applyFill="1" applyBorder="1" applyProtection="1">
      <protection locked="0"/>
    </xf>
    <xf numFmtId="11" fontId="0" fillId="6" borderId="0" xfId="0" applyNumberFormat="1" applyFill="1" applyBorder="1" applyProtection="1">
      <protection locked="0"/>
    </xf>
    <xf numFmtId="11" fontId="0" fillId="6" borderId="5" xfId="0" applyNumberFormat="1" applyFill="1" applyBorder="1" applyProtection="1">
      <protection locked="0"/>
    </xf>
    <xf numFmtId="0" fontId="6" fillId="3" borderId="0" xfId="0" applyFont="1" applyFill="1" applyBorder="1" applyProtection="1">
      <protection hidden="1"/>
    </xf>
    <xf numFmtId="0" fontId="46" fillId="3" borderId="0" xfId="0" applyFont="1" applyFill="1" applyBorder="1" applyProtection="1">
      <protection hidden="1"/>
    </xf>
    <xf numFmtId="0" fontId="1" fillId="4" borderId="6" xfId="0" applyFont="1" applyFill="1" applyBorder="1" applyAlignment="1" applyProtection="1">
      <alignment horizontal="left"/>
      <protection hidden="1"/>
    </xf>
    <xf numFmtId="0" fontId="1" fillId="4" borderId="7" xfId="0" applyFont="1" applyFill="1" applyBorder="1" applyAlignment="1" applyProtection="1">
      <alignment horizontal="left"/>
      <protection hidden="1"/>
    </xf>
    <xf numFmtId="0" fontId="6" fillId="6" borderId="0" xfId="0" applyFont="1" applyFill="1" applyBorder="1" applyAlignment="1" applyProtection="1">
      <alignment horizontal="center"/>
      <protection locked="0"/>
    </xf>
    <xf numFmtId="0" fontId="11" fillId="7" borderId="9" xfId="0" applyFont="1" applyFill="1" applyBorder="1" applyAlignment="1" applyProtection="1">
      <alignment horizontal="left" vertical="center"/>
      <protection hidden="1"/>
    </xf>
    <xf numFmtId="0" fontId="11" fillId="7" borderId="10" xfId="0" applyFont="1" applyFill="1" applyBorder="1" applyAlignment="1" applyProtection="1">
      <alignment horizontal="left" vertical="center"/>
      <protection hidden="1"/>
    </xf>
    <xf numFmtId="0" fontId="1" fillId="4" borderId="6" xfId="0" applyFont="1" applyFill="1" applyBorder="1" applyAlignment="1" applyProtection="1">
      <alignment horizontal="center"/>
      <protection hidden="1"/>
    </xf>
    <xf numFmtId="0" fontId="1" fillId="4" borderId="7" xfId="0" applyFont="1" applyFill="1" applyBorder="1" applyAlignment="1" applyProtection="1">
      <alignment horizontal="center"/>
      <protection hidden="1"/>
    </xf>
    <xf numFmtId="0" fontId="1" fillId="4" borderId="0" xfId="0" applyFont="1" applyFill="1" applyBorder="1" applyAlignment="1" applyProtection="1">
      <alignment horizontal="center"/>
      <protection hidden="1"/>
    </xf>
    <xf numFmtId="0" fontId="42" fillId="2" borderId="0" xfId="0" applyFont="1" applyFill="1" applyAlignment="1" applyProtection="1">
      <alignment horizontal="center"/>
      <protection hidden="1"/>
    </xf>
    <xf numFmtId="0" fontId="0" fillId="6" borderId="7" xfId="0" applyFill="1" applyBorder="1" applyAlignment="1" applyProtection="1">
      <alignment horizontal="center"/>
      <protection locked="0"/>
    </xf>
    <xf numFmtId="0" fontId="40" fillId="2" borderId="0" xfId="0" applyFont="1" applyFill="1" applyAlignment="1" applyProtection="1">
      <alignment horizontal="center" vertical="center"/>
      <protection hidden="1"/>
    </xf>
    <xf numFmtId="0" fontId="41" fillId="2" borderId="0" xfId="0" applyFont="1" applyFill="1" applyAlignment="1" applyProtection="1">
      <alignment horizontal="center" vertical="center"/>
      <protection hidden="1"/>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horizontal="center" vertical="center"/>
      <protection hidden="1"/>
    </xf>
    <xf numFmtId="0" fontId="1" fillId="4" borderId="4" xfId="0" applyFont="1" applyFill="1" applyBorder="1" applyAlignment="1" applyProtection="1">
      <alignment horizontal="center"/>
      <protection hidden="1"/>
    </xf>
    <xf numFmtId="0" fontId="6" fillId="6" borderId="2" xfId="0" applyFont="1" applyFill="1" applyBorder="1" applyAlignment="1" applyProtection="1">
      <alignment horizontal="center"/>
      <protection locked="0"/>
    </xf>
    <xf numFmtId="0" fontId="11" fillId="7" borderId="9" xfId="0" applyFont="1" applyFill="1" applyBorder="1" applyAlignment="1" applyProtection="1">
      <alignment horizontal="center" vertical="center"/>
    </xf>
    <xf numFmtId="0" fontId="11" fillId="7" borderId="10" xfId="0" applyFont="1" applyFill="1" applyBorder="1" applyAlignment="1" applyProtection="1">
      <alignment horizontal="center" vertical="center"/>
    </xf>
    <xf numFmtId="0" fontId="40" fillId="2" borderId="0" xfId="0" applyFont="1" applyFill="1" applyAlignment="1" applyProtection="1">
      <alignment horizontal="center"/>
      <protection hidden="1"/>
    </xf>
    <xf numFmtId="0" fontId="0" fillId="2" borderId="0" xfId="0" applyFill="1" applyAlignment="1" applyProtection="1">
      <alignment horizontal="center"/>
      <protection hidden="1"/>
    </xf>
    <xf numFmtId="0" fontId="1" fillId="4" borderId="9" xfId="0" applyFont="1" applyFill="1" applyBorder="1" applyAlignment="1" applyProtection="1">
      <alignment horizontal="left"/>
      <protection hidden="1"/>
    </xf>
    <xf numFmtId="0" fontId="1" fillId="4" borderId="10" xfId="0" applyFont="1" applyFill="1" applyBorder="1" applyAlignment="1" applyProtection="1">
      <alignment horizontal="left"/>
      <protection hidden="1"/>
    </xf>
    <xf numFmtId="0" fontId="1" fillId="4" borderId="4" xfId="0" applyFont="1" applyFill="1" applyBorder="1" applyAlignment="1" applyProtection="1">
      <alignment horizontal="left"/>
      <protection hidden="1"/>
    </xf>
    <xf numFmtId="0" fontId="1" fillId="4" borderId="0" xfId="0" applyFont="1" applyFill="1" applyBorder="1" applyAlignment="1" applyProtection="1">
      <alignment horizontal="left"/>
      <protection hidden="1"/>
    </xf>
    <xf numFmtId="0" fontId="26" fillId="0" borderId="12" xfId="0" applyFont="1" applyBorder="1" applyAlignment="1" applyProtection="1">
      <alignment horizontal="center"/>
      <protection hidden="1"/>
    </xf>
    <xf numFmtId="0" fontId="26" fillId="0" borderId="13" xfId="0" applyFont="1" applyBorder="1" applyAlignment="1" applyProtection="1">
      <alignment horizontal="center"/>
      <protection hidden="1"/>
    </xf>
  </cellXfs>
  <cellStyles count="4">
    <cellStyle name="Good" xfId="3" builtinId="26"/>
    <cellStyle name="Normal" xfId="0" builtinId="0"/>
    <cellStyle name="Normal 2" xfId="2" xr:uid="{577464DF-B62F-43AC-BCC9-E6A006E87294}"/>
    <cellStyle name="Percent" xfId="1" builtinId="5"/>
  </cellStyles>
  <dxfs count="276">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numFmt numFmtId="165" formatCode="#,##0.000"/>
      <protection locked="1" hidden="1"/>
    </dxf>
    <dxf>
      <border outline="0">
        <top style="thin">
          <color indexed="64"/>
        </top>
      </border>
    </dxf>
    <dxf>
      <numFmt numFmtId="165" formatCode="#,##0.000"/>
      <protection locked="1" hidden="1"/>
    </dxf>
    <dxf>
      <numFmt numFmtId="165" formatCode="#,##0.000"/>
      <protection locked="1" hidden="1"/>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protection locked="1" hidden="1"/>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protection locked="1" hidden="1"/>
    </dxf>
    <dxf>
      <numFmt numFmtId="165" formatCode="#,##0.000"/>
      <protection locked="1" hidden="1"/>
    </dxf>
    <dxf>
      <numFmt numFmtId="165" formatCode="#,##0.000"/>
      <protection locked="1" hidden="1"/>
    </dxf>
    <dxf>
      <border outline="0">
        <top style="thin">
          <color indexed="64"/>
        </top>
      </border>
    </dxf>
    <dxf>
      <numFmt numFmtId="165" formatCode="#,##0.000"/>
      <protection locked="1" hidden="1"/>
    </dxf>
    <dxf>
      <protection locked="1" hidden="1"/>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0"/>
        <name val="Calibri"/>
        <family val="2"/>
        <scheme val="minor"/>
      </font>
      <fill>
        <patternFill patternType="solid">
          <fgColor theme="5"/>
          <bgColor theme="5"/>
        </patternFill>
      </fill>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alignment horizontal="center" vertical="bottom" textRotation="0" wrapText="0" indent="0" justifyLastLine="0" shrinkToFit="0" readingOrder="0"/>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ont>
        <color theme="1" tint="0.14996795556505021"/>
      </font>
      <fill>
        <patternFill>
          <bgColor theme="1" tint="0.14996795556505021"/>
        </patternFill>
      </fill>
      <border>
        <left/>
        <right/>
        <top/>
        <bottom/>
      </border>
    </dxf>
    <dxf>
      <font>
        <color theme="0" tint="-0.34998626667073579"/>
      </font>
    </dxf>
    <dxf>
      <font>
        <color theme="0"/>
      </font>
      <fill>
        <patternFill>
          <fgColor theme="0"/>
        </patternFill>
      </fill>
    </dxf>
    <dxf>
      <font>
        <color theme="1" tint="0.14996795556505021"/>
      </font>
      <fill>
        <patternFill>
          <bgColor theme="1" tint="0.14996795556505021"/>
        </patternFill>
      </fill>
      <border>
        <left/>
        <right/>
        <top/>
        <bottom/>
      </border>
    </dxf>
    <dxf>
      <font>
        <color theme="0" tint="-0.34998626667073579"/>
      </font>
    </dxf>
    <dxf>
      <font>
        <color theme="1" tint="0.14996795556505021"/>
      </font>
      <fill>
        <patternFill>
          <bgColor theme="1" tint="0.14996795556505021"/>
        </patternFill>
      </fill>
      <border>
        <left/>
        <right/>
        <top/>
        <bottom/>
      </border>
    </dxf>
    <dxf>
      <font>
        <color theme="0" tint="-0.34998626667073579"/>
      </font>
    </dxf>
    <dxf>
      <font>
        <color theme="1" tint="0.14996795556505021"/>
      </font>
      <fill>
        <patternFill>
          <bgColor theme="1" tint="0.14996795556505021"/>
        </patternFill>
      </fill>
      <border>
        <left/>
        <right/>
        <top/>
        <bottom/>
      </border>
    </dxf>
    <dxf>
      <font>
        <color theme="0" tint="-0.34998626667073579"/>
      </font>
    </dxf>
    <dxf>
      <font>
        <b/>
        <i val="0"/>
        <strike val="0"/>
        <condense val="0"/>
        <extend val="0"/>
        <outline val="0"/>
        <shadow val="0"/>
        <u val="none"/>
        <vertAlign val="baseline"/>
        <sz val="10"/>
        <color auto="1"/>
        <name val="Arial"/>
        <family val="2"/>
        <scheme val="none"/>
      </font>
      <fill>
        <patternFill patternType="solid">
          <fgColor indexed="64"/>
          <bgColor theme="0"/>
        </patternFill>
      </fill>
      <border diagonalUp="0" diagonalDown="0">
        <left/>
        <right style="medium">
          <color indexed="64"/>
        </right>
        <top/>
        <bottom/>
        <vertical/>
        <horizontal/>
      </border>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right" vertical="bottom" textRotation="0" wrapText="0" indent="0" justifyLastLine="0" shrinkToFit="0" readingOrder="0"/>
      <protection locked="1" hidden="1"/>
    </dxf>
    <dxf>
      <border outline="0">
        <bottom style="medium">
          <color indexed="64"/>
        </bottom>
      </border>
    </dxf>
    <dxf>
      <protection locked="1" hidden="1"/>
    </dxf>
    <dxf>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solid">
          <fgColor indexed="64"/>
          <bgColor rgb="FFFF0000"/>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numFmt numFmtId="0" formatCode="General"/>
      <fill>
        <patternFill patternType="none">
          <fgColor indexed="64"/>
          <bgColor indexed="65"/>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font>
        <strike val="0"/>
        <outline val="0"/>
        <shadow val="0"/>
        <u val="none"/>
        <vertAlign val="baseline"/>
        <sz val="11"/>
        <color rgb="FFFF0000"/>
        <name val="Calibri"/>
        <family val="2"/>
        <scheme val="minor"/>
      </font>
      <numFmt numFmtId="2" formatCode="0.00"/>
      <fill>
        <patternFill patternType="solid">
          <fgColor indexed="64"/>
          <bgColor rgb="FFFF0000"/>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vertical="bottom"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border diagonalUp="0" diagonalDown="0" outline="0">
        <left style="medium">
          <color indexed="64"/>
        </left>
        <right/>
        <top/>
        <bottom/>
      </border>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0" formatCode="General"/>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protection locked="1" hidden="1"/>
    </dxf>
    <dxf>
      <fill>
        <patternFill patternType="none">
          <fgColor indexed="64"/>
          <bgColor auto="1"/>
        </patternFill>
      </fill>
      <alignment horizontal="right" textRotation="0" wrapText="0" indent="0" justifyLastLine="0" shrinkToFit="0" readingOrder="0"/>
      <protection locked="1" hidden="1"/>
    </dxf>
    <dxf>
      <fill>
        <patternFill patternType="none">
          <fgColor indexed="64"/>
          <bgColor auto="1"/>
        </patternFill>
      </fill>
      <alignment horizontal="left" vertical="center" textRotation="0" wrapText="0" indent="0" justifyLastLine="0" shrinkToFit="0" readingOrder="0"/>
      <protection locked="1" hidden="1"/>
    </dxf>
    <dxf>
      <font>
        <color theme="0"/>
      </font>
      <fill>
        <patternFill>
          <fgColor theme="0"/>
        </patternFill>
      </fill>
    </dxf>
    <dxf>
      <font>
        <color theme="0" tint="-0.34998626667073579"/>
      </font>
    </dxf>
    <dxf>
      <font>
        <color theme="1" tint="0.14996795556505021"/>
      </font>
      <fill>
        <patternFill>
          <bgColor theme="1" tint="0.14996795556505021"/>
        </patternFill>
      </fill>
      <border>
        <left/>
        <right/>
        <top/>
        <bottom/>
      </border>
    </dxf>
    <dxf>
      <border>
        <left/>
        <right/>
        <top/>
        <bottom/>
        <vertical/>
        <horizontal/>
      </border>
    </dxf>
    <dxf>
      <font>
        <color theme="0"/>
      </font>
      <fill>
        <patternFill>
          <fgColor theme="0"/>
        </patternFill>
      </fill>
    </dxf>
    <dxf>
      <font>
        <color theme="0" tint="-0.34998626667073579"/>
      </font>
    </dxf>
    <dxf>
      <font>
        <color rgb="FFFF0000"/>
      </font>
    </dxf>
    <dxf>
      <font>
        <color rgb="FFFF0000"/>
      </font>
    </dxf>
    <dxf>
      <font>
        <color rgb="FFFF0000"/>
      </font>
    </dxf>
    <dxf>
      <font>
        <color rgb="FFFF0000"/>
      </font>
    </dxf>
    <dxf>
      <font>
        <color theme="0"/>
      </font>
      <fill>
        <patternFill>
          <fgColor theme="0"/>
          <bgColor theme="0"/>
        </patternFill>
      </fill>
      <border>
        <left/>
        <right/>
        <top/>
        <bottom/>
        <vertical/>
        <horizontal/>
      </border>
    </dxf>
    <dxf>
      <font>
        <color rgb="FFFF0000"/>
      </font>
    </dxf>
    <dxf>
      <border>
        <vertical/>
        <horizontal/>
      </border>
    </dxf>
    <dxf>
      <fill>
        <patternFill>
          <bgColor rgb="FFFFFF00"/>
        </patternFill>
      </fill>
    </dxf>
    <dxf>
      <fill>
        <patternFill>
          <bgColor rgb="FFFFFF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color rgb="FFFF0000"/>
      </font>
    </dxf>
    <dxf>
      <font>
        <b/>
        <i val="0"/>
        <condense val="0"/>
        <extend val="0"/>
        <color indexed="10"/>
      </font>
    </dxf>
  </dxfs>
  <tableStyles count="0" defaultTableStyle="TableStyleMedium2" defaultPivotStyle="PivotStyleLight16"/>
  <colors>
    <mruColors>
      <color rgb="FF0000FF"/>
      <color rgb="FFEB6C15"/>
      <color rgb="FFC6EFCE"/>
      <color rgb="FF96E2A4"/>
      <color rgb="FFC6E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vs I</a:t>
            </a:r>
            <a:r>
              <a:rPr lang="en-US" baseline="-25000"/>
              <a:t>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920704029643352E-2"/>
          <c:y val="6.878071395456653E-2"/>
          <c:w val="0.88969948966799361"/>
          <c:h val="0.74456459284731269"/>
        </c:manualLayout>
      </c:layout>
      <c:scatterChart>
        <c:scatterStyle val="smoothMarker"/>
        <c:varyColors val="0"/>
        <c:ser>
          <c:idx val="2"/>
          <c:order val="2"/>
          <c:tx>
            <c:v>Plot 1 Efficiency</c:v>
          </c:tx>
          <c:spPr>
            <a:ln w="19050" cap="rnd">
              <a:solidFill>
                <a:srgbClr val="FF0000"/>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Calculator'!$CR$156:$CR$256</c:f>
              <c:numCache>
                <c:formatCode>0.00</c:formatCode>
                <c:ptCount val="101"/>
                <c:pt idx="0">
                  <c:v>0</c:v>
                </c:pt>
                <c:pt idx="1">
                  <c:v>21.812157529926964</c:v>
                </c:pt>
                <c:pt idx="2">
                  <c:v>35.74040084116141</c:v>
                </c:pt>
                <c:pt idx="3">
                  <c:v>45.401252425167698</c:v>
                </c:pt>
                <c:pt idx="4">
                  <c:v>52.492635898628471</c:v>
                </c:pt>
                <c:pt idx="5">
                  <c:v>57.915458092082673</c:v>
                </c:pt>
                <c:pt idx="6">
                  <c:v>62.181130574991862</c:v>
                </c:pt>
                <c:pt idx="7">
                  <c:v>65.630852299336595</c:v>
                </c:pt>
                <c:pt idx="8">
                  <c:v>68.477135216836345</c:v>
                </c:pt>
                <c:pt idx="9">
                  <c:v>70.864589812015723</c:v>
                </c:pt>
                <c:pt idx="10">
                  <c:v>72.89503873963217</c:v>
                </c:pt>
                <c:pt idx="11">
                  <c:v>74.642252099407585</c:v>
                </c:pt>
                <c:pt idx="12">
                  <c:v>76.160985659432797</c:v>
                </c:pt>
                <c:pt idx="13">
                  <c:v>77.492736202040561</c:v>
                </c:pt>
                <c:pt idx="14">
                  <c:v>78.669525730710816</c:v>
                </c:pt>
                <c:pt idx="15">
                  <c:v>79.716459615460224</c:v>
                </c:pt>
                <c:pt idx="16">
                  <c:v>80.653498376463673</c:v>
                </c:pt>
                <c:pt idx="17">
                  <c:v>81.496711373091955</c:v>
                </c:pt>
                <c:pt idx="18">
                  <c:v>82.259180932611713</c:v>
                </c:pt>
                <c:pt idx="19">
                  <c:v>82.951665579649898</c:v>
                </c:pt>
                <c:pt idx="20">
                  <c:v>83.583094066149329</c:v>
                </c:pt>
                <c:pt idx="21">
                  <c:v>84.160938507378859</c:v>
                </c:pt>
                <c:pt idx="22">
                  <c:v>84.691499786065975</c:v>
                </c:pt>
                <c:pt idx="23">
                  <c:v>85.180128382642934</c:v>
                </c:pt>
                <c:pt idx="24">
                  <c:v>85.631397057340322</c:v>
                </c:pt>
                <c:pt idx="25">
                  <c:v>86.049237202176371</c:v>
                </c:pt>
                <c:pt idx="26">
                  <c:v>86.437047478041592</c:v>
                </c:pt>
                <c:pt idx="27">
                  <c:v>86.797781093749165</c:v>
                </c:pt>
                <c:pt idx="28">
                  <c:v>87.134016470443143</c:v>
                </c:pt>
                <c:pt idx="29">
                  <c:v>87.448014867829585</c:v>
                </c:pt>
                <c:pt idx="30">
                  <c:v>87.741767695093742</c:v>
                </c:pt>
                <c:pt idx="31">
                  <c:v>88.017035598323332</c:v>
                </c:pt>
                <c:pt idx="32">
                  <c:v>88.275380945111621</c:v>
                </c:pt>
                <c:pt idx="33">
                  <c:v>88.518194971981075</c:v>
                </c:pt>
                <c:pt idx="34">
                  <c:v>88.746720590400642</c:v>
                </c:pt>
                <c:pt idx="35">
                  <c:v>88.962071640357536</c:v>
                </c:pt>
                <c:pt idx="36">
                  <c:v>89.165249220730018</c:v>
                </c:pt>
                <c:pt idx="37">
                  <c:v>89.357155601471135</c:v>
                </c:pt>
                <c:pt idx="38">
                  <c:v>89.538606125305023</c:v>
                </c:pt>
                <c:pt idx="39">
                  <c:v>89.710339429928439</c:v>
                </c:pt>
                <c:pt idx="40">
                  <c:v>89.873026260864208</c:v>
                </c:pt>
                <c:pt idx="41">
                  <c:v>90.027277096567275</c:v>
                </c:pt>
                <c:pt idx="42">
                  <c:v>90.17364876843898</c:v>
                </c:pt>
                <c:pt idx="43">
                  <c:v>90.312650226991579</c:v>
                </c:pt>
                <c:pt idx="44">
                  <c:v>90.444747579944263</c:v>
                </c:pt>
                <c:pt idx="45">
                  <c:v>90.570368507291406</c:v>
                </c:pt>
                <c:pt idx="46">
                  <c:v>90.689906141414838</c:v>
                </c:pt>
                <c:pt idx="47">
                  <c:v>90.803722486364506</c:v>
                </c:pt>
                <c:pt idx="48">
                  <c:v>90.912151438922052</c:v>
                </c:pt>
                <c:pt idx="49">
                  <c:v>91.015501464524036</c:v>
                </c:pt>
                <c:pt idx="50">
                  <c:v>91.11405797318703</c:v>
                </c:pt>
                <c:pt idx="51">
                  <c:v>91.208085433953599</c:v>
                </c:pt>
                <c:pt idx="52">
                  <c:v>91.297829260826902</c:v>
                </c:pt>
                <c:pt idx="53">
                  <c:v>91.383517498496062</c:v>
                </c:pt>
                <c:pt idx="54">
                  <c:v>91.465362332217168</c:v>
                </c:pt>
                <c:pt idx="55">
                  <c:v>91.543561442884709</c:v>
                </c:pt>
                <c:pt idx="56">
                  <c:v>91.618299225500309</c:v>
                </c:pt>
                <c:pt idx="57">
                  <c:v>91.689747886839243</c:v>
                </c:pt>
                <c:pt idx="58">
                  <c:v>91.758068436060398</c:v>
                </c:pt>
                <c:pt idx="59">
                  <c:v>91.823411580246187</c:v>
                </c:pt>
                <c:pt idx="60">
                  <c:v>91.88591853534983</c:v>
                </c:pt>
                <c:pt idx="61">
                  <c:v>91.945721761727555</c:v>
                </c:pt>
                <c:pt idx="62">
                  <c:v>92.002945632313171</c:v>
                </c:pt>
                <c:pt idx="63">
                  <c:v>92.057707040523425</c:v>
                </c:pt>
                <c:pt idx="64">
                  <c:v>92.11011595414233</c:v>
                </c:pt>
                <c:pt idx="65">
                  <c:v>92.160275920703313</c:v>
                </c:pt>
                <c:pt idx="66">
                  <c:v>92.208284529253291</c:v>
                </c:pt>
                <c:pt idx="67">
                  <c:v>92.254233832827993</c:v>
                </c:pt>
                <c:pt idx="68">
                  <c:v>92.29821073548429</c:v>
                </c:pt>
                <c:pt idx="69">
                  <c:v>92.340297347310397</c:v>
                </c:pt>
                <c:pt idx="70">
                  <c:v>92.38057131046331</c:v>
                </c:pt>
                <c:pt idx="71">
                  <c:v>92.419106098954686</c:v>
                </c:pt>
                <c:pt idx="72">
                  <c:v>92.455971294618593</c:v>
                </c:pt>
                <c:pt idx="73">
                  <c:v>92.491232841440223</c:v>
                </c:pt>
                <c:pt idx="74">
                  <c:v>92.524953280199256</c:v>
                </c:pt>
                <c:pt idx="75">
                  <c:v>92.557191965183065</c:v>
                </c:pt>
                <c:pt idx="76">
                  <c:v>92.588005264548116</c:v>
                </c:pt>
                <c:pt idx="77">
                  <c:v>92.617446745751096</c:v>
                </c:pt>
                <c:pt idx="78">
                  <c:v>92.645567347331749</c:v>
                </c:pt>
                <c:pt idx="79">
                  <c:v>92.672415538205286</c:v>
                </c:pt>
                <c:pt idx="80">
                  <c:v>92.698037465511334</c:v>
                </c:pt>
                <c:pt idx="81">
                  <c:v>92.722477091966908</c:v>
                </c:pt>
                <c:pt idx="82">
                  <c:v>92.745776323582803</c:v>
                </c:pt>
                <c:pt idx="83">
                  <c:v>92.767975128522934</c:v>
                </c:pt>
                <c:pt idx="84">
                  <c:v>92.789111647815119</c:v>
                </c:pt>
                <c:pt idx="85">
                  <c:v>92.809222298557557</c:v>
                </c:pt>
                <c:pt idx="86">
                  <c:v>92.828341870208035</c:v>
                </c:pt>
                <c:pt idx="87">
                  <c:v>92.846503614490473</c:v>
                </c:pt>
                <c:pt idx="88">
                  <c:v>92.863739329407309</c:v>
                </c:pt>
                <c:pt idx="89">
                  <c:v>92.880079437803502</c:v>
                </c:pt>
                <c:pt idx="90">
                  <c:v>92.895553060889952</c:v>
                </c:pt>
                <c:pt idx="91">
                  <c:v>92.910188087099769</c:v>
                </c:pt>
                <c:pt idx="92">
                  <c:v>92.92401123661935</c:v>
                </c:pt>
                <c:pt idx="93">
                  <c:v>92.937048121907878</c:v>
                </c:pt>
                <c:pt idx="94">
                  <c:v>92.949323304493319</c:v>
                </c:pt>
                <c:pt idx="95">
                  <c:v>92.96086034830941</c:v>
                </c:pt>
                <c:pt idx="96">
                  <c:v>92.971681869816891</c:v>
                </c:pt>
                <c:pt idx="97">
                  <c:v>92.981809585133178</c:v>
                </c:pt>
                <c:pt idx="98">
                  <c:v>92.991264354376312</c:v>
                </c:pt>
                <c:pt idx="99">
                  <c:v>93.00006622341381</c:v>
                </c:pt>
                <c:pt idx="100">
                  <c:v>93.00823446319167</c:v>
                </c:pt>
              </c:numCache>
            </c:numRef>
          </c:yVal>
          <c:smooth val="1"/>
          <c:extLst>
            <c:ext xmlns:c16="http://schemas.microsoft.com/office/drawing/2014/chart" uri="{C3380CC4-5D6E-409C-BE32-E72D297353CC}">
              <c16:uniqueId val="{00000002-1F98-4669-B27B-9CB36E467256}"/>
            </c:ext>
          </c:extLst>
        </c:ser>
        <c:ser>
          <c:idx val="8"/>
          <c:order val="5"/>
          <c:tx>
            <c:v>Plot 1 Saved Efficiency</c:v>
          </c:tx>
          <c:spPr>
            <a:ln w="19050" cap="rnd">
              <a:solidFill>
                <a:srgbClr val="FF0000"/>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Calculator'!$CZ$156:$CZ$256</c:f>
              <c:numCache>
                <c:formatCode>0.00</c:formatCode>
                <c:ptCount val="101"/>
                <c:pt idx="0">
                  <c:v>0</c:v>
                </c:pt>
                <c:pt idx="1">
                  <c:v>29.440573150651701</c:v>
                </c:pt>
                <c:pt idx="2">
                  <c:v>45.371983393416883</c:v>
                </c:pt>
                <c:pt idx="3">
                  <c:v>55.351711021400476</c:v>
                </c:pt>
                <c:pt idx="4">
                  <c:v>62.186025383571454</c:v>
                </c:pt>
                <c:pt idx="5">
                  <c:v>67.154245624170855</c:v>
                </c:pt>
                <c:pt idx="6">
                  <c:v>70.908540185338666</c:v>
                </c:pt>
                <c:pt idx="7">
                  <c:v>73.853612614557406</c:v>
                </c:pt>
                <c:pt idx="8">
                  <c:v>76.224152147015232</c:v>
                </c:pt>
                <c:pt idx="9">
                  <c:v>78.172096987809468</c:v>
                </c:pt>
                <c:pt idx="10">
                  <c:v>79.80015207630079</c:v>
                </c:pt>
                <c:pt idx="11">
                  <c:v>81.180236313129157</c:v>
                </c:pt>
                <c:pt idx="12">
                  <c:v>82.364213625063982</c:v>
                </c:pt>
                <c:pt idx="13">
                  <c:v>83.390427933436754</c:v>
                </c:pt>
                <c:pt idx="14">
                  <c:v>84.287839140610387</c:v>
                </c:pt>
                <c:pt idx="15">
                  <c:v>85.078728338529004</c:v>
                </c:pt>
                <c:pt idx="16">
                  <c:v>85.780518208173632</c:v>
                </c:pt>
                <c:pt idx="17">
                  <c:v>86.407028789322908</c:v>
                </c:pt>
                <c:pt idx="18">
                  <c:v>86.969362896035477</c:v>
                </c:pt>
                <c:pt idx="19">
                  <c:v>87.476542637606059</c:v>
                </c:pt>
                <c:pt idx="20">
                  <c:v>87.93597501823524</c:v>
                </c:pt>
                <c:pt idx="21">
                  <c:v>88.353797867591695</c:v>
                </c:pt>
                <c:pt idx="22">
                  <c:v>88.735140512041895</c:v>
                </c:pt>
                <c:pt idx="23">
                  <c:v>89.084322734803365</c:v>
                </c:pt>
                <c:pt idx="24">
                  <c:v>89.405008422368695</c:v>
                </c:pt>
                <c:pt idx="25">
                  <c:v>89.700325497259172</c:v>
                </c:pt>
                <c:pt idx="26">
                  <c:v>89.972960463128956</c:v>
                </c:pt>
                <c:pt idx="27">
                  <c:v>90.225233618361074</c:v>
                </c:pt>
                <c:pt idx="28">
                  <c:v>90.459159397651987</c:v>
                </c:pt>
                <c:pt idx="29">
                  <c:v>90.676495162887321</c:v>
                </c:pt>
                <c:pt idx="30">
                  <c:v>90.878780943125719</c:v>
                </c:pt>
                <c:pt idx="31">
                  <c:v>91.067372023749783</c:v>
                </c:pt>
                <c:pt idx="32">
                  <c:v>91.243465842253059</c:v>
                </c:pt>
                <c:pt idx="33">
                  <c:v>91.408124318242102</c:v>
                </c:pt>
                <c:pt idx="34">
                  <c:v>91.562292497033326</c:v>
                </c:pt>
                <c:pt idx="35">
                  <c:v>91.706814197841837</c:v>
                </c:pt>
                <c:pt idx="36">
                  <c:v>91.842445213392466</c:v>
                </c:pt>
                <c:pt idx="37">
                  <c:v>91.969864496594724</c:v>
                </c:pt>
                <c:pt idx="38">
                  <c:v>92.08968368353905</c:v>
                </c:pt>
                <c:pt idx="39">
                  <c:v>92.202455234490969</c:v>
                </c:pt>
                <c:pt idx="40">
                  <c:v>92.308679421343896</c:v>
                </c:pt>
                <c:pt idx="41">
                  <c:v>92.408810347824527</c:v>
                </c:pt>
                <c:pt idx="42">
                  <c:v>92.503261155135988</c:v>
                </c:pt>
                <c:pt idx="43">
                  <c:v>92.592408538786358</c:v>
                </c:pt>
                <c:pt idx="44">
                  <c:v>92.676596680643158</c:v>
                </c:pt>
                <c:pt idx="45">
                  <c:v>92.756140682674399</c:v>
                </c:pt>
                <c:pt idx="46">
                  <c:v>92.831329574529406</c:v>
                </c:pt>
                <c:pt idx="47">
                  <c:v>92.902428955414365</c:v>
                </c:pt>
                <c:pt idx="48">
                  <c:v>92.96968332111129</c:v>
                </c:pt>
                <c:pt idx="49">
                  <c:v>93.033318119066195</c:v>
                </c:pt>
                <c:pt idx="50">
                  <c:v>93.093541567911473</c:v>
                </c:pt>
                <c:pt idx="51">
                  <c:v>93.150546272334637</c:v>
                </c:pt>
                <c:pt idx="52">
                  <c:v>93.204510659653764</c:v>
                </c:pt>
                <c:pt idx="53">
                  <c:v>93.255600260651022</c:v>
                </c:pt>
                <c:pt idx="54">
                  <c:v>93.303968854012595</c:v>
                </c:pt>
                <c:pt idx="55">
                  <c:v>93.34975949102467</c:v>
                </c:pt>
                <c:pt idx="56">
                  <c:v>93.393105414892091</c:v>
                </c:pt>
                <c:pt idx="57">
                  <c:v>93.434130887109362</c:v>
                </c:pt>
                <c:pt idx="58">
                  <c:v>93.472951931666245</c:v>
                </c:pt>
                <c:pt idx="59">
                  <c:v>93.509677006463633</c:v>
                </c:pt>
                <c:pt idx="60">
                  <c:v>93.544407610112515</c:v>
                </c:pt>
                <c:pt idx="61">
                  <c:v>93.577238831256921</c:v>
                </c:pt>
                <c:pt idx="62">
                  <c:v>93.608259846673249</c:v>
                </c:pt>
                <c:pt idx="63">
                  <c:v>93.637554373633662</c:v>
                </c:pt>
                <c:pt idx="64">
                  <c:v>93.665201081358745</c:v>
                </c:pt>
                <c:pt idx="65">
                  <c:v>93.6912739658124</c:v>
                </c:pt>
                <c:pt idx="66">
                  <c:v>93.715842691592911</c:v>
                </c:pt>
                <c:pt idx="67">
                  <c:v>93.738972904242203</c:v>
                </c:pt>
                <c:pt idx="68">
                  <c:v>93.760726515916588</c:v>
                </c:pt>
                <c:pt idx="69">
                  <c:v>93.781161967033114</c:v>
                </c:pt>
                <c:pt idx="70">
                  <c:v>93.800334466215446</c:v>
                </c:pt>
                <c:pt idx="71">
                  <c:v>93.818296210611166</c:v>
                </c:pt>
                <c:pt idx="72">
                  <c:v>93.835096588428016</c:v>
                </c:pt>
                <c:pt idx="73">
                  <c:v>93.850782365341246</c:v>
                </c:pt>
                <c:pt idx="74">
                  <c:v>93.865397856251207</c:v>
                </c:pt>
                <c:pt idx="75">
                  <c:v>93.8789850837166</c:v>
                </c:pt>
                <c:pt idx="76">
                  <c:v>93.891583924254206</c:v>
                </c:pt>
                <c:pt idx="77">
                  <c:v>93.903232243575474</c:v>
                </c:pt>
                <c:pt idx="78">
                  <c:v>93.913966021723823</c:v>
                </c:pt>
                <c:pt idx="79">
                  <c:v>93.923819468981776</c:v>
                </c:pt>
                <c:pt idx="80">
                  <c:v>93.932825133332415</c:v>
                </c:pt>
                <c:pt idx="81">
                  <c:v>93.941014000184936</c:v>
                </c:pt>
                <c:pt idx="82">
                  <c:v>93.948415585005691</c:v>
                </c:pt>
                <c:pt idx="83">
                  <c:v>93.955058019437104</c:v>
                </c:pt>
                <c:pt idx="84">
                  <c:v>93.960968131432338</c:v>
                </c:pt>
                <c:pt idx="85">
                  <c:v>93.966171519885052</c:v>
                </c:pt>
                <c:pt idx="86">
                  <c:v>93.970692624190718</c:v>
                </c:pt>
                <c:pt idx="87">
                  <c:v>93.97455478913642</c:v>
                </c:pt>
                <c:pt idx="88">
                  <c:v>93.977780325481191</c:v>
                </c:pt>
                <c:pt idx="89">
                  <c:v>93.980390566557091</c:v>
                </c:pt>
                <c:pt idx="90">
                  <c:v>93.982405921192637</c:v>
                </c:pt>
                <c:pt idx="91">
                  <c:v>93.983845923234469</c:v>
                </c:pt>
                <c:pt idx="92">
                  <c:v>93.984729277919627</c:v>
                </c:pt>
                <c:pt idx="93">
                  <c:v>93.985073905329457</c:v>
                </c:pt>
                <c:pt idx="94">
                  <c:v>93.984896981137595</c:v>
                </c:pt>
                <c:pt idx="95">
                  <c:v>93.98421497484614</c:v>
                </c:pt>
                <c:pt idx="96">
                  <c:v>93.983043685689253</c:v>
                </c:pt>
                <c:pt idx="97">
                  <c:v>93.981398276368097</c:v>
                </c:pt>
                <c:pt idx="98">
                  <c:v>93.979293304768888</c:v>
                </c:pt>
                <c:pt idx="99">
                  <c:v>93.976742753802796</c:v>
                </c:pt>
                <c:pt idx="100">
                  <c:v>93.97376005949674</c:v>
                </c:pt>
              </c:numCache>
            </c:numRef>
          </c:yVal>
          <c:smooth val="1"/>
          <c:extLst>
            <c:ext xmlns:c16="http://schemas.microsoft.com/office/drawing/2014/chart" uri="{C3380CC4-5D6E-409C-BE32-E72D297353CC}">
              <c16:uniqueId val="{00000008-1F98-4669-B27B-9CB36E467256}"/>
            </c:ext>
          </c:extLst>
        </c:ser>
        <c:ser>
          <c:idx val="5"/>
          <c:order val="8"/>
          <c:tx>
            <c:v>Plot 2 Efficiency</c:v>
          </c:tx>
          <c:spPr>
            <a:ln w="19050" cap="rnd">
              <a:solidFill>
                <a:srgbClr val="0000FF"/>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5-1F98-4669-B27B-9CB36E467256}"/>
            </c:ext>
          </c:extLst>
        </c:ser>
        <c:ser>
          <c:idx val="11"/>
          <c:order val="11"/>
          <c:tx>
            <c:v>Plot 2 Saved Efficiency</c:v>
          </c:tx>
          <c:spPr>
            <a:ln w="19050" cap="rnd">
              <a:solidFill>
                <a:srgbClr val="0000FF"/>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Calculator'!$DD$156:$DD$256</c:f>
              <c:numCache>
                <c:formatCode>0.00</c:formatCode>
                <c:ptCount val="101"/>
                <c:pt idx="0">
                  <c:v>0</c:v>
                </c:pt>
                <c:pt idx="1">
                  <c:v>38.354121553191092</c:v>
                </c:pt>
                <c:pt idx="2">
                  <c:v>55.371036811864968</c:v>
                </c:pt>
                <c:pt idx="3">
                  <c:v>64.972768566349018</c:v>
                </c:pt>
                <c:pt idx="4">
                  <c:v>71.133256657281109</c:v>
                </c:pt>
                <c:pt idx="5">
                  <c:v>75.413960196660483</c:v>
                </c:pt>
                <c:pt idx="6">
                  <c:v>78.533810853358659</c:v>
                </c:pt>
                <c:pt idx="7">
                  <c:v>80.919446970289528</c:v>
                </c:pt>
                <c:pt idx="8">
                  <c:v>82.800801083141067</c:v>
                </c:pt>
                <c:pt idx="9">
                  <c:v>84.320872696259926</c:v>
                </c:pt>
                <c:pt idx="10">
                  <c:v>85.573264926730943</c:v>
                </c:pt>
                <c:pt idx="11">
                  <c:v>86.621817790450024</c:v>
                </c:pt>
                <c:pt idx="12">
                  <c:v>87.511566831474056</c:v>
                </c:pt>
                <c:pt idx="13">
                  <c:v>88.275191951698872</c:v>
                </c:pt>
                <c:pt idx="14">
                  <c:v>88.936982698460582</c:v>
                </c:pt>
                <c:pt idx="15">
                  <c:v>89.515368565610274</c:v>
                </c:pt>
                <c:pt idx="16">
                  <c:v>90.024585698588169</c:v>
                </c:pt>
                <c:pt idx="17">
                  <c:v>90.475805366876784</c:v>
                </c:pt>
                <c:pt idx="18">
                  <c:v>90.877916628522271</c:v>
                </c:pt>
                <c:pt idx="19">
                  <c:v>91.238080809867384</c:v>
                </c:pt>
                <c:pt idx="20">
                  <c:v>91.562131818643721</c:v>
                </c:pt>
                <c:pt idx="21">
                  <c:v>91.854870083965139</c:v>
                </c:pt>
                <c:pt idx="22">
                  <c:v>92.120281701653667</c:v>
                </c:pt>
                <c:pt idx="23">
                  <c:v>92.361704085463003</c:v>
                </c:pt>
                <c:pt idx="24">
                  <c:v>92.581952763069623</c:v>
                </c:pt>
                <c:pt idx="25">
                  <c:v>92.783419549680445</c:v>
                </c:pt>
                <c:pt idx="26">
                  <c:v>92.968149363886084</c:v>
                </c:pt>
                <c:pt idx="27">
                  <c:v>93.137900916884774</c:v>
                </c:pt>
                <c:pt idx="28">
                  <c:v>93.294195091417109</c:v>
                </c:pt>
                <c:pt idx="29">
                  <c:v>93.438353828355076</c:v>
                </c:pt>
                <c:pt idx="30">
                  <c:v>93.571531625028328</c:v>
                </c:pt>
                <c:pt idx="31">
                  <c:v>93.694741232709973</c:v>
                </c:pt>
                <c:pt idx="32">
                  <c:v>93.808874762499272</c:v>
                </c:pt>
                <c:pt idx="33">
                  <c:v>93.91472112908184</c:v>
                </c:pt>
                <c:pt idx="34">
                  <c:v>94.012980552857528</c:v>
                </c:pt>
                <c:pt idx="35">
                  <c:v>94.104276683354399</c:v>
                </c:pt>
                <c:pt idx="36">
                  <c:v>94.189166787013335</c:v>
                </c:pt>
                <c:pt idx="37">
                  <c:v>94.268150350548169</c:v>
                </c:pt>
                <c:pt idx="38">
                  <c:v>94.341676380099599</c:v>
                </c:pt>
                <c:pt idx="39">
                  <c:v>94.410149621158212</c:v>
                </c:pt>
                <c:pt idx="40">
                  <c:v>94.47393588094657</c:v>
                </c:pt>
                <c:pt idx="41">
                  <c:v>94.533366600813494</c:v>
                </c:pt>
                <c:pt idx="42">
                  <c:v>94.58874279910755</c:v>
                </c:pt>
                <c:pt idx="43">
                  <c:v>94.640338483378144</c:v>
                </c:pt>
                <c:pt idx="44">
                  <c:v>94.688403613403452</c:v>
                </c:pt>
                <c:pt idx="45">
                  <c:v>94.733166682546752</c:v>
                </c:pt>
                <c:pt idx="46">
                  <c:v>94.774836973593267</c:v>
                </c:pt>
                <c:pt idx="47">
                  <c:v>94.813606535972568</c:v>
                </c:pt>
                <c:pt idx="48">
                  <c:v>94.84965192370322</c:v>
                </c:pt>
                <c:pt idx="49">
                  <c:v>94.883135727174476</c:v>
                </c:pt>
                <c:pt idx="50">
                  <c:v>94.914207926743941</c:v>
                </c:pt>
                <c:pt idx="51">
                  <c:v>94.943007091873042</c:v>
                </c:pt>
                <c:pt idx="52">
                  <c:v>94.969661445980165</c:v>
                </c:pt>
                <c:pt idx="53">
                  <c:v>94.994289814233511</c:v>
                </c:pt>
                <c:pt idx="54">
                  <c:v>95.017002469027005</c:v>
                </c:pt>
                <c:pt idx="55">
                  <c:v>95.037901885797595</c:v>
                </c:pt>
                <c:pt idx="56">
                  <c:v>95.057083420083984</c:v>
                </c:pt>
                <c:pt idx="57">
                  <c:v>95.07463591523792</c:v>
                </c:pt>
                <c:pt idx="58">
                  <c:v>95.090642248935708</c:v>
                </c:pt>
                <c:pt idx="59">
                  <c:v>95.10517982556172</c:v>
                </c:pt>
                <c:pt idx="60">
                  <c:v>95.118321020616378</c:v>
                </c:pt>
                <c:pt idx="61">
                  <c:v>95.130133582515825</c:v>
                </c:pt>
                <c:pt idx="62">
                  <c:v>95.140680996473435</c:v>
                </c:pt>
                <c:pt idx="63">
                  <c:v>95.150022814573902</c:v>
                </c:pt>
                <c:pt idx="64">
                  <c:v>95.158214955648333</c:v>
                </c:pt>
                <c:pt idx="65">
                  <c:v>95.165309978125251</c:v>
                </c:pt>
                <c:pt idx="66">
                  <c:v>95.171357328656867</c:v>
                </c:pt>
                <c:pt idx="67">
                  <c:v>95.176403568993067</c:v>
                </c:pt>
                <c:pt idx="68">
                  <c:v>95.180492583291795</c:v>
                </c:pt>
                <c:pt idx="69">
                  <c:v>95.183665767805863</c:v>
                </c:pt>
                <c:pt idx="70">
                  <c:v>95.185962204669565</c:v>
                </c:pt>
                <c:pt idx="71">
                  <c:v>95.187418821318971</c:v>
                </c:pt>
                <c:pt idx="72">
                  <c:v>95.188070536912349</c:v>
                </c:pt>
                <c:pt idx="73">
                  <c:v>95.187950396970891</c:v>
                </c:pt>
                <c:pt idx="74">
                  <c:v>95.187089697330833</c:v>
                </c:pt>
                <c:pt idx="75">
                  <c:v>95.185518098384037</c:v>
                </c:pt>
                <c:pt idx="76">
                  <c:v>95.183263730483105</c:v>
                </c:pt>
                <c:pt idx="77">
                  <c:v>95.180353291298317</c:v>
                </c:pt>
                <c:pt idx="78">
                  <c:v>95.176812135834226</c:v>
                </c:pt>
                <c:pt idx="79">
                  <c:v>95.172664359743536</c:v>
                </c:pt>
                <c:pt idx="80">
                  <c:v>95.167932876513433</c:v>
                </c:pt>
                <c:pt idx="81">
                  <c:v>95.16263948904394</c:v>
                </c:pt>
                <c:pt idx="82">
                  <c:v>95.156804956087583</c:v>
                </c:pt>
                <c:pt idx="83">
                  <c:v>95.150449053976047</c:v>
                </c:pt>
                <c:pt idx="84">
                  <c:v>95.143590634019176</c:v>
                </c:pt>
                <c:pt idx="85">
                  <c:v>95.136247675926072</c:v>
                </c:pt>
                <c:pt idx="86">
                  <c:v>95.128437337566609</c:v>
                </c:pt>
                <c:pt idx="87">
                  <c:v>95.120176001361983</c:v>
                </c:pt>
                <c:pt idx="88">
                  <c:v>95.111479317568453</c:v>
                </c:pt>
                <c:pt idx="89">
                  <c:v>95.102362244693566</c:v>
                </c:pt>
                <c:pt idx="90">
                  <c:v>95.092839087264764</c:v>
                </c:pt>
                <c:pt idx="91">
                  <c:v>95.082923531150001</c:v>
                </c:pt>
                <c:pt idx="92">
                  <c:v>95.072628676613931</c:v>
                </c:pt>
                <c:pt idx="93">
                  <c:v>95.061967069276946</c:v>
                </c:pt>
                <c:pt idx="94">
                  <c:v>95.050950729130719</c:v>
                </c:pt>
                <c:pt idx="95">
                  <c:v>95.039591177751262</c:v>
                </c:pt>
                <c:pt idx="96">
                  <c:v>95.027899463838736</c:v>
                </c:pt>
                <c:pt idx="97">
                  <c:v>95.015886187202597</c:v>
                </c:pt>
                <c:pt idx="98">
                  <c:v>95.003561521301776</c:v>
                </c:pt>
                <c:pt idx="99">
                  <c:v>94.990935234440116</c:v>
                </c:pt>
                <c:pt idx="100">
                  <c:v>94.978016709709863</c:v>
                </c:pt>
              </c:numCache>
            </c:numRef>
          </c:yVal>
          <c:smooth val="1"/>
          <c:extLst>
            <c:ext xmlns:c16="http://schemas.microsoft.com/office/drawing/2014/chart" uri="{C3380CC4-5D6E-409C-BE32-E72D297353CC}">
              <c16:uniqueId val="{0000000B-1F98-4669-B27B-9CB36E467256}"/>
            </c:ext>
          </c:extLst>
        </c:ser>
        <c:dLbls>
          <c:showLegendKey val="0"/>
          <c:showVal val="0"/>
          <c:showCatName val="0"/>
          <c:showSerName val="0"/>
          <c:showPercent val="0"/>
          <c:showBubbleSize val="0"/>
        </c:dLbls>
        <c:axId val="1445999951"/>
        <c:axId val="1070374975"/>
      </c:scatterChart>
      <c:scatterChart>
        <c:scatterStyle val="smoothMarker"/>
        <c:varyColors val="0"/>
        <c:ser>
          <c:idx val="0"/>
          <c:order val="0"/>
          <c:tx>
            <c:v>Plot 1 Sense Loss</c:v>
          </c:tx>
          <c:spPr>
            <a:ln w="19050" cap="rnd">
              <a:solidFill>
                <a:schemeClr val="accent4"/>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Calculator'!$CP$156:$CP$256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0-1F98-4669-B27B-9CB36E467256}"/>
            </c:ext>
          </c:extLst>
        </c:ser>
        <c:ser>
          <c:idx val="1"/>
          <c:order val="1"/>
          <c:tx>
            <c:v>Plot 1 MOSFET Losses</c:v>
          </c:tx>
          <c:spPr>
            <a:ln w="19050" cap="rnd">
              <a:solidFill>
                <a:schemeClr val="accent2"/>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Calculator'!$CQ$156:$CQ$256</c:f>
              <c:numCache>
                <c:formatCode>0.00</c:formatCode>
                <c:ptCount val="101"/>
                <c:pt idx="0">
                  <c:v>2.1442922448979589</c:v>
                </c:pt>
                <c:pt idx="1">
                  <c:v>2.1506168647959183</c:v>
                </c:pt>
                <c:pt idx="2">
                  <c:v>2.1569742591021037</c:v>
                </c:pt>
                <c:pt idx="3">
                  <c:v>2.1633644323984491</c:v>
                </c:pt>
                <c:pt idx="4">
                  <c:v>2.1697873892598514</c:v>
                </c:pt>
                <c:pt idx="5">
                  <c:v>2.1763978016306504</c:v>
                </c:pt>
                <c:pt idx="6">
                  <c:v>2.1844020799446184</c:v>
                </c:pt>
                <c:pt idx="7">
                  <c:v>2.1924391561169436</c:v>
                </c:pt>
                <c:pt idx="8">
                  <c:v>2.2005090346946536</c:v>
                </c:pt>
                <c:pt idx="9">
                  <c:v>2.2086117202178044</c:v>
                </c:pt>
                <c:pt idx="10">
                  <c:v>2.2167472172194946</c:v>
                </c:pt>
                <c:pt idx="11">
                  <c:v>2.224915530225879</c:v>
                </c:pt>
                <c:pt idx="12">
                  <c:v>2.2331166637561806</c:v>
                </c:pt>
                <c:pt idx="13">
                  <c:v>2.2413506223227038</c:v>
                </c:pt>
                <c:pt idx="14">
                  <c:v>2.2496174104308508</c:v>
                </c:pt>
                <c:pt idx="15">
                  <c:v>2.25791703257913</c:v>
                </c:pt>
                <c:pt idx="16">
                  <c:v>2.2662494932591746</c:v>
                </c:pt>
                <c:pt idx="17">
                  <c:v>2.2746147969557486</c:v>
                </c:pt>
                <c:pt idx="18">
                  <c:v>2.2830129481467676</c:v>
                </c:pt>
                <c:pt idx="19">
                  <c:v>2.2914439513033078</c:v>
                </c:pt>
                <c:pt idx="20">
                  <c:v>2.2999078108896174</c:v>
                </c:pt>
                <c:pt idx="21">
                  <c:v>2.3084045313631343</c:v>
                </c:pt>
                <c:pt idx="22">
                  <c:v>2.3169341171744953</c:v>
                </c:pt>
                <c:pt idx="23">
                  <c:v>2.3254965727675518</c:v>
                </c:pt>
                <c:pt idx="24">
                  <c:v>2.3340919025793792</c:v>
                </c:pt>
                <c:pt idx="25">
                  <c:v>2.3427201110402938</c:v>
                </c:pt>
                <c:pt idx="26">
                  <c:v>2.3513812025738621</c:v>
                </c:pt>
                <c:pt idx="27">
                  <c:v>2.3600751815969172</c:v>
                </c:pt>
                <c:pt idx="28">
                  <c:v>2.3688020525195679</c:v>
                </c:pt>
                <c:pt idx="29">
                  <c:v>2.3775618197452157</c:v>
                </c:pt>
                <c:pt idx="30">
                  <c:v>2.386354487670562</c:v>
                </c:pt>
                <c:pt idx="31">
                  <c:v>2.3951800606856266</c:v>
                </c:pt>
                <c:pt idx="32">
                  <c:v>2.4040385431737583</c:v>
                </c:pt>
                <c:pt idx="33">
                  <c:v>2.4129299395116433</c:v>
                </c:pt>
                <c:pt idx="34">
                  <c:v>2.4218542540693244</c:v>
                </c:pt>
                <c:pt idx="35">
                  <c:v>2.4308114912102119</c:v>
                </c:pt>
                <c:pt idx="36">
                  <c:v>2.4398016552910939</c:v>
                </c:pt>
                <c:pt idx="37">
                  <c:v>2.4488247506621486</c:v>
                </c:pt>
                <c:pt idx="38">
                  <c:v>2.4578807816669594</c:v>
                </c:pt>
                <c:pt idx="39">
                  <c:v>2.4669697526425285</c:v>
                </c:pt>
                <c:pt idx="40">
                  <c:v>2.4760916679192833</c:v>
                </c:pt>
                <c:pt idx="41">
                  <c:v>2.4852465318210957</c:v>
                </c:pt>
                <c:pt idx="42">
                  <c:v>2.49443434866529</c:v>
                </c:pt>
                <c:pt idx="43">
                  <c:v>2.5036551227626571</c:v>
                </c:pt>
                <c:pt idx="44">
                  <c:v>2.5129088584174664</c:v>
                </c:pt>
                <c:pt idx="45">
                  <c:v>2.522195559927479</c:v>
                </c:pt>
                <c:pt idx="46">
                  <c:v>2.5315152315839589</c:v>
                </c:pt>
                <c:pt idx="47">
                  <c:v>2.540867877671686</c:v>
                </c:pt>
                <c:pt idx="48">
                  <c:v>2.5502535024689661</c:v>
                </c:pt>
                <c:pt idx="49">
                  <c:v>2.5596721102476478</c:v>
                </c:pt>
                <c:pt idx="50">
                  <c:v>2.5691237052731304</c:v>
                </c:pt>
                <c:pt idx="51">
                  <c:v>2.5786082918043776</c:v>
                </c:pt>
                <c:pt idx="52">
                  <c:v>2.5881258740939304</c:v>
                </c:pt>
                <c:pt idx="53">
                  <c:v>2.5976764563879162</c:v>
                </c:pt>
                <c:pt idx="54">
                  <c:v>2.6072600429260664</c:v>
                </c:pt>
                <c:pt idx="55">
                  <c:v>2.6168766379417221</c:v>
                </c:pt>
                <c:pt idx="56">
                  <c:v>2.6265262456618519</c:v>
                </c:pt>
                <c:pt idx="57">
                  <c:v>2.6362088703070592</c:v>
                </c:pt>
                <c:pt idx="58">
                  <c:v>2.6459245160915956</c:v>
                </c:pt>
                <c:pt idx="59">
                  <c:v>2.6556731872233765</c:v>
                </c:pt>
                <c:pt idx="60">
                  <c:v>2.6654548879039859</c:v>
                </c:pt>
                <c:pt idx="61">
                  <c:v>2.6752696223286949</c:v>
                </c:pt>
                <c:pt idx="62">
                  <c:v>2.685117394686471</c:v>
                </c:pt>
                <c:pt idx="63">
                  <c:v>2.6949982091599876</c:v>
                </c:pt>
                <c:pt idx="64">
                  <c:v>2.7049120699256419</c:v>
                </c:pt>
                <c:pt idx="65">
                  <c:v>2.7148589811535579</c:v>
                </c:pt>
                <c:pt idx="66">
                  <c:v>2.724838947007608</c:v>
                </c:pt>
                <c:pt idx="67">
                  <c:v>2.7348519716454165</c:v>
                </c:pt>
                <c:pt idx="68">
                  <c:v>2.744898059218376</c:v>
                </c:pt>
                <c:pt idx="69">
                  <c:v>2.7549772138716584</c:v>
                </c:pt>
                <c:pt idx="70">
                  <c:v>2.7650894397442238</c:v>
                </c:pt>
                <c:pt idx="71">
                  <c:v>2.7752347409688363</c:v>
                </c:pt>
                <c:pt idx="72">
                  <c:v>2.7854131216720726</c:v>
                </c:pt>
                <c:pt idx="73">
                  <c:v>2.7956245859743336</c:v>
                </c:pt>
                <c:pt idx="74">
                  <c:v>2.805869137989859</c:v>
                </c:pt>
                <c:pt idx="75">
                  <c:v>2.8161467818267347</c:v>
                </c:pt>
                <c:pt idx="76">
                  <c:v>2.826457521586907</c:v>
                </c:pt>
                <c:pt idx="77">
                  <c:v>2.8368013613661942</c:v>
                </c:pt>
                <c:pt idx="78">
                  <c:v>2.8471783052542952</c:v>
                </c:pt>
                <c:pt idx="79">
                  <c:v>2.8575883573348038</c:v>
                </c:pt>
                <c:pt idx="80">
                  <c:v>2.8680315216852197</c:v>
                </c:pt>
                <c:pt idx="81">
                  <c:v>2.8785078023769595</c:v>
                </c:pt>
                <c:pt idx="82">
                  <c:v>2.8890172034753649</c:v>
                </c:pt>
                <c:pt idx="83">
                  <c:v>2.8995597290397228</c:v>
                </c:pt>
                <c:pt idx="84">
                  <c:v>2.9101353831232646</c:v>
                </c:pt>
                <c:pt idx="85">
                  <c:v>2.9207441697731871</c:v>
                </c:pt>
                <c:pt idx="86">
                  <c:v>2.9313860930306599</c:v>
                </c:pt>
                <c:pt idx="87">
                  <c:v>2.9420611569308361</c:v>
                </c:pt>
                <c:pt idx="88">
                  <c:v>2.9527693655028666</c:v>
                </c:pt>
                <c:pt idx="89">
                  <c:v>2.9635107227699047</c:v>
                </c:pt>
                <c:pt idx="90">
                  <c:v>2.9742852327491254</c:v>
                </c:pt>
                <c:pt idx="91">
                  <c:v>2.9850928994517325</c:v>
                </c:pt>
                <c:pt idx="92">
                  <c:v>2.9959337268829684</c:v>
                </c:pt>
                <c:pt idx="93">
                  <c:v>3.0068077190421265</c:v>
                </c:pt>
                <c:pt idx="94">
                  <c:v>3.0177148799225635</c:v>
                </c:pt>
                <c:pt idx="95">
                  <c:v>3.0286552135117089</c:v>
                </c:pt>
                <c:pt idx="96">
                  <c:v>3.0396287237910773</c:v>
                </c:pt>
                <c:pt idx="97">
                  <c:v>3.0506354147362771</c:v>
                </c:pt>
                <c:pt idx="98">
                  <c:v>3.0616752903170226</c:v>
                </c:pt>
                <c:pt idx="99">
                  <c:v>3.0727483544971474</c:v>
                </c:pt>
                <c:pt idx="100">
                  <c:v>3.0838546112346097</c:v>
                </c:pt>
              </c:numCache>
            </c:numRef>
          </c:yVal>
          <c:smooth val="1"/>
          <c:extLst>
            <c:ext xmlns:c16="http://schemas.microsoft.com/office/drawing/2014/chart" uri="{C3380CC4-5D6E-409C-BE32-E72D297353CC}">
              <c16:uniqueId val="{00000001-1F98-4669-B27B-9CB36E467256}"/>
            </c:ext>
          </c:extLst>
        </c:ser>
        <c:ser>
          <c:idx val="6"/>
          <c:order val="3"/>
          <c:tx>
            <c:v>Plot 1 Saved Sense Loss</c:v>
          </c:tx>
          <c:spPr>
            <a:ln w="19050" cap="rnd">
              <a:solidFill>
                <a:schemeClr val="accent4"/>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Calculator'!$CX$156:$CX$256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6-1F98-4669-B27B-9CB36E467256}"/>
            </c:ext>
          </c:extLst>
        </c:ser>
        <c:ser>
          <c:idx val="7"/>
          <c:order val="4"/>
          <c:tx>
            <c:v>Plot 1 Saved MOSFET Losses</c:v>
          </c:tx>
          <c:spPr>
            <a:ln w="19050" cap="rnd">
              <a:solidFill>
                <a:schemeClr val="accent2"/>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Calculator'!$CY$156:$CY$256</c:f>
              <c:numCache>
                <c:formatCode>0.00</c:formatCode>
                <c:ptCount val="101"/>
                <c:pt idx="0">
                  <c:v>0</c:v>
                </c:pt>
                <c:pt idx="1">
                  <c:v>1.4378611452715013</c:v>
                </c:pt>
                <c:pt idx="2">
                  <c:v>1.4442333052026866</c:v>
                </c:pt>
                <c:pt idx="3">
                  <c:v>1.4506480878740322</c:v>
                </c:pt>
                <c:pt idx="4">
                  <c:v>1.4571054978604345</c:v>
                </c:pt>
                <c:pt idx="5">
                  <c:v>1.4637609713658826</c:v>
                </c:pt>
                <c:pt idx="6">
                  <c:v>1.4718268827464931</c:v>
                </c:pt>
                <c:pt idx="7">
                  <c:v>1.4799354406328953</c:v>
                </c:pt>
                <c:pt idx="8">
                  <c:v>1.4880866495760192</c:v>
                </c:pt>
                <c:pt idx="9">
                  <c:v>1.4962805141198272</c:v>
                </c:pt>
                <c:pt idx="10">
                  <c:v>1.5045170388013294</c:v>
                </c:pt>
                <c:pt idx="11">
                  <c:v>1.5127962281505936</c:v>
                </c:pt>
                <c:pt idx="12">
                  <c:v>1.5211180866907628</c:v>
                </c:pt>
                <c:pt idx="13">
                  <c:v>1.5294826189380639</c:v>
                </c:pt>
                <c:pt idx="14">
                  <c:v>1.5378898294018255</c:v>
                </c:pt>
                <c:pt idx="15">
                  <c:v>1.5463397225844857</c:v>
                </c:pt>
                <c:pt idx="16">
                  <c:v>1.5548323029816116</c:v>
                </c:pt>
                <c:pt idx="17">
                  <c:v>1.5633675750819072</c:v>
                </c:pt>
                <c:pt idx="18">
                  <c:v>1.5719455433672296</c:v>
                </c:pt>
                <c:pt idx="19">
                  <c:v>1.5805662123126005</c:v>
                </c:pt>
                <c:pt idx="20">
                  <c:v>1.5892295863862196</c:v>
                </c:pt>
                <c:pt idx="21">
                  <c:v>1.5979356700494787</c:v>
                </c:pt>
                <c:pt idx="22">
                  <c:v>1.6066844677569725</c:v>
                </c:pt>
                <c:pt idx="23">
                  <c:v>1.6154759839565143</c:v>
                </c:pt>
                <c:pt idx="24">
                  <c:v>1.6243102230891464</c:v>
                </c:pt>
                <c:pt idx="25">
                  <c:v>1.633187189589155</c:v>
                </c:pt>
                <c:pt idx="26">
                  <c:v>1.6421068878840812</c:v>
                </c:pt>
                <c:pt idx="27">
                  <c:v>1.6510693223947357</c:v>
                </c:pt>
                <c:pt idx="28">
                  <c:v>1.6600744975352109</c:v>
                </c:pt>
                <c:pt idx="29">
                  <c:v>1.6691224177128923</c:v>
                </c:pt>
                <c:pt idx="30">
                  <c:v>1.678213087328474</c:v>
                </c:pt>
                <c:pt idx="31">
                  <c:v>1.6873465107759693</c:v>
                </c:pt>
                <c:pt idx="32">
                  <c:v>1.6965226924427239</c:v>
                </c:pt>
                <c:pt idx="33">
                  <c:v>1.7057416367094285</c:v>
                </c:pt>
                <c:pt idx="34">
                  <c:v>1.7150033479501332</c:v>
                </c:pt>
                <c:pt idx="35">
                  <c:v>1.7243078305322566</c:v>
                </c:pt>
                <c:pt idx="36">
                  <c:v>1.7336550888166016</c:v>
                </c:pt>
                <c:pt idx="37">
                  <c:v>1.7430451271573661</c:v>
                </c:pt>
                <c:pt idx="38">
                  <c:v>1.7524779499021568</c:v>
                </c:pt>
                <c:pt idx="39">
                  <c:v>1.7619535613920008</c:v>
                </c:pt>
                <c:pt idx="40">
                  <c:v>1.7714719659613578</c:v>
                </c:pt>
                <c:pt idx="41">
                  <c:v>1.7810331679381344</c:v>
                </c:pt>
                <c:pt idx="42">
                  <c:v>1.7906371716436935</c:v>
                </c:pt>
                <c:pt idx="43">
                  <c:v>1.8002839813928699</c:v>
                </c:pt>
                <c:pt idx="44">
                  <c:v>1.8099736014939809</c:v>
                </c:pt>
                <c:pt idx="45">
                  <c:v>1.8197060362488373</c:v>
                </c:pt>
                <c:pt idx="46">
                  <c:v>1.8294812899527604</c:v>
                </c:pt>
                <c:pt idx="47">
                  <c:v>1.8392993668945874</c:v>
                </c:pt>
                <c:pt idx="48">
                  <c:v>1.8491602713566904</c:v>
                </c:pt>
                <c:pt idx="49">
                  <c:v>1.8590640076149842</c:v>
                </c:pt>
                <c:pt idx="50">
                  <c:v>1.8690105799389409</c:v>
                </c:pt>
                <c:pt idx="51">
                  <c:v>1.8789999925916003</c:v>
                </c:pt>
                <c:pt idx="52">
                  <c:v>1.8890322498295833</c:v>
                </c:pt>
                <c:pt idx="53">
                  <c:v>1.8991073559031022</c:v>
                </c:pt>
                <c:pt idx="54">
                  <c:v>1.9092253150559766</c:v>
                </c:pt>
                <c:pt idx="55">
                  <c:v>1.9193861315256413</c:v>
                </c:pt>
                <c:pt idx="56">
                  <c:v>1.9295898095431598</c:v>
                </c:pt>
                <c:pt idx="57">
                  <c:v>1.9398363533332381</c:v>
                </c:pt>
                <c:pt idx="58">
                  <c:v>1.9501257671142336</c:v>
                </c:pt>
                <c:pt idx="59">
                  <c:v>1.9604580550981692</c:v>
                </c:pt>
                <c:pt idx="60">
                  <c:v>1.9708332214907442</c:v>
                </c:pt>
                <c:pt idx="61">
                  <c:v>1.9812512704913474</c:v>
                </c:pt>
                <c:pt idx="62">
                  <c:v>1.9917122062930672</c:v>
                </c:pt>
                <c:pt idx="63">
                  <c:v>2.0022160330827048</c:v>
                </c:pt>
                <c:pt idx="64">
                  <c:v>2.0127627550407854</c:v>
                </c:pt>
                <c:pt idx="65">
                  <c:v>2.0233523763415704</c:v>
                </c:pt>
                <c:pt idx="66">
                  <c:v>2.0339849011530693</c:v>
                </c:pt>
                <c:pt idx="67">
                  <c:v>2.0446603336370504</c:v>
                </c:pt>
                <c:pt idx="68">
                  <c:v>2.055378677949053</c:v>
                </c:pt>
                <c:pt idx="69">
                  <c:v>2.0661399382383996</c:v>
                </c:pt>
                <c:pt idx="70">
                  <c:v>2.0769441186482083</c:v>
                </c:pt>
                <c:pt idx="71">
                  <c:v>2.087791223315401</c:v>
                </c:pt>
                <c:pt idx="72">
                  <c:v>2.0986812563707198</c:v>
                </c:pt>
                <c:pt idx="73">
                  <c:v>2.1096142219387346</c:v>
                </c:pt>
                <c:pt idx="74">
                  <c:v>2.1205901241378569</c:v>
                </c:pt>
                <c:pt idx="75">
                  <c:v>2.1316089670803504</c:v>
                </c:pt>
                <c:pt idx="76">
                  <c:v>2.1426707548723418</c:v>
                </c:pt>
                <c:pt idx="77">
                  <c:v>2.153775491613835</c:v>
                </c:pt>
                <c:pt idx="78">
                  <c:v>2.1649231813987191</c:v>
                </c:pt>
                <c:pt idx="79">
                  <c:v>2.1761138283147829</c:v>
                </c:pt>
                <c:pt idx="80">
                  <c:v>2.1873474364437233</c:v>
                </c:pt>
                <c:pt idx="81">
                  <c:v>2.1986240098611596</c:v>
                </c:pt>
                <c:pt idx="82">
                  <c:v>2.2099435526366418</c:v>
                </c:pt>
                <c:pt idx="83">
                  <c:v>2.2213060688336665</c:v>
                </c:pt>
                <c:pt idx="84">
                  <c:v>2.2327115625096821</c:v>
                </c:pt>
                <c:pt idx="85">
                  <c:v>2.2441600377161048</c:v>
                </c:pt>
                <c:pt idx="86">
                  <c:v>2.2556514984983278</c:v>
                </c:pt>
                <c:pt idx="87">
                  <c:v>2.2671859488957344</c:v>
                </c:pt>
                <c:pt idx="88">
                  <c:v>2.2787633929417059</c:v>
                </c:pt>
                <c:pt idx="89">
                  <c:v>2.2903838346636358</c:v>
                </c:pt>
                <c:pt idx="90">
                  <c:v>2.3020472780829397</c:v>
                </c:pt>
                <c:pt idx="91">
                  <c:v>2.3137537272150666</c:v>
                </c:pt>
                <c:pt idx="92">
                  <c:v>2.325503186069509</c:v>
                </c:pt>
                <c:pt idx="93">
                  <c:v>2.3372956586498157</c:v>
                </c:pt>
                <c:pt idx="94">
                  <c:v>2.349131148953604</c:v>
                </c:pt>
                <c:pt idx="95">
                  <c:v>2.3610096609725653</c:v>
                </c:pt>
                <c:pt idx="96">
                  <c:v>2.3729311986924806</c:v>
                </c:pt>
                <c:pt idx="97">
                  <c:v>2.3848957660932317</c:v>
                </c:pt>
                <c:pt idx="98">
                  <c:v>2.3969033671488114</c:v>
                </c:pt>
                <c:pt idx="99">
                  <c:v>2.4089540058273315</c:v>
                </c:pt>
                <c:pt idx="100">
                  <c:v>2.4210476860910366</c:v>
                </c:pt>
              </c:numCache>
            </c:numRef>
          </c:yVal>
          <c:smooth val="1"/>
          <c:extLst>
            <c:ext xmlns:c16="http://schemas.microsoft.com/office/drawing/2014/chart" uri="{C3380CC4-5D6E-409C-BE32-E72D297353CC}">
              <c16:uniqueId val="{00000007-1F98-4669-B27B-9CB36E467256}"/>
            </c:ext>
          </c:extLst>
        </c:ser>
        <c:ser>
          <c:idx val="3"/>
          <c:order val="6"/>
          <c:tx>
            <c:v>Plot 2 Sense Loss</c:v>
          </c:tx>
          <c:spPr>
            <a:ln w="19050" cap="rnd">
              <a:solidFill>
                <a:srgbClr val="00B0F0"/>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3-1F98-4669-B27B-9CB36E467256}"/>
            </c:ext>
          </c:extLst>
        </c:ser>
        <c:ser>
          <c:idx val="4"/>
          <c:order val="7"/>
          <c:tx>
            <c:v>Plot 2 MOSFET Losses</c:v>
          </c:tx>
          <c:spPr>
            <a:ln w="19050" cap="rnd">
              <a:solidFill>
                <a:srgbClr val="0070C0"/>
              </a:solidFill>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4-1F98-4669-B27B-9CB36E467256}"/>
            </c:ext>
          </c:extLst>
        </c:ser>
        <c:ser>
          <c:idx val="9"/>
          <c:order val="9"/>
          <c:tx>
            <c:v>Plot 2 Saved Sense Losses</c:v>
          </c:tx>
          <c:spPr>
            <a:ln w="19050" cap="rnd">
              <a:solidFill>
                <a:srgbClr val="00B0F0"/>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Calculator'!$DB$156:$DB$256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9-1F98-4669-B27B-9CB36E467256}"/>
            </c:ext>
          </c:extLst>
        </c:ser>
        <c:ser>
          <c:idx val="10"/>
          <c:order val="10"/>
          <c:tx>
            <c:v>Plot 2 Saved MOSFET Losses</c:v>
          </c:tx>
          <c:spPr>
            <a:ln w="19050" cap="rnd">
              <a:solidFill>
                <a:srgbClr val="0070C0"/>
              </a:solidFill>
              <a:prstDash val="dash"/>
              <a:round/>
            </a:ln>
            <a:effectLst/>
          </c:spPr>
          <c:marker>
            <c:symbol val="none"/>
          </c:marker>
          <c:xVal>
            <c:numRef>
              <c:f>'BQ2575X Design Calculator'!$AG$156:$AG$256</c:f>
              <c:numCache>
                <c:formatCode>General</c:formatCode>
                <c:ptCount val="1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numCache>
            </c:numRef>
          </c:xVal>
          <c:yVal>
            <c:numRef>
              <c:f>'BQ2575X Design Calculator'!$DC$156:$DC$256</c:f>
              <c:numCache>
                <c:formatCode>0.00</c:formatCode>
                <c:ptCount val="101"/>
                <c:pt idx="0">
                  <c:v>0.96190451895043727</c:v>
                </c:pt>
                <c:pt idx="1">
                  <c:v>0.96422637555768986</c:v>
                </c:pt>
                <c:pt idx="2">
                  <c:v>0.96662737072700522</c:v>
                </c:pt>
                <c:pt idx="3">
                  <c:v>0.96910750497926368</c:v>
                </c:pt>
                <c:pt idx="4">
                  <c:v>0.97166677883473906</c:v>
                </c:pt>
                <c:pt idx="5">
                  <c:v>0.97447690585927149</c:v>
                </c:pt>
                <c:pt idx="6">
                  <c:v>0.97887724904995344</c:v>
                </c:pt>
                <c:pt idx="7">
                  <c:v>0.98335673470450158</c:v>
                </c:pt>
                <c:pt idx="8">
                  <c:v>0.98791536334168473</c:v>
                </c:pt>
                <c:pt idx="9">
                  <c:v>0.99255313547966961</c:v>
                </c:pt>
                <c:pt idx="10">
                  <c:v>0.99727005163602211</c:v>
                </c:pt>
                <c:pt idx="11">
                  <c:v>1.0020661123277081</c:v>
                </c:pt>
                <c:pt idx="12">
                  <c:v>1.0069413180710949</c:v>
                </c:pt>
                <c:pt idx="13">
                  <c:v>1.011895669381951</c:v>
                </c:pt>
                <c:pt idx="14">
                  <c:v>1.0169291667754476</c:v>
                </c:pt>
                <c:pt idx="15">
                  <c:v>1.02204181076616</c:v>
                </c:pt>
                <c:pt idx="16">
                  <c:v>1.0272336018680668</c:v>
                </c:pt>
                <c:pt idx="17">
                  <c:v>1.032504540594553</c:v>
                </c:pt>
                <c:pt idx="18">
                  <c:v>1.0378546274584088</c:v>
                </c:pt>
                <c:pt idx="19">
                  <c:v>1.0432838629718322</c:v>
                </c:pt>
                <c:pt idx="20">
                  <c:v>1.0487922476464282</c:v>
                </c:pt>
                <c:pt idx="21">
                  <c:v>1.0543797819932113</c:v>
                </c:pt>
                <c:pt idx="22">
                  <c:v>1.060046466522605</c:v>
                </c:pt>
                <c:pt idx="23">
                  <c:v>1.0657923017444435</c:v>
                </c:pt>
                <c:pt idx="24">
                  <c:v>1.0716172881679717</c:v>
                </c:pt>
                <c:pt idx="25">
                  <c:v>1.0775214263018478</c:v>
                </c:pt>
                <c:pt idx="26">
                  <c:v>1.0835047166541416</c:v>
                </c:pt>
                <c:pt idx="27">
                  <c:v>1.0895671597323378</c:v>
                </c:pt>
                <c:pt idx="28">
                  <c:v>1.0957087560433352</c:v>
                </c:pt>
                <c:pt idx="29">
                  <c:v>1.1019295060934486</c:v>
                </c:pt>
                <c:pt idx="30">
                  <c:v>1.1082294103884087</c:v>
                </c:pt>
                <c:pt idx="31">
                  <c:v>1.1146084694333636</c:v>
                </c:pt>
                <c:pt idx="32">
                  <c:v>1.1210666837328791</c:v>
                </c:pt>
                <c:pt idx="33">
                  <c:v>1.1276040537909411</c:v>
                </c:pt>
                <c:pt idx="34">
                  <c:v>1.1342205801109539</c:v>
                </c:pt>
                <c:pt idx="35">
                  <c:v>1.140916263195743</c:v>
                </c:pt>
                <c:pt idx="36">
                  <c:v>1.1476911035475554</c:v>
                </c:pt>
                <c:pt idx="37">
                  <c:v>1.1545451016680601</c:v>
                </c:pt>
                <c:pt idx="38">
                  <c:v>1.1614782580583496</c:v>
                </c:pt>
                <c:pt idx="39">
                  <c:v>1.1684905732189399</c:v>
                </c:pt>
                <c:pt idx="40">
                  <c:v>1.1755820476497718</c:v>
                </c:pt>
                <c:pt idx="41">
                  <c:v>1.1827526818502119</c:v>
                </c:pt>
                <c:pt idx="42">
                  <c:v>1.1900024763190535</c:v>
                </c:pt>
                <c:pt idx="43">
                  <c:v>1.1973314315545167</c:v>
                </c:pt>
                <c:pt idx="44">
                  <c:v>1.2047395480542495</c:v>
                </c:pt>
                <c:pt idx="45">
                  <c:v>1.2122268263153293</c:v>
                </c:pt>
                <c:pt idx="46">
                  <c:v>1.2197932668342635</c:v>
                </c:pt>
                <c:pt idx="47">
                  <c:v>1.2274388701069894</c:v>
                </c:pt>
                <c:pt idx="48">
                  <c:v>1.2351636366288754</c:v>
                </c:pt>
                <c:pt idx="49">
                  <c:v>1.2429675668947233</c:v>
                </c:pt>
                <c:pt idx="50">
                  <c:v>1.2508506613987667</c:v>
                </c:pt>
                <c:pt idx="51">
                  <c:v>1.2588129206346743</c:v>
                </c:pt>
                <c:pt idx="52">
                  <c:v>1.2668543450955481</c:v>
                </c:pt>
                <c:pt idx="53">
                  <c:v>1.2749749352739264</c:v>
                </c:pt>
                <c:pt idx="54">
                  <c:v>1.2831746916617834</c:v>
                </c:pt>
                <c:pt idx="55">
                  <c:v>1.2914536147505307</c:v>
                </c:pt>
                <c:pt idx="56">
                  <c:v>1.2998117050310178</c:v>
                </c:pt>
                <c:pt idx="57">
                  <c:v>1.3082489629935328</c:v>
                </c:pt>
                <c:pt idx="58">
                  <c:v>1.3167653891278031</c:v>
                </c:pt>
                <c:pt idx="59">
                  <c:v>1.3253609839229965</c:v>
                </c:pt>
                <c:pt idx="60">
                  <c:v>1.3340357478677223</c:v>
                </c:pt>
                <c:pt idx="61">
                  <c:v>1.3427896814500313</c:v>
                </c:pt>
                <c:pt idx="62">
                  <c:v>1.3516227851574172</c:v>
                </c:pt>
                <c:pt idx="63">
                  <c:v>1.3605350594768175</c:v>
                </c:pt>
                <c:pt idx="64">
                  <c:v>1.3695265048946135</c:v>
                </c:pt>
                <c:pt idx="65">
                  <c:v>1.3785971218966315</c:v>
                </c:pt>
                <c:pt idx="66">
                  <c:v>1.3877469109681448</c:v>
                </c:pt>
                <c:pt idx="67">
                  <c:v>1.3969758725938728</c:v>
                </c:pt>
                <c:pt idx="68">
                  <c:v>1.4062840072579821</c:v>
                </c:pt>
                <c:pt idx="69">
                  <c:v>1.4156713154440876</c:v>
                </c:pt>
                <c:pt idx="70">
                  <c:v>1.4251377976352535</c:v>
                </c:pt>
                <c:pt idx="71">
                  <c:v>1.4346834543139944</c:v>
                </c:pt>
                <c:pt idx="72">
                  <c:v>1.4443082859622751</c:v>
                </c:pt>
                <c:pt idx="73">
                  <c:v>1.4540122930615116</c:v>
                </c:pt>
                <c:pt idx="74">
                  <c:v>1.4637954760925722</c:v>
                </c:pt>
                <c:pt idx="75">
                  <c:v>1.4736578355357792</c:v>
                </c:pt>
                <c:pt idx="76">
                  <c:v>1.4835993718709073</c:v>
                </c:pt>
                <c:pt idx="77">
                  <c:v>1.4936200855771873</c:v>
                </c:pt>
                <c:pt idx="78">
                  <c:v>1.503719977133303</c:v>
                </c:pt>
                <c:pt idx="79">
                  <c:v>1.5138990470173976</c:v>
                </c:pt>
                <c:pt idx="80">
                  <c:v>1.5241572957070684</c:v>
                </c:pt>
                <c:pt idx="81">
                  <c:v>1.5344947236793718</c:v>
                </c:pt>
                <c:pt idx="82">
                  <c:v>1.5449113314108227</c:v>
                </c:pt>
                <c:pt idx="83">
                  <c:v>1.5554071193773948</c:v>
                </c:pt>
                <c:pt idx="84">
                  <c:v>1.5659820880545217</c:v>
                </c:pt>
                <c:pt idx="85">
                  <c:v>1.5766362379170986</c:v>
                </c:pt>
                <c:pt idx="86">
                  <c:v>1.5873695694394814</c:v>
                </c:pt>
                <c:pt idx="87">
                  <c:v>1.5981820830954889</c:v>
                </c:pt>
                <c:pt idx="88">
                  <c:v>1.6090737793584031</c:v>
                </c:pt>
                <c:pt idx="89">
                  <c:v>1.6200446587009687</c:v>
                </c:pt>
                <c:pt idx="90">
                  <c:v>1.6310947215953966</c:v>
                </c:pt>
                <c:pt idx="91">
                  <c:v>1.6422239685133622</c:v>
                </c:pt>
                <c:pt idx="92">
                  <c:v>1.6534323999260072</c:v>
                </c:pt>
                <c:pt idx="93">
                  <c:v>1.6647200163039406</c:v>
                </c:pt>
                <c:pt idx="94">
                  <c:v>1.6760868181172384</c:v>
                </c:pt>
                <c:pt idx="95">
                  <c:v>1.6875328058354453</c:v>
                </c:pt>
                <c:pt idx="96">
                  <c:v>1.6990579799275758</c:v>
                </c:pt>
                <c:pt idx="97">
                  <c:v>1.7106623408621138</c:v>
                </c:pt>
                <c:pt idx="98">
                  <c:v>1.7223458891070131</c:v>
                </c:pt>
                <c:pt idx="99">
                  <c:v>1.7341086251297009</c:v>
                </c:pt>
                <c:pt idx="100">
                  <c:v>1.7459505493970742</c:v>
                </c:pt>
              </c:numCache>
            </c:numRef>
          </c:yVal>
          <c:smooth val="1"/>
          <c:extLst>
            <c:ext xmlns:c16="http://schemas.microsoft.com/office/drawing/2014/chart" uri="{C3380CC4-5D6E-409C-BE32-E72D297353CC}">
              <c16:uniqueId val="{0000000A-1F98-4669-B27B-9CB36E467256}"/>
            </c:ext>
          </c:extLst>
        </c:ser>
        <c:dLbls>
          <c:showLegendKey val="0"/>
          <c:showVal val="0"/>
          <c:showCatName val="0"/>
          <c:showSerName val="0"/>
          <c:showPercent val="0"/>
          <c:showBubbleSize val="0"/>
        </c:dLbls>
        <c:axId val="1793063311"/>
        <c:axId val="1793062479"/>
      </c:scatterChart>
      <c:valAx>
        <c:axId val="144599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I</a:t>
                </a:r>
                <a:r>
                  <a:rPr lang="en-US" sz="1600" b="1" baseline="-25000"/>
                  <a:t>OUT</a:t>
                </a:r>
                <a:r>
                  <a:rPr lang="en-US" sz="1600" b="1" baseline="0"/>
                  <a: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74975"/>
        <c:crosses val="autoZero"/>
        <c:crossBetween val="midCat"/>
      </c:valAx>
      <c:valAx>
        <c:axId val="1070374975"/>
        <c:scaling>
          <c:orientation val="minMax"/>
          <c:max val="100"/>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9951"/>
        <c:crosses val="autoZero"/>
        <c:crossBetween val="midCat"/>
      </c:valAx>
      <c:valAx>
        <c:axId val="1793062479"/>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Power Loss (W)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63311"/>
        <c:crosses val="max"/>
        <c:crossBetween val="midCat"/>
      </c:valAx>
      <c:valAx>
        <c:axId val="1793063311"/>
        <c:scaling>
          <c:orientation val="minMax"/>
        </c:scaling>
        <c:delete val="1"/>
        <c:axPos val="b"/>
        <c:numFmt formatCode="General" sourceLinked="1"/>
        <c:majorTickMark val="out"/>
        <c:minorTickMark val="none"/>
        <c:tickLblPos val="nextTo"/>
        <c:crossAx val="1793062479"/>
        <c:crosses val="autoZero"/>
        <c:crossBetween val="midCat"/>
      </c:valAx>
      <c:spPr>
        <a:noFill/>
        <a:ln>
          <a:noFill/>
        </a:ln>
        <a:effectLst/>
      </c:spPr>
    </c:plotArea>
    <c:legend>
      <c:legendPos val="b"/>
      <c:layout>
        <c:manualLayout>
          <c:xMode val="edge"/>
          <c:yMode val="edge"/>
          <c:x val="2.5061232051875867E-2"/>
          <c:y val="0.8612264774274565"/>
          <c:w val="0.31611523853635937"/>
          <c:h val="0.13321024023596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627370005322768E-3"/>
          <c:y val="4.3137254901960784E-2"/>
          <c:w val="0.96422150028449238"/>
          <c:h val="0.82635911687509633"/>
        </c:manualLayout>
      </c:layout>
      <c:lineChart>
        <c:grouping val="standard"/>
        <c:varyColors val="0"/>
        <c:ser>
          <c:idx val="0"/>
          <c:order val="0"/>
          <c:tx>
            <c:v>Charging Window</c:v>
          </c:tx>
          <c:spPr>
            <a:ln w="28575" cap="rnd">
              <a:solidFill>
                <a:schemeClr val="accent1"/>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CCFC-42AD-83F9-6989A1DC4DFD}"/>
            </c:ext>
          </c:extLst>
        </c:ser>
        <c:ser>
          <c:idx val="1"/>
          <c:order val="1"/>
          <c:tx>
            <c:v>Hysteresis to recover</c:v>
          </c:tx>
          <c:spPr>
            <a:ln w="28575" cap="rnd">
              <a:solidFill>
                <a:schemeClr val="accent2"/>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1-CCFC-42AD-83F9-6989A1DC4DFD}"/>
            </c:ext>
          </c:extLst>
        </c:ser>
        <c:dLbls>
          <c:showLegendKey val="0"/>
          <c:showVal val="0"/>
          <c:showCatName val="0"/>
          <c:showSerName val="0"/>
          <c:showPercent val="0"/>
          <c:showBubbleSize val="0"/>
        </c:dLbls>
        <c:smooth val="0"/>
        <c:axId val="835643328"/>
        <c:axId val="272592672"/>
      </c:lineChart>
      <c:catAx>
        <c:axId val="83564332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NTC 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92672"/>
        <c:crosses val="autoZero"/>
        <c:auto val="1"/>
        <c:lblAlgn val="ctr"/>
        <c:lblOffset val="100"/>
        <c:tickMarkSkip val="10"/>
        <c:noMultiLvlLbl val="0"/>
      </c:catAx>
      <c:valAx>
        <c:axId val="27259267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5643328"/>
        <c:crosses val="autoZero"/>
        <c:crossBetween val="between"/>
      </c:valAx>
      <c:spPr>
        <a:noFill/>
        <a:ln>
          <a:noFill/>
        </a:ln>
        <a:effectLst/>
      </c:spPr>
    </c:plotArea>
    <c:legend>
      <c:legendPos val="b"/>
      <c:layout>
        <c:manualLayout>
          <c:xMode val="edge"/>
          <c:yMode val="edge"/>
          <c:x val="0.37073178789714217"/>
          <c:y val="0.58088188976377952"/>
          <c:w val="0.28184644751573884"/>
          <c:h val="0.1147109543561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16" fmlaLink="$E$7" max="58" page="10" val="12"/>
</file>

<file path=xl/ctrlProps/ctrlProp2.xml><?xml version="1.0" encoding="utf-8"?>
<formControlPr xmlns="http://schemas.microsoft.com/office/spreadsheetml/2009/9/main" objectType="Spin" dx="16" fmlaLink="$E$7" max="58" page="10" val="12"/>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4</xdr:col>
      <xdr:colOff>177800</xdr:colOff>
      <xdr:row>0</xdr:row>
      <xdr:rowOff>551047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76200"/>
          <a:ext cx="3140075" cy="474847"/>
        </a:xfrm>
        <a:prstGeom prst="rect">
          <a:avLst/>
        </a:prstGeom>
      </xdr:spPr>
    </xdr:pic>
    <xdr:clientData/>
  </xdr:twoCellAnchor>
  <mc:AlternateContent xmlns:mc="http://schemas.openxmlformats.org/markup-compatibility/2006">
    <mc:Choice xmlns:a14="http://schemas.microsoft.com/office/drawing/2010/main" Requires="a14">
      <xdr:twoCellAnchor>
        <xdr:from>
          <xdr:col>5</xdr:col>
          <xdr:colOff>85725</xdr:colOff>
          <xdr:row>6</xdr:row>
          <xdr:rowOff>9525</xdr:rowOff>
        </xdr:from>
        <xdr:to>
          <xdr:col>5</xdr:col>
          <xdr:colOff>200025</xdr:colOff>
          <xdr:row>7</xdr:row>
          <xdr:rowOff>9525</xdr:rowOff>
        </xdr:to>
        <xdr:sp macro="" textlink="">
          <xdr:nvSpPr>
            <xdr:cNvPr id="1070" name="Spinner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85725</xdr:colOff>
          <xdr:row>6</xdr:row>
          <xdr:rowOff>9525</xdr:rowOff>
        </xdr:from>
        <xdr:to>
          <xdr:col>5</xdr:col>
          <xdr:colOff>200025</xdr:colOff>
          <xdr:row>7</xdr:row>
          <xdr:rowOff>9525</xdr:rowOff>
        </xdr:to>
        <xdr:sp macro="" textlink="">
          <xdr:nvSpPr>
            <xdr:cNvPr id="1072" name="Spinner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161</xdr:row>
      <xdr:rowOff>291</xdr:rowOff>
    </xdr:from>
    <xdr:to>
      <xdr:col>18</xdr:col>
      <xdr:colOff>2491221</xdr:colOff>
      <xdr:row>194</xdr:row>
      <xdr:rowOff>21072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174505</xdr:colOff>
      <xdr:row>4</xdr:row>
      <xdr:rowOff>28575</xdr:rowOff>
    </xdr:from>
    <xdr:to>
      <xdr:col>18</xdr:col>
      <xdr:colOff>4768850</xdr:colOff>
      <xdr:row>34</xdr:row>
      <xdr:rowOff>96527</xdr:rowOff>
    </xdr:to>
    <xdr:grpSp>
      <xdr:nvGrpSpPr>
        <xdr:cNvPr id="54" name="Group 53">
          <a:extLst>
            <a:ext uri="{FF2B5EF4-FFF2-40B4-BE49-F238E27FC236}">
              <a16:creationId xmlns:a16="http://schemas.microsoft.com/office/drawing/2014/main" id="{00000000-0008-0000-0000-000036000000}"/>
            </a:ext>
          </a:extLst>
        </xdr:cNvPr>
        <xdr:cNvGrpSpPr/>
      </xdr:nvGrpSpPr>
      <xdr:grpSpPr>
        <a:xfrm>
          <a:off x="8404105" y="1228725"/>
          <a:ext cx="8251945" cy="5944877"/>
          <a:chOff x="8248530" y="1228725"/>
          <a:chExt cx="8401170" cy="5948052"/>
        </a:xfrm>
      </xdr:grpSpPr>
      <xdr:grpSp>
        <xdr:nvGrpSpPr>
          <xdr:cNvPr id="53" name="Group 52">
            <a:extLst>
              <a:ext uri="{FF2B5EF4-FFF2-40B4-BE49-F238E27FC236}">
                <a16:creationId xmlns:a16="http://schemas.microsoft.com/office/drawing/2014/main" id="{00000000-0008-0000-0000-000035000000}"/>
              </a:ext>
            </a:extLst>
          </xdr:cNvPr>
          <xdr:cNvGrpSpPr/>
        </xdr:nvGrpSpPr>
        <xdr:grpSpPr>
          <a:xfrm>
            <a:off x="8248530" y="1228725"/>
            <a:ext cx="8401170" cy="5948052"/>
            <a:chOff x="8258055" y="1219200"/>
            <a:chExt cx="8401170" cy="5948052"/>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8055" y="1276350"/>
              <a:ext cx="8401170" cy="5890902"/>
            </a:xfrm>
            <a:prstGeom prst="rect">
              <a:avLst/>
            </a:prstGeom>
            <a:ln w="76200">
              <a:solidFill>
                <a:schemeClr val="tx1"/>
              </a:solidFill>
            </a:ln>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172575" y="12192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AC_SNS</a:t>
              </a:r>
              <a:r>
                <a:rPr lang="en-US" sz="1100" b="1" baseline="0"/>
                <a:t> =</a:t>
              </a:r>
              <a:endParaRPr lang="en-US" sz="1100" b="1"/>
            </a:p>
          </xdr:txBody>
        </xdr:sp>
        <xdr:sp macro="" textlink="$G$40">
          <xdr:nvSpPr>
            <xdr:cNvPr id="8" name="TextBox 7">
              <a:extLst>
                <a:ext uri="{FF2B5EF4-FFF2-40B4-BE49-F238E27FC236}">
                  <a16:creationId xmlns:a16="http://schemas.microsoft.com/office/drawing/2014/main" id="{00000000-0008-0000-0000-000008000000}"/>
                </a:ext>
              </a:extLst>
            </xdr:cNvPr>
            <xdr:cNvSpPr txBox="1"/>
          </xdr:nvSpPr>
          <xdr:spPr>
            <a:xfrm>
              <a:off x="9696450" y="1247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F3E6F1-3688-4E34-B485-0702C0EDC3AB}" type="TxLink">
                <a:rPr lang="en-US" sz="1100" b="1" i="0" u="none" strike="noStrike">
                  <a:solidFill>
                    <a:srgbClr val="000000"/>
                  </a:solidFill>
                  <a:latin typeface="Arial"/>
                  <a:cs typeface="Arial"/>
                </a:rPr>
                <a:pPr/>
                <a:t>5 mΩ</a:t>
              </a:fld>
              <a:endParaRPr lang="en-US" sz="1100" b="1"/>
            </a:p>
          </xdr:txBody>
        </xdr:sp>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753475" y="48672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8743950" y="4591050"/>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743950" y="43338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G$65">
          <xdr:nvSpPr>
            <xdr:cNvPr id="18" name="TextBox 17">
              <a:extLst>
                <a:ext uri="{FF2B5EF4-FFF2-40B4-BE49-F238E27FC236}">
                  <a16:creationId xmlns:a16="http://schemas.microsoft.com/office/drawing/2014/main" id="{00000000-0008-0000-0000-000012000000}"/>
                </a:ext>
              </a:extLst>
            </xdr:cNvPr>
            <xdr:cNvSpPr txBox="1"/>
          </xdr:nvSpPr>
          <xdr:spPr>
            <a:xfrm>
              <a:off x="9344025" y="48672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17F3405-F5E8-4B3F-807A-F158406E9CE5}" type="TxLink">
                <a:rPr lang="en-US" sz="1100" b="1" i="0" u="none" strike="noStrike">
                  <a:solidFill>
                    <a:srgbClr val="000000"/>
                  </a:solidFill>
                  <a:latin typeface="+mn-lt"/>
                  <a:cs typeface="Arial"/>
                </a:rPr>
                <a:pPr algn="r"/>
                <a:t>500 kΩ</a:t>
              </a:fld>
              <a:endParaRPr lang="en-US" sz="1100" b="1">
                <a:latin typeface="+mn-lt"/>
              </a:endParaRPr>
            </a:p>
          </xdr:txBody>
        </xdr:sp>
        <xdr:sp macro="" textlink="$G$64">
          <xdr:nvSpPr>
            <xdr:cNvPr id="19" name="TextBox 18">
              <a:extLst>
                <a:ext uri="{FF2B5EF4-FFF2-40B4-BE49-F238E27FC236}">
                  <a16:creationId xmlns:a16="http://schemas.microsoft.com/office/drawing/2014/main" id="{00000000-0008-0000-0000-000013000000}"/>
                </a:ext>
              </a:extLst>
            </xdr:cNvPr>
            <xdr:cNvSpPr txBox="1"/>
          </xdr:nvSpPr>
          <xdr:spPr>
            <a:xfrm>
              <a:off x="9324855" y="4600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1CE8BCE2-DE50-4155-835E-064A9767CE46}" type="TxLink">
                <a:rPr lang="en-US" sz="1100" b="1" i="0" u="none" strike="noStrike">
                  <a:solidFill>
                    <a:srgbClr val="000000"/>
                  </a:solidFill>
                  <a:latin typeface="+mn-lt"/>
                  <a:cs typeface="Arial"/>
                </a:rPr>
                <a:pPr algn="r"/>
                <a:t>800 kΩ</a:t>
              </a:fld>
              <a:endParaRPr lang="en-US" sz="1100" b="1">
                <a:latin typeface="+mn-lt"/>
              </a:endParaRPr>
            </a:p>
          </xdr:txBody>
        </xdr:sp>
        <xdr:sp macro="" textlink="$G$63">
          <xdr:nvSpPr>
            <xdr:cNvPr id="20" name="TextBox 19">
              <a:extLst>
                <a:ext uri="{FF2B5EF4-FFF2-40B4-BE49-F238E27FC236}">
                  <a16:creationId xmlns:a16="http://schemas.microsoft.com/office/drawing/2014/main" id="{00000000-0008-0000-0000-000014000000}"/>
                </a:ext>
              </a:extLst>
            </xdr:cNvPr>
            <xdr:cNvSpPr txBox="1"/>
          </xdr:nvSpPr>
          <xdr:spPr>
            <a:xfrm>
              <a:off x="9172575" y="4314825"/>
              <a:ext cx="693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6636FEE-02A7-4ABB-B4F2-167F72B9E9A3}" type="TxLink">
                <a:rPr lang="en-US" sz="1100" b="1" i="0" u="none" strike="noStrike">
                  <a:solidFill>
                    <a:srgbClr val="000000"/>
                  </a:solidFill>
                  <a:latin typeface="+mn-lt"/>
                  <a:cs typeface="Arial"/>
                </a:rPr>
                <a:pPr algn="r"/>
                <a:t>1000 kΩ</a:t>
              </a:fld>
              <a:endParaRPr lang="en-US" sz="1100" b="1">
                <a:latin typeface="+mn-lt"/>
              </a:endParaRPr>
            </a:p>
          </xdr:txBody>
        </xdr:sp>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96325" y="5095875"/>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00000000-0008-0000-0000-000016000000}"/>
                </a:ext>
              </a:extLst>
            </xdr:cNvPr>
            <xdr:cNvCxnSpPr/>
          </xdr:nvCxnSpPr>
          <xdr:spPr>
            <a:xfrm flipH="1">
              <a:off x="8715375" y="481965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id="{00000000-0008-0000-0000-000017000000}"/>
                </a:ext>
              </a:extLst>
            </xdr:cNvPr>
            <xdr:cNvCxnSpPr/>
          </xdr:nvCxnSpPr>
          <xdr:spPr>
            <a:xfrm flipH="1">
              <a:off x="8724900" y="457200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5401925" y="38766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BAT_SNS</a:t>
              </a:r>
              <a:r>
                <a:rPr lang="en-US" sz="1100" b="1" baseline="0"/>
                <a:t> =</a:t>
              </a:r>
              <a:endParaRPr lang="en-US" sz="1100" b="1"/>
            </a:p>
          </xdr:txBody>
        </xdr:sp>
        <xdr:sp macro="" textlink="$G$49">
          <xdr:nvSpPr>
            <xdr:cNvPr id="26" name="TextBox 25">
              <a:extLst>
                <a:ext uri="{FF2B5EF4-FFF2-40B4-BE49-F238E27FC236}">
                  <a16:creationId xmlns:a16="http://schemas.microsoft.com/office/drawing/2014/main" id="{00000000-0008-0000-0000-00001A000000}"/>
                </a:ext>
              </a:extLst>
            </xdr:cNvPr>
            <xdr:cNvSpPr txBox="1"/>
          </xdr:nvSpPr>
          <xdr:spPr>
            <a:xfrm>
              <a:off x="16021050" y="38671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84414F7-E7A2-4650-B9FC-43CE054A015A}" type="TxLink">
                <a:rPr lang="en-US" sz="1100" b="1" i="0" u="none" strike="noStrike">
                  <a:solidFill>
                    <a:srgbClr val="000000"/>
                  </a:solidFill>
                  <a:latin typeface="+mn-lt"/>
                  <a:cs typeface="Arial"/>
                </a:rPr>
                <a:pPr/>
                <a:t>5 mΩ</a:t>
              </a:fld>
              <a:endParaRPr lang="en-US" sz="1100" b="1">
                <a:latin typeface="+mn-lt"/>
              </a:endParaRPr>
            </a:p>
          </xdr:txBody>
        </xdr: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4125575" y="4305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4">
          <xdr:nvSpPr>
            <xdr:cNvPr id="28" name="TextBox 27">
              <a:extLst>
                <a:ext uri="{FF2B5EF4-FFF2-40B4-BE49-F238E27FC236}">
                  <a16:creationId xmlns:a16="http://schemas.microsoft.com/office/drawing/2014/main" id="{00000000-0008-0000-0000-00001C000000}"/>
                </a:ext>
              </a:extLst>
            </xdr:cNvPr>
            <xdr:cNvSpPr txBox="1"/>
          </xdr:nvSpPr>
          <xdr:spPr>
            <a:xfrm>
              <a:off x="14687550" y="43243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185AE89-5ADD-4E60-867D-8F7479155DA6}" type="TxLink">
                <a:rPr lang="en-US" sz="1100" b="1" i="0" u="none" strike="noStrike">
                  <a:solidFill>
                    <a:srgbClr val="000000"/>
                  </a:solidFill>
                  <a:latin typeface="Calibri"/>
                  <a:cs typeface="Calibri"/>
                </a:rPr>
                <a:pPr/>
                <a:t>249 kΩ</a:t>
              </a:fld>
              <a:endParaRPr lang="en-US" sz="1100" b="1">
                <a:latin typeface="+mn-lt"/>
              </a:endParaRPr>
            </a:p>
          </xdr:txBody>
        </xdr:sp>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4735175" y="47148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5">
          <xdr:nvSpPr>
            <xdr:cNvPr id="30" name="TextBox 29">
              <a:extLst>
                <a:ext uri="{FF2B5EF4-FFF2-40B4-BE49-F238E27FC236}">
                  <a16:creationId xmlns:a16="http://schemas.microsoft.com/office/drawing/2014/main" id="{00000000-0008-0000-0000-00001E000000}"/>
                </a:ext>
              </a:extLst>
            </xdr:cNvPr>
            <xdr:cNvSpPr txBox="1"/>
          </xdr:nvSpPr>
          <xdr:spPr>
            <a:xfrm>
              <a:off x="15306674" y="4714875"/>
              <a:ext cx="714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347F31C-DB99-4BD5-AD40-4D254829EFDB}" type="TxLink">
                <a:rPr lang="en-US" sz="1100" b="1" i="0" u="none" strike="noStrike">
                  <a:solidFill>
                    <a:srgbClr val="000000"/>
                  </a:solidFill>
                  <a:latin typeface="Calibri"/>
                  <a:cs typeface="Calibri"/>
                </a:rPr>
                <a:pPr/>
                <a:t>25.18 kΩ</a:t>
              </a:fld>
              <a:endParaRPr lang="en-US" sz="1100" b="1">
                <a:latin typeface="+mn-lt"/>
              </a:endParaRPr>
            </a:p>
          </xdr:txBody>
        </xdr:sp>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flipH="1">
              <a:off x="14439900" y="4943475"/>
              <a:ext cx="371475" cy="2381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14249400" y="4562475"/>
              <a:ext cx="76200"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3268325" y="60769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FSW</a:t>
              </a:r>
              <a:r>
                <a:rPr lang="en-US" sz="1100" b="1" baseline="0"/>
                <a:t> =</a:t>
              </a:r>
              <a:endParaRPr lang="en-US" sz="1100" b="1"/>
            </a:p>
          </xdr:txBody>
        </xdr:sp>
        <xdr:sp macro="" textlink="$G$15">
          <xdr:nvSpPr>
            <xdr:cNvPr id="39" name="TextBox 38">
              <a:extLst>
                <a:ext uri="{FF2B5EF4-FFF2-40B4-BE49-F238E27FC236}">
                  <a16:creationId xmlns:a16="http://schemas.microsoft.com/office/drawing/2014/main" id="{00000000-0008-0000-0000-000027000000}"/>
                </a:ext>
              </a:extLst>
            </xdr:cNvPr>
            <xdr:cNvSpPr txBox="1"/>
          </xdr:nvSpPr>
          <xdr:spPr>
            <a:xfrm>
              <a:off x="13677900" y="609600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B84AE15-13FB-4C3F-AA76-75D7FF64573E}" type="TxLink">
                <a:rPr lang="en-US" sz="1100" b="1" i="0" u="none" strike="noStrike">
                  <a:solidFill>
                    <a:srgbClr val="000000"/>
                  </a:solidFill>
                  <a:latin typeface="Calibri"/>
                  <a:cs typeface="Calibri"/>
                </a:rPr>
                <a:pPr/>
                <a:t>40 kΩ</a:t>
              </a:fld>
              <a:endParaRPr lang="en-US" sz="1100" b="1">
                <a:latin typeface="+mn-lt"/>
              </a:endParaRPr>
            </a:p>
          </xdr:txBody>
        </xdr:sp>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3430250" y="5943600"/>
              <a:ext cx="523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IOUT</a:t>
              </a:r>
              <a:r>
                <a:rPr lang="en-US" sz="1100" b="1" baseline="0"/>
                <a:t> =</a:t>
              </a:r>
              <a:endParaRPr lang="en-US" sz="1100" b="1"/>
            </a:p>
          </xdr:txBody>
        </xdr:sp>
        <xdr:sp macro="" textlink="$G$54">
          <xdr:nvSpPr>
            <xdr:cNvPr id="41" name="TextBox 40">
              <a:extLst>
                <a:ext uri="{FF2B5EF4-FFF2-40B4-BE49-F238E27FC236}">
                  <a16:creationId xmlns:a16="http://schemas.microsoft.com/office/drawing/2014/main" id="{00000000-0008-0000-0000-000029000000}"/>
                </a:ext>
              </a:extLst>
            </xdr:cNvPr>
            <xdr:cNvSpPr txBox="1"/>
          </xdr:nvSpPr>
          <xdr:spPr>
            <a:xfrm>
              <a:off x="13877925" y="5953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6A0E02C-7C3A-4BFC-ACF8-A0C65265CCAC}" type="TxLink">
                <a:rPr lang="en-US" sz="1100" b="1" i="0" u="none" strike="noStrike">
                  <a:solidFill>
                    <a:srgbClr val="000000"/>
                  </a:solidFill>
                  <a:latin typeface="Calibri"/>
                  <a:cs typeface="Calibri"/>
                </a:rPr>
                <a:pPr algn="l"/>
                <a:t>10 kΩ</a:t>
              </a:fld>
              <a:endParaRPr lang="en-US" sz="1100" b="1">
                <a:latin typeface="+mn-lt"/>
              </a:endParaRPr>
            </a:p>
          </xdr:txBody>
        </xdr:sp>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3601701" y="5800725"/>
              <a:ext cx="438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IIN</a:t>
              </a:r>
              <a:r>
                <a:rPr lang="en-US" sz="1100" b="1" baseline="0"/>
                <a:t> =</a:t>
              </a:r>
              <a:endParaRPr lang="en-US" sz="1100" b="1"/>
            </a:p>
          </xdr:txBody>
        </xdr:sp>
        <xdr:sp macro="" textlink="$G$45">
          <xdr:nvSpPr>
            <xdr:cNvPr id="43" name="TextBox 42">
              <a:extLst>
                <a:ext uri="{FF2B5EF4-FFF2-40B4-BE49-F238E27FC236}">
                  <a16:creationId xmlns:a16="http://schemas.microsoft.com/office/drawing/2014/main" id="{00000000-0008-0000-0000-00002B000000}"/>
                </a:ext>
              </a:extLst>
            </xdr:cNvPr>
            <xdr:cNvSpPr txBox="1"/>
          </xdr:nvSpPr>
          <xdr:spPr>
            <a:xfrm>
              <a:off x="13992225" y="581025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9D79F53-3E6A-4BF3-BE3B-42A3FC35D375}" type="TxLink">
                <a:rPr lang="en-US" sz="1100" b="1" i="0" u="none" strike="noStrike">
                  <a:solidFill>
                    <a:srgbClr val="000000"/>
                  </a:solidFill>
                  <a:latin typeface="Calibri"/>
                  <a:cs typeface="Calibri"/>
                </a:rPr>
                <a:pPr algn="l"/>
                <a:t>1 kΩ</a:t>
              </a:fld>
              <a:endParaRPr lang="en-US" sz="1100" b="1">
                <a:latin typeface="+mn-lt"/>
              </a:endParaRPr>
            </a:p>
          </xdr:txBody>
        </xdr:sp>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3515975" y="55530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MODE</a:t>
              </a:r>
              <a:r>
                <a:rPr lang="en-US" sz="1100" b="1" baseline="0"/>
                <a:t> =</a:t>
              </a:r>
              <a:endParaRPr lang="en-US" sz="1100" b="1"/>
            </a:p>
          </xdr:txBody>
        </xdr:sp>
        <xdr:sp macro="" textlink="$G$92">
          <xdr:nvSpPr>
            <xdr:cNvPr id="45" name="TextBox 44">
              <a:extLst>
                <a:ext uri="{FF2B5EF4-FFF2-40B4-BE49-F238E27FC236}">
                  <a16:creationId xmlns:a16="http://schemas.microsoft.com/office/drawing/2014/main" id="{00000000-0008-0000-0000-00002D000000}"/>
                </a:ext>
              </a:extLst>
            </xdr:cNvPr>
            <xdr:cNvSpPr txBox="1"/>
          </xdr:nvSpPr>
          <xdr:spPr>
            <a:xfrm>
              <a:off x="14011275" y="5572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C00216-ACA4-4DF2-A075-F88956F9BCF0}"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3782675" y="5391150"/>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4">
          <xdr:nvSpPr>
            <xdr:cNvPr id="47" name="TextBox 46">
              <a:extLst>
                <a:ext uri="{FF2B5EF4-FFF2-40B4-BE49-F238E27FC236}">
                  <a16:creationId xmlns:a16="http://schemas.microsoft.com/office/drawing/2014/main" id="{00000000-0008-0000-0000-00002F000000}"/>
                </a:ext>
              </a:extLst>
            </xdr:cNvPr>
            <xdr:cNvSpPr txBox="1"/>
          </xdr:nvSpPr>
          <xdr:spPr>
            <a:xfrm>
              <a:off x="14144625" y="5391150"/>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1789C82-58D7-42AA-BC5C-A2FA648AFB8F}" type="TxLink">
                <a:rPr lang="en-US" sz="1100" b="1" i="0" u="none" strike="noStrike">
                  <a:solidFill>
                    <a:srgbClr val="000000"/>
                  </a:solidFill>
                  <a:latin typeface="Calibri"/>
                  <a:cs typeface="Calibri"/>
                </a:rPr>
                <a:pPr algn="l"/>
                <a:t>3.61 kΩ</a:t>
              </a:fld>
              <a:endParaRPr lang="en-US" sz="1100" b="1">
                <a:latin typeface="+mn-lt"/>
              </a:endParaRPr>
            </a:p>
          </xdr:txBody>
        </xdr:sp>
        <xdr:cxnSp macro="">
          <xdr:nvCxnSpPr>
            <xdr:cNvPr id="48" name="Straight Arrow Connector 47">
              <a:extLst>
                <a:ext uri="{FF2B5EF4-FFF2-40B4-BE49-F238E27FC236}">
                  <a16:creationId xmlns:a16="http://schemas.microsoft.com/office/drawing/2014/main" id="{00000000-0008-0000-0000-000030000000}"/>
                </a:ext>
              </a:extLst>
            </xdr:cNvPr>
            <xdr:cNvCxnSpPr/>
          </xdr:nvCxnSpPr>
          <xdr:spPr>
            <a:xfrm flipV="1">
              <a:off x="14154150" y="5314950"/>
              <a:ext cx="542925" cy="1619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4744700" y="6334125"/>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5">
          <xdr:nvSpPr>
            <xdr:cNvPr id="56" name="TextBox 55">
              <a:extLst>
                <a:ext uri="{FF2B5EF4-FFF2-40B4-BE49-F238E27FC236}">
                  <a16:creationId xmlns:a16="http://schemas.microsoft.com/office/drawing/2014/main" id="{00000000-0008-0000-0000-000038000000}"/>
                </a:ext>
              </a:extLst>
            </xdr:cNvPr>
            <xdr:cNvSpPr txBox="1"/>
          </xdr:nvSpPr>
          <xdr:spPr>
            <a:xfrm>
              <a:off x="15059025" y="6334125"/>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DDB80C3-35BE-4DB8-8667-42B05F3CE423}" type="TxLink">
                <a:rPr lang="en-US" sz="1100" b="1" i="0" u="none" strike="noStrike">
                  <a:solidFill>
                    <a:srgbClr val="000000"/>
                  </a:solidFill>
                  <a:latin typeface="Calibri"/>
                  <a:cs typeface="Calibri"/>
                </a:rPr>
                <a:pPr algn="l"/>
                <a:t>15.48 kΩ</a:t>
              </a:fld>
              <a:endParaRPr lang="en-US" sz="1100" b="1">
                <a:latin typeface="+mn-lt"/>
              </a:endParaRPr>
            </a:p>
          </xdr:txBody>
        </xdr:sp>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1277600" y="2533650"/>
              <a:ext cx="3143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t>L =</a:t>
              </a:r>
              <a:endParaRPr lang="en-US" sz="1100" b="1"/>
            </a:p>
          </xdr:txBody>
        </xdr:sp>
        <xdr:sp macro="" textlink="$G$26">
          <xdr:nvSpPr>
            <xdr:cNvPr id="58" name="TextBox 57">
              <a:extLst>
                <a:ext uri="{FF2B5EF4-FFF2-40B4-BE49-F238E27FC236}">
                  <a16:creationId xmlns:a16="http://schemas.microsoft.com/office/drawing/2014/main" id="{00000000-0008-0000-0000-00003A000000}"/>
                </a:ext>
              </a:extLst>
            </xdr:cNvPr>
            <xdr:cNvSpPr txBox="1"/>
          </xdr:nvSpPr>
          <xdr:spPr>
            <a:xfrm>
              <a:off x="11515725" y="25336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DDAD063-C5FC-48CD-B44D-AAF512675CB8}" type="TxLink">
                <a:rPr lang="en-US" sz="1100" b="1" i="0" u="none" strike="noStrike">
                  <a:solidFill>
                    <a:srgbClr val="000000"/>
                  </a:solidFill>
                  <a:latin typeface="Calibri"/>
                  <a:cs typeface="Calibri"/>
                </a:rPr>
                <a:pPr/>
                <a:t>10 µH</a:t>
              </a:fld>
              <a:endParaRPr lang="en-US" sz="1100" b="1"/>
            </a:p>
          </xdr:txBody>
        </xdr:sp>
      </xdr:grpSp>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10848855" y="15430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CIN</a:t>
            </a:r>
            <a:r>
              <a:rPr lang="en-US" sz="1100" b="1" baseline="0"/>
              <a:t> =</a:t>
            </a:r>
            <a:endParaRPr lang="en-US" sz="1100" b="1"/>
          </a:p>
        </xdr:txBody>
      </xdr:sp>
      <xdr:sp macro="" textlink="$G$100">
        <xdr:nvSpPr>
          <xdr:cNvPr id="61" name="TextBox 60">
            <a:extLst>
              <a:ext uri="{FF2B5EF4-FFF2-40B4-BE49-F238E27FC236}">
                <a16:creationId xmlns:a16="http://schemas.microsoft.com/office/drawing/2014/main" id="{00000000-0008-0000-0000-00003D000000}"/>
              </a:ext>
            </a:extLst>
          </xdr:cNvPr>
          <xdr:cNvSpPr txBox="1"/>
        </xdr:nvSpPr>
        <xdr:spPr>
          <a:xfrm>
            <a:off x="11277480" y="1552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98AF030-41BB-484F-802C-A31F87601CD0}" type="TxLink">
              <a:rPr lang="en-US" sz="1100" b="1" i="0" u="none" strike="noStrike">
                <a:solidFill>
                  <a:srgbClr val="000000"/>
                </a:solidFill>
                <a:latin typeface="Calibri"/>
                <a:cs typeface="Calibri"/>
              </a:rPr>
              <a:pPr/>
              <a:t>160 µF</a:t>
            </a:fld>
            <a:endParaRPr lang="en-US" sz="1100" b="1"/>
          </a:p>
        </xdr:txBody>
      </xdr:sp>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3420605" y="2400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COUT</a:t>
            </a:r>
            <a:r>
              <a:rPr lang="en-US" sz="1100" b="1" baseline="0"/>
              <a:t> =</a:t>
            </a:r>
            <a:endParaRPr lang="en-US" sz="1100" b="1"/>
          </a:p>
        </xdr:txBody>
      </xdr:sp>
      <xdr:sp macro="" textlink="$G$106">
        <xdr:nvSpPr>
          <xdr:cNvPr id="63" name="TextBox 62">
            <a:extLst>
              <a:ext uri="{FF2B5EF4-FFF2-40B4-BE49-F238E27FC236}">
                <a16:creationId xmlns:a16="http://schemas.microsoft.com/office/drawing/2014/main" id="{00000000-0008-0000-0000-00003F000000}"/>
              </a:ext>
            </a:extLst>
          </xdr:cNvPr>
          <xdr:cNvSpPr txBox="1"/>
        </xdr:nvSpPr>
        <xdr:spPr>
          <a:xfrm>
            <a:off x="13887330" y="2390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9CEF21-9A47-4978-8694-AB011E2242BD}" type="TxLink">
              <a:rPr lang="en-US" sz="1100" b="1" i="0" u="none" strike="noStrike">
                <a:solidFill>
                  <a:srgbClr val="000000"/>
                </a:solidFill>
                <a:latin typeface="Calibri"/>
                <a:cs typeface="Calibri"/>
              </a:rPr>
              <a:pPr/>
              <a:t>160 µF</a:t>
            </a:fld>
            <a:endParaRPr lang="en-US" sz="1100" b="1"/>
          </a:p>
        </xdr:txBody>
      </xdr:sp>
    </xdr:grpSp>
    <xdr:clientData/>
  </xdr:twoCellAnchor>
  <xdr:twoCellAnchor>
    <xdr:from>
      <xdr:col>13</xdr:col>
      <xdr:colOff>549275</xdr:colOff>
      <xdr:row>34</xdr:row>
      <xdr:rowOff>158750</xdr:rowOff>
    </xdr:from>
    <xdr:to>
      <xdr:col>18</xdr:col>
      <xdr:colOff>4826000</xdr:colOff>
      <xdr:row>87</xdr:row>
      <xdr:rowOff>95250</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9388475" y="7235825"/>
          <a:ext cx="7324725" cy="10318750"/>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BQ25756</a:t>
          </a:r>
          <a:r>
            <a:rPr lang="en-US" sz="1100" b="1" baseline="0"/>
            <a:t> Design Tool</a:t>
          </a:r>
        </a:p>
        <a:p>
          <a:pPr algn="ctr"/>
          <a:endParaRPr lang="en-US" sz="1100" b="1" baseline="0"/>
        </a:p>
        <a:p>
          <a:pPr algn="l"/>
          <a:r>
            <a:rPr lang="en-US" sz="1100" b="1" baseline="0"/>
            <a:t>General</a:t>
          </a:r>
        </a:p>
        <a:p>
          <a:pPr algn="l"/>
          <a:r>
            <a:rPr lang="en-US" sz="1100" b="0" baseline="0">
              <a:solidFill>
                <a:schemeClr val="dk1"/>
              </a:solidFill>
              <a:effectLst/>
              <a:latin typeface="+mn-lt"/>
              <a:ea typeface="+mn-ea"/>
              <a:cs typeface="+mn-cs"/>
            </a:rPr>
            <a:t>    -  If warning message pops up about there being cicular references, just click </a:t>
          </a:r>
          <a:r>
            <a:rPr lang="en-US" sz="1100" b="1" baseline="0">
              <a:solidFill>
                <a:schemeClr val="dk1"/>
              </a:solidFill>
              <a:effectLst/>
              <a:latin typeface="+mn-lt"/>
              <a:ea typeface="+mn-ea"/>
              <a:cs typeface="+mn-cs"/>
            </a:rPr>
            <a:t>OK</a:t>
          </a:r>
          <a:r>
            <a:rPr lang="en-US" sz="1100" b="0" baseline="0">
              <a:solidFill>
                <a:schemeClr val="dk1"/>
              </a:solidFill>
              <a:effectLst/>
              <a:latin typeface="+mn-lt"/>
              <a:ea typeface="+mn-ea"/>
              <a:cs typeface="+mn-cs"/>
            </a:rPr>
            <a:t>. </a:t>
          </a:r>
          <a:endParaRPr lang="en-US" sz="1100" b="1" baseline="0"/>
        </a:p>
        <a:p>
          <a:pPr algn="l"/>
          <a:endParaRPr lang="en-US" sz="1100" b="0" baseline="0"/>
        </a:p>
        <a:p>
          <a:pPr algn="l"/>
          <a:r>
            <a:rPr lang="en-US" sz="1100" b="0" baseline="0"/>
            <a:t>    -  </a:t>
          </a:r>
          <a:r>
            <a:rPr lang="en-US" sz="1100" b="1" baseline="0"/>
            <a:t>Yellow cells </a:t>
          </a:r>
          <a:r>
            <a:rPr lang="en-US" sz="1100" b="0" baseline="0"/>
            <a:t>are where the user inputs their design requirements/choices. </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red text </a:t>
          </a:r>
          <a:r>
            <a:rPr lang="en-US" sz="1100" b="0" baseline="0">
              <a:solidFill>
                <a:schemeClr val="dk1"/>
              </a:solidFill>
              <a:effectLst/>
              <a:latin typeface="+mn-lt"/>
              <a:ea typeface="+mn-ea"/>
              <a:cs typeface="+mn-cs"/>
            </a:rPr>
            <a:t>indicate potential issues with the user's inputs. If a cell's text is flagged red, there will be a note to the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left of the cell explain why the cell is flagged red.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There are notes throughout the whole tool, if the user has any questions about the tool, the user should look at the 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for the cell that they are looking at. There may also be addition useful information in nearby cell notes.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Sections follow a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and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format.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 their name are user input cells where the user inputs what they Desire for their design.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in their name are what the tool </a:t>
          </a:r>
          <a:r>
            <a:rPr lang="en-US" sz="1100" b="1" baseline="0">
              <a:solidFill>
                <a:schemeClr val="dk1"/>
              </a:solidFill>
              <a:effectLst/>
              <a:latin typeface="+mn-lt"/>
              <a:ea typeface="+mn-ea"/>
              <a:cs typeface="+mn-cs"/>
            </a:rPr>
            <a:t>Recommends</a:t>
          </a:r>
          <a:r>
            <a:rPr lang="en-US" sz="1100" b="0" baseline="0">
              <a:solidFill>
                <a:schemeClr val="dk1"/>
              </a:solidFill>
              <a:effectLst/>
              <a:latin typeface="+mn-lt"/>
              <a:ea typeface="+mn-ea"/>
              <a:cs typeface="+mn-cs"/>
            </a:rPr>
            <a:t> to get the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input or is a general</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recommendation based off user's previously entered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in their name are user input cells where the user inputs the actual component/parameter that they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will use in their design.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in their name are what BQ2575X will </a:t>
          </a:r>
          <a:r>
            <a:rPr lang="en-US" sz="1100" b="1" baseline="0">
              <a:solidFill>
                <a:schemeClr val="dk1"/>
              </a:solidFill>
              <a:effectLst/>
              <a:latin typeface="+mn-lt"/>
              <a:ea typeface="+mn-ea"/>
              <a:cs typeface="+mn-cs"/>
            </a:rPr>
            <a:t>Recognize</a:t>
          </a:r>
          <a:r>
            <a:rPr lang="en-US" sz="1100" b="0" baseline="0">
              <a:solidFill>
                <a:schemeClr val="dk1"/>
              </a:solidFill>
              <a:effectLst/>
              <a:latin typeface="+mn-lt"/>
              <a:ea typeface="+mn-ea"/>
              <a:cs typeface="+mn-cs"/>
            </a:rPr>
            <a:t> based off what is entered in the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cells. </a:t>
          </a:r>
          <a:endParaRPr lang="en-US">
            <a:effectLst/>
          </a:endParaRP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It is recommended that the user completes each section in order because many sections will use the user's input from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the previous sections to provide recommendations for that section.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Step 7: Thermistor Qualification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This step provides the Recommended Ideal RT1 &amp; RT2 resistances, however, the resistance provided may not be a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standard resistance. Furthermore, this step does not allow the user to "</a:t>
          </a:r>
          <a:r>
            <a:rPr lang="en-US" sz="1100" b="1" baseline="0">
              <a:solidFill>
                <a:schemeClr val="dk1"/>
              </a:solidFill>
              <a:effectLst/>
              <a:latin typeface="+mn-lt"/>
              <a:ea typeface="+mn-ea"/>
              <a:cs typeface="+mn-cs"/>
            </a:rPr>
            <a:t>Select</a:t>
          </a:r>
          <a:r>
            <a:rPr lang="en-US" sz="1100" b="0" baseline="0">
              <a:solidFill>
                <a:schemeClr val="dk1"/>
              </a:solidFill>
              <a:effectLst/>
              <a:latin typeface="+mn-lt"/>
              <a:ea typeface="+mn-ea"/>
              <a:cs typeface="+mn-cs"/>
            </a:rPr>
            <a:t>" and check that their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Temperature Thresholds match their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Temperature Thresholds. For a more in-depth look into the Thermistor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Qualification, please look at the Thermistor Qualification tab.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algn="l"/>
          <a:r>
            <a:rPr lang="en-US" sz="1100" b="1" baseline="0">
              <a:effectLst/>
            </a:rPr>
            <a:t>Efficiency / Power Loss Analyzer</a:t>
          </a:r>
        </a:p>
        <a:p>
          <a:pPr algn="l"/>
          <a:r>
            <a:rPr lang="en-US" sz="1100" b="1" baseline="0">
              <a:effectLst/>
            </a:rPr>
            <a:t>     </a:t>
          </a:r>
          <a:r>
            <a:rPr lang="en-US" sz="1100" b="0" baseline="0">
              <a:effectLst/>
            </a:rPr>
            <a:t>- </a:t>
          </a:r>
          <a:r>
            <a:rPr lang="en-US" sz="1100" b="1" baseline="0">
              <a:effectLst/>
            </a:rPr>
            <a:t>NOTE: This tool is NOT an accurate representation of the actual efficiency that will be seen in real tests. The efficiency</a:t>
          </a:r>
        </a:p>
        <a:p>
          <a:pPr algn="l"/>
          <a:r>
            <a:rPr lang="en-US" sz="1100" b="1" baseline="0">
              <a:effectLst/>
            </a:rPr>
            <a:t>       plots are only for relative efficiency comparison of different components/design requirements. </a:t>
          </a:r>
        </a:p>
        <a:p>
          <a:pPr algn="l"/>
          <a:endParaRPr lang="en-US" sz="1100" b="1" baseline="0">
            <a:effectLst/>
          </a:endParaRPr>
        </a:p>
        <a:p>
          <a:pPr algn="l"/>
          <a:r>
            <a:rPr lang="en-US" sz="1100" b="1" baseline="0">
              <a:effectLst/>
            </a:rPr>
            <a:t>     </a:t>
          </a:r>
          <a:r>
            <a:rPr lang="en-US" sz="1100" b="0" baseline="0">
              <a:effectLst/>
            </a:rPr>
            <a:t>- This tool takes the user's inputs from the previous sections and plots the estimated efficiency and power loss curves. </a:t>
          </a:r>
        </a:p>
        <a:p>
          <a:pPr algn="l"/>
          <a:endParaRPr lang="en-US" sz="1100" b="0" baseline="0">
            <a:effectLst/>
          </a:endParaRPr>
        </a:p>
        <a:p>
          <a:pPr algn="l"/>
          <a:r>
            <a:rPr lang="en-US" sz="1100" b="0" baseline="0">
              <a:effectLst/>
            </a:rPr>
            <a:t>     - By default, the tool will plot the efficiency curves using the </a:t>
          </a:r>
          <a:r>
            <a:rPr lang="en-US" sz="1100" b="1" baseline="0">
              <a:effectLst/>
            </a:rPr>
            <a:t>TI Recommended MOSFETs</a:t>
          </a:r>
          <a:r>
            <a:rPr lang="en-US" sz="1100" b="0" baseline="0">
              <a:effectLst/>
            </a:rPr>
            <a:t>. But, if the user would like to see</a:t>
          </a:r>
        </a:p>
        <a:p>
          <a:pPr algn="l"/>
          <a:r>
            <a:rPr lang="en-US" sz="1100" b="0" baseline="0">
              <a:effectLst/>
            </a:rPr>
            <a:t>       how other MOSFETs might compare to the </a:t>
          </a:r>
          <a:r>
            <a:rPr lang="en-US" sz="1100" b="1" baseline="0">
              <a:effectLst/>
            </a:rPr>
            <a:t>TI Recommended MOSFETs</a:t>
          </a:r>
          <a:r>
            <a:rPr lang="en-US" sz="1100" b="0" baseline="0">
              <a:effectLst/>
            </a:rPr>
            <a:t>, they can enter in the MOSFET's parameters in </a:t>
          </a:r>
        </a:p>
        <a:p>
          <a:pPr algn="l"/>
          <a:r>
            <a:rPr lang="en-US" sz="1100" b="0" baseline="0">
              <a:effectLst/>
            </a:rPr>
            <a:t>       the </a:t>
          </a:r>
          <a:r>
            <a:rPr lang="en-US" sz="1100" b="1" baseline="0">
              <a:effectLst/>
            </a:rPr>
            <a:t>Custom Power MOSFETs </a:t>
          </a:r>
          <a:r>
            <a:rPr lang="en-US" sz="1100" b="0" baseline="0">
              <a:effectLst/>
            </a:rPr>
            <a:t>section then select </a:t>
          </a:r>
          <a:r>
            <a:rPr lang="en-US" sz="1100" b="1" baseline="0">
              <a:effectLst/>
            </a:rPr>
            <a:t>Compare</a:t>
          </a:r>
          <a:r>
            <a:rPr lang="en-US" sz="1100" b="0" baseline="0">
              <a:effectLst/>
            </a:rPr>
            <a:t> for the </a:t>
          </a:r>
          <a:r>
            <a:rPr lang="en-US" sz="1100" b="1" baseline="0">
              <a:effectLst/>
            </a:rPr>
            <a:t>MOSFET Selection </a:t>
          </a:r>
          <a:r>
            <a:rPr lang="en-US" sz="1100" b="0" baseline="0">
              <a:effectLst/>
            </a:rPr>
            <a:t>in </a:t>
          </a:r>
          <a:r>
            <a:rPr lang="en-US" sz="1100" b="1" baseline="0">
              <a:effectLst/>
            </a:rPr>
            <a:t>Step 12: Efficiency Calculation</a:t>
          </a:r>
        </a:p>
        <a:p>
          <a:pPr algn="l"/>
          <a:r>
            <a:rPr lang="en-US" sz="1100" b="1" baseline="0">
              <a:effectLst/>
            </a:rPr>
            <a:t>       Configuration</a:t>
          </a:r>
          <a:r>
            <a:rPr lang="en-US" sz="1100" b="0" baseline="0">
              <a:effectLst/>
            </a:rPr>
            <a:t>. This will plot the efficiency and power loss curves using the TI Recommended MOSFET and the user's </a:t>
          </a:r>
        </a:p>
        <a:p>
          <a:pPr algn="l"/>
          <a:r>
            <a:rPr lang="en-US" sz="1100" b="0" baseline="0">
              <a:effectLst/>
            </a:rPr>
            <a:t>       Custom MOSFET. </a:t>
          </a:r>
        </a:p>
        <a:p>
          <a:pPr algn="l"/>
          <a:endParaRPr lang="en-US" sz="1100" b="0" baseline="0">
            <a:effectLst/>
          </a:endParaRPr>
        </a:p>
        <a:p>
          <a:pPr algn="l"/>
          <a:r>
            <a:rPr lang="en-US" sz="1100" b="0" baseline="0">
              <a:effectLst/>
            </a:rPr>
            <a:t>     - The user can chose to plot only the efficiency and power loss curves using TI Recommended MOSFET or only the Custom</a:t>
          </a:r>
        </a:p>
        <a:p>
          <a:pPr algn="l"/>
          <a:r>
            <a:rPr lang="en-US" sz="1100" b="0" baseline="0">
              <a:effectLst/>
            </a:rPr>
            <a:t>       MOSFET by selecting TI Recommendation or Custom for the MOSFET Selection respectively in Step 12. </a:t>
          </a:r>
        </a:p>
        <a:p>
          <a:pPr algn="l"/>
          <a:endParaRPr lang="en-US" sz="1100" b="0" baseline="0">
            <a:effectLst/>
          </a:endParaRPr>
        </a:p>
        <a:p>
          <a:pPr algn="l"/>
          <a:r>
            <a:rPr lang="en-US" sz="1100" b="0" baseline="0">
              <a:effectLst/>
            </a:rPr>
            <a:t>     - BQ25756 allows the user to use their own gate drive voltage. To plot the efficiency curves using a custom gate drive </a:t>
          </a:r>
        </a:p>
        <a:p>
          <a:pPr algn="l"/>
          <a:r>
            <a:rPr lang="en-US" sz="1100" b="0" baseline="0">
              <a:effectLst/>
            </a:rPr>
            <a:t>       voltage, the user will need to enter their </a:t>
          </a:r>
          <a:r>
            <a:rPr lang="en-US" sz="1100" b="1" baseline="0">
              <a:effectLst/>
            </a:rPr>
            <a:t>Custom Gate Drive Voltage</a:t>
          </a:r>
          <a:r>
            <a:rPr lang="en-US" sz="1100" b="0" baseline="0">
              <a:effectLst/>
            </a:rPr>
            <a:t> in </a:t>
          </a:r>
          <a:r>
            <a:rPr lang="en-US" sz="1100" b="1" baseline="0">
              <a:effectLst/>
            </a:rPr>
            <a:t>Step 11</a:t>
          </a:r>
          <a:r>
            <a:rPr lang="en-US" sz="1100" b="0" baseline="0">
              <a:effectLst/>
            </a:rPr>
            <a:t>, then enter the </a:t>
          </a:r>
          <a:r>
            <a:rPr lang="en-US" sz="1100" b="1" baseline="0">
              <a:effectLst/>
            </a:rPr>
            <a:t>On-State Resistance </a:t>
          </a:r>
          <a:r>
            <a:rPr lang="en-US" sz="1100" b="0" baseline="0">
              <a:effectLst/>
            </a:rPr>
            <a:t>and </a:t>
          </a:r>
        </a:p>
        <a:p>
          <a:pPr algn="l"/>
          <a:r>
            <a:rPr lang="en-US" sz="1100" b="0" baseline="0">
              <a:effectLst/>
            </a:rPr>
            <a:t>       </a:t>
          </a:r>
          <a:r>
            <a:rPr lang="en-US" sz="1100" b="1" baseline="0">
              <a:effectLst/>
            </a:rPr>
            <a:t>Gate Charge </a:t>
          </a:r>
          <a:r>
            <a:rPr lang="en-US" sz="1100" b="0" baseline="0">
              <a:effectLst/>
            </a:rPr>
            <a:t>for the </a:t>
          </a:r>
          <a:r>
            <a:rPr lang="en-US" sz="1100" b="1" baseline="0">
              <a:effectLst/>
            </a:rPr>
            <a:t>Custom MOSFET </a:t>
          </a:r>
          <a:r>
            <a:rPr lang="en-US" sz="1100" b="0" baseline="0">
              <a:effectLst/>
            </a:rPr>
            <a:t>that they will be using. The user will then need to select their </a:t>
          </a:r>
          <a:r>
            <a:rPr lang="en-US" sz="1100" b="1" baseline="0">
              <a:effectLst/>
            </a:rPr>
            <a:t>Custom Gate Drive </a:t>
          </a:r>
        </a:p>
        <a:p>
          <a:pPr algn="l"/>
          <a:r>
            <a:rPr lang="en-US" sz="1100" b="1" baseline="0">
              <a:effectLst/>
            </a:rPr>
            <a:t>       Voltage </a:t>
          </a:r>
          <a:r>
            <a:rPr lang="en-US" sz="1100" b="0" baseline="0">
              <a:effectLst/>
            </a:rPr>
            <a:t>in </a:t>
          </a:r>
          <a:r>
            <a:rPr lang="en-US" sz="1100" b="1" baseline="0">
              <a:effectLst/>
            </a:rPr>
            <a:t>Step 12</a:t>
          </a:r>
          <a:r>
            <a:rPr lang="en-US" sz="1100" b="0" baseline="0">
              <a:effectLst/>
            </a:rPr>
            <a:t>. </a:t>
          </a:r>
        </a:p>
        <a:p>
          <a:pPr algn="l"/>
          <a:r>
            <a:rPr lang="en-US" sz="1100" b="0" baseline="0">
              <a:effectLst/>
            </a:rPr>
            <a:t>             - </a:t>
          </a:r>
          <a:r>
            <a:rPr lang="en-US" sz="1100" b="1" baseline="0">
              <a:effectLst/>
            </a:rPr>
            <a:t>NOTE</a:t>
          </a:r>
          <a:r>
            <a:rPr lang="en-US" sz="1100" b="0" baseline="0">
              <a:effectLst/>
            </a:rPr>
            <a:t>: Most MOSFET datasheets only provide the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a Gate Drive</a:t>
          </a:r>
        </a:p>
        <a:p>
          <a:pPr algn="l"/>
          <a:r>
            <a:rPr lang="en-US" sz="1100" b="0" baseline="0">
              <a:effectLst/>
            </a:rPr>
            <a:t>               Voltage of 4.5 V and 10 V. If the user decides to use their own custom gate drive voltage, they will need to get the </a:t>
          </a:r>
        </a:p>
        <a:p>
          <a:pPr algn="l"/>
          <a:r>
            <a:rPr lang="en-US" sz="1100" b="0" baseline="0">
              <a:effectLst/>
            </a:rPr>
            <a:t>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that given gate drive voltage from the manufacturer or by </a:t>
          </a:r>
        </a:p>
        <a:p>
          <a:pPr algn="l"/>
          <a:r>
            <a:rPr lang="en-US" sz="1100" b="0" baseline="0">
              <a:effectLst/>
            </a:rPr>
            <a:t>               measuring those parameters themselves. Furthermore, since all of the different gate drive voltages for TI </a:t>
          </a:r>
        </a:p>
        <a:p>
          <a:pPr algn="l"/>
          <a:r>
            <a:rPr lang="en-US" sz="1100" b="0" baseline="0">
              <a:effectLst/>
            </a:rPr>
            <a:t>               recommended MOSFETs are not available, the tool </a:t>
          </a:r>
          <a:r>
            <a:rPr lang="en-US" sz="1100" b="1" baseline="0">
              <a:effectLst/>
            </a:rPr>
            <a:t>can not </a:t>
          </a:r>
          <a:r>
            <a:rPr lang="en-US" sz="1100" b="0" baseline="0">
              <a:effectLst/>
            </a:rPr>
            <a:t>plot the efficiency and power loss curves with the user's </a:t>
          </a:r>
        </a:p>
        <a:p>
          <a:pPr algn="l"/>
          <a:r>
            <a:rPr lang="en-US" sz="1100" b="0" baseline="0">
              <a:effectLst/>
            </a:rPr>
            <a:t>               custom gate drive voltage. </a:t>
          </a:r>
        </a:p>
        <a:p>
          <a:pPr algn="l"/>
          <a:endParaRPr lang="en-US" sz="1100" b="0" baseline="0">
            <a:effectLst/>
          </a:endParaRPr>
        </a:p>
        <a:p>
          <a:pPr algn="l"/>
          <a:r>
            <a:rPr lang="en-US" sz="1100" b="0" baseline="0">
              <a:effectLst/>
            </a:rPr>
            <a:t>      - The Efficiency and Power Loss Tool also allows the user to save the current efficiency and power loss curves. To save the</a:t>
          </a:r>
        </a:p>
        <a:p>
          <a:pPr algn="l"/>
          <a:r>
            <a:rPr lang="en-US" sz="1100" b="0" baseline="0">
              <a:effectLst/>
            </a:rPr>
            <a:t>        current efficiency and power loss curves, the user will need to select </a:t>
          </a:r>
          <a:r>
            <a:rPr lang="en-US" sz="1100" b="1" baseline="0">
              <a:effectLst/>
            </a:rPr>
            <a:t>Save</a:t>
          </a:r>
          <a:r>
            <a:rPr lang="en-US" sz="1100" b="0" baseline="0">
              <a:effectLst/>
            </a:rPr>
            <a:t> for the </a:t>
          </a:r>
          <a:r>
            <a:rPr lang="en-US" sz="1100" b="1" baseline="0">
              <a:effectLst/>
            </a:rPr>
            <a:t>Save Button</a:t>
          </a:r>
          <a:r>
            <a:rPr lang="en-US" sz="1100" b="0" baseline="0">
              <a:effectLst/>
            </a:rPr>
            <a:t> in </a:t>
          </a:r>
          <a:r>
            <a:rPr lang="en-US" sz="1100" b="1" baseline="0">
              <a:effectLst/>
            </a:rPr>
            <a:t>Step 12</a:t>
          </a:r>
          <a:r>
            <a:rPr lang="en-US" sz="1100" b="0" baseline="0">
              <a:effectLst/>
            </a:rPr>
            <a:t>. To clear the</a:t>
          </a:r>
        </a:p>
        <a:p>
          <a:pPr algn="l"/>
          <a:r>
            <a:rPr lang="en-US" sz="1100" b="0" baseline="0">
              <a:effectLst/>
            </a:rPr>
            <a:t>        saved curves, the user will need to select </a:t>
          </a:r>
          <a:r>
            <a:rPr lang="en-US" sz="1100" b="1" baseline="0">
              <a:effectLst/>
            </a:rPr>
            <a:t>Clear Save </a:t>
          </a:r>
          <a:r>
            <a:rPr lang="en-US" sz="1100" b="0" baseline="0">
              <a:effectLst/>
            </a:rPr>
            <a:t>for the </a:t>
          </a:r>
          <a:r>
            <a:rPr lang="en-US" sz="1100" b="1" baseline="0">
              <a:effectLst/>
            </a:rPr>
            <a:t>Save Button </a:t>
          </a:r>
          <a:r>
            <a:rPr lang="en-US" sz="1100" b="0" baseline="0">
              <a:effectLst/>
            </a:rPr>
            <a:t>in </a:t>
          </a:r>
          <a:r>
            <a:rPr lang="en-US" sz="1100" b="1" baseline="0">
              <a:effectLst/>
            </a:rPr>
            <a:t>Step 12</a:t>
          </a:r>
          <a:r>
            <a:rPr lang="en-US" sz="1100" b="0" baseline="0">
              <a:effectLst/>
            </a:rPr>
            <a:t>.</a:t>
          </a:r>
        </a:p>
        <a:p>
          <a:pPr algn="l"/>
          <a:endParaRPr lang="en-US" sz="1100" b="1" baseline="0"/>
        </a:p>
        <a:p>
          <a:pPr algn="l"/>
          <a:endParaRPr lang="en-US" sz="1100" b="0" baseline="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0.76471</cdr:x>
      <cdr:y>0.87095</cdr:y>
    </cdr:from>
    <cdr:to>
      <cdr:x>0.88971</cdr:x>
      <cdr:y>0.98357</cdr:y>
    </cdr:to>
    <cdr:sp macro="" textlink="">
      <cdr:nvSpPr>
        <cdr:cNvPr id="2" name="TextBox 1">
          <a:extLst xmlns:a="http://schemas.openxmlformats.org/drawingml/2006/main">
            <a:ext uri="{FF2B5EF4-FFF2-40B4-BE49-F238E27FC236}">
              <a16:creationId xmlns:a16="http://schemas.microsoft.com/office/drawing/2014/main" id="{C7F7798F-4161-4536-853C-D2CDC63BD99F}"/>
            </a:ext>
          </a:extLst>
        </cdr:cNvPr>
        <cdr:cNvSpPr txBox="1"/>
      </cdr:nvSpPr>
      <cdr:spPr>
        <a:xfrm xmlns:a="http://schemas.openxmlformats.org/drawingml/2006/main">
          <a:off x="11435689" y="5453075"/>
          <a:ext cx="1869282" cy="70512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2400" b="1"/>
            <a:t>V</a:t>
          </a:r>
          <a:r>
            <a:rPr lang="en-US" sz="2400" b="1" baseline="-25000"/>
            <a:t>AC</a:t>
          </a:r>
          <a:r>
            <a:rPr lang="en-US" sz="2400" b="1" baseline="0"/>
            <a:t> = V</a:t>
          </a:r>
          <a:r>
            <a:rPr lang="en-US" sz="2400" b="1" baseline="-25000"/>
            <a:t>AC(nom)</a:t>
          </a:r>
          <a:r>
            <a:rPr lang="en-US" sz="2400" b="1" baseline="0"/>
            <a:t> =</a:t>
          </a:r>
          <a:endParaRPr lang="en-US" sz="2400" b="1"/>
        </a:p>
      </cdr:txBody>
    </cdr:sp>
  </cdr:relSizeAnchor>
  <cdr:relSizeAnchor xmlns:cdr="http://schemas.openxmlformats.org/drawingml/2006/chartDrawing">
    <cdr:from>
      <cdr:x>0.8949</cdr:x>
      <cdr:y>0.88742</cdr:y>
    </cdr:from>
    <cdr:to>
      <cdr:x>0.96561</cdr:x>
      <cdr:y>0.95436</cdr:y>
    </cdr:to>
    <cdr:sp macro="" textlink="'BQ2575X Design Calculator'!$G$7">
      <cdr:nvSpPr>
        <cdr:cNvPr id="3" name="TextBox 2">
          <a:extLst xmlns:a="http://schemas.openxmlformats.org/drawingml/2006/main">
            <a:ext uri="{FF2B5EF4-FFF2-40B4-BE49-F238E27FC236}">
              <a16:creationId xmlns:a16="http://schemas.microsoft.com/office/drawing/2014/main" id="{23D9576B-CFD2-4D4B-AB96-4E47386D1E4A}"/>
            </a:ext>
          </a:extLst>
        </cdr:cNvPr>
        <cdr:cNvSpPr txBox="1"/>
      </cdr:nvSpPr>
      <cdr:spPr>
        <a:xfrm xmlns:a="http://schemas.openxmlformats.org/drawingml/2006/main">
          <a:off x="13382625" y="5556249"/>
          <a:ext cx="105727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28EF4E2-F2E1-4FEE-ADCA-1B68D6411913}" type="TxLink">
            <a:rPr lang="en-US" sz="2400" b="1" i="0" u="none" strike="noStrike">
              <a:solidFill>
                <a:srgbClr val="000000"/>
              </a:solidFill>
              <a:latin typeface="Calibri"/>
              <a:cs typeface="Calibri"/>
            </a:rPr>
            <a:pPr/>
            <a:t>12 V</a:t>
          </a:fld>
          <a:endParaRPr lang="en-US" sz="2400"/>
        </a:p>
      </cdr:txBody>
    </cdr:sp>
  </cdr:relSizeAnchor>
  <cdr:relSizeAnchor xmlns:cdr="http://schemas.openxmlformats.org/drawingml/2006/chartDrawing">
    <cdr:from>
      <cdr:x>0.56773</cdr:x>
      <cdr:y>0.8646</cdr:y>
    </cdr:from>
    <cdr:to>
      <cdr:x>0.63439</cdr:x>
      <cdr:y>0.97722</cdr:y>
    </cdr:to>
    <cdr:sp macro="" textlink="">
      <cdr:nvSpPr>
        <cdr:cNvPr id="4" name="TextBox 1">
          <a:extLst xmlns:a="http://schemas.openxmlformats.org/drawingml/2006/main">
            <a:ext uri="{FF2B5EF4-FFF2-40B4-BE49-F238E27FC236}">
              <a16:creationId xmlns:a16="http://schemas.microsoft.com/office/drawing/2014/main" id="{78252E3F-7D60-4A16-B6D0-853A95C8CF5A}"/>
            </a:ext>
          </a:extLst>
        </cdr:cNvPr>
        <cdr:cNvSpPr txBox="1"/>
      </cdr:nvSpPr>
      <cdr:spPr>
        <a:xfrm xmlns:a="http://schemas.openxmlformats.org/drawingml/2006/main">
          <a:off x="8489950" y="5410601"/>
          <a:ext cx="996950" cy="70476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t>V</a:t>
          </a:r>
          <a:r>
            <a:rPr lang="en-US" sz="2400" b="1" baseline="-25000"/>
            <a:t>BAT</a:t>
          </a:r>
          <a:r>
            <a:rPr lang="en-US" sz="2400" b="1" baseline="0"/>
            <a:t> = </a:t>
          </a:r>
          <a:endParaRPr lang="en-US" sz="2400" b="1"/>
        </a:p>
      </cdr:txBody>
    </cdr:sp>
  </cdr:relSizeAnchor>
  <cdr:relSizeAnchor xmlns:cdr="http://schemas.openxmlformats.org/drawingml/2006/chartDrawing">
    <cdr:from>
      <cdr:x>0.62887</cdr:x>
      <cdr:y>0.88483</cdr:y>
    </cdr:from>
    <cdr:to>
      <cdr:x>0.69958</cdr:x>
      <cdr:y>0.95177</cdr:y>
    </cdr:to>
    <cdr:sp macro="" textlink="'BQ2575X Design Calculator'!$G$9">
      <cdr:nvSpPr>
        <cdr:cNvPr id="5" name="TextBox 1">
          <a:extLst xmlns:a="http://schemas.openxmlformats.org/drawingml/2006/main">
            <a:ext uri="{FF2B5EF4-FFF2-40B4-BE49-F238E27FC236}">
              <a16:creationId xmlns:a16="http://schemas.microsoft.com/office/drawing/2014/main" id="{5E1B8F9C-B587-425A-AFAD-36AB1E114134}"/>
            </a:ext>
          </a:extLst>
        </cdr:cNvPr>
        <cdr:cNvSpPr txBox="1"/>
      </cdr:nvSpPr>
      <cdr:spPr>
        <a:xfrm xmlns:a="http://schemas.openxmlformats.org/drawingml/2006/main">
          <a:off x="9404350" y="5537200"/>
          <a:ext cx="1057275" cy="418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662674C-BD07-4FC7-88AD-FD80DB75F7C5}" type="TxLink">
            <a:rPr lang="en-US" sz="2400" b="1" i="0" u="none" strike="noStrike">
              <a:solidFill>
                <a:srgbClr val="000000"/>
              </a:solidFill>
              <a:latin typeface="Calibri"/>
              <a:cs typeface="Calibri"/>
            </a:rPr>
            <a:pPr/>
            <a:t>21 V</a:t>
          </a:fld>
          <a:endParaRPr lang="en-US" sz="48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3</xdr:col>
      <xdr:colOff>206375</xdr:colOff>
      <xdr:row>0</xdr:row>
      <xdr:rowOff>531997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57150"/>
          <a:ext cx="3140075" cy="474847"/>
        </a:xfrm>
        <a:prstGeom prst="rect">
          <a:avLst/>
        </a:prstGeom>
      </xdr:spPr>
    </xdr:pic>
    <xdr:clientData/>
  </xdr:twoCellAnchor>
  <xdr:twoCellAnchor>
    <xdr:from>
      <xdr:col>9</xdr:col>
      <xdr:colOff>488015</xdr:colOff>
      <xdr:row>4</xdr:row>
      <xdr:rowOff>187512</xdr:rowOff>
    </xdr:from>
    <xdr:to>
      <xdr:col>18</xdr:col>
      <xdr:colOff>446741</xdr:colOff>
      <xdr:row>45</xdr:row>
      <xdr:rowOff>127935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46</xdr:row>
      <xdr:rowOff>152400</xdr:rowOff>
    </xdr:from>
    <xdr:to>
      <xdr:col>24</xdr:col>
      <xdr:colOff>273050</xdr:colOff>
      <xdr:row>73</xdr:row>
      <xdr:rowOff>187325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144000" y="4724400"/>
          <a:ext cx="7397750" cy="5178425"/>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Thermistor</a:t>
          </a:r>
          <a:r>
            <a:rPr lang="en-US" sz="1100" b="1" baseline="0"/>
            <a:t> Qualification tool</a:t>
          </a:r>
        </a:p>
        <a:p>
          <a:pPr algn="ctr"/>
          <a:endParaRPr lang="en-US" sz="1100" b="1" baseline="0"/>
        </a:p>
        <a:p>
          <a:pPr algn="l"/>
          <a:r>
            <a:rPr lang="en-US" sz="1100" b="0" baseline="0"/>
            <a:t>1. Enter </a:t>
          </a:r>
          <a:r>
            <a:rPr lang="en-US" sz="1100" b="1" baseline="0"/>
            <a:t>Selected Temperature Thresholds </a:t>
          </a:r>
          <a:r>
            <a:rPr lang="en-US" sz="1100" b="0" baseline="0"/>
            <a:t>in the </a:t>
          </a:r>
          <a:r>
            <a:rPr lang="en-US" sz="1100" b="1" baseline="0"/>
            <a:t>Thermistor Qualification </a:t>
          </a:r>
          <a:r>
            <a:rPr lang="en-US" sz="1100" b="0" baseline="0"/>
            <a:t>Section.</a:t>
          </a:r>
        </a:p>
        <a:p>
          <a:pPr algn="l"/>
          <a:endParaRPr lang="en-US" sz="1100" b="0" baseline="0"/>
        </a:p>
        <a:p>
          <a:pPr algn="l"/>
          <a:r>
            <a:rPr lang="en-US" sz="1100" b="0" baseline="0"/>
            <a:t>2. Enter </a:t>
          </a:r>
          <a:r>
            <a:rPr lang="en-US" sz="1100" b="1" baseline="0"/>
            <a:t>Thermistor Resistance Profile </a:t>
          </a:r>
          <a:r>
            <a:rPr lang="en-US" sz="1100" b="0" baseline="0"/>
            <a:t>data.</a:t>
          </a:r>
        </a:p>
        <a:p>
          <a:pPr algn="l"/>
          <a:r>
            <a:rPr lang="en-US" sz="1100" b="0" baseline="0"/>
            <a:t>     - The </a:t>
          </a:r>
          <a:r>
            <a:rPr lang="en-US" sz="1100" b="1" baseline="0"/>
            <a:t>whole</a:t>
          </a:r>
          <a:r>
            <a:rPr lang="en-US" sz="1100" b="0" baseline="0"/>
            <a:t> table needs to be filled in or the tool </a:t>
          </a:r>
          <a:r>
            <a:rPr lang="en-US" sz="1100" b="1" baseline="0"/>
            <a:t>will not </a:t>
          </a:r>
          <a:r>
            <a:rPr lang="en-US" sz="1100" b="0" baseline="0"/>
            <a:t>be able to do it's calculations.</a:t>
          </a:r>
        </a:p>
        <a:p>
          <a:pPr algn="l"/>
          <a:r>
            <a:rPr lang="en-US" sz="1100" b="0" baseline="0"/>
            <a:t> </a:t>
          </a:r>
        </a:p>
        <a:p>
          <a:pPr algn="l"/>
          <a:r>
            <a:rPr lang="en-US" sz="1100" b="0" baseline="0"/>
            <a:t>     - If the thermistor datasheet does not have all the Min, Typ, and Max data to fill in the whole table, we recommend</a:t>
          </a:r>
        </a:p>
        <a:p>
          <a:pPr algn="l"/>
          <a:r>
            <a:rPr lang="en-US" sz="1100" b="0" baseline="0"/>
            <a:t>       contacting the manufacturer for this data. </a:t>
          </a:r>
        </a:p>
        <a:p>
          <a:pPr algn="l"/>
          <a:endParaRPr lang="en-US" sz="1100" b="0" baseline="0"/>
        </a:p>
        <a:p>
          <a:pPr algn="l"/>
          <a:r>
            <a:rPr lang="en-US" sz="1100" b="0" baseline="0"/>
            <a:t>     - The </a:t>
          </a:r>
          <a:r>
            <a:rPr lang="en-US" sz="1100" b="1" baseline="0"/>
            <a:t>Tolerance</a:t>
          </a:r>
          <a:r>
            <a:rPr lang="en-US" sz="1100" b="0" baseline="0"/>
            <a:t> column is </a:t>
          </a:r>
          <a:r>
            <a:rPr lang="en-US" sz="1100" b="1" baseline="0"/>
            <a:t>not</a:t>
          </a:r>
          <a:r>
            <a:rPr lang="en-US" sz="1100" b="0" baseline="0"/>
            <a:t> necessary for the Thermistor Qualification tool's calculations, but it can be useful for entering</a:t>
          </a:r>
        </a:p>
        <a:p>
          <a:pPr algn="l"/>
          <a:r>
            <a:rPr lang="en-US" sz="1100" b="0" baseline="0"/>
            <a:t>        in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data. Some datasheets provide the typical resistance and tolerance for over the temperature</a:t>
          </a:r>
        </a:p>
        <a:p>
          <a:pPr algn="l"/>
          <a:r>
            <a:rPr lang="en-US" sz="1100" b="0" baseline="0"/>
            <a:t>        range and if this is your case, you can enter the data in the </a:t>
          </a:r>
          <a:r>
            <a:rPr lang="en-US" sz="1100" b="1" baseline="0"/>
            <a:t>Tolerance</a:t>
          </a:r>
          <a:r>
            <a:rPr lang="en-US" sz="1100" b="0" baseline="0"/>
            <a:t> and </a:t>
          </a:r>
          <a:r>
            <a:rPr lang="en-US" sz="1100" b="1" baseline="0"/>
            <a:t>Typ</a:t>
          </a:r>
          <a:r>
            <a:rPr lang="en-US" sz="1100" b="0" baseline="0"/>
            <a:t> columns, then use equations to calculation</a:t>
          </a:r>
        </a:p>
        <a:p>
          <a:pPr algn="l"/>
          <a:r>
            <a:rPr lang="en-US" sz="1100" b="0" baseline="0"/>
            <a:t>        the </a:t>
          </a:r>
          <a:r>
            <a:rPr lang="en-US" sz="1100" b="1" baseline="0"/>
            <a:t>Min</a:t>
          </a:r>
          <a:r>
            <a:rPr lang="en-US" sz="1100" b="0" baseline="0"/>
            <a:t> and </a:t>
          </a:r>
          <a:r>
            <a:rPr lang="en-US" sz="1100" b="1" baseline="0"/>
            <a:t>Max</a:t>
          </a:r>
          <a:r>
            <a:rPr lang="en-US" sz="1100" b="0" baseline="0"/>
            <a:t> columns. </a:t>
          </a:r>
        </a:p>
        <a:p>
          <a:pPr algn="l"/>
          <a:endParaRPr lang="en-US" sz="1100" b="0" baseline="0"/>
        </a:p>
        <a:p>
          <a:pPr algn="l"/>
          <a:r>
            <a:rPr lang="en-US" sz="1100" b="0" baseline="0"/>
            <a:t>     - Some datasheets provide plots of their tolerances vs temperature rather than give the actual data and some datasheets do</a:t>
          </a:r>
        </a:p>
        <a:p>
          <a:pPr algn="l"/>
          <a:r>
            <a:rPr lang="en-US" sz="1100" b="0" baseline="0"/>
            <a:t>       not provide the resistance data with a temperature resolution of 1 °C. In these cases, the user may choose to estimate the</a:t>
          </a:r>
        </a:p>
        <a:p>
          <a:pPr algn="l"/>
          <a:r>
            <a:rPr lang="en-US" sz="1100" b="0" baseline="0"/>
            <a:t>       tolerances/resistances by using their own custom equations to fill in this data. </a:t>
          </a:r>
          <a:r>
            <a:rPr lang="en-US" sz="1100" b="1" baseline="0"/>
            <a:t>However, if the user chooses to do this, the</a:t>
          </a:r>
        </a:p>
        <a:p>
          <a:pPr algn="l"/>
          <a:r>
            <a:rPr lang="en-US" sz="1100" b="1" baseline="0"/>
            <a:t>       user should note that the calculations will only be as accurate as the data entered in the Min, Typ, and Max columns. </a:t>
          </a:r>
        </a:p>
        <a:p>
          <a:pPr algn="l"/>
          <a:endParaRPr lang="en-US" sz="1100" b="1" baseline="0"/>
        </a:p>
        <a:p>
          <a:pPr algn="l"/>
          <a:r>
            <a:rPr lang="en-US" sz="1100" b="0" baseline="0"/>
            <a:t>3. After the </a:t>
          </a:r>
          <a:r>
            <a:rPr lang="en-US" sz="1100" b="1" baseline="0"/>
            <a:t>Selected Temperature Thresholds </a:t>
          </a:r>
          <a:r>
            <a:rPr lang="en-US" sz="1100" b="0" baseline="0"/>
            <a:t>and </a:t>
          </a:r>
          <a:r>
            <a:rPr lang="en-US" sz="1100" b="1" baseline="0"/>
            <a:t>Thermistor Resistance Profile </a:t>
          </a:r>
          <a:r>
            <a:rPr lang="en-US" sz="1100" b="0" baseline="0"/>
            <a:t>data is entered, the tool will provide a</a:t>
          </a:r>
        </a:p>
        <a:p>
          <a:pPr algn="l"/>
          <a:r>
            <a:rPr lang="en-US" sz="1100" b="0" baseline="0"/>
            <a:t>    Recommended RT1 and RT2 resistance. These resistances are selected from a list of Standard 0.1% Resistances. </a:t>
          </a:r>
        </a:p>
        <a:p>
          <a:pPr algn="l"/>
          <a:endParaRPr lang="en-US" sz="1100" b="0" baseline="0"/>
        </a:p>
        <a:p>
          <a:pPr algn="l"/>
          <a:r>
            <a:rPr lang="en-US" sz="1100" b="0" baseline="0"/>
            <a:t>4. The tool will then calculate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a:t>
          </a:r>
          <a:r>
            <a:rPr lang="en-US" sz="1100" b="1" baseline="0"/>
            <a:t>Temperature Thresholds </a:t>
          </a:r>
          <a:r>
            <a:rPr lang="en-US" sz="1100" b="0" baseline="0"/>
            <a:t>for </a:t>
          </a:r>
          <a:r>
            <a:rPr lang="en-US" sz="1100" b="1" baseline="0"/>
            <a:t>Entering</a:t>
          </a:r>
          <a:r>
            <a:rPr lang="en-US" sz="1100" b="0" baseline="0"/>
            <a:t> and </a:t>
          </a:r>
          <a:r>
            <a:rPr lang="en-US" sz="1100" b="1" baseline="0"/>
            <a:t>Exiting</a:t>
          </a:r>
          <a:r>
            <a:rPr lang="en-US" sz="1100" b="0" baseline="0"/>
            <a:t> the </a:t>
          </a:r>
          <a:r>
            <a:rPr lang="en-US" sz="1100" b="1" baseline="0"/>
            <a:t>Cold</a:t>
          </a:r>
          <a:r>
            <a:rPr lang="en-US" sz="1100" b="0" baseline="0"/>
            <a:t>, </a:t>
          </a:r>
          <a:r>
            <a:rPr lang="en-US" sz="1100" b="1" baseline="0"/>
            <a:t>Cool</a:t>
          </a:r>
          <a:r>
            <a:rPr lang="en-US" sz="1100" b="0" baseline="0"/>
            <a:t>, </a:t>
          </a:r>
          <a:r>
            <a:rPr lang="en-US" sz="1100" b="1" baseline="0"/>
            <a:t>Warm</a:t>
          </a:r>
        </a:p>
        <a:p>
          <a:pPr algn="l"/>
          <a:r>
            <a:rPr lang="en-US" sz="1100" b="1" baseline="0"/>
            <a:t>   </a:t>
          </a:r>
          <a:r>
            <a:rPr lang="en-US" sz="1100" b="0" baseline="0"/>
            <a:t> and </a:t>
          </a:r>
          <a:r>
            <a:rPr lang="en-US" sz="1100" b="1" baseline="0"/>
            <a:t>Hot</a:t>
          </a:r>
          <a:r>
            <a:rPr lang="en-US" sz="1100" b="0" baseline="0"/>
            <a:t> regions. These thresholds will be shown in the table on the top right and a Graphic showing these thresholds will be</a:t>
          </a:r>
        </a:p>
        <a:p>
          <a:pPr algn="l"/>
          <a:r>
            <a:rPr lang="en-US" sz="1100" b="0" baseline="0"/>
            <a:t>    produced.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0.04545</cdr:x>
      <cdr:y>0.74118</cdr:y>
    </cdr:from>
    <cdr:to>
      <cdr:x>0.18706</cdr:x>
      <cdr:y>0.84118</cdr:y>
    </cdr:to>
    <cdr:sp macro="" textlink="">
      <cdr:nvSpPr>
        <cdr:cNvPr id="2" name="TextBox 1">
          <a:extLst xmlns:a="http://schemas.openxmlformats.org/drawingml/2006/main">
            <a:ext uri="{FF2B5EF4-FFF2-40B4-BE49-F238E27FC236}">
              <a16:creationId xmlns:a16="http://schemas.microsoft.com/office/drawing/2014/main" id="{2FA1E656-8D15-439C-A71E-D1A4F3CDBC02}"/>
            </a:ext>
          </a:extLst>
        </cdr:cNvPr>
        <cdr:cNvSpPr txBox="1"/>
      </cdr:nvSpPr>
      <cdr:spPr>
        <a:xfrm xmlns:a="http://schemas.openxmlformats.org/drawingml/2006/main">
          <a:off x="247650" y="24003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none" rtlCol="0" anchor="ctr"/>
        <a:lstStyle xmlns:a="http://schemas.openxmlformats.org/drawingml/2006/main"/>
        <a:p xmlns:a="http://schemas.openxmlformats.org/drawingml/2006/main">
          <a:pPr algn="ctr"/>
          <a:r>
            <a:rPr lang="en-US" sz="1100"/>
            <a:t>COLD</a:t>
          </a:r>
        </a:p>
      </cdr:txBody>
    </cdr:sp>
  </cdr:relSizeAnchor>
  <cdr:relSizeAnchor xmlns:cdr="http://schemas.openxmlformats.org/drawingml/2006/chartDrawing">
    <cdr:from>
      <cdr:x>0.09848</cdr:x>
      <cdr:y>0.35098</cdr:y>
    </cdr:from>
    <cdr:to>
      <cdr:x>0.24009</cdr:x>
      <cdr:y>0.45098</cdr:y>
    </cdr:to>
    <cdr:sp macro="" textlink="">
      <cdr:nvSpPr>
        <cdr:cNvPr id="3"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536575" y="113665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a:t>
          </a:r>
        </a:p>
      </cdr:txBody>
    </cdr:sp>
  </cdr:relSizeAnchor>
  <cdr:relSizeAnchor xmlns:cdr="http://schemas.openxmlformats.org/drawingml/2006/chartDrawing">
    <cdr:from>
      <cdr:x>0.67716</cdr:x>
      <cdr:y>0.01569</cdr:y>
    </cdr:from>
    <cdr:to>
      <cdr:x>0.81876</cdr:x>
      <cdr:y>0.11569</cdr:y>
    </cdr:to>
    <cdr:sp macro="" textlink="">
      <cdr:nvSpPr>
        <cdr:cNvPr id="4"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3689350" y="508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WARM</a:t>
          </a:r>
        </a:p>
      </cdr:txBody>
    </cdr:sp>
  </cdr:relSizeAnchor>
  <cdr:relSizeAnchor xmlns:cdr="http://schemas.openxmlformats.org/drawingml/2006/chartDrawing">
    <cdr:from>
      <cdr:x>0.82925</cdr:x>
      <cdr:y>0.73627</cdr:y>
    </cdr:from>
    <cdr:to>
      <cdr:x>0.97086</cdr:x>
      <cdr:y>0.83627</cdr:y>
    </cdr:to>
    <cdr:sp macro="" textlink="">
      <cdr:nvSpPr>
        <cdr:cNvPr id="5" name="TextBox 1">
          <a:extLst xmlns:a="http://schemas.openxmlformats.org/drawingml/2006/main">
            <a:ext uri="{FF2B5EF4-FFF2-40B4-BE49-F238E27FC236}">
              <a16:creationId xmlns:a16="http://schemas.microsoft.com/office/drawing/2014/main" id="{7762F759-F277-4C71-B775-1AF64F3888AC}"/>
            </a:ext>
          </a:extLst>
        </cdr:cNvPr>
        <cdr:cNvSpPr txBox="1"/>
      </cdr:nvSpPr>
      <cdr:spPr>
        <a:xfrm xmlns:a="http://schemas.openxmlformats.org/drawingml/2006/main">
          <a:off x="4518025" y="2384425"/>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HOT</a:t>
          </a:r>
        </a:p>
      </cdr:txBody>
    </cdr:sp>
  </cdr:relSizeAnchor>
  <cdr:relSizeAnchor xmlns:cdr="http://schemas.openxmlformats.org/drawingml/2006/chartDrawing">
    <cdr:from>
      <cdr:x>0.4359</cdr:x>
      <cdr:y>0.16863</cdr:y>
    </cdr:from>
    <cdr:to>
      <cdr:x>0.57751</cdr:x>
      <cdr:y>0.26863</cdr:y>
    </cdr:to>
    <cdr:sp macro="" textlink="">
      <cdr:nvSpPr>
        <cdr:cNvPr id="6" name="TextBox 1">
          <a:extLst xmlns:a="http://schemas.openxmlformats.org/drawingml/2006/main">
            <a:ext uri="{FF2B5EF4-FFF2-40B4-BE49-F238E27FC236}">
              <a16:creationId xmlns:a16="http://schemas.microsoft.com/office/drawing/2014/main" id="{BF9370D1-EFF7-4CA1-8649-ED9C5831572D}"/>
            </a:ext>
          </a:extLst>
        </cdr:cNvPr>
        <cdr:cNvSpPr txBox="1"/>
      </cdr:nvSpPr>
      <cdr:spPr>
        <a:xfrm xmlns:a="http://schemas.openxmlformats.org/drawingml/2006/main">
          <a:off x="2374900" y="5461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NORMAL</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13</xdr:col>
      <xdr:colOff>152400</xdr:colOff>
      <xdr:row>18</xdr:row>
      <xdr:rowOff>76200</xdr:rowOff>
    </xdr:from>
    <xdr:to>
      <xdr:col>25</xdr:col>
      <xdr:colOff>284819</xdr:colOff>
      <xdr:row>54</xdr:row>
      <xdr:rowOff>151533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10625" y="3505200"/>
          <a:ext cx="7447619" cy="6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504716/TI%20Drive/Projects/Applications/Draco%20Tool/LM5176%20Buck-Boost%20Quickstart%20Tool%20r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row r="10">
          <cell r="O10">
            <v>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817463-F970-431D-A097-DF96909308C2}" name="Table7" displayName="Table7" ref="AF155:DE256" headerRowDxfId="232" dataDxfId="231" totalsRowDxfId="230">
  <autoFilter ref="AF155:DE256" xr:uid="{C192B9E3-F927-4813-A03D-A55B86C2F9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2" hiddenButton="1"/>
    <filterColumn colId="53" hiddenButton="1"/>
    <filterColumn colId="54" hiddenButton="1"/>
    <filterColumn colId="55" hiddenButton="1"/>
    <filterColumn colId="62" hiddenButton="1"/>
    <filterColumn colId="63" hiddenButton="1"/>
    <filterColumn colId="64" hiddenButton="1"/>
    <filterColumn colId="66" hiddenButton="1"/>
    <filterColumn colId="67" hiddenButton="1"/>
    <filterColumn colId="77" hiddenButton="1"/>
  </autoFilter>
  <tableColumns count="78">
    <tableColumn id="1" xr3:uid="{2810ECE5-1CBC-4B22-9AF7-6D75E2F6E0D6}" name="Index" totalsRowLabel="Total" dataDxfId="229" totalsRowDxfId="228"/>
    <tableColumn id="2" xr3:uid="{156E57E3-42AD-4309-909E-5E01A99A7765}" name="IOUT (A)" dataDxfId="227" totalsRowDxfId="226"/>
    <tableColumn id="3" xr3:uid="{CBC11E32-1628-4DAD-823A-1B2BFDB1E323}" name="POUT (W)" dataDxfId="225" totalsRowDxfId="224">
      <calculatedColumnFormula>AG156*VACnom</calculatedColumnFormula>
    </tableColumn>
    <tableColumn id="4" xr3:uid="{FDA26805-2A15-4A21-9B06-83626B9C6C96}" name="Duty Cycle" dataDxfId="223" totalsRowDxfId="222">
      <calculatedColumnFormula>IF(VACnom&lt;Vbat, (Vbat-VACnom)/Vbat, Vbat/VACnom)</calculatedColumnFormula>
    </tableColumn>
    <tableColumn id="5" xr3:uid="{93641C8E-EF2E-4ABB-B633-A1A462D765F6}" name="I_L" dataDxfId="221" totalsRowDxfId="220">
      <calculatedColumnFormula>IF(VACnom&lt;Vbat, AG156/(1-AI156), AG156*AI156)</calculatedColumnFormula>
    </tableColumn>
    <tableColumn id="6" xr3:uid="{6DD7AA58-527D-471A-8CFA-F1E9F31BDFF9}" name="I_L pkpk" dataDxfId="219" totalsRowDxfId="218">
      <calculatedColumnFormula>Ipkpk_VACnom</calculatedColumnFormula>
    </tableColumn>
    <tableColumn id="7" xr3:uid="{AE0BA51D-B443-4012-9837-AD1A5DB7C996}" name="I_L RMS" dataDxfId="217" totalsRowDxfId="216">
      <calculatedColumnFormula>SQRT(AJ156^2+AK156^2/12)</calculatedColumnFormula>
    </tableColumn>
    <tableColumn id="69" xr3:uid="{C14C63E3-35A5-4492-8075-DDD7FB25CE78}" name="Column2" dataDxfId="215" totalsRowDxfId="214"/>
    <tableColumn id="37" xr3:uid="{091676C3-E3D2-4679-824B-F9094D4562A4}" name="Ivalley (A)" dataDxfId="213" totalsRowDxfId="212">
      <calculatedColumnFormula>MAX(0,Table7[[#This Row],[I_L]]-0.5*Table7[[#This Row],[I_L pkpk]])</calculatedColumnFormula>
    </tableColumn>
    <tableColumn id="38" xr3:uid="{549C56F2-3975-49FC-95DA-EB079E64D1A1}" name="Ipeak (A)" dataDxfId="211" totalsRowDxfId="210">
      <calculatedColumnFormula>Table7[[#This Row],[I_L]]+0.5*Table7[[#This Row],[I_L pkpk]]</calculatedColumnFormula>
    </tableColumn>
    <tableColumn id="41" xr3:uid="{0D4C77C2-A024-4261-8E50-8D7B36F187D8}" name="Ion (A)" dataDxfId="209" totalsRowDxfId="208">
      <calculatedColumnFormula>IF(VACnom&gt;Vbat, (VGS_S-(TI_MOSFET_S_VTH_H_BU+Table7[[#This Row],[I_L]]/TI_MOSFET_S_gFS_H_BU))/3.4, (VGS_S-(TI_MOSFET_S_VTH_L_BO+Table7[[#This Row],[I_L]]/TI_MOSFET_S_gFS_L_BO))/3.4 )</calculatedColumnFormula>
    </tableColumn>
    <tableColumn id="42" xr3:uid="{F37F6088-D1F6-4713-B745-F81C041B38E0}" name="Ioff (A)" dataDxfId="207" totalsRowDxfId="206">
      <calculatedColumnFormula>IF(VACnom&gt;Vbat, ((TI_MOSFET_S_VTH_H_BU+Table7[[#This Row],[I_L]]/TI_MOSFET_S_gFS_H_BU))/1, ((TI_MOSFET_S_VTH_L_BO+Table7[[#This Row],[I_L]]/TI_MOSFET_S_gFS_L_BO))/1 )</calculatedColumnFormula>
    </tableColumn>
    <tableColumn id="39" xr3:uid="{8D09D970-3845-4BC1-A312-F1BF51B1EDDD}" name="ton (ns)" dataDxfId="205" totalsRowDxfId="204">
      <calculatedColumnFormula>IF(VACnom&gt;Vbat, (TI_MOSFET_S_QGD_H_BU+TI_MOSFET_S_QGS_H_BU)*10^-9/Table7[[#This Row],[Ion (A)]], (TI_MOSFET_S_QGD_L_BO+TI_MOSFET_S_QGS_L_BO)*10^-9/Table7[[#This Row],[Ion (A)]])/10^-9</calculatedColumnFormula>
    </tableColumn>
    <tableColumn id="40" xr3:uid="{EBB92F8B-38ED-48B8-AF75-9038B4D1EE6B}" name="toff (ns)" dataDxfId="203" totalsRowDxfId="202">
      <calculatedColumnFormula>IF(VACnom&gt;Vbat, (TI_MOSFET_S_QGD_H_BU+TI_MOSFET_S_QGS_H_BU)*10^-9/Table7[[#This Row],[Ioff (A)]], (TI_MOSFET_S_QGD_L_BO+TI_MOSFET_S_QGS_L_BO)*10^-9/Table7[[#This Row],[Ioff (A)]])/10^-9</calculatedColumnFormula>
    </tableColumn>
    <tableColumn id="36" xr3:uid="{F7C931CF-DB91-4222-9EC1-B64FBCCE6AB6}" name="PIV (mW)" dataDxfId="201" totalsRowDxfId="200">
      <calculatedColumnFormula xml:space="preserve"> 0.5*VACnom*Table7[[#This Row],[Ivalley (A)]]*Table7[[#This Row],[ton (ns)]]*10^-9*Fsw*10^3+0.5*VACnom*Table7[[#This Row],[Ipeak (A)]]*Table7[[#This Row],[toff (ns)]]*10^-9*Fsw*10^3/10^-3</calculatedColumnFormula>
    </tableColumn>
    <tableColumn id="43" xr3:uid="{D88C7A42-EF6F-49D6-A0DC-8950CF1BB3B3}" name="Pqoss (mW)" dataDxfId="199" totalsRowDxfId="198">
      <calculatedColumnFormula>IF(VACnom&gt;Vbat, 0.5*VACnom*TI_MOSFET_S_QOSS_H_BU*10^-9*Fsw*10^3,0.5*VACnom*TI_MOSFET_S_QOSS_L_BO*10^-9*Fsw*10^3)/10^-3</calculatedColumnFormula>
    </tableColumn>
    <tableColumn id="44" xr3:uid="{8BBF3810-B322-4AE1-AA76-6BE84F11F176}" name="Pgate_top (mW)" dataDxfId="197" totalsRowDxfId="196">
      <calculatedColumnFormula>IF(VACnom&gt;Vbat, VACnom*TI_MOSFET_S_QG_H_BU*10^-9*Fsw*10^3,VACnom*TI_MOSFET_S_QG_H_BO*10^-9*Fsw*10^3)/10^-3</calculatedColumnFormula>
    </tableColumn>
    <tableColumn id="48" xr3:uid="{8B3A03B8-2D65-43A0-9734-F6532B5A41A6}" name="PRR (mW)" dataDxfId="195" totalsRowDxfId="194">
      <calculatedColumnFormula>IF(VACnom&gt;Vbat, VACnom*TI_MOSFET_S_QRR_L_BU*10^-9*Fsw*10^3, VACnom*TI_MOSFET_S_QRR_H_BO*10^-9*Fsw*10^3)/10^-3</calculatedColumnFormula>
    </tableColumn>
    <tableColumn id="49" xr3:uid="{35BAE4DE-B3DE-48FE-A45E-0AD92CC23C11}" name="Pdead (mW)" dataDxfId="193" totalsRowDxfId="192">
      <calculatedColumnFormula>IF(VACnom&gt;Vbat, TI_MOSFET_S_VSD_L_BU*Table7[[#This Row],[Ivalley (A)]]*Fsw*10^3*40*10^-9+TI_MOSFET_S_VSD_L_BU*Table7[[#This Row],[Ipeak (A)]]*Fsw*10^3*30*10^-9, TI_MOSFET_S_VSD_H_BO*Table7[[#This Row],[Ivalley (A)]]*Fsw*10^3*40*10^-9+TI_MOSFET_S_VSD_H_BO*Table7[[#This Row],[Ipeak (A)]]*Fsw*10^3*30*10^-9)/10^-3</calculatedColumnFormula>
    </tableColumn>
    <tableColumn id="51" xr3:uid="{04DAAF9E-46B0-4EE7-8EDB-0EDC15487DE8}" name="Pgate_bottom (mW)" dataDxfId="191" totalsRowDxfId="190">
      <calculatedColumnFormula>IF(VACnom&gt;Vbat, VACnom*TI_MOSFET_S_QG_L_BU*10^-9*Fsw*10^3, VACnom*TI_MOSFET_S_QG_L_BO*10^-9*Fsw*10^3)/10^-3</calculatedColumnFormula>
    </tableColumn>
    <tableColumn id="34" xr3:uid="{DAA77BC0-C411-42CF-9207-F9F858327E03}" name="Pcon_top (mW)" dataDxfId="189" totalsRowDxfId="188">
      <calculatedColumnFormula>IF(VACnom&lt;Vbat, Table7[[#This Row],[Duty Cycle]]*Table7[[#This Row],[I_L RMS]]^2*TI_MOSFET_S_RDSON_H_BU*10^-3, (1-Table7[[#This Row],[Duty Cycle]])*Table7[[#This Row],[I_L RMS]]^2*TI_MOSFET_S_RDSON_H_BO*10^-3)/10^-3</calculatedColumnFormula>
    </tableColumn>
    <tableColumn id="35" xr3:uid="{6DCA6390-E7A0-4DD5-B7C0-DC6AA33A0E61}" name="Psw_top (mW)" dataDxfId="187" totalsRowDxfId="186">
      <calculatedColumnFormula>IF(VACnom&gt;Vbat, Table7[[#This Row],[PIV (mW)]]+Table7[[#This Row],[Pqoss (mW)]]+Table7[[#This Row],[Pgate_top (mW)]], Table7[[#This Row],[PRR (mW)]]+Table7[[#This Row],[Pdead (mW)]]+Table7[[#This Row],[Pgate_top (mW)]])</calculatedColumnFormula>
    </tableColumn>
    <tableColumn id="45" xr3:uid="{3B88D89D-47F7-436A-AFA8-8D92E69AAA39}" name="Ptop (mW)" dataDxfId="185" totalsRowDxfId="184">
      <calculatedColumnFormula>Table7[[#This Row],[Pcon_top (mW)]]+Table7[[#This Row],[Psw_top (mW)]]</calculatedColumnFormula>
    </tableColumn>
    <tableColumn id="46" xr3:uid="{FF0EA0D2-8184-4E88-8587-985B2145B9F4}" name="Pcon_bottom (mW)" dataDxfId="183" totalsRowDxfId="182">
      <calculatedColumnFormula>IF(VACnom&gt;Vbat, (1-Table7[[#This Row],[Duty Cycle]])*Table7[[#This Row],[I_L RMS]]^2*TI_MOSFET_S_RDSON_L_BU*10^-3, Table7[[#This Row],[Duty Cycle]]*Table7[[#This Row],[I_L RMS]]^2*TI_MOSFET_S_RDSON_L_BO*10^-3)/10^-3</calculatedColumnFormula>
    </tableColumn>
    <tableColumn id="47" xr3:uid="{728A07DA-E165-4DB5-8AF9-EC8B4BE19EC2}" name="Psw_bottom (mW)" dataDxfId="181" totalsRowDxfId="180">
      <calculatedColumnFormula>IF(VACnom&gt;Vbat, Table7[[#This Row],[PRR (mW)]]+Table7[[#This Row],[Pdead (mW)]]+Table7[[#This Row],[Pgate_bottom (mW)]], Table7[[#This Row],[PIV (mW)]]+Table7[[#This Row],[Pqoss (mW)]]+Table7[[#This Row],[Pgate_bottom (mW)]])</calculatedColumnFormula>
    </tableColumn>
    <tableColumn id="52" xr3:uid="{24EE1756-4CB7-4A02-ACCE-0B52B4621B3B}" name="Pbottom (mW)" dataDxfId="179" totalsRowDxfId="178">
      <calculatedColumnFormula>Table7[[#This Row],[Pcon_bottom (mW)]]+Table7[[#This Row],[Psw_bottom (mW)]]</calculatedColumnFormula>
    </tableColumn>
    <tableColumn id="71" xr3:uid="{6085F2DF-A06A-4059-A69E-8ED341D1A77C}" name="Total TI (mW)" dataDxfId="177" totalsRowDxfId="176">
      <calculatedColumnFormula>Table7[[#This Row],[Pbottom (mW)]]+Table7[[#This Row],[Ptop (mW)]]</calculatedColumnFormula>
    </tableColumn>
    <tableColumn id="68" xr3:uid="{7FD1E84E-99FE-486B-8D90-9AD9A81A4769}" name="Column1" dataDxfId="175" totalsRowDxfId="174">
      <calculatedColumnFormula>"Break"</calculatedColumnFormula>
    </tableColumn>
    <tableColumn id="67" xr3:uid="{7647C5E7-C4F3-45C7-B580-D6D1F1E0BD30}" name="Ivalley (A) C" dataDxfId="173" totalsRowDxfId="172">
      <calculatedColumnFormula>MAX(0,Table7[[#This Row],[I_L]]-0.5*Table7[[#This Row],[I_L pkpk]])</calculatedColumnFormula>
    </tableColumn>
    <tableColumn id="66" xr3:uid="{15C7CB6C-6970-4CF9-957B-0DAA88C860FE}" name="Ipeak (A) C" dataDxfId="171" totalsRowDxfId="170">
      <calculatedColumnFormula>Table7[[#This Row],[I_L]]+0.5*Table7[[#This Row],[I_L pkpk]]</calculatedColumnFormula>
    </tableColumn>
    <tableColumn id="65" xr3:uid="{66C71441-C239-4C27-8B9B-B463EEC2C6A3}" name="Ion (A) C" dataDxfId="169" totalsRowDxfId="168">
      <calculatedColumnFormula>IF(VACnom&gt;Vbat, (VGS_S-(C_MOSFET_S_VTH_H_BU+Table7[[#This Row],[I_L]]/C_MOSFET_S_gFS_H_BU))/3.4, (VGS_S-(C_MOSFET_S_VTH_L_BO+Table7[[#This Row],[I_L]]/C_MOSFET_S_gFS_L_BO))/3.4 )</calculatedColumnFormula>
    </tableColumn>
    <tableColumn id="64" xr3:uid="{8B9B0E7C-E282-49D9-93F2-31D4DCE8268E}" name="Ioff (A) C" dataDxfId="167" totalsRowDxfId="166">
      <calculatedColumnFormula>IF(VACnom&gt;Vbat, ((C_MOSFET_S_VTH_H_BU+Table7[[#This Row],[I_L]]/C_MOSFET_S_gFS_H_BU))/1, ((C_MOSFET_S_VTH_L_BO+Table7[[#This Row],[I_L]]/C_MOSFET_S_gFS_L_BO))/1 )</calculatedColumnFormula>
    </tableColumn>
    <tableColumn id="63" xr3:uid="{26528621-9514-4770-BF0B-764DAC917808}" name="ton (ns) C" dataDxfId="165" totalsRowDxfId="164">
      <calculatedColumnFormula>IF(VACnom&gt;Vbat, (C_MOSFET_S_QGD_H_BU+C_MOSFET_S_QGS_H_BU)*10^-9/Table7[[#This Row],[Ion (A) C]], (C_MOSFET_S_QGD_L_BO+C_MOSFET_S_QGS_L_BO)*10^-9/Table7[[#This Row],[Ion (A) C]])/10^-9</calculatedColumnFormula>
    </tableColumn>
    <tableColumn id="62" xr3:uid="{142595D4-3601-4B38-99C2-959E297FBEA9}" name="toff (ns) C" dataDxfId="163" totalsRowDxfId="162">
      <calculatedColumnFormula>IF(VACnom&gt;Vbat, (C_MOSFET_S_QGD_H_BU+C_MOSFET_S_QGS_H_BU)*10^-9/Table7[[#This Row],[Ioff (A) C]], (C_MOSFET_S_QGD_L_BO+C_MOSFET_S_QGS_L_BO)*10^-9/Table7[[#This Row],[Ioff (A) C]])/10^-9</calculatedColumnFormula>
    </tableColumn>
    <tableColumn id="61" xr3:uid="{1CC4176A-8FD6-4944-919A-1565C3E8EA26}" name="PIV (mW) C" dataDxfId="161" totalsRowDxfId="160">
      <calculatedColumnFormula xml:space="preserve"> 0.5*VACnom*Table7[[#This Row],[Ivalley (A) C]]*Table7[[#This Row],[ton (ns) C]]*10^-9*Fsw*10^3+0.5*VACnom*Table7[[#This Row],[Ipeak (A) C]]*Table7[[#This Row],[toff (ns) C]]*10^-9*Fsw*10^3/10^-3</calculatedColumnFormula>
    </tableColumn>
    <tableColumn id="60" xr3:uid="{CB424010-4DE6-4B05-93CA-66522ED495C3}" name="PQoss (mW) C" dataDxfId="159" totalsRowDxfId="158">
      <calculatedColumnFormula>IF(VACnom&gt;Vbat, 0.5*VACnom*C_MOSFET_S_QOSS_H_BU*10^-9*Fsw*10^3,0.5*VACnom*C_MOSFET_S_QOSS_L_BO*10^-9*Fsw*10^3)/10^-3</calculatedColumnFormula>
    </tableColumn>
    <tableColumn id="59" xr3:uid="{A1DBC267-6C6F-4643-8654-795314C93E7A}" name="Pgate_top (mW) C" dataDxfId="157" totalsRowDxfId="156">
      <calculatedColumnFormula>IF(VACnom&gt;Vbat, VACnom*C_MOSFET_S_QG_H_BU*10^-9*Fsw*10^3,VACnom*C_MOSFET_S_QG_H_BO*10^-9*Fsw*10^3)/10^-3</calculatedColumnFormula>
    </tableColumn>
    <tableColumn id="58" xr3:uid="{4939F259-D2F9-4453-AE34-3E79DA047C28}" name="PRR (mW) C" dataDxfId="155" totalsRowDxfId="154">
      <calculatedColumnFormula>IF(VACnom&gt;Vbat, VACnom*C_MOSFET_S_QRR_L_BU*10^-9*Fsw*10^3, VACnom*C_MOSFET_S_QRR_H_BO*10^-9*Fsw*10^3)/10^-3</calculatedColumnFormula>
    </tableColumn>
    <tableColumn id="57" xr3:uid="{8822FEB7-410E-4380-A480-743F9E11FA0D}" name="Pdead (mW) C" dataDxfId="153" totalsRowDxfId="152">
      <calculatedColumnFormula>IF(VACnom&gt;Vbat, C_MOSFET_S_VSD_L_BU*Table7[[#This Row],[Ivalley (A) C]]*Fsw*10^3*40*10^-9+C_MOSFET_S_VSD_L_BU*Table7[[#This Row],[Ipeak (A) C]]*Fsw*10^3*30*10^-9, C_MOSFET_S_VSD_H_BO*Table7[[#This Row],[Ivalley (A) C]]*Fsw*10^3*40*10^-9+C_MOSFET_S_VSD_H_BO*Table7[[#This Row],[Ipeak (A) C]]*Fsw*10^3*30*10^-9)/10^-3</calculatedColumnFormula>
    </tableColumn>
    <tableColumn id="56" xr3:uid="{A3EFA141-29AC-4591-89E8-71CBF76EED74}" name="Pgate_bottom (mW) C" dataDxfId="151" totalsRowDxfId="150">
      <calculatedColumnFormula>IF(VACnom&gt;Vbat, VACnom*C_MOSFET_S_QG_L_BU*10^-9*Fsw*10^3, VACnom*C_MOSFET_S_QG_L_BO*10^-9*Fsw*10^3)/10^-3</calculatedColumnFormula>
    </tableColumn>
    <tableColumn id="55" xr3:uid="{CD1C7770-16DC-4724-81FD-B186F0A3021E}" name="Pcon_top (mW) C" dataDxfId="149" totalsRowDxfId="148">
      <calculatedColumnFormula>IF(VACnom&lt;Vbat, Table7[[#This Row],[Duty Cycle]]*Table7[[#This Row],[I_L RMS]]^2*C_MOSFET_S_RDSON_H_BU*10^-3, (1-Table7[[#This Row],[Duty Cycle]])*Table7[[#This Row],[I_L RMS]]^2*C_MOSFET_S_RDSON_H_BO*10^-3)/10^-3</calculatedColumnFormula>
    </tableColumn>
    <tableColumn id="54" xr3:uid="{011D2DE5-C936-4670-AA3F-B3F7C5FEE529}" name="Psw_top (mW) C" dataDxfId="147" totalsRowDxfId="146">
      <calculatedColumnFormula>IF(VACnom&gt;Vbat, Table7[[#This Row],[PIV (mW) C]]+Table7[[#This Row],[PQoss (mW) C]]+Table7[[#This Row],[Pgate_top (mW) C]], Table7[[#This Row],[PRR (mW) C]]+Table7[[#This Row],[Pdead (mW) C]]+Table7[[#This Row],[Pgate_top (mW) C]])</calculatedColumnFormula>
    </tableColumn>
    <tableColumn id="53" xr3:uid="{45113D1F-F3BC-49F4-ABB1-65B9C8FDEF65}" name="Ptop (mW) C" dataDxfId="145">
      <calculatedColumnFormula>Table7[[#This Row],[Pcon_top (mW) C]]+Table7[[#This Row],[Psw_top (mW) C]]</calculatedColumnFormula>
    </tableColumn>
    <tableColumn id="8" xr3:uid="{E51E4B60-E630-42DD-AA2B-E4EADD6333CD}" name="Pcon_bottom (mW) C" dataDxfId="144">
      <calculatedColumnFormula>IF(VACnom&gt;Vbat, (1-Table7[[#This Row],[Duty Cycle]])*Table7[[#This Row],[I_L RMS]]^2*C_MOSFET_S_RDSON_L_BU*10^-3, Table7[[#This Row],[Duty Cycle]]*Table7[[#This Row],[I_L RMS]]^2*C_MOSFET_S_RDSON_L_BO*10^-3)/10^-3</calculatedColumnFormula>
    </tableColumn>
    <tableColumn id="9" xr3:uid="{5852F35F-0CB1-41BD-8CF0-314F0F9AE316}" name="Psw_bottom (mV) C" dataDxfId="143">
      <calculatedColumnFormula>IF(VACnom&gt;Vbat, Table7[[#This Row],[PRR (mW) C]]+Table7[[#This Row],[Pdead (mW) C]]+Table7[[#This Row],[Pgate_bottom (mW) C]], Table7[[#This Row],[PIV (mW) C]]+Table7[[#This Row],[PQoss (mW) C]]+Table7[[#This Row],[Pgate_bottom (mW) C]])</calculatedColumnFormula>
    </tableColumn>
    <tableColumn id="10" xr3:uid="{FBD3941A-B623-4103-8FB8-8AB0357452FA}" name="Pbottom (mW) C" dataDxfId="142">
      <calculatedColumnFormula>Table7[[#This Row],[Pcon_bottom (mW) C]]+Table7[[#This Row],[Psw_bottom (mV) C]]</calculatedColumnFormula>
    </tableColumn>
    <tableColumn id="72" xr3:uid="{47723F16-0BF9-40CD-9794-55929E9BE675}" name="Total (mW) C" dataDxfId="141">
      <calculatedColumnFormula>Table7[[#This Row],[Pbottom (mW) C]]+Table7[[#This Row],[Ptop (mW) C]]</calculatedColumnFormula>
    </tableColumn>
    <tableColumn id="70" xr3:uid="{E6C25844-89A5-424A-9232-813A21AEDA7E}" name="Pbottom (mW)20" dataDxfId="140"/>
    <tableColumn id="11" xr3:uid="{5A007DA0-EEB7-4901-ACC8-D0B1C83D904D}" name="R_AC (mW)" dataDxfId="139">
      <calculatedColumnFormula>(RAC_SNS*10^-3*(Table7[[#This Row],[IOUT (A)]]*Vbat/VACnom)^2/10^-3)</calculatedColumnFormula>
    </tableColumn>
    <tableColumn id="13" xr3:uid="{B40CAEEF-7023-4ECD-9067-435497077A99}" name="R_SR (mW)" dataDxfId="138">
      <calculatedColumnFormula>(RBAT_SNS*10^-3*Table7[[#This Row],[IOUT (A)]]^2)/10^-3</calculatedColumnFormula>
    </tableColumn>
    <tableColumn id="12" xr3:uid="{A73D67AB-24E8-4DE9-8DB8-70E007A90675}" name="Inductor Loss (mW)" dataDxfId="137">
      <calculatedColumnFormula>IF(VACnom&gt;Vbat,(L_DRC*10^-3*(Table7[[#This Row],[IOUT (A)]])^2/10^-3),(L_DRC*10^-3*(Table7[[#This Row],[IOUT (A)]]*Vbat/VACnom)^2/10^-3))</calculatedColumnFormula>
    </tableColumn>
    <tableColumn id="73" xr3:uid="{E0CD81C5-3D8F-47A9-BF34-189D917CA7A2}" name="Column3" dataDxfId="136"/>
    <tableColumn id="17" xr3:uid="{469C57B2-D1AD-4710-AA09-D21A4DEBC430}" name="Total Sense Loss" dataDxfId="135" totalsRowDxfId="134">
      <calculatedColumnFormula>(Table7[[#This Row],[R_AC (mW)]]+Table7[[#This Row],[R_SR (mW)]]+Table7[[#This Row],[Inductor Loss (mW)]])/10^3</calculatedColumnFormula>
    </tableColumn>
    <tableColumn id="18" xr3:uid="{5A252789-624E-4EA8-841F-D2EECE3BFFD6}" name="Total MOSFET Loss" dataDxfId="133" totalsRowDxfId="132">
      <calculatedColumnFormula>Table7[[#This Row],[Total TI (mW)]]/10^3</calculatedColumnFormula>
    </tableColumn>
    <tableColumn id="14" xr3:uid="{21465AC2-0CE2-4EC8-B214-72585B8E4648}" name="Total Power Loss (W)" dataDxfId="131" totalsRowDxfId="130">
      <calculatedColumnFormula>Table7[[#This Row],[Total Sense Loss]]+Table7[[#This Row],[Total MOSFET Loss]]</calculatedColumnFormula>
    </tableColumn>
    <tableColumn id="15" xr3:uid="{2628FEAE-617B-4A73-977B-2C531AC9E46B}" name="Efficiency" totalsRowFunction="sum" dataDxfId="129" totalsRowDxfId="128" dataCellStyle="Percent">
      <calculatedColumnFormula>IF(Table7[[#This Row],[POUT (W)]]=0,0,(Table7[[#This Row],[POUT (W)]])/(Table7[[#This Row],[POUT (W)]]+Table7[[#This Row],[Total Power Loss (W)]]))*100</calculatedColumnFormula>
    </tableColumn>
    <tableColumn id="74" xr3:uid="{C09E2464-7C63-4BCB-BF98-AD1CC5762655}" name="Column4" dataDxfId="127" totalsRowDxfId="126" dataCellStyle="Percent"/>
    <tableColumn id="79" xr3:uid="{ADB29918-94B1-452B-AEED-1F569EF85BA1}" name="Total Sense Loss C" dataDxfId="125" totalsRowDxfId="124" dataCellStyle="Percent">
      <calculatedColumnFormula>(Table7[[#This Row],[R_AC (mW)]]+Table7[[#This Row],[R_SR (mW)]]+Table7[[#This Row],[Inductor Loss (mW)]])/10^3</calculatedColumnFormula>
    </tableColumn>
    <tableColumn id="78" xr3:uid="{9E5E6794-B755-420F-A92C-7B0682784EEB}" name="Total MOSFET Loss C" dataDxfId="123" totalsRowDxfId="122" dataCellStyle="Percent">
      <calculatedColumnFormula>Table7[[#This Row],[Total (mW) C]]/10^3</calculatedColumnFormula>
    </tableColumn>
    <tableColumn id="77" xr3:uid="{08084DE9-3301-43D3-82E4-46C4313B5B9B}" name="Total Power Loss (W) C" dataDxfId="121" totalsRowDxfId="120" dataCellStyle="Percent">
      <calculatedColumnFormula>Table7[[#This Row],[Total Sense Loss C]]+Table7[[#This Row],[Total MOSFET Loss C]]</calculatedColumnFormula>
    </tableColumn>
    <tableColumn id="76" xr3:uid="{54A0B4D2-2375-4D45-974B-72F8D0C369A7}" name="Efficiency C" dataDxfId="119" totalsRowDxfId="118" dataCellStyle="Percent">
      <calculatedColumnFormula>IF(Table7[[#This Row],[POUT (W)]]=0,0,(Table7[[#This Row],[POUT (W)]])/(Table7[[#This Row],[POUT (W)]]+Table7[[#This Row],[Total Power Loss (W) C]]))*100</calculatedColumnFormula>
    </tableColumn>
    <tableColumn id="80" xr3:uid="{009E225F-E684-495F-AF61-1A0BC3FB78D9}" name="Column52" dataDxfId="117" totalsRowDxfId="116" dataCellStyle="Percent"/>
    <tableColumn id="30" xr3:uid="{35FCB5A1-27BE-4974-B85A-63C56766A359}" name="Total Sense Loss P1" dataDxfId="115" totalsRowDxfId="114" dataCellStyle="Percent">
      <calculatedColumnFormula>IF(MOSFET_S=Custom_MOSFET,Table7[[#This Row],[Total Sense Loss C]],Table7[[#This Row],[Total Sense Loss]])</calculatedColumnFormula>
    </tableColumn>
    <tableColumn id="31" xr3:uid="{19769783-8201-4C49-97AC-E25D34D09F25}" name="Total MOSFET Loss P1" dataDxfId="113" totalsRowDxfId="112">
      <calculatedColumnFormula>IF(MOSFET_S=Custom_MOSFET,Table7[[#This Row],[Total MOSFET Loss C]],Table7[[#This Row],[Total MOSFET Loss]])</calculatedColumnFormula>
    </tableColumn>
    <tableColumn id="33" xr3:uid="{7962709D-9696-41CC-A58F-1D40668EDBDC}" name="Efficiency P1" dataDxfId="111" totalsRowDxfId="110" dataCellStyle="Percent">
      <calculatedColumnFormula>IF(MOSFET_S=Custom_MOSFET,Table7[[#This Row],[Efficiency C]],Table7[[#This Row],[Efficiency]])</calculatedColumnFormula>
    </tableColumn>
    <tableColumn id="81" xr3:uid="{05484B1F-6CFB-4773-9195-1E7C46D7868F}" name="Column5" dataDxfId="109" totalsRowDxfId="108" dataCellStyle="Percent"/>
    <tableColumn id="20" xr3:uid="{DACB3A5B-FA0D-47CB-AE96-5E67E89CB32E}" name="Total Sense Loss P2" dataDxfId="107" totalsRowDxfId="106" dataCellStyle="Percent">
      <calculatedColumnFormula>IF(MOSFET_S=Compare_MOSFET, Table7[[#This Row],[Total Sense Loss C]], -100)</calculatedColumnFormula>
    </tableColumn>
    <tableColumn id="32" xr3:uid="{1077E6FB-A0DA-4D5E-A7D2-201657CB9CB8}" name="Total MOSFET Loss P2" dataDxfId="105" totalsRowDxfId="104" dataCellStyle="Percent">
      <calculatedColumnFormula>IF(MOSFET_S=Compare_MOSFET, Table7[[#This Row],[Total MOSFET Loss C]], -100)</calculatedColumnFormula>
    </tableColumn>
    <tableColumn id="84" xr3:uid="{F6DCAB09-B3DA-468B-BA67-438808BA48DE}" name="Efficiency P2" dataDxfId="103" totalsRowDxfId="102" dataCellStyle="Percent">
      <calculatedColumnFormula>IF(MOSFET_S=Compare_MOSFET, Table7[[#This Row],[Efficiency C]], -100)</calculatedColumnFormula>
    </tableColumn>
    <tableColumn id="83" xr3:uid="{1E5FDBD8-E32A-4C99-BBBF-F09F742F669D}" name="Column6" dataDxfId="101" totalsRowDxfId="100" dataCellStyle="Percent"/>
    <tableColumn id="85" xr3:uid="{E9805492-8ADE-4C33-A101-A60EA257C38E}" name="Total Sense Loss P1 Saved" dataDxfId="99" totalsRowDxfId="98" dataCellStyle="Percent">
      <calculatedColumnFormula>IF(Save_Sel=CLR_Save,  Table7[[#This Row],[Total Sense Loss P1]], Table7[[#This Row],[Total Sense Loss P1 Saved]])</calculatedColumnFormula>
    </tableColumn>
    <tableColumn id="86" xr3:uid="{FD45CE30-7F06-4492-90E5-A991D382678E}" name="Total MOSFET Loss P1 Saved" dataDxfId="97" totalsRowDxfId="96" dataCellStyle="Percent">
      <calculatedColumnFormula>IF(Save_Sel=CLR_Save,  Table7[[#This Row],[Total MOSFET Loss P1]], Table7[[#This Row],[Total MOSFET Loss P1 Saved]] )</calculatedColumnFormula>
    </tableColumn>
    <tableColumn id="87" xr3:uid="{44C5276C-A1F3-40FF-ADA2-1451D5D0AF47}" name="Efficiency P1 Saved" dataDxfId="95" totalsRowDxfId="94" dataCellStyle="Percent">
      <calculatedColumnFormula>IF(Save_Sel=CLR_Save, Table7[[#This Row],[Efficiency P1]], Table7[[#This Row],[Efficiency P1 Saved]])</calculatedColumnFormula>
    </tableColumn>
    <tableColumn id="88" xr3:uid="{652D0876-BD7C-42B9-82F9-928CA2EB7E8A}" name="Column10" dataDxfId="93" totalsRowDxfId="92" dataCellStyle="Percent"/>
    <tableColumn id="89" xr3:uid="{AD44DEF5-76AF-4D72-8B3E-10614C6ECF75}" name="Total Sense Loss P2 Saved" dataDxfId="91" totalsRowDxfId="90" dataCellStyle="Percent">
      <calculatedColumnFormula>IF(Save_Sel=CLR_Save,  Table7[[#This Row],[Total Sense Loss P2]], Table7[[#This Row],[Total Sense Loss P2 Saved]])</calculatedColumnFormula>
    </tableColumn>
    <tableColumn id="90" xr3:uid="{80E91144-60D4-4C79-8C44-BCC093E86820}" name="Total MOSFET Loss P2 Saved" dataDxfId="89" totalsRowDxfId="88" dataCellStyle="Percent">
      <calculatedColumnFormula>IF(Save_Sel=CLR_Save,  Table7[[#This Row],[Total MOSFET Loss P2]], Table7[[#This Row],[Total MOSFET Loss P2 Saved]] )</calculatedColumnFormula>
    </tableColumn>
    <tableColumn id="91" xr3:uid="{32B0D0A4-00D5-4DF3-9925-C6208AED4BB9}" name="Efficiency P2 Saved" dataDxfId="87" totalsRowDxfId="86" dataCellStyle="Percent">
      <calculatedColumnFormula>IF(Save_Sel=CLR_Save, Table7[[#This Row],[Efficiency P2]], Table7[[#This Row],[Efficiency P2 Saved]])</calculatedColumnFormula>
    </tableColumn>
    <tableColumn id="16" xr3:uid="{F00C6D94-CA1B-44C3-9165-FE8EFC557FB7}" name="Column7" dataDxfId="85" totalsRowDxfId="84">
      <calculatedColumnFormula>Table7[[#This Row],[Efficiency P1]]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B079DB-ECDC-4380-9006-280D5A66E8E6}" name="stdind" displayName="stdind" ref="N3:N11" totalsRowShown="0" headerRowDxfId="2" dataDxfId="1">
  <autoFilter ref="N3:N11" xr:uid="{4293308D-3D30-4801-8ED4-76D77BF25AC3}"/>
  <tableColumns count="1">
    <tableColumn id="1" xr3:uid="{DCC6AE94-2C37-44AD-B129-4AD9A5CD0CED}" name="L (uH)"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0F85C7-70E4-4FE2-B07D-20D4875CBC27}" name="MOSFET_Selection" displayName="MOSFET_Selection" ref="X116:AD131" totalsRowShown="0" headerRowDxfId="83" dataDxfId="82" tableBorderDxfId="81">
  <autoFilter ref="X116:AD131" xr:uid="{04A09834-65C8-4FB0-99B6-BD5284FCE20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1F1CF1C-BBB6-45B3-AD6B-747725763F3F}" name="Parameter" dataDxfId="80"/>
    <tableColumn id="2" xr3:uid="{74AE653E-C0A7-4632-8FFF-8E2B66D1840C}" name="CSD18563Q5A" dataDxfId="79"/>
    <tableColumn id="3" xr3:uid="{9BE1CD4B-1960-4FA4-8E04-8C349EABC681}" name="CSD16321Q5" dataDxfId="78"/>
    <tableColumn id="4" xr3:uid="{483FB8C5-182A-4FB2-A09B-B09805FBDF17}" name="AONS66614" dataDxfId="77"/>
    <tableColumn id="7" xr3:uid="{5FFD8BBD-8BF2-4E92-9280-78CFBB56BA6E}" name="SiR680LDP" dataDxfId="76"/>
    <tableColumn id="5" xr3:uid="{D131257B-65B6-4268-B9D8-457911511019}" name="SiR880BDP" dataDxfId="75"/>
    <tableColumn id="6" xr3:uid="{E01F07F4-91B8-42AC-A3CC-F355889CF713}" name="Units" dataDxfId="74"/>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8B2B49C-7F75-4D2D-AA80-2F19851DBD25}" name="Table9" displayName="Table9" ref="AC19:AO180" totalsRowShown="0" headerRowDxfId="64" dataDxfId="63">
  <autoFilter ref="AC19:AO180" xr:uid="{13560140-47F6-4E45-B7A6-7EECCD48A3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ref="AC20:AO180">
    <sortCondition ref="AC19:AC180"/>
  </sortState>
  <tableColumns count="13">
    <tableColumn id="13" xr3:uid="{8C67712E-BACF-4D17-8D82-8C239A1186C4}" name="Temperature" dataDxfId="62">
      <calculatedColumnFormula>A20</calculatedColumnFormula>
    </tableColumn>
    <tableColumn id="12" xr3:uid="{B3EEB3CB-07A6-492A-BDCA-B66E1C3B8A6E}" name="RTH(min) (kΩ)" dataDxfId="61">
      <calculatedColumnFormula>E20</calculatedColumnFormula>
    </tableColumn>
    <tableColumn id="11" xr3:uid="{0A18686F-3609-49F1-A431-C25637B80F0E}" name="RTH(nom) (kΩ)" dataDxfId="60">
      <calculatedColumnFormula>F20</calculatedColumnFormula>
    </tableColumn>
    <tableColumn id="10" xr3:uid="{74ED5950-EB26-47CD-8452-818D50F8A77D}" name="RTH(max) (kΩ)" dataDxfId="59">
      <calculatedColumnFormula>G20</calculatedColumnFormula>
    </tableColumn>
    <tableColumn id="1" xr3:uid="{1043A39F-4535-4105-B35E-1FA470ADBBB3}" name="RLower(min) (kΩ)" dataDxfId="58">
      <calculatedColumnFormula>Table9[[#This Row],[RTH(min) (kΩ)]]*RT2_TH_MIN/(RT2_TH_MIN+Table9[[#This Row],[RTH(min) (kΩ)]])</calculatedColumnFormula>
    </tableColumn>
    <tableColumn id="2" xr3:uid="{B67C8AB6-464D-45A3-9A5E-E105EDFE8ED8}" name="RLower(nom) (kΩ)" dataDxfId="57">
      <calculatedColumnFormula>Table9[[#This Row],[RTH(nom) (kΩ)]]*RT2_TH_S/(RT2_TH_S+Table9[[#This Row],[RTH(nom) (kΩ)]])</calculatedColumnFormula>
    </tableColumn>
    <tableColumn id="3" xr3:uid="{FB7B26FF-B851-4A1C-8F07-B3F60E4535E2}" name="RLower(max) (kΩ)" dataDxfId="56">
      <calculatedColumnFormula>Table9[[#This Row],[RTH(max) (kΩ)]]*RT2_TH_S_MAX/(RT2_TH_S_MAX+Table9[[#This Row],[RTH(max) (kΩ)]])</calculatedColumnFormula>
    </tableColumn>
    <tableColumn id="4" xr3:uid="{CB493970-A2E7-49FE-8609-AF4F11C0884B}" name="Vmin (%)" dataDxfId="55">
      <calculatedColumnFormula>Table9[[#This Row],[RLower(min) (kΩ)]]/(Table9[[#This Row],[RLower(min) (kΩ)]]+RT1_TH_S_MAX)*100</calculatedColumnFormula>
    </tableColumn>
    <tableColumn id="5" xr3:uid="{4169ED69-75AF-4579-B357-041A1C806746}" name="Vnom (%)" dataDxfId="54">
      <calculatedColumnFormula>Table9[[#This Row],[RLower(nom) (kΩ)]]/(Table9[[#This Row],[RLower(nom) (kΩ)]]+RT1_TH_S)*100</calculatedColumnFormula>
    </tableColumn>
    <tableColumn id="6" xr3:uid="{DC9D2A30-649F-42D4-92BB-8492EDF8F988}" name="Vmax (%)" dataDxfId="53">
      <calculatedColumnFormula>Table9[[#This Row],[RLower(max) (kΩ)]]/(Table9[[#This Row],[RLower(max) (kΩ)]]+RT1_TH_S_MIN)*100</calculatedColumnFormula>
    </tableColumn>
    <tableColumn id="7" xr3:uid="{1E063D91-8DA6-4385-A59E-CA0477EAF270}" name="Charging Code" dataDxfId="52">
      <calculatedColumnFormula>IF(Table9[[#This Row],[Vmin (%)]]&lt;$BA$14, 0, IF(Table9[[#This Row],[Vmin (%)]]&lt;$BA$12, 4, IF(Table9[[#This Row],[Vmin (%)]]&lt;$BA$9, 3, IF(Table9[[#This Row],[Vmin (%)]]&lt;$BA$7, 2, 0))))</calculatedColumnFormula>
    </tableColumn>
    <tableColumn id="8" xr3:uid="{7B5DA0A6-F6CB-40F4-AC9B-B58FD733A2A4}" name="Hysteresis" dataDxfId="51">
      <calculatedColumnFormula>IF(Table9[[#This Row],[Vmin (%)]]&lt;$BA$13, 0, IF(Table9[[#This Row],[Vmin (%)]]&lt;$BA$11, 4, IF(Table9[[#This Row],[Vmin (%)]]&lt;$BA$10, 3, IF(Table9[[#This Row],[Vmin (%)]]&lt;$BA$8, 2, 0))))</calculatedColumnFormula>
    </tableColumn>
    <tableColumn id="9" xr3:uid="{A49C487E-AA23-47DF-A751-6F3E54600619}" name="Charging Region" dataDxfId="50">
      <calculatedColumnFormula>IF(Table9[[#This Row],[Vmin (%)]]&lt;$BA$14, "Hot", IF(Table9[[#This Row],[Vmin (%)]]&lt;$BA$12, "Warm", IF(Table9[[#This Row],[Vmin (%)]]&lt;$BA$9, "Normal", IF(Table9[[#This Row],[Vmin (%)]]&lt;$BA$7, "Cool", "Cold"))))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3B5DDD7-6703-44DB-8CE8-58D5B77426A4}" name="Table10" displayName="Table10" ref="AC6:AW14" totalsRowShown="0" headerRowDxfId="49" dataDxfId="48">
  <autoFilter ref="AC6:AW14" xr:uid="{3365D6EE-3C78-4F6D-A68F-5C97D225D9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7957A9EC-C644-4A63-AF67-9AF75A77CB25}" name="Target (MIN)" dataDxfId="47">
      <calculatedColumnFormula>Table13[[#This Row],[Min]]</calculatedColumnFormula>
    </tableColumn>
    <tableColumn id="2" xr3:uid="{B91230FE-B4BC-440B-A380-49F3103FD348}" name="1st VLOOK MIN" dataDxfId="46">
      <calculatedColumnFormula>INDEX(Table9[Vmin (%)], (MATCH(Table10[[#This Row],[Target (MIN)]], Table9[Vmin (%)],1)))</calculatedColumnFormula>
    </tableColumn>
    <tableColumn id="3" xr3:uid="{6C0C1C48-E71D-4A74-99A8-CAC4DC324F40}" name="2nd VLOOK MIN" dataDxfId="45">
      <calculatedColumnFormula>INDEX(Table9[Vmin (%)], (MATCH(Table10[[#This Row],[Target (MIN)]], Table9[Vmin (%)],1)+1))</calculatedColumnFormula>
    </tableColumn>
    <tableColumn id="4" xr3:uid="{7B2BF612-5A95-42C1-A4CA-0CE6D431D817}" name="1st Diff" dataDxfId="44">
      <calculatedColumnFormula>ABS(Table10[[#This Row],[Target (MIN)]]-Table10[[#This Row],[1st VLOOK MIN]])</calculatedColumnFormula>
    </tableColumn>
    <tableColumn id="5" xr3:uid="{E17C4D37-0226-42BC-B9B8-DCB28832355C}" name="2nd Diff" dataDxfId="43">
      <calculatedColumnFormula>ABS(Table10[[#This Row],[Target (MIN)]]-Table10[[#This Row],[2nd VLOOK MIN]])</calculatedColumnFormula>
    </tableColumn>
    <tableColumn id="6" xr3:uid="{C70C838D-98B6-410C-9701-F383ADD9B923}" name="Closest VLOOK MIN" dataDxfId="42">
      <calculatedColumnFormula>IF(Table10[[#This Row],[1st Diff]]&lt;Table10[[#This Row],[2nd Diff]],Table10[[#This Row],[1st VLOOK MIN]],Table10[[#This Row],[2nd VLOOK MIN]])</calculatedColumnFormula>
    </tableColumn>
    <tableColumn id="7" xr3:uid="{0F75353D-F177-4460-A31F-87E08EC75B1F}" name="MIN Temp" dataDxfId="41">
      <calculatedColumnFormula>INDEX(Table9[Temperature], (MATCH(Table10[[#This Row],[Closest VLOOK MIN]], Table9[Vmin (%)],1)))</calculatedColumnFormula>
    </tableColumn>
    <tableColumn id="8" xr3:uid="{0884CA69-5B73-4EF7-B63F-C4C067B4C4B9}" name="Target (Typ)" dataDxfId="40">
      <calculatedColumnFormula>Table13[[#This Row],[Typ]]</calculatedColumnFormula>
    </tableColumn>
    <tableColumn id="9" xr3:uid="{17C0F028-CCEB-46DC-A752-C3B067FB4C05}" name="1st VLOOK TYP" dataDxfId="39">
      <calculatedColumnFormula>INDEX(Table9[Vnom (%)], (MATCH(Table10[[#This Row],[Target (Typ)]], Table9[Vnom (%)],1)))</calculatedColumnFormula>
    </tableColumn>
    <tableColumn id="10" xr3:uid="{B46B4F8A-1767-449A-8511-FCA953EEB9FA}" name="2nd VLOOK TYP" dataDxfId="38">
      <calculatedColumnFormula>INDEX(Table9[Vnom (%)], (MATCH(Table10[[#This Row],[Target (Typ)]], Table9[Vnom (%)],1)+1))</calculatedColumnFormula>
    </tableColumn>
    <tableColumn id="11" xr3:uid="{14555DC6-E0AE-4818-9DBE-C627753BC07B}" name="1st Diff Typ" dataDxfId="37">
      <calculatedColumnFormula>ABS(Table10[[#This Row],[Target (Typ)]]-Table10[[#This Row],[1st VLOOK TYP]])</calculatedColumnFormula>
    </tableColumn>
    <tableColumn id="12" xr3:uid="{97C88CF5-3C61-41C3-BDF2-25A72E86AD97}" name="2nd Diff TYP" dataDxfId="36">
      <calculatedColumnFormula>ABS(Table10[[#This Row],[Target (Typ)]]-Table10[[#This Row],[2nd VLOOK TYP]])</calculatedColumnFormula>
    </tableColumn>
    <tableColumn id="13" xr3:uid="{528A025D-F8BF-4316-9F0B-E1016315016A}" name="Closest VLOOK TYP" dataDxfId="35">
      <calculatedColumnFormula>IF(Table10[[#This Row],[1st Diff Typ]]&lt;Table10[[#This Row],[2nd Diff TYP]],Table10[[#This Row],[1st VLOOK TYP]],Table10[[#This Row],[2nd VLOOK TYP]])</calculatedColumnFormula>
    </tableColumn>
    <tableColumn id="14" xr3:uid="{BA04B3D7-9332-4537-80B5-498BFFAF7487}" name="TYP Temp" dataDxfId="34">
      <calculatedColumnFormula>INDEX(Table9[Temperature], (MATCH(Table10[[#This Row],[Closest VLOOK TYP]], Table9[Vnom (%)],1)))</calculatedColumnFormula>
    </tableColumn>
    <tableColumn id="15" xr3:uid="{DD1D8297-72FE-4348-BA9F-C715C717E2B6}" name="Target (MAX)" dataDxfId="33">
      <calculatedColumnFormula>Table13[[#This Row],[Max]]</calculatedColumnFormula>
    </tableColumn>
    <tableColumn id="16" xr3:uid="{1EF3D065-08D4-4A63-B271-C7D8C7196EAA}" name="1st VLOOK MAX" dataDxfId="32">
      <calculatedColumnFormula>INDEX(Table9[Vmax (%)], (MATCH(Table10[[#This Row],[Target (MAX)]], Table9[Vmax (%)],1)))</calculatedColumnFormula>
    </tableColumn>
    <tableColumn id="17" xr3:uid="{6201E504-04D8-4EAD-A1D1-4C4685B2D557}" name="2nd VLOOK MAX" dataDxfId="31">
      <calculatedColumnFormula>INDEX(Table9[Vmax (%)], (MATCH(Table10[[#This Row],[Target (Typ)]], Table9[Vmax (%)],1)+1))</calculatedColumnFormula>
    </tableColumn>
    <tableColumn id="18" xr3:uid="{EA2206F3-5CCB-47E3-BA67-8C25ECB6D2BB}" name="1st Diff MAX" dataDxfId="30">
      <calculatedColumnFormula>ABS(Table10[[#This Row],[Target (MAX)]]-Table10[[#This Row],[1st VLOOK MAX]])</calculatedColumnFormula>
    </tableColumn>
    <tableColumn id="19" xr3:uid="{B8934D73-CD79-4612-A7C1-5D44A085A741}" name="2nd Diff MAX" dataDxfId="29">
      <calculatedColumnFormula>ABS(Table10[[#This Row],[Target (MAX)]]-Table10[[#This Row],[2nd VLOOK MAX]])</calculatedColumnFormula>
    </tableColumn>
    <tableColumn id="20" xr3:uid="{C14E8397-7D99-4E5F-852C-A4D81AD2A602}" name="Closest VLOOK MAX" dataDxfId="28">
      <calculatedColumnFormula>IF(Table10[[#This Row],[1st Diff MAX]]&lt;Table10[[#This Row],[2nd Diff MAX]],Table10[[#This Row],[1st VLOOK MAX]],Table10[[#This Row],[2nd VLOOK MAX]])</calculatedColumnFormula>
    </tableColumn>
    <tableColumn id="21" xr3:uid="{111B1C36-F773-45D0-A1D8-A067D34B1C49}" name="MAX Temp" dataDxfId="27">
      <calculatedColumnFormula>INDEX(Table9[Temperature], (MATCH(Table10[[#This Row],[Closest VLOOK MAX]], Table9[Vmax (%)],1)))</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B493FD-64D3-4D52-B77B-6989ABD4DD3F}" name="Table8" displayName="Table8" ref="BD6:BJ19" totalsRowShown="0" headerRowDxfId="26">
  <autoFilter ref="BD6:BJ19" xr:uid="{A744496A-E8E5-4421-AE88-98B18CBC2F8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B0B826A-4BD3-4ADC-BBC2-098FA61AB5E9}" name="Temp">
      <calculatedColumnFormula>V36</calculatedColumnFormula>
    </tableColumn>
    <tableColumn id="2" xr3:uid="{CE555E9E-4EEA-4CCE-AACE-9F66B8908545}" name="RISE min"/>
    <tableColumn id="3" xr3:uid="{1ABE065E-F3A0-4D9F-98A5-19181393705F}" name="RISE typ" dataDxfId="25"/>
    <tableColumn id="4" xr3:uid="{78B90CE4-CD36-4470-B02C-BBA20DC3065C}" name="RISE max" dataDxfId="24"/>
    <tableColumn id="5" xr3:uid="{39B0A56A-0A1D-4295-AB99-8BBB192B219A}" name="FALL min" dataDxfId="23"/>
    <tableColumn id="6" xr3:uid="{023957E9-E02B-40DF-A7C8-51B7EE0F9078}" name="FALL typ" dataDxfId="22"/>
    <tableColumn id="7" xr3:uid="{26778042-22F2-45B4-8284-35864816333B}" name="FALL max" dataDxfId="21"/>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6D986CE-9641-4C71-AFFC-892A46B6D828}" name="Table13" displayName="Table13" ref="AY6:BB14" totalsRowShown="0" headerRowDxfId="20" dataDxfId="19">
  <autoFilter ref="AY6:BB14" xr:uid="{7AD99080-3C90-4205-BD59-EAC312C54806}">
    <filterColumn colId="0" hiddenButton="1"/>
    <filterColumn colId="1" hiddenButton="1"/>
    <filterColumn colId="2" hiddenButton="1"/>
    <filterColumn colId="3" hiddenButton="1"/>
  </autoFilter>
  <tableColumns count="4">
    <tableColumn id="1" xr3:uid="{998DFB02-17F3-497E-9B98-7F12558F0DA8}" name="MAX Temp" dataDxfId="18"/>
    <tableColumn id="2" xr3:uid="{E9F7F0E3-4619-4BE0-B15B-E1147E9FC583}" name="Min" dataDxfId="17">
      <calculatedColumnFormula>BA7-0.5</calculatedColumnFormula>
    </tableColumn>
    <tableColumn id="3" xr3:uid="{8EFA6B7A-AB57-4668-B6E4-246B05E86256}" name="Typ" dataDxfId="16"/>
    <tableColumn id="4" xr3:uid="{5B4B3609-C9A8-4D6B-8E1B-BC9E9E1A042A}" name="Max" dataDxfId="15">
      <calculatedColumnFormula>BA7+0.5</calculatedColumnFormula>
    </tableColumn>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AC949D-82CE-4501-BC90-17B73B26246D}" name="stdres_1pct" displayName="stdres_1pct" ref="H3:H676" totalsRowShown="0" headerRowDxfId="14" dataDxfId="13" tableBorderDxfId="12">
  <autoFilter ref="H3:H676" xr:uid="{21BA5D86-13FD-472E-BAC0-B42FC8BA8850}"/>
  <tableColumns count="1">
    <tableColumn id="1" xr3:uid="{3BEEED4C-0A9D-4DFE-8415-CA5F2EF3BCD2}" name="Resistance" dataDxfId="11">
      <calculatedColumnFormula>F4*10^(G4/96)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F275E2-88A8-49FD-BD65-55EF4F64CDE5}" name="stdres_0p1pct" displayName="stdres_0p1pct" ref="L3:L1348" totalsRowShown="0" headerRowDxfId="10" dataDxfId="9" tableBorderDxfId="8">
  <autoFilter ref="L3:L1348" xr:uid="{955B90F8-56A3-45C2-95F0-B8C998A45DF8}"/>
  <tableColumns count="1">
    <tableColumn id="1" xr3:uid="{38ECC499-F3CE-4B84-8861-1CA14172FBC2}" name="Resistance" dataDxfId="7">
      <calculatedColumnFormula>J4*10^(K4/192)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DA183-3872-4BBA-ABF4-9B3A5500AB97}" name="stdres_5pct" displayName="stdres_5pct" ref="D3:D172" totalsRowShown="0" headerRowDxfId="6" dataDxfId="5" tableBorderDxfId="4">
  <autoFilter ref="D3:D172" xr:uid="{7367AFEA-1D2E-4322-BD4B-16A2E3A89253}"/>
  <tableColumns count="1">
    <tableColumn id="1" xr3:uid="{C8AEF682-AC75-42A0-9DDF-09161F96888F}" name="Resistance" dataDxfId="3">
      <calculatedColumnFormula>B4*10^(C4/24)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052D-22B5-48F5-916F-F7632E06FAE9}">
  <sheetPr codeName="Sheet1"/>
  <dimension ref="A1:FJ503"/>
  <sheetViews>
    <sheetView tabSelected="1" topLeftCell="A28" zoomScaleNormal="100" workbookViewId="0">
      <selection activeCell="E58" sqref="E58"/>
    </sheetView>
  </sheetViews>
  <sheetFormatPr defaultColWidth="9.140625" defaultRowHeight="15" x14ac:dyDescent="0.25"/>
  <cols>
    <col min="1" max="1" width="7.85546875" style="22" customWidth="1"/>
    <col min="2" max="2" width="7.5703125" style="22" customWidth="1"/>
    <col min="3" max="3" width="20" style="22" customWidth="1"/>
    <col min="4" max="4" width="10.5703125" style="22" customWidth="1"/>
    <col min="5" max="5" width="12.42578125" style="22" bestFit="1" customWidth="1"/>
    <col min="6" max="8" width="9.140625" style="22"/>
    <col min="9" max="9" width="10.140625" style="22" customWidth="1"/>
    <col min="10" max="18" width="9.140625" style="22"/>
    <col min="19" max="19" width="72.7109375" style="22" customWidth="1"/>
    <col min="20" max="23" width="9.140625" style="22"/>
    <col min="24" max="24" width="47.28515625" style="22" bestFit="1" customWidth="1"/>
    <col min="25" max="25" width="15.7109375" style="22" customWidth="1"/>
    <col min="26" max="26" width="14.5703125" style="22" bestFit="1" customWidth="1"/>
    <col min="27" max="27" width="13.5703125" style="22" bestFit="1" customWidth="1"/>
    <col min="28" max="28" width="13.28515625" style="22" bestFit="1" customWidth="1"/>
    <col min="29" max="29" width="7.7109375" style="22" bestFit="1" customWidth="1"/>
    <col min="30" max="31" width="9.140625" style="22"/>
    <col min="32" max="32" width="12" style="22" customWidth="1"/>
    <col min="33" max="33" width="10.28515625" style="22" customWidth="1"/>
    <col min="34" max="34" width="13.7109375" style="22" customWidth="1"/>
    <col min="35" max="35" width="12.5703125" style="22" bestFit="1" customWidth="1"/>
    <col min="36" max="38" width="12.5703125" style="22" customWidth="1"/>
    <col min="39" max="39" width="12.42578125" style="22" customWidth="1"/>
    <col min="40" max="40" width="10.42578125" style="22" bestFit="1" customWidth="1"/>
    <col min="41" max="41" width="9.85546875" style="22" bestFit="1" customWidth="1"/>
    <col min="42" max="42" width="8.42578125" style="22" bestFit="1" customWidth="1"/>
    <col min="43" max="43" width="8.5703125" style="22" bestFit="1" customWidth="1"/>
    <col min="44" max="44" width="9.28515625" style="22" bestFit="1" customWidth="1"/>
    <col min="45" max="45" width="9.42578125" style="22" bestFit="1" customWidth="1"/>
    <col min="46" max="46" width="11.140625" style="22" bestFit="1" customWidth="1"/>
    <col min="47" max="47" width="12.28515625" style="22" bestFit="1" customWidth="1"/>
    <col min="48" max="48" width="14.85546875" style="22" bestFit="1" customWidth="1"/>
    <col min="49" max="49" width="11.28515625" style="22" bestFit="1" customWidth="1"/>
    <col min="50" max="50" width="12.5703125" style="22" bestFit="1" customWidth="1"/>
    <col min="51" max="51" width="17.42578125" style="22" bestFit="1" customWidth="1"/>
    <col min="52" max="52" width="14.42578125" style="22" bestFit="1" customWidth="1"/>
    <col min="53" max="53" width="14" style="22" bestFit="1" customWidth="1"/>
    <col min="54" max="54" width="11.7109375" style="22" bestFit="1" customWidth="1"/>
    <col min="55" max="55" width="16.85546875" style="22" bestFit="1" customWidth="1"/>
    <col min="56" max="56" width="15.85546875" style="22" bestFit="1" customWidth="1"/>
    <col min="57" max="57" width="14" style="22" bestFit="1" customWidth="1"/>
    <col min="58" max="58" width="13.28515625" style="22" bestFit="1" customWidth="1"/>
    <col min="59" max="59" width="9.140625" style="22"/>
    <col min="60" max="60" width="13.28515625" style="22" bestFit="1" customWidth="1"/>
    <col min="61" max="61" width="12.28515625" style="22" bestFit="1" customWidth="1"/>
    <col min="62" max="62" width="10.28515625" style="22" bestFit="1" customWidth="1"/>
    <col min="63" max="63" width="10.5703125" style="22" bestFit="1" customWidth="1"/>
    <col min="64" max="64" width="11.140625" style="22" bestFit="1" customWidth="1"/>
    <col min="65" max="65" width="11.42578125" style="22" bestFit="1" customWidth="1"/>
    <col min="66" max="66" width="12.85546875" style="22" bestFit="1" customWidth="1"/>
    <col min="67" max="67" width="14.28515625" style="22" bestFit="1" customWidth="1"/>
    <col min="68" max="68" width="16.7109375" style="22" bestFit="1" customWidth="1"/>
    <col min="69" max="69" width="12.85546875" style="22" bestFit="1" customWidth="1"/>
    <col min="70" max="70" width="14.28515625" style="22" bestFit="1" customWidth="1"/>
    <col min="71" max="71" width="19" style="22" bestFit="1" customWidth="1"/>
    <col min="72" max="72" width="16.140625" style="22" bestFit="1" customWidth="1"/>
    <col min="73" max="73" width="15.7109375" style="22" bestFit="1" customWidth="1"/>
    <col min="74" max="74" width="13.28515625" style="22" bestFit="1" customWidth="1"/>
    <col min="75" max="75" width="16.140625" style="22" bestFit="1" customWidth="1"/>
    <col min="76" max="76" width="15.140625" style="22" bestFit="1" customWidth="1"/>
    <col min="77" max="77" width="13.42578125" style="22" bestFit="1" customWidth="1"/>
    <col min="78" max="78" width="14.85546875" style="22" bestFit="1" customWidth="1"/>
    <col min="79" max="79" width="9.140625" style="22"/>
    <col min="80" max="80" width="12" style="22" bestFit="1" customWidth="1"/>
    <col min="81" max="81" width="10.85546875" style="22" bestFit="1" customWidth="1"/>
    <col min="82" max="82" width="18.42578125" style="22" bestFit="1" customWidth="1"/>
    <col min="83" max="83" width="9.140625" style="22"/>
    <col min="84" max="84" width="15.42578125" style="22" bestFit="1" customWidth="1"/>
    <col min="85" max="85" width="17.5703125" style="22" bestFit="1" customWidth="1"/>
    <col min="86" max="86" width="19.85546875" style="22" bestFit="1" customWidth="1"/>
    <col min="87" max="87" width="9.5703125" style="22" bestFit="1" customWidth="1"/>
    <col min="88" max="88" width="11.140625" style="22" bestFit="1" customWidth="1"/>
    <col min="89" max="89" width="19.28515625" style="22" bestFit="1" customWidth="1"/>
    <col min="90" max="90" width="21.42578125" style="22" bestFit="1" customWidth="1"/>
    <col min="91" max="91" width="23.85546875" style="22" bestFit="1" customWidth="1"/>
    <col min="92" max="92" width="13.42578125" style="22" bestFit="1" customWidth="1"/>
    <col min="93" max="93" width="12.140625" style="22" bestFit="1" customWidth="1"/>
    <col min="94" max="94" width="18.140625" style="22" bestFit="1" customWidth="1"/>
    <col min="95" max="95" width="20.140625" style="22" bestFit="1" customWidth="1"/>
    <col min="96" max="96" width="12.140625" style="22" bestFit="1" customWidth="1"/>
    <col min="97" max="97" width="9.140625" style="22"/>
    <col min="98" max="98" width="19.140625" style="22" bestFit="1" customWidth="1"/>
    <col min="99" max="99" width="21.140625" style="22" bestFit="1" customWidth="1"/>
    <col min="100" max="100" width="15.5703125" style="22" bestFit="1" customWidth="1"/>
    <col min="101" max="101" width="9.140625" style="22"/>
    <col min="102" max="102" width="21.42578125" style="22" bestFit="1" customWidth="1"/>
    <col min="103" max="103" width="23.42578125" style="22" bestFit="1" customWidth="1"/>
    <col min="104" max="104" width="20.42578125" style="22" bestFit="1" customWidth="1"/>
    <col min="105" max="105" width="9.140625" style="22"/>
    <col min="106" max="106" width="27.28515625" style="22" bestFit="1" customWidth="1"/>
    <col min="107" max="107" width="29.42578125" style="22" bestFit="1" customWidth="1"/>
    <col min="108" max="108" width="21.42578125" style="22" bestFit="1" customWidth="1"/>
    <col min="109" max="16384" width="9.140625" style="22"/>
  </cols>
  <sheetData>
    <row r="1" spans="1:165" ht="48.75" customHeight="1" thickBot="1" x14ac:dyDescent="0.3">
      <c r="A1" s="16"/>
      <c r="B1" s="17"/>
      <c r="C1" s="17"/>
      <c r="D1" s="17"/>
      <c r="E1" s="17"/>
      <c r="F1" s="17"/>
      <c r="G1" s="18" t="s">
        <v>346</v>
      </c>
      <c r="H1" s="17"/>
      <c r="I1" s="17"/>
      <c r="J1" s="17"/>
      <c r="K1" s="17"/>
      <c r="L1" s="17"/>
      <c r="M1" s="17"/>
      <c r="N1" s="17"/>
      <c r="O1" s="17"/>
      <c r="P1" s="17"/>
      <c r="Q1" s="17"/>
      <c r="R1" s="17"/>
      <c r="S1" s="19"/>
      <c r="T1" s="20"/>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row>
    <row r="2" spans="1:165" x14ac:dyDescent="0.25">
      <c r="A2" s="20"/>
      <c r="B2" s="20"/>
      <c r="C2" s="20"/>
      <c r="D2" s="20"/>
      <c r="E2" s="20"/>
      <c r="F2" s="20"/>
      <c r="G2" s="20"/>
      <c r="H2" s="235" t="s">
        <v>64</v>
      </c>
      <c r="I2" s="20"/>
      <c r="J2" s="20"/>
      <c r="K2" s="20"/>
      <c r="L2" s="20"/>
      <c r="M2" s="20"/>
      <c r="N2" s="20"/>
      <c r="O2" s="20"/>
      <c r="P2" s="20"/>
      <c r="Q2" s="20"/>
      <c r="R2" s="20"/>
      <c r="S2" s="20"/>
      <c r="T2" s="20"/>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row>
    <row r="3" spans="1:165" x14ac:dyDescent="0.25">
      <c r="A3" s="20"/>
      <c r="B3" s="20"/>
      <c r="C3" s="20"/>
      <c r="D3" s="20"/>
      <c r="E3" s="64"/>
      <c r="F3" s="23" t="s">
        <v>39</v>
      </c>
      <c r="G3" s="20"/>
      <c r="H3" s="236" t="s">
        <v>65</v>
      </c>
      <c r="I3" s="20"/>
      <c r="J3" s="20"/>
      <c r="K3" s="20"/>
      <c r="L3" s="20"/>
      <c r="M3" s="20"/>
      <c r="N3" s="20"/>
      <c r="O3" s="20"/>
      <c r="P3" s="20"/>
      <c r="Q3" s="20"/>
      <c r="R3" s="20"/>
      <c r="S3" s="20"/>
      <c r="T3" s="20"/>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row>
    <row r="4" spans="1:165" ht="15.75" thickBot="1" x14ac:dyDescent="0.3">
      <c r="A4" s="20"/>
      <c r="B4" s="20"/>
      <c r="C4" s="20"/>
      <c r="D4" s="20"/>
      <c r="E4" s="20"/>
      <c r="F4" s="20"/>
      <c r="G4" s="20"/>
      <c r="H4" s="20"/>
      <c r="I4" s="20"/>
      <c r="J4" s="20"/>
      <c r="K4" s="20"/>
      <c r="L4" s="20"/>
      <c r="M4" s="20"/>
      <c r="N4" s="20"/>
      <c r="O4" s="20"/>
      <c r="P4" s="20"/>
      <c r="Q4" s="20"/>
      <c r="R4" s="20"/>
      <c r="S4" s="20"/>
      <c r="T4" s="20"/>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row>
    <row r="5" spans="1:165" ht="15.75" thickBot="1" x14ac:dyDescent="0.3">
      <c r="A5" s="24" t="s">
        <v>0</v>
      </c>
      <c r="B5" s="25"/>
      <c r="C5" s="25"/>
      <c r="D5" s="25"/>
      <c r="E5" s="26"/>
      <c r="F5" s="25"/>
      <c r="G5" s="25"/>
      <c r="H5" s="89" t="s">
        <v>66</v>
      </c>
      <c r="I5" s="25"/>
      <c r="J5" s="27"/>
      <c r="K5" s="27"/>
      <c r="L5" s="27"/>
      <c r="M5" s="27"/>
      <c r="N5" s="27"/>
      <c r="O5" s="27"/>
      <c r="P5" s="27"/>
      <c r="Q5" s="27"/>
      <c r="R5" s="27"/>
      <c r="S5" s="28"/>
      <c r="T5" s="20"/>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row>
    <row r="6" spans="1:165" x14ac:dyDescent="0.25">
      <c r="A6" s="29"/>
      <c r="B6" s="25"/>
      <c r="C6" s="26"/>
      <c r="D6" s="30" t="s">
        <v>74</v>
      </c>
      <c r="E6" s="7">
        <v>5</v>
      </c>
      <c r="F6" s="5" t="s">
        <v>1</v>
      </c>
      <c r="G6" s="171" t="str">
        <f>_xlfn.CONCAT(E6, " ",F6)</f>
        <v>5 V</v>
      </c>
      <c r="H6" s="87">
        <v>4.2</v>
      </c>
      <c r="I6" s="87">
        <v>70</v>
      </c>
      <c r="J6" s="31"/>
      <c r="K6" s="31"/>
      <c r="L6" s="31"/>
      <c r="M6" s="31"/>
      <c r="N6" s="31"/>
      <c r="O6" s="31"/>
      <c r="P6" s="31"/>
      <c r="Q6" s="31"/>
      <c r="R6" s="31"/>
      <c r="S6" s="32"/>
      <c r="T6" s="20"/>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row>
    <row r="7" spans="1:165" x14ac:dyDescent="0.25">
      <c r="A7" s="33"/>
      <c r="B7" s="15"/>
      <c r="C7" s="15"/>
      <c r="D7" s="34" t="s">
        <v>73</v>
      </c>
      <c r="E7" s="8">
        <v>12</v>
      </c>
      <c r="F7" s="6" t="s">
        <v>1</v>
      </c>
      <c r="G7" s="171" t="str">
        <f>_xlfn.CONCAT(E7, " ",F7)</f>
        <v>12 V</v>
      </c>
      <c r="H7" s="87">
        <v>4.2</v>
      </c>
      <c r="I7" s="87">
        <v>70</v>
      </c>
      <c r="J7" s="88">
        <f>$E$6</f>
        <v>5</v>
      </c>
      <c r="K7" s="88">
        <f>$E$8</f>
        <v>50</v>
      </c>
      <c r="L7" s="31"/>
      <c r="M7" s="31"/>
      <c r="N7" s="31"/>
      <c r="O7" s="31"/>
      <c r="P7" s="31"/>
      <c r="Q7" s="31"/>
      <c r="R7" s="31"/>
      <c r="S7" s="32"/>
      <c r="T7" s="20"/>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row>
    <row r="8" spans="1:165" x14ac:dyDescent="0.25">
      <c r="A8" s="33"/>
      <c r="B8" s="15"/>
      <c r="C8" s="15"/>
      <c r="D8" s="34" t="s">
        <v>75</v>
      </c>
      <c r="E8" s="8">
        <v>50</v>
      </c>
      <c r="F8" s="9" t="s">
        <v>1</v>
      </c>
      <c r="G8" s="171" t="str">
        <f>_xlfn.CONCAT(E8, " ",F8)</f>
        <v>50 V</v>
      </c>
      <c r="H8" s="87">
        <v>4.2</v>
      </c>
      <c r="I8" s="87">
        <v>70</v>
      </c>
      <c r="J8" s="31"/>
      <c r="K8" s="31"/>
      <c r="L8" s="31"/>
      <c r="M8" s="31"/>
      <c r="N8" s="31"/>
      <c r="O8" s="31"/>
      <c r="P8" s="31"/>
      <c r="Q8" s="31"/>
      <c r="R8" s="31"/>
      <c r="S8" s="32"/>
      <c r="T8" s="20"/>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row>
    <row r="9" spans="1:165" x14ac:dyDescent="0.25">
      <c r="A9" s="33"/>
      <c r="B9" s="15"/>
      <c r="C9" s="15"/>
      <c r="D9" s="34" t="s">
        <v>55</v>
      </c>
      <c r="E9" s="8">
        <v>21</v>
      </c>
      <c r="F9" s="9" t="s">
        <v>1</v>
      </c>
      <c r="G9" s="171" t="str">
        <f>_xlfn.CONCAT(E9, " ",F9)</f>
        <v>21 V</v>
      </c>
      <c r="H9" s="87">
        <v>3.3</v>
      </c>
      <c r="I9" s="87">
        <v>70</v>
      </c>
      <c r="J9" s="31"/>
      <c r="K9" s="31"/>
      <c r="L9" s="31"/>
      <c r="M9" s="31"/>
      <c r="N9" s="31"/>
      <c r="O9" s="31"/>
      <c r="P9" s="31"/>
      <c r="Q9" s="31"/>
      <c r="R9" s="31"/>
      <c r="S9" s="32"/>
      <c r="T9" s="20"/>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row>
    <row r="10" spans="1:165" ht="15.75" thickBot="1" x14ac:dyDescent="0.3">
      <c r="A10" s="35"/>
      <c r="B10" s="36"/>
      <c r="C10" s="36"/>
      <c r="D10" s="37" t="s">
        <v>4</v>
      </c>
      <c r="E10" s="91">
        <v>5</v>
      </c>
      <c r="F10" s="92" t="s">
        <v>2</v>
      </c>
      <c r="G10" s="171" t="str">
        <f>_xlfn.CONCAT(E10, " ",F10)</f>
        <v>5 A</v>
      </c>
      <c r="H10" s="15"/>
      <c r="I10" s="15"/>
      <c r="J10" s="31"/>
      <c r="K10" s="31"/>
      <c r="L10" s="31"/>
      <c r="M10" s="31"/>
      <c r="N10" s="31"/>
      <c r="O10" s="31"/>
      <c r="P10" s="31"/>
      <c r="Q10" s="31"/>
      <c r="R10" s="31"/>
      <c r="S10" s="32"/>
      <c r="T10" s="20"/>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row>
    <row r="11" spans="1:165" x14ac:dyDescent="0.25">
      <c r="A11" s="33"/>
      <c r="B11" s="15"/>
      <c r="C11" s="15"/>
      <c r="D11" s="15"/>
      <c r="E11" s="15"/>
      <c r="F11" s="137"/>
      <c r="G11" s="171"/>
      <c r="H11" s="15" t="s">
        <v>67</v>
      </c>
      <c r="I11" s="15"/>
      <c r="J11" s="31"/>
      <c r="K11" s="31"/>
      <c r="L11" s="31"/>
      <c r="M11" s="31"/>
      <c r="N11" s="31"/>
      <c r="O11" s="31"/>
      <c r="P11" s="31"/>
      <c r="Q11" s="31"/>
      <c r="R11" s="31"/>
      <c r="S11" s="32"/>
      <c r="T11" s="20"/>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row>
    <row r="12" spans="1:165" ht="15.75" thickBot="1" x14ac:dyDescent="0.3">
      <c r="A12" s="38" t="s">
        <v>68</v>
      </c>
      <c r="B12" s="15"/>
      <c r="C12" s="15"/>
      <c r="D12" s="15"/>
      <c r="E12" s="15"/>
      <c r="F12" s="137"/>
      <c r="G12" s="171"/>
      <c r="H12" s="15"/>
      <c r="I12" s="15"/>
      <c r="J12" s="31"/>
      <c r="K12" s="31"/>
      <c r="L12" s="31"/>
      <c r="M12" s="31"/>
      <c r="N12" s="31"/>
      <c r="O12" s="31"/>
      <c r="P12" s="31"/>
      <c r="Q12" s="31"/>
      <c r="R12" s="31"/>
      <c r="S12" s="32"/>
      <c r="T12" s="20"/>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row>
    <row r="13" spans="1:165" x14ac:dyDescent="0.25">
      <c r="A13" s="29"/>
      <c r="B13" s="25"/>
      <c r="C13" s="25"/>
      <c r="D13" s="30" t="s">
        <v>83</v>
      </c>
      <c r="E13" s="95">
        <v>600</v>
      </c>
      <c r="F13" s="5" t="s">
        <v>3</v>
      </c>
      <c r="G13" s="171" t="str">
        <f>_xlfn.CONCAT(E13, " ",F13)</f>
        <v>600 kHz</v>
      </c>
      <c r="H13" s="87">
        <v>200</v>
      </c>
      <c r="I13" s="87">
        <v>600</v>
      </c>
      <c r="J13" s="31"/>
      <c r="K13" s="31"/>
      <c r="L13" s="31"/>
      <c r="M13" s="31"/>
      <c r="N13" s="31"/>
      <c r="O13" s="31"/>
      <c r="P13" s="31"/>
      <c r="Q13" s="31"/>
      <c r="R13" s="31"/>
      <c r="S13" s="32"/>
      <c r="T13" s="20"/>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row>
    <row r="14" spans="1:165" ht="15.75" x14ac:dyDescent="0.3">
      <c r="A14" s="38"/>
      <c r="B14" s="15"/>
      <c r="C14" s="15"/>
      <c r="D14" s="41" t="s">
        <v>69</v>
      </c>
      <c r="E14" s="43">
        <f>MAX(MIN(1/(10*($E$13*10^3*5*10^-12-500*10^-9))/10^3,$I$15),$H$15)</f>
        <v>40</v>
      </c>
      <c r="F14" s="96" t="s">
        <v>30</v>
      </c>
      <c r="G14" s="171" t="str">
        <f>_xlfn.CONCAT(E14, " ",F14)</f>
        <v>40 kΩ</v>
      </c>
      <c r="H14" s="15"/>
      <c r="I14" s="15"/>
      <c r="J14" s="31"/>
      <c r="K14" s="31"/>
      <c r="L14" s="31"/>
      <c r="M14" s="31"/>
      <c r="N14" s="31"/>
      <c r="O14" s="31"/>
      <c r="P14" s="31"/>
      <c r="Q14" s="31"/>
      <c r="R14" s="31"/>
      <c r="S14" s="32"/>
      <c r="T14" s="20"/>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row>
    <row r="15" spans="1:165" x14ac:dyDescent="0.25">
      <c r="A15" s="38"/>
      <c r="B15" s="15"/>
      <c r="C15" s="15"/>
      <c r="D15" s="34" t="s">
        <v>70</v>
      </c>
      <c r="E15" s="90">
        <v>40</v>
      </c>
      <c r="F15" s="9" t="s">
        <v>30</v>
      </c>
      <c r="G15" s="172" t="str">
        <f>_xlfn.CONCAT(E15, " ",F15)</f>
        <v>40 kΩ</v>
      </c>
      <c r="H15" s="87">
        <v>40</v>
      </c>
      <c r="I15" s="87">
        <v>200</v>
      </c>
      <c r="J15" s="31"/>
      <c r="K15" s="31"/>
      <c r="L15" s="31"/>
      <c r="M15" s="31"/>
      <c r="N15" s="31"/>
      <c r="O15" s="31"/>
      <c r="P15" s="31"/>
      <c r="Q15" s="31"/>
      <c r="R15" s="31"/>
      <c r="S15" s="98"/>
      <c r="T15" s="20"/>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row>
    <row r="16" spans="1:165" ht="15.75" x14ac:dyDescent="0.3">
      <c r="A16" s="33"/>
      <c r="B16" s="15"/>
      <c r="C16" s="15"/>
      <c r="D16" s="41" t="s">
        <v>71</v>
      </c>
      <c r="E16" s="43">
        <f>(1/(10*$E$15*10^3)+500*10^-9)/(5*10^-12)/10^3</f>
        <v>600</v>
      </c>
      <c r="F16" s="96" t="s">
        <v>3</v>
      </c>
      <c r="G16" s="171"/>
      <c r="H16" s="94">
        <f>$E$13*0.95</f>
        <v>570</v>
      </c>
      <c r="I16" s="87">
        <f>Desired_Fsw*1.05</f>
        <v>630</v>
      </c>
      <c r="J16" s="31"/>
      <c r="K16" s="31"/>
      <c r="L16" s="31"/>
      <c r="M16" s="31"/>
      <c r="N16" s="31"/>
      <c r="O16" s="31"/>
      <c r="P16" s="31"/>
      <c r="Q16" s="31"/>
      <c r="R16" s="31"/>
      <c r="S16" s="32"/>
      <c r="T16" s="20"/>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row>
    <row r="17" spans="1:165" x14ac:dyDescent="0.25">
      <c r="A17" s="33"/>
      <c r="B17" s="15"/>
      <c r="C17" s="15"/>
      <c r="D17" s="41" t="s">
        <v>324</v>
      </c>
      <c r="E17" s="43">
        <f>(1-225*10^-9*Fsw*10^3)*100</f>
        <v>86.5</v>
      </c>
      <c r="F17" s="96" t="s">
        <v>6</v>
      </c>
      <c r="G17" s="171"/>
      <c r="H17" s="94"/>
      <c r="I17" s="15"/>
      <c r="J17" s="31"/>
      <c r="K17" s="31"/>
      <c r="L17" s="31"/>
      <c r="M17" s="31"/>
      <c r="N17" s="31"/>
      <c r="O17" s="31"/>
      <c r="P17" s="31"/>
      <c r="Q17" s="31"/>
      <c r="R17" s="31"/>
      <c r="S17" s="32"/>
      <c r="T17" s="20"/>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row>
    <row r="18" spans="1:165" ht="15.75" x14ac:dyDescent="0.3">
      <c r="A18" s="33"/>
      <c r="B18" s="15"/>
      <c r="C18" s="15"/>
      <c r="D18" s="41" t="s">
        <v>172</v>
      </c>
      <c r="E18" s="111">
        <f>IF(VACmin&lt;Vbat, MIN(VACmin/(1-$E$17/100),H18), "N/A")</f>
        <v>37.037037037037038</v>
      </c>
      <c r="F18" s="96" t="s">
        <v>1</v>
      </c>
      <c r="G18" s="171"/>
      <c r="H18" s="93">
        <v>70</v>
      </c>
      <c r="I18" s="87">
        <f>Vbat</f>
        <v>21</v>
      </c>
      <c r="J18" s="31"/>
      <c r="K18" s="31"/>
      <c r="L18" s="31"/>
      <c r="M18" s="31"/>
      <c r="N18" s="31"/>
      <c r="O18" s="31"/>
      <c r="P18" s="31"/>
      <c r="Q18" s="31"/>
      <c r="R18" s="31"/>
      <c r="S18" s="32"/>
      <c r="T18" s="20"/>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row>
    <row r="19" spans="1:165" ht="15.75" x14ac:dyDescent="0.3">
      <c r="A19" s="33"/>
      <c r="B19" s="15"/>
      <c r="C19" s="15"/>
      <c r="D19" s="41" t="s">
        <v>173</v>
      </c>
      <c r="E19" s="111">
        <f>IF(VACnom&lt;Vbat, MIN(VACnom/(1-$E$17/100),H19), "N/A")</f>
        <v>70</v>
      </c>
      <c r="F19" s="96" t="s">
        <v>1</v>
      </c>
      <c r="G19" s="171"/>
      <c r="H19" s="93">
        <v>70</v>
      </c>
      <c r="I19" s="87">
        <f>Vbat</f>
        <v>21</v>
      </c>
      <c r="J19" s="31"/>
      <c r="K19" s="31"/>
      <c r="L19" s="31"/>
      <c r="M19" s="31"/>
      <c r="N19" s="31"/>
      <c r="O19" s="31"/>
      <c r="P19" s="31"/>
      <c r="Q19" s="31"/>
      <c r="R19" s="31"/>
      <c r="S19" s="32"/>
      <c r="T19" s="20"/>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row>
    <row r="20" spans="1:165" ht="16.5" thickBot="1" x14ac:dyDescent="0.35">
      <c r="A20" s="35"/>
      <c r="B20" s="36"/>
      <c r="C20" s="36"/>
      <c r="D20" s="45" t="s">
        <v>174</v>
      </c>
      <c r="E20" s="112" t="str">
        <f>IF(VACmax&lt;Vbat, MIN(VACmax/(1-$E$17/100),H20), "N/A")</f>
        <v>N/A</v>
      </c>
      <c r="F20" s="113" t="s">
        <v>1</v>
      </c>
      <c r="G20" s="171"/>
      <c r="H20" s="93">
        <v>70</v>
      </c>
      <c r="I20" s="87">
        <f>Vbat</f>
        <v>21</v>
      </c>
      <c r="J20" s="31"/>
      <c r="K20" s="31"/>
      <c r="L20" s="31"/>
      <c r="M20" s="31"/>
      <c r="N20" s="31"/>
      <c r="O20" s="31"/>
      <c r="P20" s="31"/>
      <c r="Q20" s="31"/>
      <c r="R20" s="31"/>
      <c r="S20" s="32"/>
      <c r="T20" s="20"/>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row>
    <row r="21" spans="1:165" x14ac:dyDescent="0.25">
      <c r="A21" s="33"/>
      <c r="B21" s="15"/>
      <c r="C21" s="15"/>
      <c r="D21" s="41"/>
      <c r="E21" s="15"/>
      <c r="F21" s="137"/>
      <c r="G21" s="171"/>
      <c r="H21" s="15"/>
      <c r="I21" s="15"/>
      <c r="J21" s="31"/>
      <c r="K21" s="31"/>
      <c r="L21" s="31"/>
      <c r="M21" s="31"/>
      <c r="N21" s="31"/>
      <c r="O21" s="31"/>
      <c r="P21" s="31"/>
      <c r="Q21" s="31"/>
      <c r="R21" s="31"/>
      <c r="S21" s="32"/>
      <c r="T21" s="20"/>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row>
    <row r="22" spans="1:165" ht="15.75" thickBot="1" x14ac:dyDescent="0.3">
      <c r="A22" s="38" t="s">
        <v>144</v>
      </c>
      <c r="B22" s="15"/>
      <c r="C22" s="15"/>
      <c r="D22" s="15"/>
      <c r="E22" s="15"/>
      <c r="F22" s="137"/>
      <c r="G22" s="171"/>
      <c r="H22" s="15"/>
      <c r="I22" s="15"/>
      <c r="J22" s="31"/>
      <c r="K22" s="31"/>
      <c r="L22" s="31"/>
      <c r="M22" s="31"/>
      <c r="N22" s="31"/>
      <c r="O22" s="31"/>
      <c r="P22" s="31"/>
      <c r="Q22" s="31"/>
      <c r="R22" s="31"/>
      <c r="S22" s="32"/>
      <c r="T22" s="20"/>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row>
    <row r="23" spans="1:165" ht="15.75" x14ac:dyDescent="0.3">
      <c r="A23" s="24"/>
      <c r="B23" s="25"/>
      <c r="C23" s="25"/>
      <c r="D23" s="39" t="s">
        <v>31</v>
      </c>
      <c r="E23" s="99">
        <f>Vbat*Ioutmax/(0.9*VACmin)</f>
        <v>23.333333333333332</v>
      </c>
      <c r="F23" s="75" t="s">
        <v>2</v>
      </c>
      <c r="G23" s="171"/>
      <c r="H23" s="15"/>
      <c r="I23" s="15"/>
      <c r="J23" s="31"/>
      <c r="K23" s="31"/>
      <c r="L23" s="31"/>
      <c r="M23" s="31"/>
      <c r="N23" s="31"/>
      <c r="O23" s="31"/>
      <c r="P23" s="31"/>
      <c r="Q23" s="31"/>
      <c r="R23" s="31"/>
      <c r="S23" s="32"/>
      <c r="T23" s="20"/>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row>
    <row r="24" spans="1:165" ht="15.75" x14ac:dyDescent="0.3">
      <c r="A24" s="38"/>
      <c r="B24" s="15"/>
      <c r="C24" s="15"/>
      <c r="D24" s="41" t="s">
        <v>72</v>
      </c>
      <c r="E24" s="72">
        <v>26</v>
      </c>
      <c r="F24" s="138" t="s">
        <v>2</v>
      </c>
      <c r="G24" s="171"/>
      <c r="H24" s="87">
        <f>ILmax</f>
        <v>23.333333333333332</v>
      </c>
      <c r="I24" s="15"/>
      <c r="J24" s="31"/>
      <c r="K24" s="31"/>
      <c r="L24" s="31"/>
      <c r="M24" s="31"/>
      <c r="N24" s="31"/>
      <c r="O24" s="31"/>
      <c r="P24" s="31"/>
      <c r="Q24" s="31"/>
      <c r="R24" s="31"/>
      <c r="S24" s="32"/>
      <c r="T24" s="20"/>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row>
    <row r="25" spans="1:165" x14ac:dyDescent="0.25">
      <c r="A25" s="33"/>
      <c r="B25" s="15"/>
      <c r="C25" s="15"/>
      <c r="D25" s="41" t="s">
        <v>76</v>
      </c>
      <c r="E25" s="42">
        <f>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3.2812499999999987</v>
      </c>
      <c r="F25" s="76" t="s">
        <v>5</v>
      </c>
      <c r="G25" s="172" t="str">
        <f>_xlfn.CONCAT(E25, " ",F25)</f>
        <v>3.28125 µH</v>
      </c>
      <c r="H25" s="87">
        <v>2.2000000000000002</v>
      </c>
      <c r="I25" s="87">
        <v>15</v>
      </c>
      <c r="J25" s="31"/>
      <c r="K25" s="31"/>
      <c r="L25" s="31"/>
      <c r="M25" s="31"/>
      <c r="N25" s="31"/>
      <c r="O25" s="31"/>
      <c r="P25" s="31"/>
      <c r="Q25" s="31"/>
      <c r="R25" s="31"/>
      <c r="S25" s="32"/>
      <c r="T25" s="20"/>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row>
    <row r="26" spans="1:165" x14ac:dyDescent="0.25">
      <c r="A26" s="33"/>
      <c r="B26" s="15"/>
      <c r="C26" s="15"/>
      <c r="D26" s="34" t="s">
        <v>339</v>
      </c>
      <c r="E26" s="72">
        <v>10</v>
      </c>
      <c r="F26" s="10" t="s">
        <v>5</v>
      </c>
      <c r="G26" s="171" t="str">
        <f>_xlfn.CONCAT(E26, " ",F26)</f>
        <v>10 µH</v>
      </c>
      <c r="H26" s="97">
        <f>$E$25</f>
        <v>3.2812499999999987</v>
      </c>
      <c r="I26" s="87"/>
      <c r="J26" s="31"/>
      <c r="K26" s="31"/>
      <c r="L26" s="31"/>
      <c r="M26" s="31"/>
      <c r="N26" s="31"/>
      <c r="O26" s="31"/>
      <c r="P26" s="31"/>
      <c r="Q26" s="31"/>
      <c r="R26" s="31"/>
      <c r="S26" s="32"/>
      <c r="T26" s="20"/>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row>
    <row r="27" spans="1:165" x14ac:dyDescent="0.25">
      <c r="A27" s="33"/>
      <c r="B27" s="15"/>
      <c r="C27" s="15"/>
      <c r="D27" s="41" t="s">
        <v>238</v>
      </c>
      <c r="E27" s="42">
        <v>2.6</v>
      </c>
      <c r="F27" s="13" t="s">
        <v>29</v>
      </c>
      <c r="G27" s="171"/>
      <c r="H27" s="15"/>
      <c r="I27" s="15"/>
      <c r="J27" s="31"/>
      <c r="K27" s="31"/>
      <c r="L27" s="31"/>
      <c r="M27" s="31"/>
      <c r="N27" s="31"/>
      <c r="O27" s="31"/>
      <c r="P27" s="31"/>
      <c r="Q27" s="31"/>
      <c r="R27" s="31"/>
      <c r="S27" s="32"/>
      <c r="T27" s="20"/>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row>
    <row r="28" spans="1:165" x14ac:dyDescent="0.25">
      <c r="A28" s="33"/>
      <c r="B28" s="15"/>
      <c r="C28" s="15"/>
      <c r="D28" s="41" t="s">
        <v>237</v>
      </c>
      <c r="E28" s="42">
        <v>60</v>
      </c>
      <c r="F28" s="13" t="s">
        <v>29</v>
      </c>
      <c r="G28" s="171"/>
      <c r="H28" s="15"/>
      <c r="I28" s="15"/>
      <c r="J28" s="31"/>
      <c r="K28" s="31"/>
      <c r="L28" s="31"/>
      <c r="M28" s="31"/>
      <c r="N28" s="31"/>
      <c r="O28" s="31"/>
      <c r="P28" s="31"/>
      <c r="Q28" s="31"/>
      <c r="R28" s="31"/>
      <c r="S28" s="32"/>
      <c r="T28" s="20"/>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row>
    <row r="29" spans="1:165" x14ac:dyDescent="0.25">
      <c r="A29" s="33"/>
      <c r="B29" s="15"/>
      <c r="C29" s="15"/>
      <c r="D29" s="34" t="s">
        <v>56</v>
      </c>
      <c r="E29" s="90">
        <v>12</v>
      </c>
      <c r="F29" s="10" t="s">
        <v>29</v>
      </c>
      <c r="G29" s="171" t="str">
        <f>_xlfn.CONCAT(E29, " ",F29)</f>
        <v>12 mΩ</v>
      </c>
      <c r="H29" s="97">
        <f>E27</f>
        <v>2.6</v>
      </c>
      <c r="I29" s="97">
        <f>E28</f>
        <v>60</v>
      </c>
      <c r="J29" s="31"/>
      <c r="K29" s="31"/>
      <c r="L29" s="31"/>
      <c r="M29" s="31"/>
      <c r="N29" s="31"/>
      <c r="O29" s="31"/>
      <c r="P29" s="31"/>
      <c r="Q29" s="31"/>
      <c r="R29" s="31"/>
      <c r="S29" s="32"/>
      <c r="T29" s="20"/>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row>
    <row r="30" spans="1:165" ht="15.75" x14ac:dyDescent="0.3">
      <c r="A30" s="33"/>
      <c r="B30" s="15"/>
      <c r="C30" s="15"/>
      <c r="D30" s="41" t="s">
        <v>77</v>
      </c>
      <c r="E30" s="43">
        <f>IF(VACmin&lt;Vbat,VACmin*(1-VACmin/Vbat)/(Fsw*10^3*L*10^-6),VACmin*Vbat/VACmin*(1-Vbat/VACmin)/(Fsw*10^3*L*10^-6))</f>
        <v>0.63492063492063489</v>
      </c>
      <c r="F30" s="76" t="s">
        <v>7</v>
      </c>
      <c r="G30" s="171"/>
      <c r="H30" s="15"/>
      <c r="I30" s="15"/>
      <c r="J30" s="31"/>
      <c r="K30" s="31"/>
      <c r="L30" s="31"/>
      <c r="M30" s="31"/>
      <c r="N30" s="31"/>
      <c r="O30" s="31"/>
      <c r="P30" s="31"/>
      <c r="Q30" s="31"/>
      <c r="R30" s="31"/>
      <c r="S30" s="32"/>
      <c r="T30" s="20"/>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row>
    <row r="31" spans="1:165" ht="15.75" x14ac:dyDescent="0.3">
      <c r="A31" s="33"/>
      <c r="B31" s="15"/>
      <c r="C31" s="15"/>
      <c r="D31" s="41" t="s">
        <v>78</v>
      </c>
      <c r="E31" s="43">
        <f>IF(VACnom&lt;Vbat,VACnom*(1-VACnom/Vbat)/(Fsw*10^3*L*10^-6),VACnom*Vbat/VACnom*(1-Vbat/VACnom)/(Fsw*10^3*L*10^-6))</f>
        <v>0.85714285714285721</v>
      </c>
      <c r="F31" s="76" t="s">
        <v>7</v>
      </c>
      <c r="G31" s="171"/>
      <c r="H31" s="15"/>
      <c r="I31" s="15"/>
      <c r="J31" s="31"/>
      <c r="K31" s="31"/>
      <c r="L31" s="31"/>
      <c r="M31" s="31"/>
      <c r="N31" s="31"/>
      <c r="O31" s="31"/>
      <c r="P31" s="31"/>
      <c r="Q31" s="31"/>
      <c r="R31" s="31"/>
      <c r="S31" s="32"/>
      <c r="T31" s="20"/>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row>
    <row r="32" spans="1:165" ht="15.75" x14ac:dyDescent="0.3">
      <c r="A32" s="33"/>
      <c r="B32" s="15"/>
      <c r="C32" s="15"/>
      <c r="D32" s="41" t="s">
        <v>79</v>
      </c>
      <c r="E32" s="43">
        <f>IF(VACmax&lt;Vbat,VACmax*(1-VACmax/Vbat)/(Fsw*10^3*L*10^-6),VACmax*Vbat/VACmax*(1-Vbat/VACmax)/(Fsw*10^3*L*10^-6))</f>
        <v>2.0300000000000002</v>
      </c>
      <c r="F32" s="76" t="s">
        <v>7</v>
      </c>
      <c r="G32" s="171"/>
      <c r="H32" s="15"/>
      <c r="I32" s="15"/>
      <c r="J32" s="31"/>
      <c r="K32" s="31"/>
      <c r="L32" s="31"/>
      <c r="M32" s="31"/>
      <c r="N32" s="31"/>
      <c r="O32" s="31"/>
      <c r="P32" s="31"/>
      <c r="Q32" s="31"/>
      <c r="R32" s="31"/>
      <c r="S32" s="32"/>
      <c r="T32" s="20"/>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row>
    <row r="33" spans="1:165" ht="15.75" x14ac:dyDescent="0.3">
      <c r="A33" s="33"/>
      <c r="B33" s="15"/>
      <c r="C33" s="15"/>
      <c r="D33" s="41" t="s">
        <v>80</v>
      </c>
      <c r="E33" s="43">
        <f>E30/Ioutmax*100</f>
        <v>12.698412698412698</v>
      </c>
      <c r="F33" s="76" t="s">
        <v>6</v>
      </c>
      <c r="G33" s="171"/>
      <c r="H33" s="15"/>
      <c r="I33" s="15"/>
      <c r="J33" s="31"/>
      <c r="K33" s="31"/>
      <c r="L33" s="31"/>
      <c r="M33" s="31"/>
      <c r="N33" s="31"/>
      <c r="O33" s="31"/>
      <c r="P33" s="31"/>
      <c r="Q33" s="31"/>
      <c r="R33" s="31"/>
      <c r="S33" s="32"/>
      <c r="T33" s="20"/>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row>
    <row r="34" spans="1:165" ht="15.75" x14ac:dyDescent="0.3">
      <c r="A34" s="33"/>
      <c r="B34" s="15"/>
      <c r="C34" s="15"/>
      <c r="D34" s="41" t="s">
        <v>81</v>
      </c>
      <c r="E34" s="43">
        <f>E31/Ioutmax*100</f>
        <v>17.142857142857142</v>
      </c>
      <c r="F34" s="76" t="s">
        <v>6</v>
      </c>
      <c r="G34" s="171"/>
      <c r="H34" s="15"/>
      <c r="I34" s="15"/>
      <c r="J34" s="31"/>
      <c r="K34" s="31"/>
      <c r="L34" s="31"/>
      <c r="M34" s="31"/>
      <c r="N34" s="31"/>
      <c r="O34" s="31"/>
      <c r="P34" s="31"/>
      <c r="Q34" s="31"/>
      <c r="R34" s="31"/>
      <c r="S34" s="32"/>
      <c r="T34" s="20"/>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row>
    <row r="35" spans="1:165" ht="15.75" x14ac:dyDescent="0.3">
      <c r="A35" s="33"/>
      <c r="B35" s="15"/>
      <c r="C35" s="15"/>
      <c r="D35" s="41" t="s">
        <v>82</v>
      </c>
      <c r="E35" s="43">
        <f>E32/Ioutmax*100</f>
        <v>40.6</v>
      </c>
      <c r="F35" s="76" t="s">
        <v>6</v>
      </c>
      <c r="G35" s="171"/>
      <c r="H35" s="15"/>
      <c r="I35" s="15"/>
      <c r="J35" s="31"/>
      <c r="K35" s="31"/>
      <c r="L35" s="31"/>
      <c r="M35" s="31"/>
      <c r="N35" s="31"/>
      <c r="O35" s="31"/>
      <c r="P35" s="31"/>
      <c r="Q35" s="31"/>
      <c r="R35" s="31"/>
      <c r="S35" s="32"/>
      <c r="T35" s="20"/>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row>
    <row r="36" spans="1:165" ht="16.5" thickBot="1" x14ac:dyDescent="0.35">
      <c r="A36" s="35"/>
      <c r="B36" s="36"/>
      <c r="C36" s="36"/>
      <c r="D36" s="45" t="s">
        <v>32</v>
      </c>
      <c r="E36" s="46">
        <f>ILmax+VACmin*(Vbat-VACmin)/(2*L*10^-6*Fsw*10^3*Vbat)</f>
        <v>23.650793650793648</v>
      </c>
      <c r="F36" s="77" t="s">
        <v>2</v>
      </c>
      <c r="G36" s="171"/>
      <c r="H36" s="15"/>
      <c r="I36" s="15"/>
      <c r="J36" s="31"/>
      <c r="K36" s="31"/>
      <c r="L36" s="31"/>
      <c r="M36" s="31"/>
      <c r="N36" s="31"/>
      <c r="O36" s="31"/>
      <c r="P36" s="31"/>
      <c r="Q36" s="31"/>
      <c r="R36" s="31"/>
      <c r="S36" s="32"/>
      <c r="T36" s="20"/>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row>
    <row r="37" spans="1:165" x14ac:dyDescent="0.25">
      <c r="A37" s="33"/>
      <c r="B37" s="15"/>
      <c r="C37" s="15"/>
      <c r="D37" s="15"/>
      <c r="E37" s="15"/>
      <c r="F37" s="137"/>
      <c r="G37" s="171"/>
      <c r="H37" s="15"/>
      <c r="I37" s="15"/>
      <c r="J37" s="31"/>
      <c r="K37" s="31"/>
      <c r="L37" s="31"/>
      <c r="M37" s="31"/>
      <c r="N37" s="31"/>
      <c r="O37" s="31"/>
      <c r="P37" s="31"/>
      <c r="Q37" s="31"/>
      <c r="R37" s="31"/>
      <c r="S37" s="32"/>
      <c r="T37" s="20"/>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row>
    <row r="38" spans="1:165" ht="15.75" thickBot="1" x14ac:dyDescent="0.3">
      <c r="A38" s="38" t="s">
        <v>145</v>
      </c>
      <c r="B38" s="15"/>
      <c r="C38" s="15"/>
      <c r="D38" s="15"/>
      <c r="E38" s="15"/>
      <c r="F38" s="137"/>
      <c r="G38" s="171"/>
      <c r="H38" s="15"/>
      <c r="I38" s="15"/>
      <c r="J38" s="31"/>
      <c r="K38" s="31"/>
      <c r="L38" s="31"/>
      <c r="M38" s="31"/>
      <c r="N38" s="31"/>
      <c r="O38" s="31"/>
      <c r="P38" s="31"/>
      <c r="Q38" s="31"/>
      <c r="R38" s="31"/>
      <c r="S38" s="32"/>
      <c r="T38" s="20"/>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row>
    <row r="39" spans="1:165" ht="15.75" x14ac:dyDescent="0.3">
      <c r="A39" s="24"/>
      <c r="B39" s="25"/>
      <c r="C39" s="25"/>
      <c r="D39" s="39" t="s">
        <v>94</v>
      </c>
      <c r="E39" s="168" t="str">
        <f>"2-5"</f>
        <v>2-5</v>
      </c>
      <c r="F39" s="75" t="s">
        <v>29</v>
      </c>
      <c r="G39" s="171"/>
      <c r="H39" s="15"/>
      <c r="I39" s="15"/>
      <c r="J39" s="31"/>
      <c r="K39" s="31"/>
      <c r="L39" s="31"/>
      <c r="M39" s="31"/>
      <c r="N39" s="31"/>
      <c r="O39" s="31"/>
      <c r="P39" s="31"/>
      <c r="Q39" s="31"/>
      <c r="R39" s="31"/>
      <c r="S39" s="32"/>
      <c r="T39" s="20"/>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row>
    <row r="40" spans="1:165" x14ac:dyDescent="0.25">
      <c r="A40" s="38"/>
      <c r="B40" s="15"/>
      <c r="C40" s="15"/>
      <c r="D40" s="34" t="s">
        <v>95</v>
      </c>
      <c r="E40" s="72">
        <v>5</v>
      </c>
      <c r="F40" s="139" t="s">
        <v>29</v>
      </c>
      <c r="G40" s="172" t="str">
        <f>_xlfn.CONCAT(E40, " ",F40)</f>
        <v>5 mΩ</v>
      </c>
      <c r="H40" s="15"/>
      <c r="I40" s="15"/>
      <c r="J40" s="31"/>
      <c r="K40" s="31"/>
      <c r="L40" s="31"/>
      <c r="M40" s="31"/>
      <c r="N40" s="31"/>
      <c r="O40" s="31"/>
      <c r="P40" s="31"/>
      <c r="Q40" s="31"/>
      <c r="R40" s="31"/>
      <c r="S40" s="32"/>
      <c r="T40" s="20"/>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row>
    <row r="41" spans="1:165" ht="15.75" x14ac:dyDescent="0.3">
      <c r="A41" s="38"/>
      <c r="B41" s="15"/>
      <c r="C41" s="15"/>
      <c r="D41" s="41" t="s">
        <v>97</v>
      </c>
      <c r="E41" s="53">
        <f>IF(RAC_SNS=0, "Disabled", 50*2/RAC_SNS)</f>
        <v>20</v>
      </c>
      <c r="F41" s="76" t="s">
        <v>2</v>
      </c>
      <c r="G41" s="171"/>
      <c r="H41" s="15"/>
      <c r="I41" s="15"/>
      <c r="J41" s="31"/>
      <c r="K41" s="31"/>
      <c r="L41" s="31"/>
      <c r="M41" s="31"/>
      <c r="N41" s="31"/>
      <c r="O41" s="31"/>
      <c r="P41" s="31"/>
      <c r="Q41" s="31"/>
      <c r="R41" s="31"/>
      <c r="S41" s="32"/>
      <c r="T41" s="20"/>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row>
    <row r="42" spans="1:165" ht="15.75" x14ac:dyDescent="0.3">
      <c r="A42" s="38"/>
      <c r="B42" s="15"/>
      <c r="C42" s="15"/>
      <c r="D42" s="41" t="s">
        <v>107</v>
      </c>
      <c r="E42" s="53">
        <f>IF(RAC_SNS=0,"Disabled",125*2/RAC_SNS)</f>
        <v>50</v>
      </c>
      <c r="F42" s="76" t="s">
        <v>106</v>
      </c>
      <c r="G42" s="171"/>
      <c r="H42" s="15"/>
      <c r="I42" s="15"/>
      <c r="J42" s="31"/>
      <c r="K42" s="31"/>
      <c r="L42" s="31"/>
      <c r="M42" s="31"/>
      <c r="N42" s="31"/>
      <c r="O42" s="31"/>
      <c r="P42" s="31"/>
      <c r="Q42" s="31"/>
      <c r="R42" s="31"/>
      <c r="S42" s="32"/>
      <c r="T42" s="20"/>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row>
    <row r="43" spans="1:165" x14ac:dyDescent="0.25">
      <c r="A43" s="38"/>
      <c r="B43" s="15"/>
      <c r="C43" s="15"/>
      <c r="D43" s="34" t="s">
        <v>96</v>
      </c>
      <c r="E43" s="72">
        <v>20</v>
      </c>
      <c r="F43" s="76" t="s">
        <v>2</v>
      </c>
      <c r="G43" s="171"/>
      <c r="H43" s="87">
        <f>1*2/RAC_SNS</f>
        <v>0.4</v>
      </c>
      <c r="I43" s="87">
        <f>E41</f>
        <v>20</v>
      </c>
      <c r="J43" s="31"/>
      <c r="K43" s="31"/>
      <c r="L43" s="31"/>
      <c r="M43" s="31"/>
      <c r="N43" s="31"/>
      <c r="O43" s="31"/>
      <c r="P43" s="31"/>
      <c r="Q43" s="31"/>
      <c r="R43" s="31"/>
      <c r="S43" s="32"/>
      <c r="T43" s="20"/>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row>
    <row r="44" spans="1:165" ht="15.75" x14ac:dyDescent="0.3">
      <c r="A44" s="38"/>
      <c r="B44" s="15"/>
      <c r="C44" s="15"/>
      <c r="D44" s="41" t="s">
        <v>98</v>
      </c>
      <c r="E44" s="53">
        <f>IF(RAC_SNS=0, "Disabled", MAX(MIN(50*2/RAC_SNS/$E$43, 50), H431))</f>
        <v>1</v>
      </c>
      <c r="F44" s="138" t="s">
        <v>30</v>
      </c>
      <c r="G44" s="171"/>
      <c r="H44" s="87"/>
      <c r="I44" s="87"/>
      <c r="J44" s="31"/>
      <c r="K44" s="31"/>
      <c r="L44" s="31"/>
      <c r="M44" s="31"/>
      <c r="N44" s="31"/>
      <c r="O44" s="31"/>
      <c r="P44" s="31"/>
      <c r="Q44" s="31"/>
      <c r="R44" s="31"/>
      <c r="S44" s="32"/>
      <c r="T44" s="20"/>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row>
    <row r="45" spans="1:165" x14ac:dyDescent="0.25">
      <c r="A45" s="38"/>
      <c r="B45" s="15"/>
      <c r="C45" s="15"/>
      <c r="D45" s="34" t="s">
        <v>99</v>
      </c>
      <c r="E45" s="72">
        <v>1</v>
      </c>
      <c r="F45" s="140" t="s">
        <v>30</v>
      </c>
      <c r="G45" s="172" t="str">
        <f>_xlfn.CONCAT(E45, " ",F45)</f>
        <v>1 kΩ</v>
      </c>
      <c r="H45" s="87">
        <v>1</v>
      </c>
      <c r="I45" s="87">
        <v>50</v>
      </c>
      <c r="J45" s="31"/>
      <c r="K45" s="31"/>
      <c r="L45" s="31"/>
      <c r="M45" s="31"/>
      <c r="N45" s="31"/>
      <c r="O45" s="31"/>
      <c r="P45" s="31"/>
      <c r="Q45" s="31"/>
      <c r="R45" s="31"/>
      <c r="S45" s="32"/>
      <c r="T45" s="20"/>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row>
    <row r="46" spans="1:165" ht="16.5" thickBot="1" x14ac:dyDescent="0.35">
      <c r="A46" s="105"/>
      <c r="B46" s="36"/>
      <c r="C46" s="36"/>
      <c r="D46" s="45" t="s">
        <v>100</v>
      </c>
      <c r="E46" s="102">
        <f>IF(OR(RAC_SNS=0, RIIN=0), "Disabled", 50*2/RAC_SNS/$E$45)</f>
        <v>20</v>
      </c>
      <c r="F46" s="77" t="s">
        <v>2</v>
      </c>
      <c r="G46" s="171"/>
      <c r="H46" s="87">
        <f>$E$43*0.95</f>
        <v>19</v>
      </c>
      <c r="I46" s="87">
        <f>$E$43*1.05</f>
        <v>21</v>
      </c>
      <c r="J46" s="31"/>
      <c r="K46" s="31"/>
      <c r="L46" s="31"/>
      <c r="M46" s="31"/>
      <c r="N46" s="31"/>
      <c r="O46" s="31"/>
      <c r="P46" s="31"/>
      <c r="Q46" s="31"/>
      <c r="R46" s="31"/>
      <c r="S46" s="32"/>
      <c r="T46" s="20"/>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row>
    <row r="47" spans="1:165" x14ac:dyDescent="0.25">
      <c r="A47" s="38"/>
      <c r="B47" s="15"/>
      <c r="C47" s="15"/>
      <c r="D47" s="41"/>
      <c r="E47" s="53"/>
      <c r="F47" s="109"/>
      <c r="G47" s="171"/>
      <c r="H47" s="87"/>
      <c r="I47" s="87"/>
      <c r="J47" s="31"/>
      <c r="K47" s="31"/>
      <c r="L47" s="31"/>
      <c r="M47" s="31"/>
      <c r="N47" s="31"/>
      <c r="O47" s="31"/>
      <c r="P47" s="31"/>
      <c r="Q47" s="31"/>
      <c r="R47" s="31"/>
      <c r="S47" s="32"/>
      <c r="T47" s="20"/>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row>
    <row r="48" spans="1:165" ht="15.75" thickBot="1" x14ac:dyDescent="0.3">
      <c r="A48" s="38" t="s">
        <v>146</v>
      </c>
      <c r="B48" s="15"/>
      <c r="C48" s="15"/>
      <c r="D48" s="41"/>
      <c r="E48" s="53"/>
      <c r="F48" s="109"/>
      <c r="G48" s="171"/>
      <c r="H48" s="87"/>
      <c r="I48" s="87"/>
      <c r="J48" s="31"/>
      <c r="K48" s="31"/>
      <c r="L48" s="31"/>
      <c r="M48" s="31"/>
      <c r="N48" s="31"/>
      <c r="O48" s="31"/>
      <c r="P48" s="31"/>
      <c r="Q48" s="31"/>
      <c r="R48" s="31"/>
      <c r="S48" s="32"/>
      <c r="T48" s="20"/>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row>
    <row r="49" spans="1:165" x14ac:dyDescent="0.25">
      <c r="A49" s="24"/>
      <c r="B49" s="25"/>
      <c r="C49" s="25"/>
      <c r="D49" s="30" t="s">
        <v>101</v>
      </c>
      <c r="E49" s="101">
        <v>5</v>
      </c>
      <c r="F49" s="141" t="s">
        <v>29</v>
      </c>
      <c r="G49" s="172" t="str">
        <f>_xlfn.CONCAT(E49, " ",F49)</f>
        <v>5 mΩ</v>
      </c>
      <c r="H49" s="15"/>
      <c r="I49" s="15"/>
      <c r="J49" s="31"/>
      <c r="K49" s="31"/>
      <c r="L49" s="31"/>
      <c r="M49" s="31"/>
      <c r="N49" s="31"/>
      <c r="O49" s="31"/>
      <c r="P49" s="31"/>
      <c r="Q49" s="31"/>
      <c r="R49" s="31"/>
      <c r="S49" s="32"/>
      <c r="T49" s="20"/>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row>
    <row r="50" spans="1:165" ht="15.75" x14ac:dyDescent="0.3">
      <c r="A50" s="38"/>
      <c r="B50" s="15"/>
      <c r="C50" s="15"/>
      <c r="D50" s="41" t="s">
        <v>108</v>
      </c>
      <c r="E50" s="15">
        <f>50/RBAT_SNS</f>
        <v>10</v>
      </c>
      <c r="F50" s="76" t="s">
        <v>2</v>
      </c>
      <c r="G50" s="171"/>
      <c r="H50" s="15"/>
      <c r="I50" s="15"/>
      <c r="J50" s="31"/>
      <c r="K50" s="31"/>
      <c r="L50" s="31"/>
      <c r="M50" s="31"/>
      <c r="N50" s="31"/>
      <c r="O50" s="31"/>
      <c r="P50" s="31"/>
      <c r="Q50" s="31"/>
      <c r="R50" s="31"/>
      <c r="S50" s="32"/>
      <c r="T50" s="20"/>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row>
    <row r="51" spans="1:165" ht="15.75" x14ac:dyDescent="0.3">
      <c r="A51" s="38"/>
      <c r="B51" s="15"/>
      <c r="C51" s="15"/>
      <c r="D51" s="41" t="s">
        <v>109</v>
      </c>
      <c r="E51" s="15">
        <f>125*2/RBAT_SNS</f>
        <v>50</v>
      </c>
      <c r="F51" s="76" t="s">
        <v>106</v>
      </c>
      <c r="G51" s="171"/>
      <c r="H51" s="15"/>
      <c r="I51" s="15"/>
      <c r="J51" s="31"/>
      <c r="K51" s="31"/>
      <c r="L51" s="31"/>
      <c r="M51" s="31">
        <f>27.28*10^3</f>
        <v>27280</v>
      </c>
      <c r="N51" s="31">
        <f>3.02*10^3</f>
        <v>3020</v>
      </c>
      <c r="O51" s="31">
        <f>0.7325</f>
        <v>0.73250000000000004</v>
      </c>
      <c r="P51" s="31">
        <f>0.34375</f>
        <v>0.34375</v>
      </c>
      <c r="Q51" s="31"/>
      <c r="R51" s="31"/>
      <c r="S51" s="32"/>
      <c r="T51" s="20"/>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row>
    <row r="52" spans="1:165" x14ac:dyDescent="0.25">
      <c r="A52" s="38"/>
      <c r="B52" s="15"/>
      <c r="C52" s="15"/>
      <c r="D52" s="34" t="s">
        <v>102</v>
      </c>
      <c r="E52" s="72">
        <v>5</v>
      </c>
      <c r="F52" s="76" t="s">
        <v>2</v>
      </c>
      <c r="G52" s="171"/>
      <c r="H52" s="15"/>
      <c r="I52" s="15"/>
      <c r="J52" s="31"/>
      <c r="K52" s="31"/>
      <c r="L52" s="31"/>
      <c r="M52" s="31">
        <f>M51*N51*(1/O51-1/P51)/(N51*(1/P51-1)-M51*(1/O51-1))</f>
        <v>30307.229926440719</v>
      </c>
      <c r="N52" s="31">
        <f>(1/O51-1)/(1/M52+1/M51)</f>
        <v>5243.008702649624</v>
      </c>
      <c r="O52" s="31"/>
      <c r="P52" s="31"/>
      <c r="Q52" s="31"/>
      <c r="R52" s="31"/>
      <c r="S52" s="32"/>
      <c r="T52" s="20"/>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row>
    <row r="53" spans="1:165" ht="15.75" x14ac:dyDescent="0.3">
      <c r="A53" s="38"/>
      <c r="B53" s="15"/>
      <c r="C53" s="15"/>
      <c r="D53" s="41" t="s">
        <v>103</v>
      </c>
      <c r="E53" s="15">
        <f>50/E52</f>
        <v>10</v>
      </c>
      <c r="F53" s="138" t="s">
        <v>30</v>
      </c>
      <c r="G53" s="171"/>
      <c r="H53" s="15"/>
      <c r="I53" s="15"/>
      <c r="J53" s="31"/>
      <c r="K53" s="31"/>
      <c r="L53" s="31"/>
      <c r="M53" s="31"/>
      <c r="N53" s="31"/>
      <c r="O53" s="31"/>
      <c r="P53" s="31"/>
      <c r="Q53" s="31"/>
      <c r="R53" s="31"/>
      <c r="S53" s="32"/>
      <c r="T53" s="20"/>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row>
    <row r="54" spans="1:165" x14ac:dyDescent="0.25">
      <c r="A54" s="33"/>
      <c r="B54" s="15"/>
      <c r="C54" s="15"/>
      <c r="D54" s="34" t="s">
        <v>104</v>
      </c>
      <c r="E54" s="72">
        <v>10</v>
      </c>
      <c r="F54" s="140" t="s">
        <v>30</v>
      </c>
      <c r="G54" s="172" t="str">
        <f>_xlfn.CONCAT(E54, " ",F54)</f>
        <v>10 kΩ</v>
      </c>
      <c r="H54" s="87">
        <v>1</v>
      </c>
      <c r="I54" s="87">
        <v>50</v>
      </c>
      <c r="J54" s="31"/>
      <c r="K54" s="31"/>
      <c r="L54" s="31"/>
      <c r="M54" s="31"/>
      <c r="N54" s="31"/>
      <c r="O54" s="31"/>
      <c r="P54" s="31"/>
      <c r="Q54" s="31"/>
      <c r="R54" s="31"/>
      <c r="S54" s="32"/>
      <c r="T54" s="20"/>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row>
    <row r="55" spans="1:165" ht="16.5" thickBot="1" x14ac:dyDescent="0.35">
      <c r="A55" s="35"/>
      <c r="B55" s="36"/>
      <c r="C55" s="36"/>
      <c r="D55" s="45" t="s">
        <v>105</v>
      </c>
      <c r="E55" s="102">
        <f>IF(RIOUT=0, "Disabled", 50/RIOUT)</f>
        <v>5</v>
      </c>
      <c r="F55" s="77" t="s">
        <v>2</v>
      </c>
      <c r="G55" s="171" t="str">
        <f>_xlfn.CONCAT(E55, " ",F55)</f>
        <v>5 A</v>
      </c>
      <c r="H55" s="87">
        <f>0.95*$E$52</f>
        <v>4.75</v>
      </c>
      <c r="I55" s="87">
        <f>1.05*$E$52</f>
        <v>5.25</v>
      </c>
      <c r="J55" s="31"/>
      <c r="K55" s="31"/>
      <c r="L55" s="31"/>
      <c r="M55" s="31"/>
      <c r="N55" s="31"/>
      <c r="O55" s="31"/>
      <c r="P55" s="31"/>
      <c r="Q55" s="31"/>
      <c r="R55" s="31"/>
      <c r="S55" s="32"/>
      <c r="T55" s="20"/>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row>
    <row r="56" spans="1:165" x14ac:dyDescent="0.25">
      <c r="A56" s="33"/>
      <c r="B56" s="15"/>
      <c r="C56" s="15"/>
      <c r="D56" s="15"/>
      <c r="E56" s="15"/>
      <c r="F56" s="137"/>
      <c r="G56" s="171"/>
      <c r="H56" s="15"/>
      <c r="I56" s="15"/>
      <c r="J56" s="31"/>
      <c r="K56" s="31"/>
      <c r="L56" s="31"/>
      <c r="M56" s="31"/>
      <c r="N56" s="31"/>
      <c r="O56" s="31"/>
      <c r="P56" s="31"/>
      <c r="Q56" s="31"/>
      <c r="R56" s="31"/>
      <c r="S56" s="32"/>
      <c r="T56" s="20"/>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row>
    <row r="57" spans="1:165" ht="15.75" thickBot="1" x14ac:dyDescent="0.3">
      <c r="A57" s="38" t="s">
        <v>147</v>
      </c>
      <c r="B57" s="15"/>
      <c r="C57" s="15"/>
      <c r="D57" s="15"/>
      <c r="E57" s="15"/>
      <c r="F57" s="137"/>
      <c r="G57" s="171"/>
      <c r="H57" s="15"/>
      <c r="I57" s="15"/>
      <c r="J57" s="31"/>
      <c r="K57" s="31"/>
      <c r="L57" s="31"/>
      <c r="M57" s="31"/>
      <c r="N57" s="31"/>
      <c r="O57" s="31"/>
      <c r="P57" s="31"/>
      <c r="Q57" s="31"/>
      <c r="R57" s="31"/>
      <c r="S57" s="32"/>
      <c r="T57" s="20"/>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row>
    <row r="58" spans="1:165" x14ac:dyDescent="0.25">
      <c r="A58" s="29"/>
      <c r="B58" s="25"/>
      <c r="C58" s="25"/>
      <c r="D58" s="30" t="s">
        <v>85</v>
      </c>
      <c r="E58" s="71">
        <v>5.52</v>
      </c>
      <c r="F58" s="142" t="s">
        <v>1</v>
      </c>
      <c r="G58" s="171"/>
      <c r="H58" s="15"/>
      <c r="I58" s="15"/>
      <c r="J58" s="31"/>
      <c r="K58" s="31"/>
      <c r="L58" s="31"/>
      <c r="M58" s="31"/>
      <c r="N58" s="31"/>
      <c r="O58" s="31"/>
      <c r="P58" s="31"/>
      <c r="Q58" s="31"/>
      <c r="R58" s="31"/>
      <c r="S58" s="32"/>
      <c r="T58" s="20"/>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row>
    <row r="59" spans="1:165" x14ac:dyDescent="0.25">
      <c r="A59" s="33"/>
      <c r="B59" s="15"/>
      <c r="C59" s="15"/>
      <c r="D59" s="34" t="s">
        <v>84</v>
      </c>
      <c r="E59" s="72">
        <v>1.94</v>
      </c>
      <c r="F59" s="138" t="s">
        <v>1</v>
      </c>
      <c r="G59" s="171"/>
      <c r="H59" s="15"/>
      <c r="I59" s="15"/>
      <c r="J59" s="31"/>
      <c r="K59" s="31"/>
      <c r="L59" s="31"/>
      <c r="M59" s="31"/>
      <c r="N59" s="31"/>
      <c r="O59" s="31"/>
      <c r="P59" s="31"/>
      <c r="Q59" s="31"/>
      <c r="R59" s="31"/>
      <c r="S59" s="32"/>
      <c r="T59" s="20"/>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row>
    <row r="60" spans="1:165" ht="15.75" x14ac:dyDescent="0.3">
      <c r="A60" s="100"/>
      <c r="B60" s="15"/>
      <c r="C60" s="15"/>
      <c r="D60" s="41" t="s">
        <v>86</v>
      </c>
      <c r="E60" s="15">
        <v>1000</v>
      </c>
      <c r="F60" s="138" t="s">
        <v>30</v>
      </c>
      <c r="G60" s="171"/>
      <c r="H60" s="15"/>
      <c r="I60" s="15"/>
      <c r="J60" s="31"/>
      <c r="K60" s="31"/>
      <c r="L60" s="31"/>
      <c r="M60" s="31"/>
      <c r="N60" s="31"/>
      <c r="O60" s="31"/>
      <c r="P60" s="31"/>
      <c r="Q60" s="31"/>
      <c r="R60" s="31"/>
      <c r="S60" s="32"/>
      <c r="T60" s="20"/>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row>
    <row r="61" spans="1:165" ht="15.75" x14ac:dyDescent="0.3">
      <c r="A61" s="33"/>
      <c r="B61" s="15"/>
      <c r="C61" s="15"/>
      <c r="D61" s="41" t="s">
        <v>87</v>
      </c>
      <c r="E61" s="43">
        <f>RAC1_R*(1.1-1.2*ACUV_D/ACOV_D)/(ACUV_D-1.1)</f>
        <v>807.45341614906863</v>
      </c>
      <c r="F61" s="138" t="s">
        <v>30</v>
      </c>
      <c r="G61" s="171"/>
      <c r="H61" s="15"/>
      <c r="I61" s="15"/>
      <c r="J61" s="31"/>
      <c r="K61" s="31"/>
      <c r="L61" s="31"/>
      <c r="M61" s="31"/>
      <c r="N61" s="31"/>
      <c r="O61" s="31"/>
      <c r="P61" s="31"/>
      <c r="Q61" s="31"/>
      <c r="R61" s="31"/>
      <c r="S61" s="32"/>
      <c r="T61" s="20"/>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row>
    <row r="62" spans="1:165" ht="15.75" x14ac:dyDescent="0.3">
      <c r="A62" s="33"/>
      <c r="B62" s="15"/>
      <c r="C62" s="15"/>
      <c r="D62" s="41" t="s">
        <v>88</v>
      </c>
      <c r="E62" s="43">
        <f>(1.2*(RAC1_R+RAC2_R)/(ACOV_D-1.2))</f>
        <v>502.0703933747414</v>
      </c>
      <c r="F62" s="138" t="s">
        <v>30</v>
      </c>
      <c r="G62" s="171"/>
      <c r="H62" s="15"/>
      <c r="I62" s="15"/>
      <c r="J62" s="31"/>
      <c r="K62" s="31"/>
      <c r="L62" s="31"/>
      <c r="M62" s="31"/>
      <c r="N62" s="31"/>
      <c r="O62" s="31"/>
      <c r="P62" s="31"/>
      <c r="Q62" s="31"/>
      <c r="R62" s="31"/>
      <c r="S62" s="32"/>
      <c r="T62" s="20"/>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row>
    <row r="63" spans="1:165" x14ac:dyDescent="0.25">
      <c r="A63" s="33"/>
      <c r="B63" s="15"/>
      <c r="C63" s="15"/>
      <c r="D63" s="34" t="s">
        <v>89</v>
      </c>
      <c r="E63" s="72">
        <v>1000</v>
      </c>
      <c r="F63" s="138" t="s">
        <v>30</v>
      </c>
      <c r="G63" s="172" t="str">
        <f>_xlfn.CONCAT(E63, " ",F63)</f>
        <v>1000 kΩ</v>
      </c>
      <c r="H63" s="15"/>
      <c r="I63" s="15"/>
      <c r="J63" s="31"/>
      <c r="K63" s="31"/>
      <c r="L63" s="31"/>
      <c r="M63" s="31"/>
      <c r="N63" s="31"/>
      <c r="O63" s="31"/>
      <c r="P63" s="31"/>
      <c r="Q63" s="31"/>
      <c r="R63" s="31"/>
      <c r="S63" s="32"/>
      <c r="T63" s="20"/>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row>
    <row r="64" spans="1:165" x14ac:dyDescent="0.25">
      <c r="A64" s="33"/>
      <c r="B64" s="15"/>
      <c r="C64" s="15"/>
      <c r="D64" s="34" t="s">
        <v>90</v>
      </c>
      <c r="E64" s="72">
        <v>800</v>
      </c>
      <c r="F64" s="138" t="s">
        <v>30</v>
      </c>
      <c r="G64" s="172" t="str">
        <f>_xlfn.CONCAT(E64, " ",F64)</f>
        <v>800 kΩ</v>
      </c>
      <c r="H64" s="15"/>
      <c r="I64" s="15"/>
      <c r="J64" s="31"/>
      <c r="K64" s="31"/>
      <c r="L64" s="31"/>
      <c r="M64" s="31"/>
      <c r="N64" s="31"/>
      <c r="O64" s="31"/>
      <c r="P64" s="31"/>
      <c r="Q64" s="31"/>
      <c r="R64" s="31"/>
      <c r="S64" s="32"/>
      <c r="T64" s="20"/>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row>
    <row r="65" spans="1:165" x14ac:dyDescent="0.25">
      <c r="A65" s="33"/>
      <c r="B65" s="15"/>
      <c r="C65" s="15"/>
      <c r="D65" s="34" t="s">
        <v>91</v>
      </c>
      <c r="E65" s="72">
        <v>500</v>
      </c>
      <c r="F65" s="138" t="s">
        <v>30</v>
      </c>
      <c r="G65" s="172" t="str">
        <f>_xlfn.CONCAT(E65, " ",F65)</f>
        <v>500 kΩ</v>
      </c>
      <c r="H65" s="15"/>
      <c r="I65" s="15"/>
      <c r="J65" s="31"/>
      <c r="K65" s="31"/>
      <c r="L65" s="31"/>
      <c r="M65" s="31"/>
      <c r="N65" s="31"/>
      <c r="O65" s="31"/>
      <c r="P65" s="31"/>
      <c r="Q65" s="31"/>
      <c r="R65" s="31"/>
      <c r="S65" s="32"/>
      <c r="T65" s="20"/>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row>
    <row r="66" spans="1:165" x14ac:dyDescent="0.25">
      <c r="A66" s="33"/>
      <c r="B66" s="15"/>
      <c r="C66" s="15"/>
      <c r="D66" s="41" t="s">
        <v>92</v>
      </c>
      <c r="E66" s="43">
        <f>1.2*(RAC1_S+RAC2_S+RAC3_S)/RAC3_S</f>
        <v>5.52</v>
      </c>
      <c r="F66" s="76" t="s">
        <v>1</v>
      </c>
      <c r="G66" s="171"/>
      <c r="H66" s="87">
        <f>ACOV_D*0.95</f>
        <v>5.2439999999999998</v>
      </c>
      <c r="I66" s="87">
        <f>ACOV_D*1.05</f>
        <v>5.7959999999999994</v>
      </c>
      <c r="J66" s="31"/>
      <c r="K66" s="31"/>
      <c r="L66" s="31"/>
      <c r="M66" s="31"/>
      <c r="N66" s="31"/>
      <c r="O66" s="31"/>
      <c r="P66" s="31"/>
      <c r="Q66" s="31"/>
      <c r="R66" s="31"/>
      <c r="S66" s="32"/>
      <c r="T66" s="20"/>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row>
    <row r="67" spans="1:165" ht="15.75" thickBot="1" x14ac:dyDescent="0.3">
      <c r="A67" s="35"/>
      <c r="B67" s="36"/>
      <c r="C67" s="36"/>
      <c r="D67" s="45" t="s">
        <v>93</v>
      </c>
      <c r="E67" s="46">
        <f>1.1*(RAC1_S+RAC2_S+RAC3_S)/(RAC2_S+RAC3_S)</f>
        <v>1.9461538461538461</v>
      </c>
      <c r="F67" s="77" t="s">
        <v>1</v>
      </c>
      <c r="G67" s="171"/>
      <c r="H67" s="87">
        <f>ACUV_D*0.95</f>
        <v>1.843</v>
      </c>
      <c r="I67" s="87">
        <f>ACUV_D*1.05</f>
        <v>2.0369999999999999</v>
      </c>
      <c r="J67" s="31"/>
      <c r="K67" s="31"/>
      <c r="L67" s="31"/>
      <c r="M67" s="31"/>
      <c r="N67" s="31"/>
      <c r="O67" s="31"/>
      <c r="P67" s="31"/>
      <c r="Q67" s="31"/>
      <c r="R67" s="31"/>
      <c r="S67" s="32"/>
      <c r="T67" s="20"/>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row>
    <row r="68" spans="1:165" x14ac:dyDescent="0.25">
      <c r="A68" s="33"/>
      <c r="B68" s="15"/>
      <c r="C68" s="15"/>
      <c r="D68" s="15"/>
      <c r="E68" s="15"/>
      <c r="F68" s="137"/>
      <c r="G68" s="171"/>
      <c r="H68" s="15"/>
      <c r="I68" s="15"/>
      <c r="J68" s="31"/>
      <c r="K68" s="31"/>
      <c r="L68" s="31"/>
      <c r="M68" s="31"/>
      <c r="N68" s="31"/>
      <c r="O68" s="31"/>
      <c r="P68" s="31"/>
      <c r="Q68" s="31"/>
      <c r="R68" s="31"/>
      <c r="S68" s="32"/>
      <c r="T68" s="20"/>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row>
    <row r="69" spans="1:165" ht="15.75" thickBot="1" x14ac:dyDescent="0.3">
      <c r="A69" s="38" t="s">
        <v>148</v>
      </c>
      <c r="B69" s="15"/>
      <c r="C69" s="15"/>
      <c r="D69" s="15"/>
      <c r="E69" s="15"/>
      <c r="F69" s="137"/>
      <c r="G69" s="171"/>
      <c r="H69" s="15"/>
      <c r="I69" s="15"/>
      <c r="J69" s="31"/>
      <c r="K69" s="31"/>
      <c r="L69" s="31"/>
      <c r="M69" s="31"/>
      <c r="N69" s="31"/>
      <c r="O69" s="31"/>
      <c r="P69" s="31"/>
      <c r="Q69" s="31"/>
      <c r="R69" s="31"/>
      <c r="S69" s="32"/>
      <c r="T69" s="20"/>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row>
    <row r="70" spans="1:165" x14ac:dyDescent="0.25">
      <c r="A70" s="24"/>
      <c r="B70" s="25"/>
      <c r="C70" s="25"/>
      <c r="D70" s="30" t="s">
        <v>117</v>
      </c>
      <c r="E70" s="71">
        <v>16.8</v>
      </c>
      <c r="F70" s="143" t="s">
        <v>1</v>
      </c>
      <c r="G70" s="171"/>
      <c r="H70" s="87">
        <v>70</v>
      </c>
      <c r="I70" s="15"/>
      <c r="J70" s="31"/>
      <c r="K70" s="31"/>
      <c r="L70" s="31"/>
      <c r="M70" s="31"/>
      <c r="N70" s="31"/>
      <c r="O70" s="31"/>
      <c r="P70" s="31"/>
      <c r="Q70" s="31"/>
      <c r="R70" s="31"/>
      <c r="S70" s="32"/>
      <c r="T70" s="20"/>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row>
    <row r="71" spans="1:165" ht="15.75" x14ac:dyDescent="0.3">
      <c r="A71" s="38"/>
      <c r="B71" s="15"/>
      <c r="C71" s="15"/>
      <c r="D71" s="41" t="s">
        <v>340</v>
      </c>
      <c r="E71" s="15">
        <v>249</v>
      </c>
      <c r="F71" s="138" t="s">
        <v>30</v>
      </c>
      <c r="G71" s="171"/>
      <c r="H71" s="15">
        <v>33</v>
      </c>
      <c r="I71" s="15">
        <v>1.536</v>
      </c>
      <c r="J71" s="31"/>
      <c r="K71" s="31"/>
      <c r="L71" s="31"/>
      <c r="M71" s="31"/>
      <c r="N71" s="31"/>
      <c r="O71" s="31"/>
      <c r="P71" s="31"/>
      <c r="Q71" s="31"/>
      <c r="R71" s="31"/>
      <c r="S71" s="32"/>
      <c r="T71" s="20"/>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row>
    <row r="72" spans="1:165" ht="15.75" x14ac:dyDescent="0.3">
      <c r="A72" s="38"/>
      <c r="B72" s="15"/>
      <c r="C72" s="15"/>
      <c r="D72" s="41" t="s">
        <v>341</v>
      </c>
      <c r="E72" s="169">
        <f>IF(K72&lt;L72,I72,J72)</f>
        <v>25.179184879032217</v>
      </c>
      <c r="F72" s="138" t="s">
        <v>30</v>
      </c>
      <c r="G72" s="171"/>
      <c r="H72" s="22">
        <f>(RFB_TOP_R*10^3*VFB_Default/(VBATREG_D-VFB_Default)+R_FBG)/10^3</f>
        <v>25.089603773584901</v>
      </c>
      <c r="I72" s="15">
        <f>INDEX(stdres_0p1pct[Resistance], (MATCH(R_FB_BOT_Ideal*10^3, stdres_0p1pct[Resistance],1)))/10^3</f>
        <v>24.879023672388364</v>
      </c>
      <c r="J72" s="15">
        <f>INDEX(stdres_0p1pct[Resistance], (MATCH(R_FB_BOT_Ideal*10^3, stdres_0p1pct[Resistance],1)+1))/10^3</f>
        <v>25.179184879032217</v>
      </c>
      <c r="K72" s="31">
        <f>ABS(R_FB_BOT_Ideal-$I$72)</f>
        <v>0.21058010119653758</v>
      </c>
      <c r="L72" s="31">
        <f>ABS(R_FB_BOT_Ideal-$J$72)</f>
        <v>8.9581105447315679E-2</v>
      </c>
      <c r="M72" s="31"/>
      <c r="N72" s="31"/>
      <c r="O72" s="31"/>
      <c r="P72" s="31"/>
      <c r="Q72" s="31"/>
      <c r="R72" s="31"/>
      <c r="S72" s="32"/>
      <c r="T72" s="20"/>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row>
    <row r="73" spans="1:165" ht="15.75" x14ac:dyDescent="0.3">
      <c r="A73" s="38"/>
      <c r="B73" s="15"/>
      <c r="C73" s="15"/>
      <c r="D73" s="41" t="s">
        <v>239</v>
      </c>
      <c r="E73" s="169">
        <f>IF(N73&lt;O73,V_FB_FLOOR,V_FB_CEILING)</f>
        <v>1.54</v>
      </c>
      <c r="F73" s="138" t="s">
        <v>1</v>
      </c>
      <c r="G73" s="170"/>
      <c r="H73" s="15">
        <f>((RFB_BOT_R*10^3-R_FBG)*VBATREG_D)/(RFB_TOP_R*10^3+RFB_BOT_R*10^3-R_FBG)</f>
        <v>1.5409877257790443</v>
      </c>
      <c r="I73" s="15">
        <v>2E-3</v>
      </c>
      <c r="J73" s="15">
        <f>FLOOR(V_FB_Ideal/V_FB_Step,1)*V_FB_Step</f>
        <v>1.54</v>
      </c>
      <c r="K73" s="31">
        <f>V_FB_FLOOR+V_FB_Step</f>
        <v>1.542</v>
      </c>
      <c r="L73" s="31">
        <f>RFB_TOP_R*10^3*V_FB_FLOOR/(RFB_BOT_R*10^3-R_FBG)+V_FB_FLOOR</f>
        <v>16.789231716249034</v>
      </c>
      <c r="M73" s="31">
        <f>RFB_TOP_R*10^3*V_FB_CEILING/(RFB_BOT_R*10^3-R_FBG)+V_FB_CEILING</f>
        <v>16.811035913283124</v>
      </c>
      <c r="N73" s="31">
        <f>ABS(VBATREG_D-VBATREG_FLOOR)</f>
        <v>1.076828375096639E-2</v>
      </c>
      <c r="O73" s="31">
        <f>ABS(VBATREG_D-VBATREG_CEILING)</f>
        <v>1.1035913283123477E-2</v>
      </c>
      <c r="P73" s="31"/>
      <c r="Q73" s="31"/>
      <c r="R73" s="31"/>
      <c r="S73" s="32"/>
      <c r="T73" s="20"/>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row>
    <row r="74" spans="1:165" x14ac:dyDescent="0.25">
      <c r="A74" s="38"/>
      <c r="B74" s="15"/>
      <c r="C74" s="15"/>
      <c r="D74" s="34" t="s">
        <v>119</v>
      </c>
      <c r="E74" s="72">
        <v>249</v>
      </c>
      <c r="F74" s="140" t="s">
        <v>30</v>
      </c>
      <c r="G74" s="172" t="str">
        <f>_xlfn.CONCAT(E74, " ",F74)</f>
        <v>249 kΩ</v>
      </c>
      <c r="H74" s="87">
        <f>IF(OR(VBATREG&lt;$H$77,VBATREG&gt;$I$77), 1, 0)</f>
        <v>0</v>
      </c>
      <c r="I74" s="87"/>
      <c r="J74" s="31"/>
      <c r="K74" s="31"/>
      <c r="L74" s="31"/>
      <c r="M74" s="31"/>
      <c r="N74" s="31"/>
      <c r="O74" s="31"/>
      <c r="P74" s="31"/>
      <c r="Q74" s="31"/>
      <c r="R74" s="31"/>
      <c r="S74" s="32"/>
      <c r="T74" s="20"/>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row>
    <row r="75" spans="1:165" x14ac:dyDescent="0.25">
      <c r="A75" s="38"/>
      <c r="B75" s="15"/>
      <c r="C75" s="15"/>
      <c r="D75" s="34" t="s">
        <v>120</v>
      </c>
      <c r="E75" s="72">
        <v>25.178999999999998</v>
      </c>
      <c r="F75" s="140" t="s">
        <v>30</v>
      </c>
      <c r="G75" s="172" t="str">
        <f>_xlfn.CONCAT(FIXED(E75,2), " ",F75)</f>
        <v>25.18 kΩ</v>
      </c>
      <c r="H75" s="87">
        <f>IF(OR(VBATREG&lt;$H$77,VBATREG&gt;$I$77), 1, 0)</f>
        <v>0</v>
      </c>
      <c r="I75" s="87"/>
      <c r="J75" s="31"/>
      <c r="K75" s="31"/>
      <c r="L75" s="31"/>
      <c r="M75" s="31"/>
      <c r="N75" s="31"/>
      <c r="O75" s="31"/>
      <c r="P75" s="31"/>
      <c r="Q75" s="31"/>
      <c r="R75" s="31"/>
      <c r="S75" s="32"/>
      <c r="T75" s="20"/>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row>
    <row r="76" spans="1:165" x14ac:dyDescent="0.25">
      <c r="A76" s="38"/>
      <c r="B76" s="15"/>
      <c r="C76" s="15"/>
      <c r="D76" s="34" t="s">
        <v>118</v>
      </c>
      <c r="E76" s="72">
        <v>1.54</v>
      </c>
      <c r="F76" s="140" t="s">
        <v>1</v>
      </c>
      <c r="G76" s="171"/>
      <c r="H76" s="15">
        <v>1.504</v>
      </c>
      <c r="I76" s="15">
        <f>H76+0.002</f>
        <v>1.506</v>
      </c>
      <c r="J76" s="31">
        <f t="shared" ref="J76:AM76" si="0">I76+0.002</f>
        <v>1.508</v>
      </c>
      <c r="K76" s="31">
        <f t="shared" si="0"/>
        <v>1.51</v>
      </c>
      <c r="L76" s="31">
        <f t="shared" si="0"/>
        <v>1.512</v>
      </c>
      <c r="M76" s="31">
        <f t="shared" si="0"/>
        <v>1.514</v>
      </c>
      <c r="N76" s="31">
        <f t="shared" si="0"/>
        <v>1.516</v>
      </c>
      <c r="O76" s="31">
        <f t="shared" si="0"/>
        <v>1.518</v>
      </c>
      <c r="P76" s="31">
        <f t="shared" si="0"/>
        <v>1.52</v>
      </c>
      <c r="Q76" s="31">
        <f t="shared" si="0"/>
        <v>1.522</v>
      </c>
      <c r="R76" s="31">
        <f t="shared" si="0"/>
        <v>1.524</v>
      </c>
      <c r="S76" s="32">
        <f t="shared" si="0"/>
        <v>1.526</v>
      </c>
      <c r="T76" s="20">
        <f t="shared" si="0"/>
        <v>1.528</v>
      </c>
      <c r="U76" s="21">
        <f t="shared" si="0"/>
        <v>1.53</v>
      </c>
      <c r="V76" s="21">
        <f t="shared" si="0"/>
        <v>1.532</v>
      </c>
      <c r="W76" s="21">
        <f t="shared" si="0"/>
        <v>1.534</v>
      </c>
      <c r="X76" s="21">
        <f t="shared" si="0"/>
        <v>1.536</v>
      </c>
      <c r="Y76" s="21">
        <f t="shared" si="0"/>
        <v>1.538</v>
      </c>
      <c r="Z76" s="21">
        <f t="shared" si="0"/>
        <v>1.54</v>
      </c>
      <c r="AA76" s="21">
        <f t="shared" si="0"/>
        <v>1.542</v>
      </c>
      <c r="AB76" s="21">
        <f t="shared" si="0"/>
        <v>1.544</v>
      </c>
      <c r="AC76" s="21">
        <f t="shared" si="0"/>
        <v>1.546</v>
      </c>
      <c r="AD76" s="21">
        <f t="shared" si="0"/>
        <v>1.548</v>
      </c>
      <c r="AE76" s="21">
        <f t="shared" si="0"/>
        <v>1.55</v>
      </c>
      <c r="AF76" s="21">
        <f t="shared" si="0"/>
        <v>1.552</v>
      </c>
      <c r="AG76" s="21">
        <f t="shared" si="0"/>
        <v>1.554</v>
      </c>
      <c r="AH76" s="21">
        <f t="shared" si="0"/>
        <v>1.556</v>
      </c>
      <c r="AI76" s="21">
        <f t="shared" si="0"/>
        <v>1.5580000000000001</v>
      </c>
      <c r="AJ76" s="21">
        <f t="shared" si="0"/>
        <v>1.56</v>
      </c>
      <c r="AK76" s="21">
        <f t="shared" si="0"/>
        <v>1.5620000000000001</v>
      </c>
      <c r="AL76" s="21">
        <f t="shared" si="0"/>
        <v>1.5640000000000001</v>
      </c>
      <c r="AM76" s="21">
        <f t="shared" si="0"/>
        <v>1.5660000000000001</v>
      </c>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row>
    <row r="77" spans="1:165" ht="16.5" thickBot="1" x14ac:dyDescent="0.35">
      <c r="A77" s="105"/>
      <c r="B77" s="36"/>
      <c r="C77" s="36"/>
      <c r="D77" s="45" t="s">
        <v>121</v>
      </c>
      <c r="E77" s="46">
        <f>R_FB_TOP*10^3*VFB_S/(R_FB_BOT*10^3-R_FBG)+VFB_S</f>
        <v>16.789343832020997</v>
      </c>
      <c r="F77" s="144" t="s">
        <v>1</v>
      </c>
      <c r="G77" s="171"/>
      <c r="H77" s="87">
        <f>VBATREG_D*0.995</f>
        <v>16.716000000000001</v>
      </c>
      <c r="I77" s="87">
        <f>VBATREG_D*1.005</f>
        <v>16.884</v>
      </c>
      <c r="J77" s="31"/>
      <c r="K77" s="31"/>
      <c r="L77" s="31"/>
      <c r="M77" s="31"/>
      <c r="N77" s="31"/>
      <c r="O77" s="31"/>
      <c r="P77" s="31"/>
      <c r="Q77" s="31"/>
      <c r="R77" s="31"/>
      <c r="S77" s="32"/>
      <c r="T77" s="20"/>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row>
    <row r="78" spans="1:165" x14ac:dyDescent="0.25">
      <c r="A78" s="33"/>
      <c r="B78" s="15"/>
      <c r="C78" s="15"/>
      <c r="D78" s="15"/>
      <c r="E78" s="15"/>
      <c r="F78" s="137"/>
      <c r="G78" s="171"/>
      <c r="H78" s="15"/>
      <c r="I78" s="15"/>
      <c r="J78" s="31"/>
      <c r="K78" s="31"/>
      <c r="L78" s="31"/>
      <c r="M78" s="31"/>
      <c r="N78" s="31"/>
      <c r="O78" s="31"/>
      <c r="P78" s="31"/>
      <c r="Q78" s="31"/>
      <c r="R78" s="31"/>
      <c r="S78" s="32"/>
      <c r="T78" s="20"/>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row>
    <row r="79" spans="1:165" ht="15.75" thickBot="1" x14ac:dyDescent="0.3">
      <c r="A79" s="237" t="s">
        <v>149</v>
      </c>
      <c r="B79" s="238"/>
      <c r="C79" s="238"/>
      <c r="D79" s="15"/>
      <c r="E79" s="15"/>
      <c r="F79" s="137"/>
      <c r="G79" s="171"/>
      <c r="H79" s="15"/>
      <c r="I79" s="15"/>
      <c r="J79" s="31"/>
      <c r="K79" s="31"/>
      <c r="L79" s="31"/>
      <c r="M79" s="31"/>
      <c r="N79" s="31"/>
      <c r="O79" s="31"/>
      <c r="P79" s="31"/>
      <c r="Q79" s="31"/>
      <c r="R79" s="31"/>
      <c r="S79" s="32"/>
      <c r="T79" s="20"/>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row>
    <row r="80" spans="1:165" x14ac:dyDescent="0.25">
      <c r="A80" s="29"/>
      <c r="B80" s="25"/>
      <c r="C80" s="25"/>
      <c r="D80" s="30" t="s">
        <v>335</v>
      </c>
      <c r="E80" s="71">
        <v>0</v>
      </c>
      <c r="F80" s="142" t="s">
        <v>124</v>
      </c>
      <c r="G80" s="171"/>
      <c r="H80" s="15">
        <v>-10</v>
      </c>
      <c r="I80" s="15">
        <v>-5</v>
      </c>
      <c r="J80" s="31">
        <v>0</v>
      </c>
      <c r="K80" s="31">
        <v>5</v>
      </c>
      <c r="L80" s="31">
        <v>0.77149999999999996</v>
      </c>
      <c r="M80" s="31">
        <v>0.75319999999999998</v>
      </c>
      <c r="N80" s="31">
        <v>0.73250000000000004</v>
      </c>
      <c r="O80" s="31">
        <v>0.71099999999999997</v>
      </c>
      <c r="P80" s="31">
        <f>IF(TCOLD=T1_N10, T1_N10_P, IF(TCOLD=T1_N5, T1_N5_P, IF(TCOLD=T1_0, T1_0_P, IF(TCOLD=T1_5, T1_5_P, "Error"))))</f>
        <v>0.73250000000000004</v>
      </c>
      <c r="Q80" s="31"/>
      <c r="R80" s="31"/>
      <c r="S80" s="32"/>
      <c r="T80" s="20"/>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row>
    <row r="81" spans="1:165" x14ac:dyDescent="0.25">
      <c r="A81" s="33"/>
      <c r="B81" s="15"/>
      <c r="C81" s="15"/>
      <c r="D81" s="34" t="s">
        <v>336</v>
      </c>
      <c r="E81" s="72">
        <v>50</v>
      </c>
      <c r="F81" s="138" t="s">
        <v>124</v>
      </c>
      <c r="G81" s="171"/>
      <c r="H81" s="15">
        <v>50</v>
      </c>
      <c r="I81" s="15">
        <v>55</v>
      </c>
      <c r="J81" s="31">
        <v>60</v>
      </c>
      <c r="K81" s="31">
        <v>65</v>
      </c>
      <c r="L81" s="31">
        <v>0.41199999999999998</v>
      </c>
      <c r="M81" s="31">
        <v>0.377</v>
      </c>
      <c r="N81" s="31">
        <v>0.34375</v>
      </c>
      <c r="O81" s="31">
        <v>0.3125</v>
      </c>
      <c r="P81" s="31">
        <f>IF(THOT=T5_50,T_50_P,IF(THOT=T5_55,T5_55_P,IF(THOT=T_60,T5_60_P,IF(THOT=T5_65_P,"Error"))))</f>
        <v>0.41199999999999998</v>
      </c>
      <c r="Q81" s="31"/>
      <c r="R81" s="31"/>
      <c r="S81" s="32"/>
      <c r="T81" s="20"/>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row>
    <row r="82" spans="1:165" x14ac:dyDescent="0.25">
      <c r="A82" s="33"/>
      <c r="B82" s="15"/>
      <c r="C82" s="15"/>
      <c r="D82" s="34" t="s">
        <v>122</v>
      </c>
      <c r="E82" s="72">
        <v>27.28</v>
      </c>
      <c r="F82" s="140" t="s">
        <v>30</v>
      </c>
      <c r="G82" s="172" t="str">
        <f>_xlfn.CONCAT(FIXED(E82,2), " ",F82)</f>
        <v>27.28 kΩ</v>
      </c>
      <c r="H82" s="15"/>
      <c r="I82" s="15"/>
      <c r="J82" s="31"/>
      <c r="K82" s="31"/>
      <c r="L82" s="31"/>
      <c r="M82" s="31"/>
      <c r="N82" s="31"/>
      <c r="O82" s="31"/>
      <c r="P82" s="31"/>
      <c r="Q82" s="31"/>
      <c r="R82" s="31"/>
      <c r="S82" s="32"/>
      <c r="T82" s="20"/>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row>
    <row r="83" spans="1:165" x14ac:dyDescent="0.25">
      <c r="A83" s="33"/>
      <c r="B83" s="15"/>
      <c r="C83" s="15"/>
      <c r="D83" s="34" t="s">
        <v>123</v>
      </c>
      <c r="E83" s="72">
        <v>3.02</v>
      </c>
      <c r="F83" s="140" t="s">
        <v>30</v>
      </c>
      <c r="G83" s="172" t="str">
        <f>_xlfn.CONCAT(FIXED(E83,2), " ",F83)</f>
        <v>3.02 kΩ</v>
      </c>
      <c r="H83" s="15"/>
      <c r="I83" s="15"/>
      <c r="J83" s="31"/>
      <c r="K83" s="31"/>
      <c r="L83" s="31"/>
      <c r="M83" s="31"/>
      <c r="N83" s="31"/>
      <c r="O83" s="31"/>
      <c r="P83" s="31"/>
      <c r="Q83" s="31"/>
      <c r="R83" s="31"/>
      <c r="S83" s="32"/>
      <c r="T83" s="20"/>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row>
    <row r="84" spans="1:165" x14ac:dyDescent="0.25">
      <c r="A84" s="33"/>
      <c r="B84" s="15"/>
      <c r="C84" s="15"/>
      <c r="D84" s="41" t="s">
        <v>342</v>
      </c>
      <c r="E84" s="43">
        <f>(1/T1_P_Select-1)/(1/(RT2_R*10^3)+1/(RTHCOLD*10^3))/10^3</f>
        <v>3.606481437344156</v>
      </c>
      <c r="F84" s="138" t="s">
        <v>30</v>
      </c>
      <c r="G84" s="172" t="str">
        <f>_xlfn.CONCAT(FIXED(E84,2), " ",F84)</f>
        <v>3.61 kΩ</v>
      </c>
      <c r="H84" s="15"/>
      <c r="I84" s="15"/>
      <c r="J84" s="31"/>
      <c r="K84" s="31"/>
      <c r="L84" s="31"/>
      <c r="M84" s="31"/>
      <c r="N84" s="31"/>
      <c r="O84" s="31"/>
      <c r="P84" s="31"/>
      <c r="Q84" s="31"/>
      <c r="R84" s="31"/>
      <c r="S84" s="32"/>
      <c r="T84" s="20"/>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row>
    <row r="85" spans="1:165" ht="15.75" thickBot="1" x14ac:dyDescent="0.3">
      <c r="A85" s="35"/>
      <c r="B85" s="36"/>
      <c r="C85" s="36"/>
      <c r="D85" s="45" t="s">
        <v>343</v>
      </c>
      <c r="E85" s="46">
        <f>(RTHCOLD*10^3*RTHHOT*10^3*(1/T1_P_Select-1/T5_P_Select))/(RTHHOT*10^3*(1/T5_P_Select-1)-RTHCOLD*10^3*(1/T1_P_Select-1))/10^3</f>
        <v>15.479436735447154</v>
      </c>
      <c r="F85" s="144" t="s">
        <v>30</v>
      </c>
      <c r="G85" s="172" t="str">
        <f>_xlfn.CONCAT(FIXED(E85,2), " ",F85)</f>
        <v>15.48 kΩ</v>
      </c>
      <c r="H85" s="15"/>
      <c r="I85" s="15"/>
      <c r="J85" s="31"/>
      <c r="K85" s="31"/>
      <c r="L85" s="31"/>
      <c r="M85" s="31"/>
      <c r="N85" s="31"/>
      <c r="O85" s="31"/>
      <c r="P85" s="31"/>
      <c r="Q85" s="31"/>
      <c r="R85" s="31"/>
      <c r="S85" s="32"/>
      <c r="T85" s="20"/>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row>
    <row r="86" spans="1:165" x14ac:dyDescent="0.25">
      <c r="A86" s="33"/>
      <c r="B86" s="15"/>
      <c r="C86" s="15"/>
      <c r="D86" s="15"/>
      <c r="E86" s="15"/>
      <c r="F86" s="137"/>
      <c r="G86" s="171"/>
      <c r="H86" s="15"/>
      <c r="I86" s="15"/>
      <c r="J86" s="31"/>
      <c r="K86" s="31"/>
      <c r="L86" s="31"/>
      <c r="M86" s="31"/>
      <c r="N86" s="31"/>
      <c r="O86" s="31"/>
      <c r="P86" s="31"/>
      <c r="Q86" s="31"/>
      <c r="R86" s="31"/>
      <c r="S86" s="32"/>
      <c r="T86" s="20"/>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row>
    <row r="87" spans="1:165" ht="15.75" thickBot="1" x14ac:dyDescent="0.3">
      <c r="A87" s="38" t="s">
        <v>150</v>
      </c>
      <c r="B87" s="51"/>
      <c r="C87" s="51"/>
      <c r="D87" s="41"/>
      <c r="E87" s="51"/>
      <c r="F87" s="145"/>
      <c r="G87" s="171"/>
      <c r="H87" s="15"/>
      <c r="I87" s="15"/>
      <c r="J87" s="31"/>
      <c r="K87" s="31"/>
      <c r="L87" s="31"/>
      <c r="M87" s="31"/>
      <c r="N87" s="31"/>
      <c r="O87" s="31"/>
      <c r="P87" s="31"/>
      <c r="Q87" s="31"/>
      <c r="R87" s="31"/>
      <c r="S87" s="32"/>
      <c r="T87" s="20"/>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row>
    <row r="88" spans="1:165" x14ac:dyDescent="0.25">
      <c r="A88" s="24"/>
      <c r="B88" s="52"/>
      <c r="C88" s="52"/>
      <c r="D88" s="30" t="s">
        <v>112</v>
      </c>
      <c r="E88" s="73" t="s">
        <v>110</v>
      </c>
      <c r="F88" s="14"/>
      <c r="G88" s="171"/>
      <c r="H88" s="15" t="s">
        <v>110</v>
      </c>
      <c r="I88" s="15" t="s">
        <v>111</v>
      </c>
      <c r="J88" s="31"/>
      <c r="K88" s="31"/>
      <c r="L88" s="31"/>
      <c r="M88" s="31"/>
      <c r="N88" s="31"/>
      <c r="O88" s="31"/>
      <c r="P88" s="31"/>
      <c r="Q88" s="31"/>
      <c r="R88" s="116"/>
      <c r="S88" s="32"/>
      <c r="T88" s="20"/>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row>
    <row r="89" spans="1:165" ht="15.75" x14ac:dyDescent="0.3">
      <c r="A89" s="38"/>
      <c r="B89" s="51"/>
      <c r="C89" s="51"/>
      <c r="D89" s="41" t="s">
        <v>34</v>
      </c>
      <c r="E89" s="41">
        <f>IF(Desired_Operation=Buck_Boost, H89, IF(L&lt;($I$94+$J$94)/2, I89, IF(L&lt;($J$94+$K$94)/2, J89, IF(L&lt;($K$94+$L$94)/2, K89, IF(L&lt;($L$94+$M$94)/2, L89, IF(L&lt;($M$94+$N$94)/2, M89, IF(L&lt;($N$94+$O$94)/2, N89, IF(L&lt;($O$94), O89, P89)) ) )))))</f>
        <v>0</v>
      </c>
      <c r="F89" s="11" t="s">
        <v>30</v>
      </c>
      <c r="G89" s="171"/>
      <c r="H89" s="53">
        <v>0</v>
      </c>
      <c r="I89" s="53">
        <v>4.34</v>
      </c>
      <c r="J89" s="54">
        <v>5.72</v>
      </c>
      <c r="K89" s="54">
        <v>7.34</v>
      </c>
      <c r="L89" s="54">
        <v>9.91</v>
      </c>
      <c r="M89" s="54">
        <v>12.94</v>
      </c>
      <c r="N89" s="54">
        <v>16.399999999999999</v>
      </c>
      <c r="O89" s="54">
        <v>21.89</v>
      </c>
      <c r="P89" s="54">
        <v>46.8</v>
      </c>
      <c r="Q89" s="54"/>
      <c r="R89" s="54"/>
      <c r="S89" s="32"/>
      <c r="T89" s="20"/>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row>
    <row r="90" spans="1:165" ht="15.75" x14ac:dyDescent="0.3">
      <c r="A90" s="38"/>
      <c r="B90" s="51"/>
      <c r="C90" s="51"/>
      <c r="D90" s="41" t="s">
        <v>33</v>
      </c>
      <c r="E90" s="41">
        <f>IF(Desired_Operation=Buck_Boost, H90, IF(L&lt;($I$94+$J$94)/2, I90, IF(L&lt;($J$94+$K$94)/2, J90, IF(L&lt;($K$94+$L$94)/2, K90, IF(L&lt;($L$94+$M$94)/2, L90, IF(L&lt;($M$94+$N$94)/2, M90, IF(L&lt;($N$94+$O$94)/2, N90, IF(L&lt;($O$94), O90, P90)) ) )))))</f>
        <v>3</v>
      </c>
      <c r="F90" s="11" t="s">
        <v>30</v>
      </c>
      <c r="G90" s="171"/>
      <c r="H90" s="53">
        <v>3</v>
      </c>
      <c r="I90" s="53">
        <v>4.7</v>
      </c>
      <c r="J90" s="54">
        <v>6.04</v>
      </c>
      <c r="K90" s="54">
        <v>8.1999999999999993</v>
      </c>
      <c r="L90" s="54">
        <v>10.5</v>
      </c>
      <c r="M90" s="54">
        <v>13.7</v>
      </c>
      <c r="N90" s="54">
        <v>17.399999999999999</v>
      </c>
      <c r="O90" s="54">
        <v>27</v>
      </c>
      <c r="P90" s="54" t="s">
        <v>37</v>
      </c>
      <c r="Q90" s="54"/>
      <c r="R90" s="54"/>
      <c r="S90" s="32"/>
      <c r="T90" s="20"/>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row>
    <row r="91" spans="1:165" ht="15.75" x14ac:dyDescent="0.3">
      <c r="A91" s="38"/>
      <c r="B91" s="51"/>
      <c r="C91" s="51"/>
      <c r="D91" s="41" t="s">
        <v>35</v>
      </c>
      <c r="E91" s="41">
        <f>IF(Desired_Operation=Buck_Boost, H91, IF(L&lt;($I$94+$J$94)/2, I91, IF(L&lt;($J$94+$K$94)/2, J91, IF(L&lt;($K$94+$L$94)/2, K91, IF(L&lt;($L$94+$M$94)/2, L91, IF(L&lt;($M$94+$N$94)/2, M91, IF(L&lt;($N$94+$O$94)/2, N91, IF(L&lt;($O$94), O91, P91)) ) )))))</f>
        <v>3.79</v>
      </c>
      <c r="F91" s="11" t="s">
        <v>30</v>
      </c>
      <c r="G91" s="171"/>
      <c r="H91" s="53">
        <v>3.79</v>
      </c>
      <c r="I91" s="53">
        <v>5.17</v>
      </c>
      <c r="J91" s="54">
        <v>6.59</v>
      </c>
      <c r="K91" s="54">
        <v>9.01</v>
      </c>
      <c r="L91" s="54">
        <v>11.68</v>
      </c>
      <c r="M91" s="54">
        <v>14.95</v>
      </c>
      <c r="N91" s="54">
        <v>19.920000000000002</v>
      </c>
      <c r="O91" s="103">
        <v>9.9999999999999997E+98</v>
      </c>
      <c r="P91" s="54" t="s">
        <v>38</v>
      </c>
      <c r="Q91" s="54"/>
      <c r="R91" s="54"/>
      <c r="S91" s="32"/>
      <c r="T91" s="20"/>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row>
    <row r="92" spans="1:165" x14ac:dyDescent="0.25">
      <c r="A92" s="38"/>
      <c r="B92" s="51"/>
      <c r="C92" s="51"/>
      <c r="D92" s="34" t="s">
        <v>57</v>
      </c>
      <c r="E92" s="74">
        <v>0</v>
      </c>
      <c r="F92" s="146" t="s">
        <v>30</v>
      </c>
      <c r="G92" s="171" t="str">
        <f>_xlfn.CONCAT(E92, " ",F92)</f>
        <v>0 kΩ</v>
      </c>
      <c r="H92" s="87">
        <f>$E$89</f>
        <v>0</v>
      </c>
      <c r="I92" s="87">
        <f>$E$91</f>
        <v>3.79</v>
      </c>
      <c r="J92" s="31"/>
      <c r="K92" s="31"/>
      <c r="L92" s="31"/>
      <c r="M92" s="31"/>
      <c r="N92" s="31"/>
      <c r="O92" s="31"/>
      <c r="P92" s="31"/>
      <c r="Q92" s="31"/>
      <c r="R92" s="31"/>
      <c r="S92" s="32"/>
      <c r="T92" s="20"/>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row>
    <row r="93" spans="1:165" x14ac:dyDescent="0.25">
      <c r="A93" s="38"/>
      <c r="B93" s="51"/>
      <c r="C93" s="51"/>
      <c r="D93" s="41" t="s">
        <v>36</v>
      </c>
      <c r="E93" s="55" t="str">
        <f>IF(AND($E$92&gt;=$H$89,$E$92&lt;=$H$91), H93, IF(AND($E$92&gt;=$I$89,$E$92&lt;=$I$91),I93, IF(AND($E$92&gt;=$J$89,$E$92&lt;=$J$91), J93, IF(AND($E$92&gt;=$K$89,$E$92&lt;=$K$91), K93, IF(AND($E$92&gt;=$L$89,$E$92&lt;=$L$91), L93, IF(AND($E$92&gt;=$M$89,$E$92&lt;=$M$91), M93, IF(AND($E$92&gt;=$N$89,$E$92&lt;=$N$91), N93, IF(AND($E$92&gt;=$O$89,$E$92&lt;=$O$91),O93, IF($E$92&gt;=$P$89, P93, "Undefined") ))))))) )</f>
        <v>Buck-Boost</v>
      </c>
      <c r="F93" s="11"/>
      <c r="G93" s="171"/>
      <c r="H93" s="53" t="str">
        <f>$H$88</f>
        <v>Buck-Boost</v>
      </c>
      <c r="I93" s="53" t="str">
        <f t="shared" ref="I93:P93" si="1">Buck_Only</f>
        <v>Buck-Only</v>
      </c>
      <c r="J93" s="53" t="str">
        <f t="shared" si="1"/>
        <v>Buck-Only</v>
      </c>
      <c r="K93" s="53" t="str">
        <f t="shared" si="1"/>
        <v>Buck-Only</v>
      </c>
      <c r="L93" s="53" t="str">
        <f t="shared" si="1"/>
        <v>Buck-Only</v>
      </c>
      <c r="M93" s="53" t="str">
        <f t="shared" si="1"/>
        <v>Buck-Only</v>
      </c>
      <c r="N93" s="53" t="str">
        <f t="shared" si="1"/>
        <v>Buck-Only</v>
      </c>
      <c r="O93" s="53" t="str">
        <f t="shared" si="1"/>
        <v>Buck-Only</v>
      </c>
      <c r="P93" s="53" t="str">
        <f t="shared" si="1"/>
        <v>Buck-Only</v>
      </c>
      <c r="Q93" s="53"/>
      <c r="R93" s="53"/>
      <c r="S93" s="32"/>
      <c r="T93" s="20"/>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row>
    <row r="94" spans="1:165" ht="15.75" x14ac:dyDescent="0.3">
      <c r="A94" s="38"/>
      <c r="B94" s="51"/>
      <c r="C94" s="51"/>
      <c r="D94" s="41" t="s">
        <v>116</v>
      </c>
      <c r="E94" s="41" t="str">
        <f>IF(AND($E$92&gt;=$H$89,$E$92&lt;=$H$91),H94, IF(AND( $E$92&gt;=$I$89,$E$92&lt;=$I$91),I94, IF(AND($E$92&gt;=$J$89,$E$92&lt;=$J$91),J94, IF(AND( $E$92&gt;=$K$89,$E$92&lt;=$K$91),K94, IF(AND( $E$92&gt;=$L$89,$E$92&lt;=$L$91),L94, IF(AND( $E$92&gt;=$M$89,$E$92&lt;=$M$91),M94, IF(AND( $E$92&gt;=$N$89,$E$92&lt;=$N$91),N94, IF(AND( $E$92&gt;=$O$89,$E$92&lt;=$O$91),O94, IF($E$92&gt;=$P$89, P94, "Undefined") ))))))) )</f>
        <v>2.2 - 15</v>
      </c>
      <c r="F94" s="11" t="s">
        <v>5</v>
      </c>
      <c r="G94" s="171"/>
      <c r="H94" s="15" t="s">
        <v>113</v>
      </c>
      <c r="I94" s="15">
        <v>3.3</v>
      </c>
      <c r="J94" s="31">
        <v>4.7</v>
      </c>
      <c r="K94" s="31">
        <v>5.6</v>
      </c>
      <c r="L94" s="31">
        <v>6.8</v>
      </c>
      <c r="M94" s="31">
        <v>8.1999999999999993</v>
      </c>
      <c r="N94" s="31">
        <v>10</v>
      </c>
      <c r="O94" s="31">
        <v>15</v>
      </c>
      <c r="P94" s="53"/>
      <c r="Q94" s="104">
        <f>IF(AND($E$92&lt;=$E$91,$E$92&gt;=$E$89), 0,1)</f>
        <v>0</v>
      </c>
      <c r="R94" s="53"/>
      <c r="S94" s="32"/>
      <c r="T94" s="20"/>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row>
    <row r="95" spans="1:165" ht="15.75" x14ac:dyDescent="0.3">
      <c r="A95" s="38"/>
      <c r="B95" s="51"/>
      <c r="C95" s="51"/>
      <c r="D95" s="41" t="s">
        <v>115</v>
      </c>
      <c r="E95" s="42">
        <f>IF(AND($E$92&gt;=$H$89,$E$92&lt;=$H$91),H95, IF(AND( $E$92&gt;=$I$89,$E$92&lt;=$I$91),I95, IF(AND($E$92&gt;=$J$89,$E$92&lt;=$J$91),J95, IF(AND( $E$92&gt;=$K$89,$E$92&lt;=$K$91),K95, IF(AND( $E$92&gt;=$L$89,$E$92&lt;=$L$91),L95, IF(AND( $E$92&gt;=$M$89,$E$92&lt;=$M$91),M95, IF(AND( $E$92&gt;=$N$89,$E$92&lt;=$N$91),N95, IF(AND( $E$92&gt;=$O$89,$E$92&lt;=$O$91),O95, IF($E$92&gt;=$P$89, P95, "Undefined") ))))))) )</f>
        <v>7.9365079365079358</v>
      </c>
      <c r="F95" s="11" t="s">
        <v>30</v>
      </c>
      <c r="G95" s="171"/>
      <c r="H95" s="53">
        <f>L/1260/10^-3</f>
        <v>7.9365079365079358</v>
      </c>
      <c r="I95" s="53">
        <v>2.6</v>
      </c>
      <c r="J95" s="53">
        <v>3.7</v>
      </c>
      <c r="K95" s="53">
        <v>4.4000000000000004</v>
      </c>
      <c r="L95" s="53">
        <v>5.4</v>
      </c>
      <c r="M95" s="53">
        <v>6.5</v>
      </c>
      <c r="N95" s="53">
        <v>7.9</v>
      </c>
      <c r="O95" s="53">
        <v>11.9</v>
      </c>
      <c r="P95" s="53"/>
      <c r="Q95" s="104">
        <f>IF(AND($E$92&lt;=$E$91,$E$92&gt;=$E$89), 0,1)</f>
        <v>0</v>
      </c>
      <c r="R95" s="53"/>
      <c r="S95" s="32"/>
      <c r="T95" s="20"/>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row>
    <row r="96" spans="1:165" ht="16.5" thickBot="1" x14ac:dyDescent="0.35">
      <c r="A96" s="48"/>
      <c r="B96" s="49"/>
      <c r="C96" s="49"/>
      <c r="D96" s="45" t="s">
        <v>114</v>
      </c>
      <c r="E96" s="45">
        <f>IF(AND($E$92&gt;=$H$89,$E$92&lt;=$H$91),H96, IF(AND( $E$92&gt;=$I$89,$E$92&lt;=$I$91),I96, IF(AND($E$92&gt;=$J$89,$E$92&lt;=$J$91),J96, IF(AND( $E$92&gt;=$K$89,$E$92&lt;=$K$91),K96, IF(AND( $E$92&gt;=$L$89,$E$92&lt;=$L$91),L96, IF(AND( $E$92&gt;=$M$89,$E$92&lt;=$M$91),M96, IF(AND( $E$92&gt;=$N$89,$E$92&lt;=$N$91),N96, IF(AND( $E$92&gt;=$O$89,$E$92&lt;=$O$91),O96, IF($E$92&gt;=$P$89, P96, "Undefined") ))))))) )</f>
        <v>60</v>
      </c>
      <c r="F96" s="12" t="s">
        <v>30</v>
      </c>
      <c r="G96" s="171"/>
      <c r="H96" s="53">
        <v>60</v>
      </c>
      <c r="I96" s="53">
        <v>60</v>
      </c>
      <c r="J96" s="53">
        <v>60</v>
      </c>
      <c r="K96" s="53">
        <v>60</v>
      </c>
      <c r="L96" s="53">
        <v>60</v>
      </c>
      <c r="M96" s="53">
        <v>60</v>
      </c>
      <c r="N96" s="53">
        <v>60</v>
      </c>
      <c r="O96" s="53">
        <v>60</v>
      </c>
      <c r="P96" s="53"/>
      <c r="Q96" s="104">
        <f>IF(AND($E$92&lt;=$E$91,$E$92&gt;=$E$89), 0,1)</f>
        <v>0</v>
      </c>
      <c r="R96" s="53"/>
      <c r="S96" s="32"/>
      <c r="T96" s="20"/>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row>
    <row r="97" spans="1:165" x14ac:dyDescent="0.25">
      <c r="A97" s="50"/>
      <c r="B97" s="51"/>
      <c r="C97" s="51"/>
      <c r="D97" s="116"/>
      <c r="E97" s="51"/>
      <c r="F97" s="145"/>
      <c r="G97" s="171"/>
      <c r="H97" s="15"/>
      <c r="I97" s="15"/>
      <c r="J97" s="31"/>
      <c r="K97" s="31"/>
      <c r="L97" s="31"/>
      <c r="M97" s="31"/>
      <c r="N97" s="31"/>
      <c r="O97" s="31"/>
      <c r="P97" s="31"/>
      <c r="Q97" s="31"/>
      <c r="R97" s="31"/>
      <c r="S97" s="32"/>
      <c r="T97" s="20"/>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row>
    <row r="98" spans="1:165" ht="15.75" thickBot="1" x14ac:dyDescent="0.3">
      <c r="A98" s="38" t="s">
        <v>249</v>
      </c>
      <c r="B98" s="51"/>
      <c r="C98" s="51"/>
      <c r="D98" s="41"/>
      <c r="E98" s="51"/>
      <c r="F98" s="109"/>
      <c r="G98" s="173"/>
      <c r="H98" s="15"/>
      <c r="I98" s="15"/>
      <c r="J98" s="15"/>
      <c r="K98" s="15"/>
      <c r="L98" s="15"/>
      <c r="M98" s="15"/>
      <c r="N98" s="15"/>
      <c r="O98" s="15"/>
      <c r="P98" s="15"/>
      <c r="Q98" s="31"/>
      <c r="R98" s="31"/>
      <c r="S98" s="32"/>
      <c r="T98" s="20"/>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row>
    <row r="99" spans="1:165" ht="15.75" x14ac:dyDescent="0.3">
      <c r="A99" s="56"/>
      <c r="B99" s="52"/>
      <c r="C99" s="52"/>
      <c r="D99" s="39" t="s">
        <v>54</v>
      </c>
      <c r="E99" s="58">
        <v>160</v>
      </c>
      <c r="F99" s="75" t="s">
        <v>9</v>
      </c>
      <c r="G99" s="171" t="str">
        <f>_xlfn.CONCAT(E99, " ",F99)</f>
        <v>160 µF</v>
      </c>
      <c r="H99" s="15"/>
      <c r="I99" s="15"/>
      <c r="J99" s="15"/>
      <c r="K99" s="15"/>
      <c r="L99" s="15"/>
      <c r="M99" s="15"/>
      <c r="N99" s="15"/>
      <c r="O99" s="15"/>
      <c r="P99" s="15"/>
      <c r="Q99" s="31"/>
      <c r="R99" s="31"/>
      <c r="S99" s="32"/>
      <c r="T99" s="20"/>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row>
    <row r="100" spans="1:165" x14ac:dyDescent="0.25">
      <c r="A100" s="50"/>
      <c r="B100" s="51"/>
      <c r="C100" s="51"/>
      <c r="D100" s="34" t="s">
        <v>246</v>
      </c>
      <c r="E100" s="74">
        <v>160</v>
      </c>
      <c r="F100" s="10" t="s">
        <v>9</v>
      </c>
      <c r="G100" s="171" t="str">
        <f>_xlfn.CONCAT(E100, " ",F100)</f>
        <v>160 µF</v>
      </c>
      <c r="H100" s="97">
        <f>$E$99</f>
        <v>160</v>
      </c>
      <c r="I100" s="15"/>
      <c r="J100" s="15"/>
      <c r="K100" s="15"/>
      <c r="L100" s="15"/>
      <c r="M100" s="15"/>
      <c r="N100" s="15"/>
      <c r="O100" s="15"/>
      <c r="P100" s="15"/>
      <c r="Q100" s="31"/>
      <c r="R100" s="31"/>
      <c r="S100" s="32"/>
      <c r="T100" s="20"/>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row>
    <row r="101" spans="1:165" x14ac:dyDescent="0.25">
      <c r="A101" s="50"/>
      <c r="B101" s="51"/>
      <c r="C101" s="51"/>
      <c r="D101" s="34" t="s">
        <v>247</v>
      </c>
      <c r="E101" s="74">
        <v>5</v>
      </c>
      <c r="F101" s="10" t="s">
        <v>29</v>
      </c>
      <c r="G101" s="171" t="str">
        <f>_xlfn.CONCAT(E101, " ",F101)</f>
        <v>5 mΩ</v>
      </c>
      <c r="H101" s="15"/>
      <c r="I101" s="15"/>
      <c r="J101" s="15"/>
      <c r="K101" s="15"/>
      <c r="L101" s="15"/>
      <c r="M101" s="15"/>
      <c r="N101" s="15"/>
      <c r="O101" s="15"/>
      <c r="P101" s="15"/>
      <c r="Q101" s="31"/>
      <c r="R101" s="31"/>
      <c r="S101" s="32"/>
      <c r="T101" s="20"/>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row>
    <row r="102" spans="1:165" ht="16.5" thickBot="1" x14ac:dyDescent="0.35">
      <c r="A102" s="48"/>
      <c r="B102" s="49"/>
      <c r="C102" s="49"/>
      <c r="D102" s="45" t="s">
        <v>248</v>
      </c>
      <c r="E102" s="226">
        <f>Vbat*Ioutmax/VACmin*SQRT((Vbat/MIN( 2*Vbat,VACmax ))*(1-Vbat/MIN( 2*Vbat,VACmax )))</f>
        <v>10.5</v>
      </c>
      <c r="F102" s="174" t="s">
        <v>2</v>
      </c>
      <c r="G102" s="171"/>
      <c r="H102" s="15"/>
      <c r="I102" s="15"/>
      <c r="J102" s="15"/>
      <c r="K102" s="15"/>
      <c r="L102" s="15"/>
      <c r="M102" s="15"/>
      <c r="N102" s="15"/>
      <c r="O102" s="15"/>
      <c r="P102" s="15"/>
      <c r="Q102" s="31"/>
      <c r="R102" s="31"/>
      <c r="S102" s="32"/>
      <c r="T102" s="20"/>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row>
    <row r="103" spans="1:165" x14ac:dyDescent="0.25">
      <c r="A103" s="57"/>
      <c r="B103" s="57"/>
      <c r="C103" s="57"/>
      <c r="D103" s="57"/>
      <c r="E103" s="57"/>
      <c r="F103" s="57"/>
      <c r="H103" s="15"/>
      <c r="I103" s="15"/>
      <c r="J103" s="15"/>
      <c r="K103" s="15"/>
      <c r="L103" s="15"/>
      <c r="M103" s="15"/>
      <c r="N103" s="15"/>
      <c r="O103" s="15"/>
      <c r="P103" s="15"/>
      <c r="Q103" s="31"/>
      <c r="R103" s="31"/>
      <c r="S103" s="32"/>
      <c r="T103" s="20"/>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row>
    <row r="104" spans="1:165" ht="15.75" thickBot="1" x14ac:dyDescent="0.3">
      <c r="A104" s="38" t="s">
        <v>250</v>
      </c>
      <c r="B104" s="51"/>
      <c r="C104" s="51"/>
      <c r="D104" s="41"/>
      <c r="E104" s="51"/>
      <c r="F104" s="109"/>
      <c r="G104" s="173"/>
      <c r="H104" s="15"/>
      <c r="I104" s="15"/>
      <c r="J104" s="15"/>
      <c r="K104" s="15"/>
      <c r="L104" s="15"/>
      <c r="M104" s="15"/>
      <c r="N104" s="15"/>
      <c r="O104" s="15"/>
      <c r="P104" s="15"/>
      <c r="Q104" s="31"/>
      <c r="R104" s="31"/>
      <c r="S104" s="32"/>
      <c r="T104" s="20"/>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row>
    <row r="105" spans="1:165" ht="15.75" x14ac:dyDescent="0.3">
      <c r="A105" s="56"/>
      <c r="B105" s="52"/>
      <c r="C105" s="52"/>
      <c r="D105" s="39" t="s">
        <v>241</v>
      </c>
      <c r="E105" s="58">
        <v>160</v>
      </c>
      <c r="F105" s="75" t="s">
        <v>9</v>
      </c>
      <c r="G105" s="171" t="str">
        <f t="shared" ref="G105:G107" si="2">_xlfn.CONCAT(E105, " ",F105)</f>
        <v>160 µF</v>
      </c>
      <c r="H105" s="15"/>
      <c r="I105" s="15"/>
      <c r="J105" s="15"/>
      <c r="K105" s="15"/>
      <c r="L105" s="15"/>
      <c r="M105" s="15"/>
      <c r="N105" s="15"/>
      <c r="O105" s="15"/>
      <c r="P105" s="15"/>
      <c r="Q105" s="31"/>
      <c r="R105" s="31"/>
      <c r="S105" s="32"/>
      <c r="T105" s="20"/>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row>
    <row r="106" spans="1:165" x14ac:dyDescent="0.25">
      <c r="A106" s="50"/>
      <c r="B106" s="51"/>
      <c r="C106" s="51"/>
      <c r="D106" s="34" t="s">
        <v>240</v>
      </c>
      <c r="E106" s="74">
        <v>160</v>
      </c>
      <c r="F106" s="10" t="s">
        <v>9</v>
      </c>
      <c r="G106" s="171" t="str">
        <f>_xlfn.CONCAT(E106, " ",F106)</f>
        <v>160 µF</v>
      </c>
      <c r="H106" s="97">
        <f>$E$105</f>
        <v>160</v>
      </c>
      <c r="I106" s="15"/>
      <c r="J106" s="31"/>
      <c r="K106" s="31"/>
      <c r="L106" s="31"/>
      <c r="M106" s="31"/>
      <c r="N106" s="31"/>
      <c r="O106" s="31"/>
      <c r="P106" s="31"/>
      <c r="Q106" s="31"/>
      <c r="R106" s="31"/>
      <c r="S106" s="32"/>
      <c r="T106" s="20"/>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row>
    <row r="107" spans="1:165" x14ac:dyDescent="0.25">
      <c r="A107" s="50"/>
      <c r="B107" s="51"/>
      <c r="C107" s="51"/>
      <c r="D107" s="34" t="s">
        <v>8</v>
      </c>
      <c r="E107" s="74">
        <v>5</v>
      </c>
      <c r="F107" s="10" t="s">
        <v>29</v>
      </c>
      <c r="G107" s="171" t="str">
        <f t="shared" si="2"/>
        <v>5 mΩ</v>
      </c>
      <c r="H107" s="15"/>
      <c r="I107" s="15"/>
      <c r="J107" s="31"/>
      <c r="K107" s="31"/>
      <c r="L107" s="31"/>
      <c r="M107" s="31"/>
      <c r="N107" s="31"/>
      <c r="O107" s="31"/>
      <c r="P107" s="31"/>
      <c r="Q107" s="31"/>
      <c r="R107" s="31"/>
      <c r="S107" s="32"/>
      <c r="T107" s="20"/>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row>
    <row r="108" spans="1:165" ht="15.75" x14ac:dyDescent="0.3">
      <c r="A108" s="50"/>
      <c r="B108" s="51"/>
      <c r="C108" s="51"/>
      <c r="D108" s="41" t="s">
        <v>242</v>
      </c>
      <c r="E108" s="225">
        <f>Ioutmax*SQRT(Vbat/VACmin-1)</f>
        <v>8.9442719099991592</v>
      </c>
      <c r="F108" s="13" t="s">
        <v>2</v>
      </c>
      <c r="G108" s="171"/>
      <c r="H108" s="15"/>
      <c r="I108" s="15"/>
      <c r="J108" s="31"/>
      <c r="K108" s="31"/>
      <c r="L108" s="31"/>
      <c r="M108" s="31"/>
      <c r="N108" s="31"/>
      <c r="O108" s="31"/>
      <c r="P108" s="31"/>
      <c r="Q108" s="31"/>
      <c r="R108" s="31"/>
      <c r="S108" s="32"/>
      <c r="T108" s="20"/>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row>
    <row r="109" spans="1:165" ht="15.75" x14ac:dyDescent="0.3">
      <c r="A109" s="50"/>
      <c r="B109" s="51"/>
      <c r="C109" s="51"/>
      <c r="D109" s="41" t="s">
        <v>245</v>
      </c>
      <c r="E109" s="109">
        <f>Ioutmax*Vbat/VACmin*COUT_ESR</f>
        <v>105</v>
      </c>
      <c r="F109" s="13" t="s">
        <v>243</v>
      </c>
      <c r="G109" s="171"/>
      <c r="H109" s="15"/>
      <c r="I109" s="15"/>
      <c r="J109" s="31"/>
      <c r="K109" s="31"/>
      <c r="L109" s="31"/>
      <c r="M109" s="31"/>
      <c r="N109" s="31"/>
      <c r="O109" s="31"/>
      <c r="P109" s="31"/>
      <c r="Q109" s="31"/>
      <c r="R109" s="31"/>
      <c r="S109" s="32"/>
      <c r="T109" s="20"/>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row>
    <row r="110" spans="1:165" ht="16.5" thickBot="1" x14ac:dyDescent="0.35">
      <c r="A110" s="48"/>
      <c r="B110" s="49"/>
      <c r="C110" s="49"/>
      <c r="D110" s="45" t="s">
        <v>244</v>
      </c>
      <c r="E110" s="226">
        <f>Ioutmax*(1-VACmin/Vbat)/(Fsw*10^3*C_OUT*10^-6)/10^-3</f>
        <v>39.682539682539677</v>
      </c>
      <c r="F110" s="174" t="s">
        <v>243</v>
      </c>
      <c r="G110" s="171"/>
      <c r="H110" s="15"/>
      <c r="I110" s="15"/>
      <c r="J110" s="31"/>
      <c r="K110" s="31"/>
      <c r="L110" s="31"/>
      <c r="M110" s="31"/>
      <c r="N110" s="31"/>
      <c r="O110" s="31"/>
      <c r="P110" s="31"/>
      <c r="Q110" s="31"/>
      <c r="R110" s="31"/>
      <c r="S110" s="32"/>
      <c r="T110" s="20"/>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row>
    <row r="111" spans="1:165" ht="15.75" thickBot="1" x14ac:dyDescent="0.3">
      <c r="A111" s="50"/>
      <c r="B111" s="51"/>
      <c r="C111" s="51"/>
      <c r="D111" s="41"/>
      <c r="E111" s="51"/>
      <c r="F111" s="51"/>
      <c r="G111" s="51"/>
      <c r="H111" s="15"/>
      <c r="I111" s="15"/>
      <c r="J111" s="31"/>
      <c r="K111" s="31"/>
      <c r="L111" s="31"/>
      <c r="M111" s="31"/>
      <c r="N111" s="31"/>
      <c r="O111" s="31"/>
      <c r="P111" s="31"/>
      <c r="Q111" s="31"/>
      <c r="R111" s="31"/>
      <c r="S111" s="32"/>
      <c r="T111" s="20"/>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row>
    <row r="112" spans="1:165" ht="25.5" customHeight="1" thickBot="1" x14ac:dyDescent="0.3">
      <c r="A112" s="240" t="s">
        <v>337</v>
      </c>
      <c r="B112" s="241"/>
      <c r="C112" s="241"/>
      <c r="D112" s="241"/>
      <c r="E112" s="241"/>
      <c r="F112" s="59"/>
      <c r="G112" s="59"/>
      <c r="H112" s="60"/>
      <c r="I112" s="60"/>
      <c r="J112" s="61"/>
      <c r="K112" s="61"/>
      <c r="L112" s="61"/>
      <c r="M112" s="61"/>
      <c r="N112" s="61"/>
      <c r="O112" s="61"/>
      <c r="P112" s="61"/>
      <c r="Q112" s="61"/>
      <c r="R112" s="61"/>
      <c r="S112" s="62"/>
      <c r="T112" s="20"/>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63">
        <f ca="1">BK112</f>
        <v>0</v>
      </c>
      <c r="BK112" s="63">
        <f ca="1">BJ112</f>
        <v>0</v>
      </c>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row>
    <row r="113" spans="1:166" x14ac:dyDescent="0.25">
      <c r="A113" s="50"/>
      <c r="B113" s="51"/>
      <c r="C113" s="51"/>
      <c r="D113" s="41"/>
      <c r="E113" s="51"/>
      <c r="F113" s="51"/>
      <c r="G113" s="51"/>
      <c r="H113" s="15"/>
      <c r="I113" s="15"/>
      <c r="J113" s="31"/>
      <c r="K113" s="31"/>
      <c r="L113" s="31"/>
      <c r="M113" s="31"/>
      <c r="N113" s="31"/>
      <c r="O113" s="31"/>
      <c r="P113" s="31"/>
      <c r="Q113" s="31"/>
      <c r="R113" s="31"/>
      <c r="S113" s="32"/>
      <c r="T113" s="20"/>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row>
    <row r="114" spans="1:166" ht="15.75" thickBot="1" x14ac:dyDescent="0.3">
      <c r="A114" s="242" t="s">
        <v>139</v>
      </c>
      <c r="B114" s="243"/>
      <c r="C114" s="243"/>
      <c r="D114" s="243"/>
      <c r="E114" s="243"/>
      <c r="F114" s="243"/>
      <c r="G114" s="243"/>
      <c r="H114" s="15"/>
      <c r="I114" s="244" t="s">
        <v>254</v>
      </c>
      <c r="J114" s="244"/>
      <c r="K114" s="244"/>
      <c r="L114" s="244"/>
      <c r="M114" s="244"/>
      <c r="N114" s="244"/>
      <c r="O114" s="244"/>
      <c r="P114" s="244"/>
      <c r="Q114" s="31"/>
      <c r="R114" s="31"/>
      <c r="S114" s="32"/>
      <c r="T114" s="20"/>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row>
    <row r="115" spans="1:166" ht="15.75" thickBot="1" x14ac:dyDescent="0.3">
      <c r="A115" s="52"/>
      <c r="B115" s="65"/>
      <c r="C115" s="52"/>
      <c r="D115" s="66" t="s">
        <v>11</v>
      </c>
      <c r="E115" s="67"/>
      <c r="F115" s="52"/>
      <c r="G115" s="40"/>
      <c r="H115" s="15"/>
      <c r="I115" s="29"/>
      <c r="J115" s="52"/>
      <c r="K115" s="65"/>
      <c r="L115" s="52"/>
      <c r="M115" s="66" t="s">
        <v>11</v>
      </c>
      <c r="N115" s="135" t="s">
        <v>323</v>
      </c>
      <c r="O115" s="52"/>
      <c r="P115" s="40"/>
      <c r="Q115" s="31"/>
      <c r="R115" s="31" t="s">
        <v>252</v>
      </c>
      <c r="S115" s="32"/>
      <c r="T115" s="20"/>
      <c r="U115" s="21"/>
      <c r="V115" s="21"/>
      <c r="W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row>
    <row r="116" spans="1:166" x14ac:dyDescent="0.25">
      <c r="A116" s="51"/>
      <c r="B116" s="51"/>
      <c r="C116" s="51"/>
      <c r="D116" s="41"/>
      <c r="E116" s="51" t="s">
        <v>13</v>
      </c>
      <c r="F116" s="51" t="s">
        <v>14</v>
      </c>
      <c r="G116" s="44"/>
      <c r="H116" s="15"/>
      <c r="I116" s="33"/>
      <c r="J116" s="51"/>
      <c r="K116" s="51"/>
      <c r="L116" s="51"/>
      <c r="M116" s="41"/>
      <c r="N116" s="51" t="s">
        <v>13</v>
      </c>
      <c r="O116" s="51" t="s">
        <v>14</v>
      </c>
      <c r="P116" s="44"/>
      <c r="Q116" s="31"/>
      <c r="R116" s="31" t="s">
        <v>253</v>
      </c>
      <c r="S116" s="32"/>
      <c r="T116" s="20" t="s">
        <v>255</v>
      </c>
      <c r="U116" s="21" t="s">
        <v>253</v>
      </c>
      <c r="V116" s="21"/>
      <c r="W116" s="21"/>
      <c r="X116" s="107" t="s">
        <v>125</v>
      </c>
      <c r="Y116" s="67" t="s">
        <v>12</v>
      </c>
      <c r="Z116" s="67" t="s">
        <v>28</v>
      </c>
      <c r="AA116" s="106" t="s">
        <v>126</v>
      </c>
      <c r="AB116" s="106" t="s">
        <v>323</v>
      </c>
      <c r="AC116" s="106" t="s">
        <v>127</v>
      </c>
      <c r="AD116" s="106" t="s">
        <v>128</v>
      </c>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row>
    <row r="117" spans="1:166" x14ac:dyDescent="0.25">
      <c r="A117" s="51"/>
      <c r="B117" s="51"/>
      <c r="C117" s="51"/>
      <c r="D117" s="34" t="s">
        <v>130</v>
      </c>
      <c r="E117" s="1">
        <v>8.6</v>
      </c>
      <c r="F117" s="1">
        <v>8.6</v>
      </c>
      <c r="G117" s="44" t="s">
        <v>22</v>
      </c>
      <c r="H117" s="15"/>
      <c r="I117" s="50">
        <v>1</v>
      </c>
      <c r="J117" s="31"/>
      <c r="K117" s="51"/>
      <c r="L117" s="51"/>
      <c r="M117" s="34" t="s">
        <v>130</v>
      </c>
      <c r="N117" s="122">
        <f ca="1">INDIRECT("MOSFET_Selection["&amp;$N$115&amp;"]") OFFSET(INDIRECT("MOSFET_Selection[[#Headers], ["&amp;$N$115&amp;"]]"),$I117,)</f>
        <v>3.55</v>
      </c>
      <c r="O117" s="122">
        <f ca="1">INDIRECT("MOSFET_Selection["&amp;$N$115&amp;"]") OFFSET(INDIRECT("MOSFET_Selection[[#Headers], ["&amp;$N$115&amp;"]]"),$I117,)</f>
        <v>3.55</v>
      </c>
      <c r="P117" s="44" t="s">
        <v>22</v>
      </c>
      <c r="Q117" s="31"/>
      <c r="R117" s="88">
        <f>IF(OR($H$3=$E$3,R116="Yes"),0,1)</f>
        <v>1</v>
      </c>
      <c r="S117" s="32"/>
      <c r="T117" s="20"/>
      <c r="U117" s="21"/>
      <c r="V117" s="21"/>
      <c r="W117" s="21"/>
      <c r="X117" s="34" t="s">
        <v>130</v>
      </c>
      <c r="Y117" s="123">
        <v>8.6</v>
      </c>
      <c r="Z117" s="124">
        <v>2.1</v>
      </c>
      <c r="AA117" s="124">
        <v>4.0999999999999996</v>
      </c>
      <c r="AB117" s="124">
        <v>3.55</v>
      </c>
      <c r="AC117" s="124">
        <v>8</v>
      </c>
      <c r="AD117" s="44" t="s">
        <v>22</v>
      </c>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row>
    <row r="118" spans="1:166" x14ac:dyDescent="0.25">
      <c r="A118" s="51"/>
      <c r="B118" s="51"/>
      <c r="C118" s="51"/>
      <c r="D118" s="34" t="s">
        <v>131</v>
      </c>
      <c r="E118" s="1">
        <v>5.7</v>
      </c>
      <c r="F118" s="1">
        <v>5.7</v>
      </c>
      <c r="G118" s="44" t="s">
        <v>22</v>
      </c>
      <c r="H118" s="15"/>
      <c r="I118" s="50">
        <v>2</v>
      </c>
      <c r="J118" s="31"/>
      <c r="K118" s="51"/>
      <c r="L118" s="51"/>
      <c r="M118" s="34" t="s">
        <v>131</v>
      </c>
      <c r="N118" s="122">
        <f ca="1">INDIRECT("MOSFET_Selection["&amp;$N$115&amp;"]") OFFSET(INDIRECT("MOSFET_Selection[[#Headers], ["&amp;$N$115&amp;"]]"),$I118,)</f>
        <v>2.8</v>
      </c>
      <c r="O118" s="122">
        <f ca="1">INDIRECT("MOSFET_Selection["&amp;$N$115&amp;"]") OFFSET(INDIRECT("MOSFET_Selection[[#Headers], ["&amp;$N$115&amp;"]]"),$I118,)</f>
        <v>2.8</v>
      </c>
      <c r="P118" s="44" t="s">
        <v>22</v>
      </c>
      <c r="Q118" s="31"/>
      <c r="R118" s="31"/>
      <c r="S118" s="32"/>
      <c r="T118" s="20"/>
      <c r="U118" s="21"/>
      <c r="V118" s="21"/>
      <c r="W118" s="21"/>
      <c r="X118" s="34" t="s">
        <v>131</v>
      </c>
      <c r="Y118" s="125">
        <v>5.7</v>
      </c>
      <c r="Z118" s="125">
        <v>1.9</v>
      </c>
      <c r="AA118" s="125">
        <v>2.9</v>
      </c>
      <c r="AB118" s="125">
        <v>2.8</v>
      </c>
      <c r="AC118" s="125">
        <v>6.5</v>
      </c>
      <c r="AD118" s="44" t="s">
        <v>22</v>
      </c>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row>
    <row r="119" spans="1:166" x14ac:dyDescent="0.25">
      <c r="A119" s="51"/>
      <c r="B119" s="51"/>
      <c r="C119" s="51"/>
      <c r="D119" s="34" t="s">
        <v>133</v>
      </c>
      <c r="E119" s="2">
        <v>4.9000000000000004</v>
      </c>
      <c r="F119" s="2">
        <v>4.9000000000000004</v>
      </c>
      <c r="G119" s="44" t="s">
        <v>22</v>
      </c>
      <c r="H119" s="15"/>
      <c r="I119" s="50"/>
      <c r="J119" s="31"/>
      <c r="K119" s="51"/>
      <c r="L119" s="51"/>
      <c r="M119" s="34" t="s">
        <v>133</v>
      </c>
      <c r="N119" s="2"/>
      <c r="O119" s="2"/>
      <c r="P119" s="44" t="s">
        <v>22</v>
      </c>
      <c r="Q119" s="31"/>
      <c r="R119" s="31"/>
      <c r="S119" s="32"/>
      <c r="T119" s="20"/>
      <c r="U119" s="21"/>
      <c r="V119" s="21"/>
      <c r="W119" s="21"/>
      <c r="X119" s="34" t="s">
        <v>133</v>
      </c>
      <c r="Y119" s="126"/>
      <c r="Z119" s="124"/>
      <c r="AA119" s="124"/>
      <c r="AB119" s="124"/>
      <c r="AC119" s="124"/>
      <c r="AD119" s="44" t="s">
        <v>22</v>
      </c>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row>
    <row r="120" spans="1:166" x14ac:dyDescent="0.25">
      <c r="A120" s="51"/>
      <c r="B120" s="51"/>
      <c r="C120" s="51"/>
      <c r="D120" s="34" t="s">
        <v>134</v>
      </c>
      <c r="E120" s="2">
        <v>7.3</v>
      </c>
      <c r="F120" s="2">
        <v>7.3</v>
      </c>
      <c r="G120" s="44" t="s">
        <v>23</v>
      </c>
      <c r="H120" s="15"/>
      <c r="I120" s="50">
        <v>4</v>
      </c>
      <c r="J120" s="31"/>
      <c r="K120" s="51"/>
      <c r="L120" s="51"/>
      <c r="M120" s="34" t="s">
        <v>134</v>
      </c>
      <c r="N120" s="122">
        <f ca="1">INDIRECT("MOSFET_Selection["&amp;$N$115&amp;"]") OFFSET(INDIRECT("MOSFET_Selection[[#Headers], ["&amp;$N$115&amp;"]]"),$I120,)</f>
        <v>40.5</v>
      </c>
      <c r="O120" s="122">
        <f ca="1">INDIRECT("MOSFET_Selection["&amp;$N$115&amp;"]") OFFSET(INDIRECT("MOSFET_Selection[[#Headers], ["&amp;$N$115&amp;"]]"),$I120,)</f>
        <v>40.5</v>
      </c>
      <c r="P120" s="44" t="s">
        <v>23</v>
      </c>
      <c r="Q120" s="31"/>
      <c r="R120" s="31"/>
      <c r="S120" s="32"/>
      <c r="T120" s="20"/>
      <c r="U120" s="21"/>
      <c r="V120" s="21"/>
      <c r="W120" s="21"/>
      <c r="X120" s="34" t="s">
        <v>134</v>
      </c>
      <c r="Y120" s="126">
        <v>7.3</v>
      </c>
      <c r="Z120" s="124">
        <v>14</v>
      </c>
      <c r="AA120" s="124">
        <v>25</v>
      </c>
      <c r="AB120" s="124">
        <v>40.5</v>
      </c>
      <c r="AC120" s="124">
        <v>19.5</v>
      </c>
      <c r="AD120" s="44" t="s">
        <v>23</v>
      </c>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row>
    <row r="121" spans="1:166" x14ac:dyDescent="0.25">
      <c r="A121" s="51"/>
      <c r="B121" s="51"/>
      <c r="C121" s="51"/>
      <c r="D121" s="34" t="s">
        <v>135</v>
      </c>
      <c r="E121" s="2">
        <v>15</v>
      </c>
      <c r="F121" s="2">
        <v>15</v>
      </c>
      <c r="G121" s="44" t="s">
        <v>23</v>
      </c>
      <c r="H121" s="15"/>
      <c r="I121" s="50">
        <v>5</v>
      </c>
      <c r="J121" s="31"/>
      <c r="K121" s="51"/>
      <c r="L121" s="51"/>
      <c r="M121" s="34" t="s">
        <v>135</v>
      </c>
      <c r="N121" s="122">
        <f ca="1">INDIRECT("MOSFET_Selection["&amp;$N$115&amp;"]") OFFSET(INDIRECT("MOSFET_Selection[[#Headers], ["&amp;$N$115&amp;"]]"),$I121,)</f>
        <v>90</v>
      </c>
      <c r="O121" s="122">
        <f ca="1">INDIRECT("MOSFET_Selection["&amp;$N$115&amp;"]") OFFSET(INDIRECT("MOSFET_Selection[[#Headers], ["&amp;$N$115&amp;"]]"),$I121,)</f>
        <v>90</v>
      </c>
      <c r="P121" s="44" t="s">
        <v>23</v>
      </c>
      <c r="Q121" s="31"/>
      <c r="R121" s="31"/>
      <c r="S121" s="32"/>
      <c r="T121" s="20"/>
      <c r="U121" s="21"/>
      <c r="V121" s="21"/>
      <c r="W121" s="21"/>
      <c r="X121" s="34" t="s">
        <v>135</v>
      </c>
      <c r="Y121" s="126">
        <v>15</v>
      </c>
      <c r="Z121" s="124"/>
      <c r="AA121" s="124">
        <v>51</v>
      </c>
      <c r="AB121" s="124">
        <v>90</v>
      </c>
      <c r="AC121" s="124">
        <v>43.5</v>
      </c>
      <c r="AD121" s="44" t="s">
        <v>23</v>
      </c>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row>
    <row r="122" spans="1:166" x14ac:dyDescent="0.25">
      <c r="A122" s="51"/>
      <c r="B122" s="51"/>
      <c r="C122" s="51"/>
      <c r="D122" s="34" t="s">
        <v>136</v>
      </c>
      <c r="E122" s="2">
        <v>17</v>
      </c>
      <c r="F122" s="2">
        <v>17</v>
      </c>
      <c r="G122" s="44" t="s">
        <v>23</v>
      </c>
      <c r="H122" s="15"/>
      <c r="I122" s="50"/>
      <c r="J122" s="31"/>
      <c r="K122" s="51"/>
      <c r="L122" s="51"/>
      <c r="M122" s="34" t="s">
        <v>136</v>
      </c>
      <c r="N122" s="2"/>
      <c r="O122" s="2"/>
      <c r="P122" s="44" t="s">
        <v>23</v>
      </c>
      <c r="Q122" s="31"/>
      <c r="R122" s="31"/>
      <c r="S122" s="32"/>
      <c r="T122" s="20"/>
      <c r="U122" s="21"/>
      <c r="V122" s="21"/>
      <c r="W122" s="21"/>
      <c r="X122" s="34" t="s">
        <v>136</v>
      </c>
      <c r="Y122" s="126"/>
      <c r="Z122" s="124"/>
      <c r="AA122" s="124"/>
      <c r="AB122" s="124"/>
      <c r="AC122" s="124"/>
      <c r="AD122" s="44" t="s">
        <v>23</v>
      </c>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row>
    <row r="123" spans="1:166" x14ac:dyDescent="0.25">
      <c r="A123" s="51"/>
      <c r="B123" s="51"/>
      <c r="C123" s="51"/>
      <c r="D123" s="34" t="s">
        <v>15</v>
      </c>
      <c r="E123" s="3">
        <v>2.9</v>
      </c>
      <c r="F123" s="3">
        <v>2.9</v>
      </c>
      <c r="G123" s="44" t="s">
        <v>23</v>
      </c>
      <c r="H123" s="15"/>
      <c r="I123" s="50">
        <v>7</v>
      </c>
      <c r="J123" s="31"/>
      <c r="K123" s="51"/>
      <c r="L123" s="51"/>
      <c r="M123" s="34" t="s">
        <v>15</v>
      </c>
      <c r="N123" s="122">
        <f ca="1">INDIRECT("MOSFET_Selection["&amp;$N$115&amp;"]") OFFSET(INDIRECT("MOSFET_Selection[[#Headers], ["&amp;$N$115&amp;"]]"),$I123,)</f>
        <v>8.8000000000000007</v>
      </c>
      <c r="O123" s="122">
        <f ca="1">INDIRECT("MOSFET_Selection["&amp;$N$115&amp;"]") OFFSET(INDIRECT("MOSFET_Selection[[#Headers], ["&amp;$N$115&amp;"]]"),$I123,)</f>
        <v>8.8000000000000007</v>
      </c>
      <c r="P123" s="44" t="s">
        <v>23</v>
      </c>
      <c r="Q123" s="31"/>
      <c r="R123" s="31"/>
      <c r="S123" s="32"/>
      <c r="T123" s="20"/>
      <c r="U123" s="21"/>
      <c r="V123" s="21"/>
      <c r="W123" s="21"/>
      <c r="X123" s="34" t="s">
        <v>15</v>
      </c>
      <c r="Y123" s="124">
        <v>2.9</v>
      </c>
      <c r="Z123" s="124">
        <v>2.5</v>
      </c>
      <c r="AA123" s="124">
        <v>8.5</v>
      </c>
      <c r="AB123" s="124">
        <v>8.8000000000000007</v>
      </c>
      <c r="AC123" s="124">
        <v>4</v>
      </c>
      <c r="AD123" s="44" t="s">
        <v>23</v>
      </c>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row>
    <row r="124" spans="1:166" x14ac:dyDescent="0.25">
      <c r="A124" s="51"/>
      <c r="B124" s="51"/>
      <c r="C124" s="51"/>
      <c r="D124" s="34" t="s">
        <v>16</v>
      </c>
      <c r="E124" s="3">
        <v>3.3</v>
      </c>
      <c r="F124" s="3">
        <v>3.3</v>
      </c>
      <c r="G124" s="44" t="s">
        <v>23</v>
      </c>
      <c r="H124" s="15"/>
      <c r="I124" s="50">
        <v>8</v>
      </c>
      <c r="J124" s="31"/>
      <c r="K124" s="51"/>
      <c r="L124" s="51"/>
      <c r="M124" s="34" t="s">
        <v>16</v>
      </c>
      <c r="N124" s="122">
        <f ca="1">INDIRECT("MOSFET_Selection["&amp;$N$115&amp;"]") OFFSET(INDIRECT("MOSFET_Selection[[#Headers], ["&amp;$N$115&amp;"]]"),$I124,)</f>
        <v>20</v>
      </c>
      <c r="O124" s="122">
        <f ca="1">INDIRECT("MOSFET_Selection["&amp;$N$115&amp;"]") OFFSET(INDIRECT("MOSFET_Selection[[#Headers], ["&amp;$N$115&amp;"]]"),$I124,)</f>
        <v>20</v>
      </c>
      <c r="P124" s="44" t="s">
        <v>23</v>
      </c>
      <c r="Q124" s="31"/>
      <c r="R124" s="31"/>
      <c r="S124" s="32"/>
      <c r="T124" s="20"/>
      <c r="U124" s="21"/>
      <c r="V124" s="21"/>
      <c r="W124" s="21"/>
      <c r="X124" s="34" t="s">
        <v>16</v>
      </c>
      <c r="Y124" s="124">
        <v>3.3</v>
      </c>
      <c r="Z124" s="124">
        <v>4</v>
      </c>
      <c r="AA124" s="124">
        <v>10</v>
      </c>
      <c r="AB124" s="124">
        <v>20</v>
      </c>
      <c r="AC124" s="124">
        <v>9.4</v>
      </c>
      <c r="AD124" s="44" t="s">
        <v>23</v>
      </c>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row>
    <row r="125" spans="1:166" x14ac:dyDescent="0.25">
      <c r="A125" s="51"/>
      <c r="B125" s="51"/>
      <c r="C125" s="51"/>
      <c r="D125" s="34" t="s">
        <v>251</v>
      </c>
      <c r="E125" s="3">
        <v>36</v>
      </c>
      <c r="F125" s="3">
        <v>36</v>
      </c>
      <c r="G125" s="44" t="s">
        <v>23</v>
      </c>
      <c r="H125" s="15"/>
      <c r="I125" s="50">
        <v>9</v>
      </c>
      <c r="J125" s="31"/>
      <c r="K125" s="51"/>
      <c r="L125" s="51"/>
      <c r="M125" s="34" t="s">
        <v>61</v>
      </c>
      <c r="N125" s="122">
        <f ca="1">INDIRECT("MOSFET_Selection["&amp;$N$115&amp;"]") OFFSET(INDIRECT("MOSFET_Selection[[#Headers], ["&amp;$N$115&amp;"]]"),$I125,)</f>
        <v>73</v>
      </c>
      <c r="O125" s="122">
        <f ca="1">INDIRECT("MOSFET_Selection["&amp;$N$115&amp;"]") OFFSET(INDIRECT("MOSFET_Selection[[#Headers], ["&amp;$N$115&amp;"]]"),$I125,)</f>
        <v>73</v>
      </c>
      <c r="P125" s="44" t="s">
        <v>23</v>
      </c>
      <c r="Q125" s="31"/>
      <c r="R125" s="31"/>
      <c r="S125" s="32"/>
      <c r="T125" s="20"/>
      <c r="U125" s="21"/>
      <c r="V125" s="21"/>
      <c r="W125" s="21"/>
      <c r="X125" s="34" t="s">
        <v>61</v>
      </c>
      <c r="Y125" s="124">
        <v>36</v>
      </c>
      <c r="Z125" s="124">
        <v>36</v>
      </c>
      <c r="AA125" s="124">
        <v>46</v>
      </c>
      <c r="AB125" s="124">
        <v>73</v>
      </c>
      <c r="AC125" s="124">
        <v>35.4</v>
      </c>
      <c r="AD125" s="44" t="s">
        <v>23</v>
      </c>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row>
    <row r="126" spans="1:166" x14ac:dyDescent="0.25">
      <c r="A126" s="51"/>
      <c r="B126" s="51"/>
      <c r="C126" s="51"/>
      <c r="D126" s="34" t="s">
        <v>17</v>
      </c>
      <c r="E126" s="3">
        <v>1.5</v>
      </c>
      <c r="F126" s="3">
        <v>1.5</v>
      </c>
      <c r="G126" s="127" t="s">
        <v>24</v>
      </c>
      <c r="H126" s="15"/>
      <c r="I126" s="50">
        <v>10</v>
      </c>
      <c r="J126" s="31"/>
      <c r="K126" s="51"/>
      <c r="L126" s="51"/>
      <c r="M126" s="34" t="s">
        <v>17</v>
      </c>
      <c r="N126" s="122">
        <f ca="1">INDIRECT("MOSFET_Selection["&amp;$N$115&amp;"]") OFFSET(INDIRECT("MOSFET_Selection[[#Headers], ["&amp;$N$115&amp;"]]"),$I126,)</f>
        <v>0.95</v>
      </c>
      <c r="O126" s="122">
        <f ca="1">INDIRECT("MOSFET_Selection["&amp;$N$115&amp;"]") OFFSET(INDIRECT("MOSFET_Selection[[#Headers], ["&amp;$N$115&amp;"]]"),$I126,)</f>
        <v>0.95</v>
      </c>
      <c r="P126" s="127" t="s">
        <v>24</v>
      </c>
      <c r="Q126" s="31"/>
      <c r="R126" s="31"/>
      <c r="S126" s="32"/>
      <c r="T126" s="20"/>
      <c r="U126" s="21"/>
      <c r="V126" s="21"/>
      <c r="W126" s="21"/>
      <c r="X126" s="34" t="s">
        <v>17</v>
      </c>
      <c r="Y126" s="124">
        <v>1.5</v>
      </c>
      <c r="Z126" s="124">
        <v>1.5</v>
      </c>
      <c r="AA126" s="124">
        <v>1.1000000000000001</v>
      </c>
      <c r="AB126" s="124">
        <v>0.95</v>
      </c>
      <c r="AC126" s="124">
        <v>0.8</v>
      </c>
      <c r="AD126" s="127" t="s">
        <v>24</v>
      </c>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row>
    <row r="127" spans="1:166" x14ac:dyDescent="0.25">
      <c r="A127" s="51"/>
      <c r="B127" s="51"/>
      <c r="C127" s="51"/>
      <c r="D127" s="34" t="s">
        <v>18</v>
      </c>
      <c r="E127" s="3">
        <v>60</v>
      </c>
      <c r="F127" s="3">
        <v>60</v>
      </c>
      <c r="G127" s="44" t="s">
        <v>25</v>
      </c>
      <c r="H127" s="15"/>
      <c r="I127" s="50">
        <v>11</v>
      </c>
      <c r="J127" s="31"/>
      <c r="K127" s="51"/>
      <c r="L127" s="51"/>
      <c r="M127" s="34" t="s">
        <v>18</v>
      </c>
      <c r="N127" s="122">
        <f ca="1">INDIRECT("MOSFET_Selection["&amp;$N$115&amp;"]") OFFSET(INDIRECT("MOSFET_Selection[[#Headers], ["&amp;$N$115&amp;"]]"),$I127,)</f>
        <v>130</v>
      </c>
      <c r="O127" s="122">
        <f ca="1">INDIRECT("MOSFET_Selection["&amp;$N$115&amp;"]") OFFSET(INDIRECT("MOSFET_Selection[[#Headers], ["&amp;$N$115&amp;"]]"),$I127,)</f>
        <v>130</v>
      </c>
      <c r="P127" s="44" t="s">
        <v>25</v>
      </c>
      <c r="Q127" s="31"/>
      <c r="R127" s="31"/>
      <c r="S127" s="32"/>
      <c r="T127" s="20"/>
      <c r="U127" s="21"/>
      <c r="V127" s="21"/>
      <c r="W127" s="21"/>
      <c r="X127" s="34" t="s">
        <v>18</v>
      </c>
      <c r="Y127" s="124">
        <v>60</v>
      </c>
      <c r="Z127" s="124">
        <v>150</v>
      </c>
      <c r="AA127" s="124">
        <v>100</v>
      </c>
      <c r="AB127" s="124">
        <v>130</v>
      </c>
      <c r="AC127" s="124">
        <v>49</v>
      </c>
      <c r="AD127" s="44" t="s">
        <v>25</v>
      </c>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row>
    <row r="128" spans="1:166" x14ac:dyDescent="0.25">
      <c r="A128" s="51"/>
      <c r="B128" s="51"/>
      <c r="C128" s="51"/>
      <c r="D128" s="34" t="s">
        <v>19</v>
      </c>
      <c r="E128" s="3">
        <v>4</v>
      </c>
      <c r="F128" s="3">
        <v>4</v>
      </c>
      <c r="G128" s="44" t="s">
        <v>1</v>
      </c>
      <c r="H128" s="15"/>
      <c r="I128" s="50">
        <v>12</v>
      </c>
      <c r="J128" s="31"/>
      <c r="K128" s="51"/>
      <c r="L128" s="51"/>
      <c r="M128" s="34" t="s">
        <v>19</v>
      </c>
      <c r="N128" s="122">
        <f ca="1">INDIRECT("MOSFET_Selection["&amp;$N$115&amp;"]") OFFSET(INDIRECT("MOSFET_Selection[[#Headers], ["&amp;$N$115&amp;"]]"),$I128,)</f>
        <v>1.75</v>
      </c>
      <c r="O128" s="122">
        <f ca="1">INDIRECT("MOSFET_Selection["&amp;$N$115&amp;"]") OFFSET(INDIRECT("MOSFET_Selection[[#Headers], ["&amp;$N$115&amp;"]]"),$I128,)</f>
        <v>1.75</v>
      </c>
      <c r="P128" s="44" t="s">
        <v>1</v>
      </c>
      <c r="Q128" s="31"/>
      <c r="R128" s="31"/>
      <c r="S128" s="32"/>
      <c r="T128" s="20"/>
      <c r="U128" s="21"/>
      <c r="V128" s="21"/>
      <c r="W128" s="21"/>
      <c r="X128" s="34" t="s">
        <v>19</v>
      </c>
      <c r="Y128" s="124">
        <v>2</v>
      </c>
      <c r="Z128" s="124">
        <v>1.1000000000000001</v>
      </c>
      <c r="AA128" s="124">
        <v>1.8</v>
      </c>
      <c r="AB128" s="124">
        <v>1.75</v>
      </c>
      <c r="AC128" s="124">
        <v>1.7</v>
      </c>
      <c r="AD128" s="44" t="s">
        <v>1</v>
      </c>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c r="FH128" s="21"/>
      <c r="FI128" s="21"/>
      <c r="FJ128" s="21"/>
    </row>
    <row r="129" spans="1:166" x14ac:dyDescent="0.25">
      <c r="A129" s="51"/>
      <c r="B129" s="51"/>
      <c r="C129" s="51"/>
      <c r="D129" s="34" t="s">
        <v>137</v>
      </c>
      <c r="E129" s="3">
        <v>0.8</v>
      </c>
      <c r="F129" s="3">
        <v>0.8</v>
      </c>
      <c r="G129" s="44" t="s">
        <v>1</v>
      </c>
      <c r="H129" s="15"/>
      <c r="I129" s="50">
        <v>13</v>
      </c>
      <c r="J129" s="31"/>
      <c r="K129" s="51"/>
      <c r="L129" s="51"/>
      <c r="M129" s="34" t="s">
        <v>137</v>
      </c>
      <c r="N129" s="122">
        <f ca="1">INDIRECT("MOSFET_Selection["&amp;$N$115&amp;"]") OFFSET(INDIRECT("MOSFET_Selection[[#Headers], ["&amp;$N$115&amp;"]]"),$I129,)</f>
        <v>0.72</v>
      </c>
      <c r="O129" s="122">
        <f ca="1">INDIRECT("MOSFET_Selection["&amp;$N$115&amp;"]") OFFSET(INDIRECT("MOSFET_Selection[[#Headers], ["&amp;$N$115&amp;"]]"),$I129,)</f>
        <v>0.72</v>
      </c>
      <c r="P129" s="44" t="s">
        <v>1</v>
      </c>
      <c r="Q129" s="31"/>
      <c r="R129" s="31"/>
      <c r="S129" s="32"/>
      <c r="T129" s="20"/>
      <c r="U129" s="21"/>
      <c r="V129" s="21"/>
      <c r="W129" s="21"/>
      <c r="X129" s="34" t="s">
        <v>137</v>
      </c>
      <c r="Y129" s="124">
        <v>0.8</v>
      </c>
      <c r="Z129" s="124">
        <v>0.8</v>
      </c>
      <c r="AA129" s="124">
        <v>0.69</v>
      </c>
      <c r="AB129" s="124">
        <v>0.72</v>
      </c>
      <c r="AC129" s="124">
        <v>0.74</v>
      </c>
      <c r="AD129" s="44" t="s">
        <v>1</v>
      </c>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row>
    <row r="130" spans="1:166" x14ac:dyDescent="0.25">
      <c r="A130" s="51"/>
      <c r="B130" s="51"/>
      <c r="C130" s="51"/>
      <c r="D130" s="34" t="s">
        <v>138</v>
      </c>
      <c r="E130" s="51"/>
      <c r="F130" s="3">
        <v>63</v>
      </c>
      <c r="G130" s="44" t="s">
        <v>23</v>
      </c>
      <c r="H130" s="15"/>
      <c r="I130" s="50">
        <v>14</v>
      </c>
      <c r="J130" s="31"/>
      <c r="K130" s="51"/>
      <c r="L130" s="51"/>
      <c r="M130" s="34" t="s">
        <v>138</v>
      </c>
      <c r="N130" s="51"/>
      <c r="O130" s="122">
        <f ca="1">INDIRECT("MOSFET_Selection["&amp;$N$115&amp;"]") OFFSET(INDIRECT("MOSFET_Selection[[#Headers], ["&amp;$N$115&amp;"]]"),$I130,)</f>
        <v>77</v>
      </c>
      <c r="P130" s="44" t="s">
        <v>23</v>
      </c>
      <c r="Q130" s="31"/>
      <c r="R130" s="31"/>
      <c r="S130" s="32"/>
      <c r="T130" s="20"/>
      <c r="U130" s="21"/>
      <c r="V130" s="21"/>
      <c r="W130" s="21"/>
      <c r="X130" s="34" t="s">
        <v>138</v>
      </c>
      <c r="Y130" s="124">
        <v>63</v>
      </c>
      <c r="Z130" s="124">
        <v>33</v>
      </c>
      <c r="AA130" s="124">
        <v>73</v>
      </c>
      <c r="AB130" s="124">
        <v>77</v>
      </c>
      <c r="AC130" s="124">
        <v>52</v>
      </c>
      <c r="AD130" s="44" t="s">
        <v>23</v>
      </c>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row>
    <row r="131" spans="1:166" ht="15.75" thickBot="1" x14ac:dyDescent="0.3">
      <c r="A131" s="49"/>
      <c r="B131" s="49"/>
      <c r="C131" s="49"/>
      <c r="D131" s="37" t="s">
        <v>21</v>
      </c>
      <c r="E131" s="4">
        <v>50</v>
      </c>
      <c r="F131" s="4">
        <v>50</v>
      </c>
      <c r="G131" s="47" t="s">
        <v>26</v>
      </c>
      <c r="H131" s="15"/>
      <c r="I131" s="48">
        <v>15</v>
      </c>
      <c r="J131" s="119"/>
      <c r="K131" s="49"/>
      <c r="L131" s="49"/>
      <c r="M131" s="37" t="s">
        <v>21</v>
      </c>
      <c r="N131" s="128">
        <f ca="1">INDIRECT("MOSFET_Selection["&amp;$N$115&amp;"]") OFFSET(INDIRECT("MOSFET_Selection[[#Headers], ["&amp;$N$115&amp;"]]"),$I131,)</f>
        <v>15</v>
      </c>
      <c r="O131" s="128">
        <f ca="1">INDIRECT("MOSFET_Selection["&amp;$N$115&amp;"]") OFFSET(INDIRECT("MOSFET_Selection[[#Headers], ["&amp;$N$115&amp;"]]"),$I131,)</f>
        <v>15</v>
      </c>
      <c r="P131" s="47" t="s">
        <v>26</v>
      </c>
      <c r="Q131" s="31"/>
      <c r="R131" s="31"/>
      <c r="S131" s="32"/>
      <c r="T131" s="20"/>
      <c r="U131" s="21"/>
      <c r="V131" s="21"/>
      <c r="W131" s="21"/>
      <c r="X131" s="34" t="s">
        <v>21</v>
      </c>
      <c r="Y131" s="124">
        <v>50</v>
      </c>
      <c r="Z131" s="129">
        <v>50</v>
      </c>
      <c r="AA131" s="124">
        <v>50</v>
      </c>
      <c r="AB131" s="124">
        <v>15</v>
      </c>
      <c r="AC131" s="124">
        <v>25</v>
      </c>
      <c r="AD131" s="47" t="s">
        <v>26</v>
      </c>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c r="FH131" s="21"/>
      <c r="FI131" s="21"/>
      <c r="FJ131" s="21"/>
    </row>
    <row r="132" spans="1:166" ht="15.75" thickBot="1" x14ac:dyDescent="0.3">
      <c r="A132" s="51"/>
      <c r="B132" s="51"/>
      <c r="C132" s="51"/>
      <c r="D132" s="41"/>
      <c r="E132" s="51"/>
      <c r="F132" s="51"/>
      <c r="G132" s="51"/>
      <c r="H132" s="15"/>
      <c r="I132" s="51"/>
      <c r="J132" s="31"/>
      <c r="K132" s="51"/>
      <c r="L132" s="51"/>
      <c r="M132" s="41"/>
      <c r="N132" s="51"/>
      <c r="O132" s="51"/>
      <c r="P132" s="51"/>
      <c r="Q132" s="31"/>
      <c r="R132" s="31"/>
      <c r="S132" s="32"/>
      <c r="T132" s="20"/>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row>
    <row r="133" spans="1:166" x14ac:dyDescent="0.25">
      <c r="A133" s="52"/>
      <c r="B133" s="65"/>
      <c r="C133" s="52"/>
      <c r="D133" s="66" t="s">
        <v>27</v>
      </c>
      <c r="E133" s="67"/>
      <c r="F133" s="52"/>
      <c r="G133" s="40"/>
      <c r="H133" s="15"/>
      <c r="I133" s="56"/>
      <c r="J133" s="27"/>
      <c r="K133" s="65"/>
      <c r="L133" s="52"/>
      <c r="M133" s="66" t="s">
        <v>27</v>
      </c>
      <c r="N133" s="135" t="s">
        <v>323</v>
      </c>
      <c r="O133" s="52"/>
      <c r="P133" s="40"/>
      <c r="Q133" s="31"/>
      <c r="R133" s="31"/>
      <c r="S133" s="32"/>
      <c r="T133" s="20"/>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c r="FH133" s="21"/>
      <c r="FI133" s="21"/>
    </row>
    <row r="134" spans="1:166" x14ac:dyDescent="0.25">
      <c r="A134" s="51"/>
      <c r="B134" s="51"/>
      <c r="C134" s="51"/>
      <c r="D134" s="41"/>
      <c r="E134" s="51" t="s">
        <v>13</v>
      </c>
      <c r="F134" s="51" t="s">
        <v>14</v>
      </c>
      <c r="G134" s="44"/>
      <c r="H134" s="15"/>
      <c r="I134" s="50"/>
      <c r="J134" s="31"/>
      <c r="K134" s="51"/>
      <c r="L134" s="51"/>
      <c r="M134" s="41"/>
      <c r="N134" s="51" t="s">
        <v>13</v>
      </c>
      <c r="O134" s="51" t="s">
        <v>14</v>
      </c>
      <c r="P134" s="44"/>
      <c r="Q134" s="31"/>
      <c r="R134" s="31"/>
      <c r="S134" s="32"/>
      <c r="T134" s="20"/>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row>
    <row r="135" spans="1:166" x14ac:dyDescent="0.25">
      <c r="A135" s="51"/>
      <c r="B135" s="51"/>
      <c r="C135" s="51"/>
      <c r="D135" s="34" t="s">
        <v>130</v>
      </c>
      <c r="E135" s="3">
        <v>2.1</v>
      </c>
      <c r="F135" s="3">
        <v>2.1</v>
      </c>
      <c r="G135" s="44" t="s">
        <v>22</v>
      </c>
      <c r="H135" s="15"/>
      <c r="I135" s="50">
        <v>1</v>
      </c>
      <c r="J135" s="31"/>
      <c r="K135" s="51"/>
      <c r="L135" s="51"/>
      <c r="M135" s="34" t="s">
        <v>130</v>
      </c>
      <c r="N135" s="130">
        <f ca="1">INDIRECT("MOSFET_Selection["&amp;$N$133&amp;"]") OFFSET(INDIRECT("MOSFET_Selection[[#Headers], ["&amp;$N$133&amp;"]]"),$I135,)</f>
        <v>3.55</v>
      </c>
      <c r="O135" s="130">
        <f ca="1">INDIRECT("MOSFET_Selection["&amp;$N$133&amp;"]") OFFSET(INDIRECT("MOSFET_Selection[[#Headers], ["&amp;$N$133&amp;"]]"),$I135,)</f>
        <v>3.55</v>
      </c>
      <c r="P135" s="44" t="s">
        <v>22</v>
      </c>
      <c r="Q135" s="31"/>
      <c r="R135" s="31"/>
      <c r="S135" s="32"/>
      <c r="T135" s="20"/>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c r="FH135" s="21"/>
      <c r="FI135" s="21"/>
    </row>
    <row r="136" spans="1:166" x14ac:dyDescent="0.25">
      <c r="A136" s="51"/>
      <c r="B136" s="51"/>
      <c r="C136" s="51"/>
      <c r="D136" s="34" t="s">
        <v>131</v>
      </c>
      <c r="E136" s="3">
        <v>1.9</v>
      </c>
      <c r="F136" s="3">
        <v>1.9</v>
      </c>
      <c r="G136" s="44"/>
      <c r="H136" s="15"/>
      <c r="I136" s="50">
        <v>2</v>
      </c>
      <c r="J136" s="31"/>
      <c r="K136" s="51"/>
      <c r="L136" s="51"/>
      <c r="M136" s="34" t="s">
        <v>131</v>
      </c>
      <c r="N136" s="130">
        <f ca="1">INDIRECT("MOSFET_Selection["&amp;$N$133&amp;"]") OFFSET(INDIRECT("MOSFET_Selection[[#Headers], ["&amp;$N$133&amp;"]]"),$I136,)</f>
        <v>2.8</v>
      </c>
      <c r="O136" s="130">
        <f ca="1">INDIRECT("MOSFET_Selection["&amp;$N$133&amp;"]") OFFSET(INDIRECT("MOSFET_Selection[[#Headers], ["&amp;$N$133&amp;"]]"),$I136,)</f>
        <v>2.8</v>
      </c>
      <c r="P136" s="44"/>
      <c r="Q136" s="31"/>
      <c r="R136" s="31"/>
      <c r="S136" s="32"/>
      <c r="T136" s="20"/>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c r="FH136" s="21"/>
      <c r="FI136" s="21"/>
    </row>
    <row r="137" spans="1:166" x14ac:dyDescent="0.25">
      <c r="A137" s="51"/>
      <c r="B137" s="51"/>
      <c r="C137" s="51"/>
      <c r="D137" s="34" t="s">
        <v>133</v>
      </c>
      <c r="E137" s="2">
        <v>1.7</v>
      </c>
      <c r="F137" s="2">
        <v>1.7</v>
      </c>
      <c r="G137" s="44"/>
      <c r="H137" s="15"/>
      <c r="I137" s="50"/>
      <c r="J137" s="31"/>
      <c r="K137" s="51"/>
      <c r="L137" s="51"/>
      <c r="M137" s="34" t="s">
        <v>133</v>
      </c>
      <c r="N137" s="2"/>
      <c r="O137" s="2"/>
      <c r="P137" s="44"/>
      <c r="Q137" s="31"/>
      <c r="R137" s="31"/>
      <c r="S137" s="32"/>
      <c r="T137" s="20"/>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c r="FH137" s="21"/>
      <c r="FI137" s="21"/>
    </row>
    <row r="138" spans="1:166" x14ac:dyDescent="0.25">
      <c r="A138" s="51"/>
      <c r="B138" s="51"/>
      <c r="C138" s="51"/>
      <c r="D138" s="34" t="s">
        <v>134</v>
      </c>
      <c r="E138" s="3">
        <v>22</v>
      </c>
      <c r="F138" s="3">
        <v>22</v>
      </c>
      <c r="G138" s="44" t="s">
        <v>23</v>
      </c>
      <c r="H138" s="15"/>
      <c r="I138" s="50">
        <v>4</v>
      </c>
      <c r="J138" s="31"/>
      <c r="K138" s="51"/>
      <c r="L138" s="51"/>
      <c r="M138" s="34" t="s">
        <v>134</v>
      </c>
      <c r="N138" s="130">
        <f ca="1">INDIRECT("MOSFET_Selection["&amp;$N$133&amp;"]") OFFSET(INDIRECT("MOSFET_Selection[[#Headers], ["&amp;$N$133&amp;"]]"),$I138,)</f>
        <v>40.5</v>
      </c>
      <c r="O138" s="130">
        <f ca="1">INDIRECT("MOSFET_Selection["&amp;$N$133&amp;"]") OFFSET(INDIRECT("MOSFET_Selection[[#Headers], ["&amp;$N$133&amp;"]]"),$I138,)</f>
        <v>40.5</v>
      </c>
      <c r="P138" s="44" t="s">
        <v>23</v>
      </c>
      <c r="Q138" s="31"/>
      <c r="R138" s="31"/>
      <c r="S138" s="32"/>
      <c r="T138" s="20"/>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row>
    <row r="139" spans="1:166" x14ac:dyDescent="0.25">
      <c r="A139" s="51"/>
      <c r="B139" s="51"/>
      <c r="C139" s="51"/>
      <c r="D139" s="34" t="s">
        <v>135</v>
      </c>
      <c r="E139" s="3">
        <v>25</v>
      </c>
      <c r="F139" s="3">
        <v>25</v>
      </c>
      <c r="G139" s="44"/>
      <c r="H139" s="15"/>
      <c r="I139" s="50">
        <v>5</v>
      </c>
      <c r="J139" s="31"/>
      <c r="K139" s="51"/>
      <c r="L139" s="51"/>
      <c r="M139" s="34" t="s">
        <v>135</v>
      </c>
      <c r="N139" s="130">
        <f ca="1">INDIRECT("MOSFET_Selection["&amp;$N$133&amp;"]") OFFSET(INDIRECT("MOSFET_Selection[[#Headers], ["&amp;$N$133&amp;"]]"),$I139,)</f>
        <v>90</v>
      </c>
      <c r="O139" s="130">
        <f ca="1">INDIRECT("MOSFET_Selection["&amp;$N$133&amp;"]") OFFSET(INDIRECT("MOSFET_Selection[[#Headers], ["&amp;$N$133&amp;"]]"),$I139,)</f>
        <v>90</v>
      </c>
      <c r="P139" s="44"/>
      <c r="Q139" s="31"/>
      <c r="R139" s="31"/>
      <c r="S139" s="32"/>
      <c r="T139" s="20"/>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c r="FH139" s="21"/>
      <c r="FI139" s="21"/>
    </row>
    <row r="140" spans="1:166" x14ac:dyDescent="0.25">
      <c r="A140" s="51"/>
      <c r="B140" s="51"/>
      <c r="C140" s="51"/>
      <c r="D140" s="34" t="s">
        <v>136</v>
      </c>
      <c r="E140" s="2">
        <v>30</v>
      </c>
      <c r="F140" s="2">
        <v>30</v>
      </c>
      <c r="G140" s="44"/>
      <c r="H140" s="15"/>
      <c r="I140" s="50"/>
      <c r="J140" s="31"/>
      <c r="K140" s="51"/>
      <c r="L140" s="51"/>
      <c r="M140" s="34" t="s">
        <v>136</v>
      </c>
      <c r="N140" s="2"/>
      <c r="O140" s="2"/>
      <c r="P140" s="44"/>
      <c r="Q140" s="31"/>
      <c r="R140" s="31"/>
      <c r="S140" s="32"/>
      <c r="T140" s="20"/>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row>
    <row r="141" spans="1:166" x14ac:dyDescent="0.25">
      <c r="A141" s="51"/>
      <c r="B141" s="51"/>
      <c r="C141" s="51"/>
      <c r="D141" s="34" t="s">
        <v>15</v>
      </c>
      <c r="E141" s="3">
        <v>2.5</v>
      </c>
      <c r="F141" s="3">
        <v>2.5</v>
      </c>
      <c r="G141" s="44" t="s">
        <v>23</v>
      </c>
      <c r="H141" s="15"/>
      <c r="I141" s="50">
        <v>7</v>
      </c>
      <c r="J141" s="31"/>
      <c r="K141" s="51"/>
      <c r="L141" s="51"/>
      <c r="M141" s="34" t="s">
        <v>15</v>
      </c>
      <c r="N141" s="130">
        <f ca="1">INDIRECT("MOSFET_Selection["&amp;$N$133&amp;"]") OFFSET(INDIRECT("MOSFET_Selection[[#Headers], ["&amp;$N$133&amp;"]]"),$I141,)</f>
        <v>8.8000000000000007</v>
      </c>
      <c r="O141" s="130">
        <f ca="1">INDIRECT("MOSFET_Selection["&amp;$N$133&amp;"]") OFFSET(INDIRECT("MOSFET_Selection[[#Headers], ["&amp;$N$133&amp;"]]"),$I141,)</f>
        <v>8.8000000000000007</v>
      </c>
      <c r="P141" s="44" t="s">
        <v>23</v>
      </c>
      <c r="Q141" s="31"/>
      <c r="R141" s="31"/>
      <c r="S141" s="32"/>
      <c r="T141" s="20"/>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c r="FH141" s="21"/>
      <c r="FI141" s="21"/>
    </row>
    <row r="142" spans="1:166" x14ac:dyDescent="0.25">
      <c r="A142" s="51"/>
      <c r="B142" s="51"/>
      <c r="C142" s="51"/>
      <c r="D142" s="34" t="s">
        <v>16</v>
      </c>
      <c r="E142" s="3">
        <v>4</v>
      </c>
      <c r="F142" s="3">
        <v>4</v>
      </c>
      <c r="G142" s="44" t="s">
        <v>23</v>
      </c>
      <c r="H142" s="15"/>
      <c r="I142" s="50">
        <v>8</v>
      </c>
      <c r="J142" s="31"/>
      <c r="K142" s="51"/>
      <c r="L142" s="51"/>
      <c r="M142" s="34" t="s">
        <v>16</v>
      </c>
      <c r="N142" s="130">
        <f ca="1">INDIRECT("MOSFET_Selection["&amp;$N$133&amp;"]") OFFSET(INDIRECT("MOSFET_Selection[[#Headers], ["&amp;$N$133&amp;"]]"),$I142,)</f>
        <v>20</v>
      </c>
      <c r="O142" s="130">
        <f ca="1">INDIRECT("MOSFET_Selection["&amp;$N$133&amp;"]") OFFSET(INDIRECT("MOSFET_Selection[[#Headers], ["&amp;$N$133&amp;"]]"),$I142,)</f>
        <v>20</v>
      </c>
      <c r="P142" s="44" t="s">
        <v>23</v>
      </c>
      <c r="Q142" s="31"/>
      <c r="R142" s="31"/>
      <c r="S142" s="32"/>
      <c r="T142" s="20"/>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row>
    <row r="143" spans="1:166" x14ac:dyDescent="0.25">
      <c r="A143" s="51"/>
      <c r="B143" s="51"/>
      <c r="C143" s="51"/>
      <c r="D143" s="34" t="s">
        <v>251</v>
      </c>
      <c r="E143" s="3">
        <v>36</v>
      </c>
      <c r="F143" s="3">
        <v>36</v>
      </c>
      <c r="G143" s="44" t="s">
        <v>23</v>
      </c>
      <c r="H143" s="15"/>
      <c r="I143" s="50">
        <v>9</v>
      </c>
      <c r="J143" s="31"/>
      <c r="K143" s="51"/>
      <c r="L143" s="51"/>
      <c r="M143" s="34" t="s">
        <v>61</v>
      </c>
      <c r="N143" s="130">
        <f ca="1">INDIRECT("MOSFET_Selection["&amp;$N$133&amp;"]") OFFSET(INDIRECT("MOSFET_Selection[[#Headers], ["&amp;$N$133&amp;"]]"),$I143,)</f>
        <v>73</v>
      </c>
      <c r="O143" s="130">
        <f ca="1">INDIRECT("MOSFET_Selection["&amp;$N$133&amp;"]") OFFSET(INDIRECT("MOSFET_Selection[[#Headers], ["&amp;$N$133&amp;"]]"),$I143,)</f>
        <v>73</v>
      </c>
      <c r="P143" s="44" t="s">
        <v>23</v>
      </c>
      <c r="Q143" s="31"/>
      <c r="R143" s="31"/>
      <c r="S143" s="32"/>
      <c r="T143" s="20"/>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c r="FH143" s="21"/>
      <c r="FI143" s="21"/>
    </row>
    <row r="144" spans="1:166" x14ac:dyDescent="0.25">
      <c r="A144" s="51"/>
      <c r="B144" s="51"/>
      <c r="C144" s="51"/>
      <c r="D144" s="34" t="s">
        <v>17</v>
      </c>
      <c r="E144" s="3">
        <v>1.5</v>
      </c>
      <c r="F144" s="3">
        <v>1.5</v>
      </c>
      <c r="G144" s="127" t="s">
        <v>24</v>
      </c>
      <c r="H144" s="15"/>
      <c r="I144" s="50">
        <v>10</v>
      </c>
      <c r="J144" s="31"/>
      <c r="K144" s="51"/>
      <c r="L144" s="51"/>
      <c r="M144" s="34" t="s">
        <v>17</v>
      </c>
      <c r="N144" s="130">
        <f ca="1">INDIRECT("MOSFET_Selection["&amp;$N$133&amp;"]") OFFSET(INDIRECT("MOSFET_Selection[[#Headers], ["&amp;$N$133&amp;"]]"),$I144,)</f>
        <v>0.95</v>
      </c>
      <c r="O144" s="130">
        <f ca="1">INDIRECT("MOSFET_Selection["&amp;$N$133&amp;"]") OFFSET(INDIRECT("MOSFET_Selection[[#Headers], ["&amp;$N$133&amp;"]]"),$I144,)</f>
        <v>0.95</v>
      </c>
      <c r="P144" s="127" t="s">
        <v>24</v>
      </c>
      <c r="Q144" s="31"/>
      <c r="R144" s="31"/>
      <c r="S144" s="32"/>
      <c r="T144" s="20"/>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row>
    <row r="145" spans="1:165" x14ac:dyDescent="0.25">
      <c r="A145" s="51"/>
      <c r="B145" s="51"/>
      <c r="C145" s="51"/>
      <c r="D145" s="34" t="s">
        <v>18</v>
      </c>
      <c r="E145" s="3">
        <v>150</v>
      </c>
      <c r="F145" s="3">
        <v>150</v>
      </c>
      <c r="G145" s="44" t="s">
        <v>25</v>
      </c>
      <c r="H145" s="15"/>
      <c r="I145" s="50">
        <v>11</v>
      </c>
      <c r="J145" s="31"/>
      <c r="K145" s="51"/>
      <c r="L145" s="51"/>
      <c r="M145" s="34" t="s">
        <v>18</v>
      </c>
      <c r="N145" s="130">
        <f ca="1">INDIRECT("MOSFET_Selection["&amp;$N$133&amp;"]") OFFSET(INDIRECT("MOSFET_Selection[[#Headers], ["&amp;$N$133&amp;"]]"),$I145,)</f>
        <v>130</v>
      </c>
      <c r="O145" s="130">
        <f ca="1">INDIRECT("MOSFET_Selection["&amp;$N$133&amp;"]") OFFSET(INDIRECT("MOSFET_Selection[[#Headers], ["&amp;$N$133&amp;"]]"),$I145,)</f>
        <v>130</v>
      </c>
      <c r="P145" s="44" t="s">
        <v>25</v>
      </c>
      <c r="Q145" s="31"/>
      <c r="R145" s="31"/>
      <c r="S145" s="32"/>
      <c r="T145" s="20"/>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c r="FB145" s="21"/>
      <c r="FC145" s="21"/>
      <c r="FD145" s="21"/>
      <c r="FE145" s="21"/>
      <c r="FF145" s="21"/>
      <c r="FG145" s="21"/>
      <c r="FH145" s="21"/>
      <c r="FI145" s="21"/>
    </row>
    <row r="146" spans="1:165" x14ac:dyDescent="0.25">
      <c r="A146" s="51"/>
      <c r="B146" s="51"/>
      <c r="C146" s="51"/>
      <c r="D146" s="34" t="s">
        <v>19</v>
      </c>
      <c r="E146" s="3">
        <v>2</v>
      </c>
      <c r="F146" s="3">
        <v>2</v>
      </c>
      <c r="G146" s="44" t="s">
        <v>1</v>
      </c>
      <c r="H146" s="15"/>
      <c r="I146" s="50">
        <v>12</v>
      </c>
      <c r="J146" s="31"/>
      <c r="K146" s="51"/>
      <c r="L146" s="51"/>
      <c r="M146" s="34" t="s">
        <v>19</v>
      </c>
      <c r="N146" s="130">
        <f ca="1">INDIRECT("MOSFET_Selection["&amp;$N$133&amp;"]") OFFSET(INDIRECT("MOSFET_Selection[[#Headers], ["&amp;$N$133&amp;"]]"),$I146,)</f>
        <v>1.75</v>
      </c>
      <c r="O146" s="130">
        <f ca="1">INDIRECT("MOSFET_Selection["&amp;$N$133&amp;"]") OFFSET(INDIRECT("MOSFET_Selection[[#Headers], ["&amp;$N$133&amp;"]]"),$I146,)</f>
        <v>1.75</v>
      </c>
      <c r="P146" s="44" t="s">
        <v>1</v>
      </c>
      <c r="Q146" s="31"/>
      <c r="R146" s="31"/>
      <c r="S146" s="32"/>
      <c r="T146" s="20"/>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c r="FH146" s="21"/>
      <c r="FI146" s="21"/>
    </row>
    <row r="147" spans="1:165" x14ac:dyDescent="0.25">
      <c r="A147" s="51"/>
      <c r="B147" s="51"/>
      <c r="C147" s="51"/>
      <c r="D147" s="34" t="s">
        <v>167</v>
      </c>
      <c r="E147" s="3">
        <v>0.8</v>
      </c>
      <c r="F147" s="3">
        <v>0.8</v>
      </c>
      <c r="G147" s="44" t="s">
        <v>1</v>
      </c>
      <c r="H147" s="15"/>
      <c r="I147" s="50">
        <v>13</v>
      </c>
      <c r="J147" s="31"/>
      <c r="K147" s="51"/>
      <c r="L147" s="51"/>
      <c r="M147" s="34" t="s">
        <v>167</v>
      </c>
      <c r="N147" s="130">
        <f ca="1">INDIRECT("MOSFET_Selection["&amp;$N$133&amp;"]") OFFSET(INDIRECT("MOSFET_Selection[[#Headers], ["&amp;$N$133&amp;"]]"),$I147,)</f>
        <v>0.72</v>
      </c>
      <c r="O147" s="130">
        <f ca="1">INDIRECT("MOSFET_Selection["&amp;$N$133&amp;"]") OFFSET(INDIRECT("MOSFET_Selection[[#Headers], ["&amp;$N$133&amp;"]]"),$I147,)</f>
        <v>0.72</v>
      </c>
      <c r="P147" s="44" t="s">
        <v>1</v>
      </c>
      <c r="Q147" s="31"/>
      <c r="R147" s="31"/>
      <c r="S147" s="32"/>
      <c r="T147" s="20"/>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c r="FH147" s="21"/>
      <c r="FI147" s="21"/>
    </row>
    <row r="148" spans="1:165" x14ac:dyDescent="0.25">
      <c r="A148" s="51"/>
      <c r="B148" s="51"/>
      <c r="C148" s="51"/>
      <c r="D148" s="34" t="s">
        <v>20</v>
      </c>
      <c r="E148" s="3">
        <v>33</v>
      </c>
      <c r="F148" s="68"/>
      <c r="G148" s="44" t="s">
        <v>23</v>
      </c>
      <c r="H148" s="15"/>
      <c r="I148" s="50">
        <v>14</v>
      </c>
      <c r="J148" s="31"/>
      <c r="K148" s="51"/>
      <c r="L148" s="51"/>
      <c r="M148" s="34" t="s">
        <v>20</v>
      </c>
      <c r="N148" s="130">
        <f ca="1">INDIRECT("MOSFET_Selection["&amp;$N$133&amp;"]") OFFSET(INDIRECT("MOSFET_Selection[[#Headers], ["&amp;$N$133&amp;"]]"),$I148,)</f>
        <v>77</v>
      </c>
      <c r="O148" s="51"/>
      <c r="P148" s="44" t="s">
        <v>23</v>
      </c>
      <c r="Q148" s="31"/>
      <c r="R148" s="31"/>
      <c r="S148" s="32"/>
      <c r="T148" s="20"/>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c r="FH148" s="21"/>
      <c r="FI148" s="21"/>
    </row>
    <row r="149" spans="1:165" ht="15.75" thickBot="1" x14ac:dyDescent="0.3">
      <c r="A149" s="49"/>
      <c r="B149" s="49"/>
      <c r="C149" s="49"/>
      <c r="D149" s="37" t="s">
        <v>21</v>
      </c>
      <c r="E149" s="4">
        <v>50</v>
      </c>
      <c r="F149" s="4">
        <v>50</v>
      </c>
      <c r="G149" s="47" t="s">
        <v>26</v>
      </c>
      <c r="H149" s="15"/>
      <c r="I149" s="48">
        <v>15</v>
      </c>
      <c r="J149" s="119"/>
      <c r="K149" s="49"/>
      <c r="L149" s="49"/>
      <c r="M149" s="37" t="s">
        <v>21</v>
      </c>
      <c r="N149" s="131">
        <f ca="1">INDIRECT("MOSFET_Selection["&amp;$N$133&amp;"]") OFFSET(INDIRECT("MOSFET_Selection[[#Headers], ["&amp;$N$133&amp;"]]"),$I149,)</f>
        <v>15</v>
      </c>
      <c r="O149" s="131">
        <f ca="1">INDIRECT("MOSFET_Selection["&amp;$N$133&amp;"]") OFFSET(INDIRECT("MOSFET_Selection[[#Headers], ["&amp;$N$133&amp;"]]"),$I149,)</f>
        <v>15</v>
      </c>
      <c r="P149" s="47" t="s">
        <v>26</v>
      </c>
      <c r="Q149" s="31"/>
      <c r="R149" s="31"/>
      <c r="S149" s="32"/>
      <c r="T149" s="20"/>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c r="FH149" s="21"/>
      <c r="FI149" s="21"/>
    </row>
    <row r="150" spans="1:165" x14ac:dyDescent="0.25">
      <c r="A150" s="50"/>
      <c r="B150" s="51"/>
      <c r="C150" s="51"/>
      <c r="D150" s="41"/>
      <c r="E150" s="51"/>
      <c r="F150" s="51"/>
      <c r="G150" s="51"/>
      <c r="H150" s="15"/>
      <c r="I150" s="15"/>
      <c r="J150" s="31"/>
      <c r="K150" s="31"/>
      <c r="L150" s="31"/>
      <c r="M150" s="31"/>
      <c r="N150" s="31"/>
      <c r="O150" s="31"/>
      <c r="P150" s="31"/>
      <c r="Q150" s="31"/>
      <c r="R150" s="31"/>
      <c r="S150" s="32"/>
      <c r="T150" s="20"/>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c r="FH150" s="21"/>
      <c r="FI150" s="21"/>
    </row>
    <row r="151" spans="1:165" ht="15.75" thickBot="1" x14ac:dyDescent="0.3">
      <c r="A151" s="38" t="s">
        <v>140</v>
      </c>
      <c r="B151" s="51"/>
      <c r="C151" s="51"/>
      <c r="D151" s="41"/>
      <c r="E151" s="51"/>
      <c r="F151" s="51"/>
      <c r="G151" s="51"/>
      <c r="H151" s="15"/>
      <c r="I151" s="15"/>
      <c r="J151" s="31"/>
      <c r="K151" s="31"/>
      <c r="L151" s="31"/>
      <c r="M151" s="31"/>
      <c r="N151" s="31"/>
      <c r="O151" s="31"/>
      <c r="P151" s="31"/>
      <c r="Q151" s="31"/>
      <c r="R151" s="31"/>
      <c r="S151" s="32"/>
      <c r="T151" s="20"/>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c r="FH151" s="21"/>
      <c r="FI151" s="21"/>
    </row>
    <row r="152" spans="1:165" ht="15.75" thickBot="1" x14ac:dyDescent="0.3">
      <c r="A152" s="114"/>
      <c r="B152" s="108"/>
      <c r="C152" s="108"/>
      <c r="D152" s="115" t="s">
        <v>132</v>
      </c>
      <c r="E152" s="136">
        <v>12</v>
      </c>
      <c r="F152" s="147" t="s">
        <v>1</v>
      </c>
      <c r="G152" s="51"/>
      <c r="H152" s="15"/>
      <c r="I152" s="15"/>
      <c r="J152" s="31"/>
      <c r="K152" s="31"/>
      <c r="L152" s="31"/>
      <c r="M152" s="31"/>
      <c r="N152" s="31"/>
      <c r="O152" s="31"/>
      <c r="P152" s="31"/>
      <c r="Q152" s="31"/>
      <c r="R152" s="31"/>
      <c r="S152" s="32"/>
      <c r="T152" s="20"/>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c r="FH152" s="21"/>
      <c r="FI152" s="21"/>
    </row>
    <row r="153" spans="1:165" ht="15.75" thickBot="1" x14ac:dyDescent="0.3">
      <c r="A153" s="50"/>
      <c r="B153" s="51"/>
      <c r="C153" s="51"/>
      <c r="D153" s="41"/>
      <c r="E153" s="51"/>
      <c r="F153" s="51"/>
      <c r="G153" s="51"/>
      <c r="H153" s="15"/>
      <c r="I153" s="15"/>
      <c r="J153" s="31"/>
      <c r="K153" s="31"/>
      <c r="L153" s="31"/>
      <c r="M153" s="31"/>
      <c r="N153" s="31"/>
      <c r="O153" s="31"/>
      <c r="P153" s="31"/>
      <c r="Q153" s="31"/>
      <c r="R153" s="31"/>
      <c r="S153" s="32"/>
      <c r="T153" s="20"/>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c r="FH153" s="21"/>
      <c r="FI153" s="21"/>
    </row>
    <row r="154" spans="1:165" ht="25.5" customHeight="1" thickBot="1" x14ac:dyDescent="0.45">
      <c r="A154" s="253" t="s">
        <v>10</v>
      </c>
      <c r="B154" s="254"/>
      <c r="C154" s="254"/>
      <c r="D154" s="254"/>
      <c r="E154" s="254"/>
      <c r="F154" s="59"/>
      <c r="G154" s="59"/>
      <c r="H154" s="60"/>
      <c r="I154" s="60"/>
      <c r="J154" s="61"/>
      <c r="K154" s="61"/>
      <c r="L154" s="61"/>
      <c r="M154" s="61"/>
      <c r="N154" s="61"/>
      <c r="O154" s="61"/>
      <c r="P154" s="61"/>
      <c r="Q154" s="61"/>
      <c r="R154" s="61"/>
      <c r="S154" s="62"/>
      <c r="T154" s="20"/>
      <c r="U154" s="21"/>
      <c r="V154" s="21"/>
      <c r="W154" s="21"/>
      <c r="X154" s="21"/>
      <c r="Y154" s="21"/>
      <c r="Z154" s="21"/>
      <c r="AA154" s="21"/>
      <c r="AB154" s="21"/>
      <c r="AC154" s="21"/>
      <c r="AD154" s="21"/>
      <c r="AE154" s="21"/>
      <c r="AF154" s="255" t="s">
        <v>347</v>
      </c>
      <c r="AG154" s="256"/>
      <c r="AH154" s="256"/>
      <c r="AI154" s="256"/>
      <c r="AJ154" s="256"/>
      <c r="AK154" s="256"/>
      <c r="AL154" s="256"/>
      <c r="AM154" s="152"/>
      <c r="AN154" s="247" t="s">
        <v>183</v>
      </c>
      <c r="AO154" s="248"/>
      <c r="AP154" s="248"/>
      <c r="AQ154" s="248"/>
      <c r="AR154" s="248"/>
      <c r="AS154" s="248"/>
      <c r="AT154" s="248"/>
      <c r="AU154" s="248"/>
      <c r="AV154" s="248"/>
      <c r="AW154" s="248"/>
      <c r="AX154" s="248"/>
      <c r="AY154" s="248"/>
      <c r="AZ154" s="248"/>
      <c r="BA154" s="248"/>
      <c r="BB154" s="248"/>
      <c r="BC154" s="248"/>
      <c r="BD154" s="248"/>
      <c r="BE154" s="248"/>
      <c r="BF154" s="152"/>
      <c r="BG154" s="247" t="s">
        <v>184</v>
      </c>
      <c r="BH154" s="248"/>
      <c r="BI154" s="248"/>
      <c r="BJ154" s="248"/>
      <c r="BK154" s="248"/>
      <c r="BL154" s="248"/>
      <c r="BM154" s="248"/>
      <c r="BN154" s="248"/>
      <c r="BO154" s="248"/>
      <c r="BP154" s="248"/>
      <c r="BQ154" s="248"/>
      <c r="BR154" s="248"/>
      <c r="BS154" s="248"/>
      <c r="BT154" s="248"/>
      <c r="BU154" s="248"/>
      <c r="BV154" s="248"/>
      <c r="BW154" s="248"/>
      <c r="BX154" s="248"/>
      <c r="BY154" s="152"/>
      <c r="BZ154" s="152"/>
      <c r="CA154" s="152"/>
      <c r="CB154" s="249" t="s">
        <v>208</v>
      </c>
      <c r="CC154" s="250"/>
      <c r="CD154" s="250"/>
      <c r="CE154" s="152"/>
      <c r="CF154" s="247" t="s">
        <v>212</v>
      </c>
      <c r="CG154" s="248"/>
      <c r="CH154" s="248"/>
      <c r="CI154" s="248"/>
      <c r="CJ154" s="152"/>
      <c r="CK154" s="247" t="s">
        <v>223</v>
      </c>
      <c r="CL154" s="248"/>
      <c r="CM154" s="248"/>
      <c r="CN154" s="248"/>
      <c r="CO154" s="152"/>
      <c r="CP154" s="245" t="s">
        <v>224</v>
      </c>
      <c r="CQ154" s="245"/>
      <c r="CR154" s="245"/>
      <c r="CS154" s="152"/>
      <c r="CT154" s="245" t="s">
        <v>227</v>
      </c>
      <c r="CU154" s="245"/>
      <c r="CV154" s="245"/>
      <c r="CW154" s="152"/>
      <c r="CX154" s="245" t="s">
        <v>234</v>
      </c>
      <c r="CY154" s="245"/>
      <c r="CZ154" s="245"/>
      <c r="DA154" s="152"/>
      <c r="DB154" s="245" t="s">
        <v>235</v>
      </c>
      <c r="DC154" s="245"/>
      <c r="DD154" s="245"/>
      <c r="DE154" s="152"/>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c r="FH154" s="21"/>
      <c r="FI154" s="21"/>
    </row>
    <row r="155" spans="1:165" ht="19.5" thickBot="1" x14ac:dyDescent="0.3">
      <c r="A155" s="50"/>
      <c r="B155" s="51"/>
      <c r="C155" s="51"/>
      <c r="D155" s="41"/>
      <c r="E155" s="51"/>
      <c r="F155" s="51"/>
      <c r="G155" s="51"/>
      <c r="H155" s="31"/>
      <c r="I155" s="31"/>
      <c r="J155" s="31"/>
      <c r="K155" s="31"/>
      <c r="L155" s="31"/>
      <c r="M155" s="31"/>
      <c r="N155" s="31"/>
      <c r="O155" s="31"/>
      <c r="P155" s="31"/>
      <c r="Q155" s="31"/>
      <c r="R155" s="31"/>
      <c r="S155" s="32"/>
      <c r="T155" s="20"/>
      <c r="U155" s="21"/>
      <c r="V155" s="21"/>
      <c r="W155" s="21"/>
      <c r="X155" s="21"/>
      <c r="Y155" s="21"/>
      <c r="Z155" s="21"/>
      <c r="AA155" s="21"/>
      <c r="AB155" s="21"/>
      <c r="AC155" s="21"/>
      <c r="AD155" s="21"/>
      <c r="AE155" s="21"/>
      <c r="AF155" s="148" t="s">
        <v>58</v>
      </c>
      <c r="AG155" s="148" t="s">
        <v>211</v>
      </c>
      <c r="AH155" s="149" t="s">
        <v>210</v>
      </c>
      <c r="AI155" s="150" t="s">
        <v>40</v>
      </c>
      <c r="AJ155" s="150" t="s">
        <v>43</v>
      </c>
      <c r="AK155" s="150" t="s">
        <v>44</v>
      </c>
      <c r="AL155" s="150" t="s">
        <v>42</v>
      </c>
      <c r="AM155" s="151" t="s">
        <v>175</v>
      </c>
      <c r="AN155" s="150" t="s">
        <v>154</v>
      </c>
      <c r="AO155" s="150" t="s">
        <v>155</v>
      </c>
      <c r="AP155" s="150" t="s">
        <v>156</v>
      </c>
      <c r="AQ155" s="150" t="s">
        <v>157</v>
      </c>
      <c r="AR155" s="150" t="s">
        <v>158</v>
      </c>
      <c r="AS155" s="150" t="s">
        <v>159</v>
      </c>
      <c r="AT155" s="150" t="s">
        <v>161</v>
      </c>
      <c r="AU155" s="150" t="s">
        <v>162</v>
      </c>
      <c r="AV155" s="150" t="s">
        <v>170</v>
      </c>
      <c r="AW155" s="150" t="s">
        <v>166</v>
      </c>
      <c r="AX155" s="150" t="s">
        <v>168</v>
      </c>
      <c r="AY155" s="150" t="s">
        <v>169</v>
      </c>
      <c r="AZ155" s="150" t="s">
        <v>153</v>
      </c>
      <c r="BA155" s="150" t="s">
        <v>163</v>
      </c>
      <c r="BB155" s="150" t="s">
        <v>164</v>
      </c>
      <c r="BC155" s="150" t="s">
        <v>165</v>
      </c>
      <c r="BD155" s="150" t="s">
        <v>186</v>
      </c>
      <c r="BE155" s="150" t="s">
        <v>171</v>
      </c>
      <c r="BF155" s="150" t="s">
        <v>185</v>
      </c>
      <c r="BG155" s="151" t="s">
        <v>160</v>
      </c>
      <c r="BH155" s="150" t="s">
        <v>187</v>
      </c>
      <c r="BI155" s="150" t="s">
        <v>188</v>
      </c>
      <c r="BJ155" s="150" t="s">
        <v>189</v>
      </c>
      <c r="BK155" s="150" t="s">
        <v>190</v>
      </c>
      <c r="BL155" s="150" t="s">
        <v>191</v>
      </c>
      <c r="BM155" s="150" t="s">
        <v>192</v>
      </c>
      <c r="BN155" s="150" t="s">
        <v>193</v>
      </c>
      <c r="BO155" s="150" t="s">
        <v>194</v>
      </c>
      <c r="BP155" s="150" t="s">
        <v>195</v>
      </c>
      <c r="BQ155" s="150" t="s">
        <v>196</v>
      </c>
      <c r="BR155" s="150" t="s">
        <v>197</v>
      </c>
      <c r="BS155" s="150" t="s">
        <v>198</v>
      </c>
      <c r="BT155" s="150" t="s">
        <v>199</v>
      </c>
      <c r="BU155" s="150" t="s">
        <v>200</v>
      </c>
      <c r="BV155" s="150" t="s">
        <v>201</v>
      </c>
      <c r="BW155" s="150" t="s">
        <v>202</v>
      </c>
      <c r="BX155" s="150" t="s">
        <v>203</v>
      </c>
      <c r="BY155" s="150" t="s">
        <v>204</v>
      </c>
      <c r="BZ155" s="165" t="s">
        <v>218</v>
      </c>
      <c r="CA155" s="151" t="s">
        <v>182</v>
      </c>
      <c r="CB155" s="150" t="s">
        <v>205</v>
      </c>
      <c r="CC155" s="150" t="s">
        <v>207</v>
      </c>
      <c r="CD155" s="150" t="s">
        <v>206</v>
      </c>
      <c r="CE155" s="151" t="s">
        <v>176</v>
      </c>
      <c r="CF155" s="150" t="s">
        <v>59</v>
      </c>
      <c r="CG155" s="150" t="s">
        <v>60</v>
      </c>
      <c r="CH155" s="150" t="s">
        <v>209</v>
      </c>
      <c r="CI155" s="150" t="s">
        <v>41</v>
      </c>
      <c r="CJ155" s="151" t="s">
        <v>177</v>
      </c>
      <c r="CK155" s="150" t="s">
        <v>214</v>
      </c>
      <c r="CL155" s="150" t="s">
        <v>215</v>
      </c>
      <c r="CM155" s="150" t="s">
        <v>216</v>
      </c>
      <c r="CN155" s="150" t="s">
        <v>217</v>
      </c>
      <c r="CO155" s="151" t="s">
        <v>213</v>
      </c>
      <c r="CP155" s="150" t="s">
        <v>219</v>
      </c>
      <c r="CQ155" s="150" t="s">
        <v>220</v>
      </c>
      <c r="CR155" s="150" t="s">
        <v>221</v>
      </c>
      <c r="CS155" s="151" t="s">
        <v>178</v>
      </c>
      <c r="CT155" s="150" t="s">
        <v>225</v>
      </c>
      <c r="CU155" s="150" t="s">
        <v>226</v>
      </c>
      <c r="CV155" s="150" t="s">
        <v>222</v>
      </c>
      <c r="CW155" s="151" t="s">
        <v>179</v>
      </c>
      <c r="CX155" s="150" t="s">
        <v>228</v>
      </c>
      <c r="CY155" s="150" t="s">
        <v>229</v>
      </c>
      <c r="CZ155" s="150" t="s">
        <v>230</v>
      </c>
      <c r="DA155" s="151" t="s">
        <v>181</v>
      </c>
      <c r="DB155" s="150" t="s">
        <v>231</v>
      </c>
      <c r="DC155" s="150" t="s">
        <v>232</v>
      </c>
      <c r="DD155" s="150" t="s">
        <v>233</v>
      </c>
      <c r="DE155" s="151" t="s">
        <v>180</v>
      </c>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c r="FH155" s="21"/>
      <c r="FI155" s="21"/>
    </row>
    <row r="156" spans="1:165" ht="15.75" thickBot="1" x14ac:dyDescent="0.3">
      <c r="A156" s="38" t="s">
        <v>338</v>
      </c>
      <c r="B156" s="51"/>
      <c r="C156" s="51"/>
      <c r="D156" s="41"/>
      <c r="E156" s="51"/>
      <c r="F156" s="51"/>
      <c r="G156" s="51"/>
      <c r="H156" s="31"/>
      <c r="I156" s="57"/>
      <c r="J156" s="57"/>
      <c r="K156" s="57"/>
      <c r="L156" s="31"/>
      <c r="M156" s="31"/>
      <c r="N156" s="31"/>
      <c r="O156" s="31"/>
      <c r="P156" s="31"/>
      <c r="Q156" s="31"/>
      <c r="R156" s="31"/>
      <c r="S156" s="32"/>
      <c r="T156" s="20"/>
      <c r="U156" s="21"/>
      <c r="V156" s="21"/>
      <c r="W156" s="21"/>
      <c r="X156" s="21"/>
      <c r="Y156" s="21"/>
      <c r="Z156" s="21"/>
      <c r="AA156" s="21"/>
      <c r="AB156" s="21"/>
      <c r="AC156" s="21"/>
      <c r="AD156" s="21"/>
      <c r="AE156" s="21"/>
      <c r="AF156" s="154">
        <v>0</v>
      </c>
      <c r="AG156" s="154">
        <f>0</f>
        <v>0</v>
      </c>
      <c r="AH156" s="155">
        <f t="shared" ref="AH156:AH187" si="3">AG156*VACnom</f>
        <v>0</v>
      </c>
      <c r="AI156" s="156">
        <f t="shared" ref="AI156:AI187" si="4">IF(VACnom&lt;Vbat, (Vbat-VACnom)/Vbat, Vbat/VACnom)</f>
        <v>0.42857142857142855</v>
      </c>
      <c r="AJ156" s="156">
        <f t="shared" ref="AJ156:AJ187" si="5">IF(VACnom&lt;Vbat, AG156/(1-AI156), AG156*AI156)</f>
        <v>0</v>
      </c>
      <c r="AK156" s="156">
        <f t="shared" ref="AK156:AK184" si="6">Ipkpk_VACnom</f>
        <v>0.85714285714285721</v>
      </c>
      <c r="AL156" s="156">
        <f t="shared" ref="AL156:AL184" si="7">SQRT(AJ156^2+AK156^2/12)</f>
        <v>0.24743582965269678</v>
      </c>
      <c r="AM156" s="157"/>
      <c r="AN156" s="156">
        <f>MAX(0,Table7[[#This Row],[I_L]]-0.5*Table7[[#This Row],[I_L pkpk]])</f>
        <v>0</v>
      </c>
      <c r="AO156" s="156">
        <f>Table7[[#This Row],[I_L]]+0.5*Table7[[#This Row],[I_L pkpk]]</f>
        <v>0.4285714285714286</v>
      </c>
      <c r="AP156" s="156">
        <f ca="1">IF(VACnom&gt;Vbat, (VGS_S-(TI_MOSFET_S_VTH_H_BU+Table7[[#This Row],[I_L]]/TI_MOSFET_S_gFS_H_BU))/3.4, (VGS_S-(TI_MOSFET_S_VTH_L_BO+Table7[[#This Row],[I_L]]/TI_MOSFET_S_gFS_L_BO))/3.4 )</f>
        <v>2.4264705882352944</v>
      </c>
      <c r="AQ156" s="156">
        <f ca="1">IF(VACnom&gt;Vbat, ((TI_MOSFET_S_VTH_H_BU+Table7[[#This Row],[I_L]]/TI_MOSFET_S_gFS_H_BU))/1, ((TI_MOSFET_S_VTH_L_BO+Table7[[#This Row],[I_L]]/TI_MOSFET_S_gFS_L_BO))/1 )</f>
        <v>1.75</v>
      </c>
      <c r="AR156" s="156">
        <f ca="1">IF(VACnom&gt;Vbat, (TI_MOSFET_S_QGD_H_BU+TI_MOSFET_S_QGS_H_BU)*10^-9/Table7[[#This Row],[Ion (A)]], (TI_MOSFET_S_QGD_L_BO+TI_MOSFET_S_QGS_L_BO)*10^-9/Table7[[#This Row],[Ion (A)]])/10^-9</f>
        <v>11.869090909090909</v>
      </c>
      <c r="AS156" s="156">
        <f ca="1">IF(VACnom&gt;Vbat, (TI_MOSFET_S_QGD_H_BU+TI_MOSFET_S_QGS_H_BU)*10^-9/Table7[[#This Row],[Ioff (A)]], (TI_MOSFET_S_QGD_L_BO+TI_MOSFET_S_QGS_L_BO)*10^-9/Table7[[#This Row],[Ioff (A)]])/10^-9</f>
        <v>16.457142857142859</v>
      </c>
      <c r="AT156" s="156">
        <f ca="1" xml:space="preserve"> 0.5*VACnom*Table7[[#This Row],[Ivalley (A)]]*Table7[[#This Row],[ton (ns)]]*10^-9*Fsw*10^3+0.5*VACnom*Table7[[#This Row],[Ipeak (A)]]*Table7[[#This Row],[toff (ns)]]*10^-9*Fsw*10^3/10^-3</f>
        <v>25.391020408163271</v>
      </c>
      <c r="AU156" s="156">
        <f t="shared" ref="AU156:AU187" ca="1" si="8">IF(VACnom&gt;Vbat, 0.5*VACnom*TI_MOSFET_S_QOSS_H_BU*10^-9*Fsw*10^3,0.5*VACnom*TI_MOSFET_S_QOSS_L_BO*10^-9*Fsw*10^3)/10^-3</f>
        <v>262.8</v>
      </c>
      <c r="AV156" s="156">
        <f t="shared" ref="AV156:AV187" ca="1" si="9">IF(VACnom&gt;Vbat, VACnom*TI_MOSFET_S_QG_H_BU*10^-9*Fsw*10^3,VACnom*TI_MOSFET_S_QG_H_BO*10^-9*Fsw*10^3)/10^-3</f>
        <v>648</v>
      </c>
      <c r="AW156" s="156">
        <f t="shared" ref="AW156:AW187" ca="1" si="10">IF(VACnom&gt;Vbat, VACnom*TI_MOSFET_S_QRR_L_BU*10^-9*Fsw*10^3, VACnom*TI_MOSFET_S_QRR_H_BO*10^-9*Fsw*10^3)/10^-3</f>
        <v>554.4</v>
      </c>
      <c r="AX156" s="156">
        <f ca="1">IF(VACnom&gt;Vbat, TI_MOSFET_S_VSD_L_BU*Table7[[#This Row],[Ivalley (A)]]*Fsw*10^3*40*10^-9+TI_MOSFET_S_VSD_L_BU*Table7[[#This Row],[Ipeak (A)]]*Fsw*10^3*30*10^-9, TI_MOSFET_S_VSD_H_BO*Table7[[#This Row],[Ivalley (A)]]*Fsw*10^3*40*10^-9+TI_MOSFET_S_VSD_H_BO*Table7[[#This Row],[Ipeak (A)]]*Fsw*10^3*30*10^-9)/10^-3</f>
        <v>5.5542857142857143</v>
      </c>
      <c r="AY156" s="156">
        <f t="shared" ref="AY156:AY187" ca="1" si="11">IF(VACnom&gt;Vbat, VACnom*TI_MOSFET_S_QG_L_BU*10^-9*Fsw*10^3, VACnom*TI_MOSFET_S_QG_L_BO*10^-9*Fsw*10^3)/10^-3</f>
        <v>648</v>
      </c>
      <c r="AZ156" s="156">
        <f ca="1">IF(VACnom&lt;Vbat, Table7[[#This Row],[Duty Cycle]]*Table7[[#This Row],[I_L RMS]]^2*TI_MOSFET_S_RDSON_H_BU*10^-3, (1-Table7[[#This Row],[Duty Cycle]])*Table7[[#This Row],[I_L RMS]]^2*TI_MOSFET_S_RDSON_H_BO*10^-3)/10^-3</f>
        <v>7.3469387755102047E-2</v>
      </c>
      <c r="BA156" s="156">
        <f ca="1">IF(VACnom&gt;Vbat, Table7[[#This Row],[PIV (mW)]]+Table7[[#This Row],[Pqoss (mW)]]+Table7[[#This Row],[Pgate_top (mW)]], Table7[[#This Row],[PRR (mW)]]+Table7[[#This Row],[Pdead (mW)]]+Table7[[#This Row],[Pgate_top (mW)]])</f>
        <v>1207.9542857142856</v>
      </c>
      <c r="BB156" s="156">
        <f ca="1">Table7[[#This Row],[Pcon_top (mW)]]+Table7[[#This Row],[Psw_top (mW)]]</f>
        <v>1208.0277551020406</v>
      </c>
      <c r="BC156" s="156">
        <f ca="1">IF(VACnom&gt;Vbat, (1-Table7[[#This Row],[Duty Cycle]])*Table7[[#This Row],[I_L RMS]]^2*TI_MOSFET_S_RDSON_L_BU*10^-3, Table7[[#This Row],[Duty Cycle]]*Table7[[#This Row],[I_L RMS]]^2*TI_MOSFET_S_RDSON_L_BO*10^-3)/10^-3</f>
        <v>7.3469387755102047E-2</v>
      </c>
      <c r="BD156" s="156">
        <f ca="1">IF(VACnom&gt;Vbat, Table7[[#This Row],[PRR (mW)]]+Table7[[#This Row],[Pdead (mW)]]+Table7[[#This Row],[Pgate_bottom (mW)]], Table7[[#This Row],[PIV (mW)]]+Table7[[#This Row],[Pqoss (mW)]]+Table7[[#This Row],[Pgate_bottom (mW)]])</f>
        <v>936.19102040816324</v>
      </c>
      <c r="BE156" s="158">
        <f ca="1">Table7[[#This Row],[Pcon_bottom (mW)]]+Table7[[#This Row],[Psw_bottom (mW)]]</f>
        <v>936.26448979591839</v>
      </c>
      <c r="BF156" s="164">
        <f ca="1">Table7[[#This Row],[Pbottom (mW)]]+Table7[[#This Row],[Ptop (mW)]]</f>
        <v>2144.2922448979589</v>
      </c>
      <c r="BG156" s="153"/>
      <c r="BH156" s="156">
        <f>MAX(0,Table7[[#This Row],[I_L]]-0.5*Table7[[#This Row],[I_L pkpk]])</f>
        <v>0</v>
      </c>
      <c r="BI156" s="156">
        <f>Table7[[#This Row],[I_L]]+0.5*Table7[[#This Row],[I_L pkpk]]</f>
        <v>0.4285714285714286</v>
      </c>
      <c r="BJ156" s="156">
        <f>IF(VACnom&gt;Vbat, (VGS_S-(C_MOSFET_S_VTH_H_BU+Table7[[#This Row],[I_L]]/C_MOSFET_S_gFS_H_BU))/3.4, (VGS_S-(C_MOSFET_S_VTH_L_BO+Table7[[#This Row],[I_L]]/C_MOSFET_S_gFS_L_BO))/3.4 )</f>
        <v>2.3529411764705883</v>
      </c>
      <c r="BK156" s="156">
        <f>IF(VACnom&gt;Vbat, ((C_MOSFET_S_VTH_H_BU+Table7[[#This Row],[I_L]]/C_MOSFET_S_gFS_H_BU))/1, ((C_MOSFET_S_VTH_L_BO+Table7[[#This Row],[I_L]]/C_MOSFET_S_gFS_L_BO))/1 )</f>
        <v>2</v>
      </c>
      <c r="BL156" s="156">
        <f>IF(VACnom&gt;Vbat, (C_MOSFET_S_QGD_H_BU+C_MOSFET_S_QGS_H_BU)*10^-9/Table7[[#This Row],[Ion (A) C]], (C_MOSFET_S_QGD_L_BO+C_MOSFET_S_QGS_L_BO)*10^-9/Table7[[#This Row],[Ion (A) C]])/10^-9</f>
        <v>2.7624999999999997</v>
      </c>
      <c r="BM156" s="156">
        <f>IF(VACnom&gt;Vbat, (C_MOSFET_S_QGD_H_BU+C_MOSFET_S_QGS_H_BU)*10^-9/Table7[[#This Row],[Ioff (A) C]], (C_MOSFET_S_QGD_L_BO+C_MOSFET_S_QGS_L_BO)*10^-9/Table7[[#This Row],[Ioff (A) C]])/10^-9</f>
        <v>3.25</v>
      </c>
      <c r="BN156" s="156">
        <f xml:space="preserve"> 0.5*VACnom*Table7[[#This Row],[Ivalley (A) C]]*Table7[[#This Row],[ton (ns) C]]*10^-9*Fsw*10^3+0.5*VACnom*Table7[[#This Row],[Ipeak (A) C]]*Table7[[#This Row],[toff (ns) C]]*10^-9*Fsw*10^3/10^-3</f>
        <v>5.0142857142857151</v>
      </c>
      <c r="BO156" s="156">
        <f t="shared" ref="BO156:BO187" si="12">IF(VACnom&gt;Vbat, 0.5*VACnom*C_MOSFET_S_QOSS_H_BU*10^-9*Fsw*10^3,0.5*VACnom*C_MOSFET_S_QOSS_L_BO*10^-9*Fsw*10^3)/10^-3</f>
        <v>129.6</v>
      </c>
      <c r="BP156" s="156">
        <f t="shared" ref="BP156:BP187" ca="1" si="13">IF(VACnom&gt;Vbat, VACnom*C_MOSFET_S_QG_H_BU*10^-9*Fsw*10^3,VACnom*C_MOSFET_S_QG_H_BO*10^-9*Fsw*10^3)/10^-3</f>
        <v>291.59999999999997</v>
      </c>
      <c r="BQ156" s="156">
        <f t="shared" ref="BQ156:BQ187" si="14">IF(VACnom&gt;Vbat, VACnom*C_MOSFET_S_QRR_L_BU*10^-9*Fsw*10^3, VACnom*C_MOSFET_S_QRR_H_BO*10^-9*Fsw*10^3)/10^-3</f>
        <v>237.6</v>
      </c>
      <c r="BR156" s="156">
        <f>IF(VACnom&gt;Vbat, C_MOSFET_S_VSD_L_BU*Table7[[#This Row],[Ivalley (A) C]]*Fsw*10^3*40*10^-9+C_MOSFET_S_VSD_L_BU*Table7[[#This Row],[Ipeak (A) C]]*Fsw*10^3*30*10^-9, C_MOSFET_S_VSD_H_BO*Table7[[#This Row],[Ivalley (A) C]]*Fsw*10^3*40*10^-9+C_MOSFET_S_VSD_H_BO*Table7[[#This Row],[Ipeak (A) C]]*Fsw*10^3*30*10^-9)/10^-3</f>
        <v>6.1714285714285726</v>
      </c>
      <c r="BS156" s="156">
        <f t="shared" ref="BS156:BS187" ca="1" si="15">IF(VACnom&gt;Vbat, VACnom*C_MOSFET_S_QG_L_BU*10^-9*Fsw*10^3, VACnom*C_MOSFET_S_QG_L_BO*10^-9*Fsw*10^3)/10^-3</f>
        <v>291.59999999999997</v>
      </c>
      <c r="BT156" s="156">
        <f>IF(VACnom&lt;Vbat, Table7[[#This Row],[Duty Cycle]]*Table7[[#This Row],[I_L RMS]]^2*C_MOSFET_S_RDSON_H_BU*10^-3, (1-Table7[[#This Row],[Duty Cycle]])*Table7[[#This Row],[I_L RMS]]^2*C_MOSFET_S_RDSON_H_BO*10^-3)/10^-3</f>
        <v>0.14956268221574348</v>
      </c>
      <c r="BU156" s="156">
        <f ca="1">IF(VACnom&gt;Vbat, Table7[[#This Row],[PIV (mW) C]]+Table7[[#This Row],[PQoss (mW) C]]+Table7[[#This Row],[Pgate_top (mW) C]], Table7[[#This Row],[PRR (mW) C]]+Table7[[#This Row],[Pdead (mW) C]]+Table7[[#This Row],[Pgate_top (mW) C]])</f>
        <v>535.37142857142851</v>
      </c>
      <c r="BV156" s="156">
        <f ca="1">Table7[[#This Row],[Pcon_top (mW) C]]+Table7[[#This Row],[Psw_top (mW) C]]</f>
        <v>535.5209912536443</v>
      </c>
      <c r="BW156" s="156">
        <f ca="1">IF(VACnom&gt;Vbat, (1-Table7[[#This Row],[Duty Cycle]])*Table7[[#This Row],[I_L RMS]]^2*C_MOSFET_S_RDSON_L_BU*10^-3, Table7[[#This Row],[Duty Cycle]]*Table7[[#This Row],[I_L RMS]]^2*C_MOSFET_S_RDSON_L_BO*10^-3)/10^-3</f>
        <v>9.3148688046647235E-2</v>
      </c>
      <c r="BX156" s="156">
        <f ca="1">IF(VACnom&gt;Vbat, Table7[[#This Row],[PRR (mW) C]]+Table7[[#This Row],[Pdead (mW) C]]+Table7[[#This Row],[Pgate_bottom (mW) C]], Table7[[#This Row],[PIV (mW) C]]+Table7[[#This Row],[PQoss (mW) C]]+Table7[[#This Row],[Pgate_bottom (mW) C]])</f>
        <v>426.21428571428567</v>
      </c>
      <c r="BY156" s="156">
        <f ca="1">Table7[[#This Row],[Pcon_bottom (mW) C]]+Table7[[#This Row],[Psw_bottom (mV) C]]</f>
        <v>426.30743440233232</v>
      </c>
      <c r="BZ156" s="156">
        <f ca="1">Table7[[#This Row],[Pbottom (mW) C]]+Table7[[#This Row],[Ptop (mW) C]]</f>
        <v>961.82842565597662</v>
      </c>
      <c r="CA156" s="159"/>
      <c r="CB156" s="160">
        <f>(RAC_SNS*10^-3*(Table7[[#This Row],[IOUT (A)]]*Vbat/VACnom)^2/10^-3)</f>
        <v>0</v>
      </c>
      <c r="CC156" s="160">
        <f>(RBAT_SNS*10^-3*Table7[[#This Row],[IOUT (A)]]^2)/10^-3</f>
        <v>0</v>
      </c>
      <c r="CD156" s="160">
        <f>IF(VACnom&gt;Vbat,(L_DRC*10^-3*(Table7[[#This Row],[IOUT (A)]])^2/10^-3),(L_DRC*10^-3*(Table7[[#This Row],[IOUT (A)]]*Vbat/VACnom)^2/10^-3))</f>
        <v>0</v>
      </c>
      <c r="CE156" s="166"/>
      <c r="CF156" s="156">
        <f>(Table7[[#This Row],[R_AC (mW)]]+Table7[[#This Row],[R_SR (mW)]]+Table7[[#This Row],[Inductor Loss (mW)]])/10^3</f>
        <v>0</v>
      </c>
      <c r="CG156" s="156">
        <f ca="1">Table7[[#This Row],[Total TI (mW)]]/10^3</f>
        <v>2.1442922448979589</v>
      </c>
      <c r="CH156" s="156">
        <f ca="1">Table7[[#This Row],[Total Sense Loss]]+Table7[[#This Row],[Total MOSFET Loss]]</f>
        <v>2.1442922448979589</v>
      </c>
      <c r="CI156" s="161">
        <f>IF(Table7[[#This Row],[POUT (W)]]=0,0,(Table7[[#This Row],[POUT (W)]])/(Table7[[#This Row],[POUT (W)]]+Table7[[#This Row],[Total Power Loss (W)]]))*100</f>
        <v>0</v>
      </c>
      <c r="CJ156" s="167"/>
      <c r="CK156" s="156">
        <f>(Table7[[#This Row],[R_AC (mW)]]+Table7[[#This Row],[R_SR (mW)]]+Table7[[#This Row],[Inductor Loss (mW)]])/10^3</f>
        <v>0</v>
      </c>
      <c r="CL156" s="156">
        <f ca="1">Table7[[#This Row],[Total (mW) C]]/10^3</f>
        <v>0.96182842565597659</v>
      </c>
      <c r="CM156" s="156">
        <f ca="1">Table7[[#This Row],[Total Sense Loss C]]+Table7[[#This Row],[Total MOSFET Loss C]]</f>
        <v>0.96182842565597659</v>
      </c>
      <c r="CN156" s="161">
        <f>IF(Table7[[#This Row],[POUT (W)]]=0,0,(Table7[[#This Row],[POUT (W)]])/(Table7[[#This Row],[POUT (W)]]+Table7[[#This Row],[Total Power Loss (W) C]]))*100</f>
        <v>0</v>
      </c>
      <c r="CO156" s="167"/>
      <c r="CP156" s="161">
        <f>IF(MOSFET_S=Custom_MOSFET,Table7[[#This Row],[Total Sense Loss C]],Table7[[#This Row],[Total Sense Loss]])</f>
        <v>0</v>
      </c>
      <c r="CQ156" s="161">
        <f ca="1">IF(MOSFET_S=Custom_MOSFET,Table7[[#This Row],[Total MOSFET Loss C]],Table7[[#This Row],[Total MOSFET Loss]])</f>
        <v>2.1442922448979589</v>
      </c>
      <c r="CR156" s="161">
        <f>IF(MOSFET_S=Custom_MOSFET,Table7[[#This Row],[Efficiency C]],Table7[[#This Row],[Efficiency]])</f>
        <v>0</v>
      </c>
      <c r="CS156" s="167"/>
      <c r="CT156" s="161">
        <f>IF(MOSFET_S=Compare_MOSFET, Table7[[#This Row],[Total Sense Loss C]], -100)</f>
        <v>-100</v>
      </c>
      <c r="CU156" s="161">
        <f>IF(MOSFET_S=Compare_MOSFET, Table7[[#This Row],[Total MOSFET Loss C]], -100)</f>
        <v>-100</v>
      </c>
      <c r="CV156" s="161">
        <f>IF(MOSFET_S=Compare_MOSFET, Table7[[#This Row],[Efficiency C]], -100)</f>
        <v>-100</v>
      </c>
      <c r="CW156" s="167"/>
      <c r="CX156" s="161">
        <f ca="1">IF(Save_Sel=CLR_Save,  Table7[[#This Row],[Total Sense Loss P1]], Table7[[#This Row],[Total Sense Loss P1 Saved]])</f>
        <v>0</v>
      </c>
      <c r="CY156" s="161">
        <f ca="1">IF(Save_Sel=CLR_Save,  Table7[[#This Row],[Total MOSFET Loss P1]], Table7[[#This Row],[Total MOSFET Loss P1 Saved]] )</f>
        <v>0</v>
      </c>
      <c r="CZ156" s="161">
        <f ca="1">IF(Save_Sel=CLR_Save, Table7[[#This Row],[Efficiency P1]], Table7[[#This Row],[Efficiency P1 Saved]])</f>
        <v>0</v>
      </c>
      <c r="DA156" s="167"/>
      <c r="DB156" s="161">
        <f ca="1">IF(Save_Sel=CLR_Save,  Table7[[#This Row],[Total Sense Loss P2]], Table7[[#This Row],[Total Sense Loss P2 Saved]])</f>
        <v>0</v>
      </c>
      <c r="DC156" s="161">
        <f ca="1">IF(Save_Sel=CLR_Save,  Table7[[#This Row],[Total MOSFET Loss P2]], Table7[[#This Row],[Total MOSFET Loss P2 Saved]] )</f>
        <v>0.96190451895043727</v>
      </c>
      <c r="DD156" s="161">
        <f ca="1">IF(Save_Sel=CLR_Save, Table7[[#This Row],[Efficiency P2]], Table7[[#This Row],[Efficiency P2 Saved]])</f>
        <v>0</v>
      </c>
      <c r="DE156" s="167"/>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c r="FH156" s="21"/>
      <c r="FI156" s="21"/>
    </row>
    <row r="157" spans="1:165" x14ac:dyDescent="0.25">
      <c r="A157" s="56"/>
      <c r="B157" s="52"/>
      <c r="C157" s="52"/>
      <c r="D157" s="30" t="s">
        <v>141</v>
      </c>
      <c r="E157" s="252" t="s">
        <v>142</v>
      </c>
      <c r="F157" s="252"/>
      <c r="G157" s="40"/>
      <c r="H157" s="15"/>
      <c r="I157" s="31" t="s">
        <v>142</v>
      </c>
      <c r="J157" s="31" t="s">
        <v>129</v>
      </c>
      <c r="K157" s="31" t="s">
        <v>143</v>
      </c>
      <c r="L157" s="31"/>
      <c r="M157" s="31"/>
      <c r="N157" s="31"/>
      <c r="O157" s="31"/>
      <c r="P157" s="31"/>
      <c r="Q157" s="31"/>
      <c r="R157" s="31"/>
      <c r="S157" s="32"/>
      <c r="T157" s="20"/>
      <c r="U157" s="21"/>
      <c r="V157" s="21"/>
      <c r="W157" s="21"/>
      <c r="X157" s="21"/>
      <c r="Y157" s="21"/>
      <c r="Z157" s="21"/>
      <c r="AA157" s="21"/>
      <c r="AB157" s="21"/>
      <c r="AC157" s="21"/>
      <c r="AD157" s="21"/>
      <c r="AE157" s="21"/>
      <c r="AF157" s="154">
        <f>AF156+1</f>
        <v>1</v>
      </c>
      <c r="AG157" s="154">
        <f t="shared" ref="AG157:AG188" si="16">$AG$156+AF157*($AG$256-$AG$156)/$AF$256</f>
        <v>0.05</v>
      </c>
      <c r="AH157" s="155">
        <f t="shared" si="3"/>
        <v>0.60000000000000009</v>
      </c>
      <c r="AI157" s="156">
        <f t="shared" si="4"/>
        <v>0.42857142857142855</v>
      </c>
      <c r="AJ157" s="156">
        <f t="shared" si="5"/>
        <v>8.7500000000000008E-2</v>
      </c>
      <c r="AK157" s="156">
        <f t="shared" si="6"/>
        <v>0.85714285714285721</v>
      </c>
      <c r="AL157" s="156">
        <f t="shared" si="7"/>
        <v>0.26245140463696964</v>
      </c>
      <c r="AM157" s="157"/>
      <c r="AN157" s="156">
        <f>MAX(0,Table7[[#This Row],[I_L]]-0.5*Table7[[#This Row],[I_L pkpk]])</f>
        <v>0</v>
      </c>
      <c r="AO157" s="156">
        <f>Table7[[#This Row],[I_L]]+0.5*Table7[[#This Row],[I_L pkpk]]</f>
        <v>0.51607142857142863</v>
      </c>
      <c r="AP157" s="156">
        <f ca="1">IF(VACnom&gt;Vbat, (VGS_S-(TI_MOSFET_S_VTH_H_BU+Table7[[#This Row],[I_L]]/TI_MOSFET_S_gFS_H_BU))/3.4, (VGS_S-(TI_MOSFET_S_VTH_L_BO+Table7[[#This Row],[I_L]]/TI_MOSFET_S_gFS_L_BO))/3.4 )</f>
        <v>2.4262726244343891</v>
      </c>
      <c r="AQ157" s="156">
        <f ca="1">IF(VACnom&gt;Vbat, ((TI_MOSFET_S_VTH_H_BU+Table7[[#This Row],[I_L]]/TI_MOSFET_S_gFS_H_BU))/1, ((TI_MOSFET_S_VTH_L_BO+Table7[[#This Row],[I_L]]/TI_MOSFET_S_gFS_L_BO))/1 )</f>
        <v>1.7506730769230769</v>
      </c>
      <c r="AR157" s="156">
        <f ca="1">IF(VACnom&gt;Vbat, (TI_MOSFET_S_QGD_H_BU+TI_MOSFET_S_QGS_H_BU)*10^-9/Table7[[#This Row],[Ion (A)]], (TI_MOSFET_S_QGD_L_BO+TI_MOSFET_S_QGS_L_BO)*10^-9/Table7[[#This Row],[Ion (A)]])/10^-9</f>
        <v>11.870059328849674</v>
      </c>
      <c r="AS157" s="156">
        <f ca="1">IF(VACnom&gt;Vbat, (TI_MOSFET_S_QGD_H_BU+TI_MOSFET_S_QGS_H_BU)*10^-9/Table7[[#This Row],[Ioff (A)]], (TI_MOSFET_S_QGD_L_BO+TI_MOSFET_S_QGS_L_BO)*10^-9/Table7[[#This Row],[Ioff (A)]])/10^-9</f>
        <v>16.450815620365795</v>
      </c>
      <c r="AT157" s="156">
        <f ca="1" xml:space="preserve"> 0.5*VACnom*Table7[[#This Row],[Ivalley (A)]]*Table7[[#This Row],[ton (ns)]]*10^-9*Fsw*10^3+0.5*VACnom*Table7[[#This Row],[Ipeak (A)]]*Table7[[#This Row],[toff (ns)]]*10^-9*Fsw*10^3/10^-3</f>
        <v>30.563265306122453</v>
      </c>
      <c r="AU157" s="156">
        <f t="shared" ca="1" si="8"/>
        <v>262.8</v>
      </c>
      <c r="AV157" s="156">
        <f t="shared" ca="1" si="9"/>
        <v>648</v>
      </c>
      <c r="AW157" s="156">
        <f t="shared" ca="1" si="10"/>
        <v>554.4</v>
      </c>
      <c r="AX157" s="156">
        <f ca="1">IF(VACnom&gt;Vbat, TI_MOSFET_S_VSD_L_BU*Table7[[#This Row],[Ivalley (A)]]*Fsw*10^3*40*10^-9+TI_MOSFET_S_VSD_L_BU*Table7[[#This Row],[Ipeak (A)]]*Fsw*10^3*30*10^-9, TI_MOSFET_S_VSD_H_BO*Table7[[#This Row],[Ivalley (A)]]*Fsw*10^3*40*10^-9+TI_MOSFET_S_VSD_H_BO*Table7[[#This Row],[Ipeak (A)]]*Fsw*10^3*30*10^-9)/10^-3</f>
        <v>6.6882857142857155</v>
      </c>
      <c r="AY157" s="156">
        <f t="shared" ca="1" si="11"/>
        <v>648</v>
      </c>
      <c r="AZ157" s="156">
        <f ca="1">IF(VACnom&lt;Vbat, Table7[[#This Row],[Duty Cycle]]*Table7[[#This Row],[I_L RMS]]^2*TI_MOSFET_S_RDSON_H_BU*10^-3, (1-Table7[[#This Row],[Duty Cycle]])*Table7[[#This Row],[I_L RMS]]^2*TI_MOSFET_S_RDSON_H_BO*10^-3)/10^-3</f>
        <v>8.2656887755102035E-2</v>
      </c>
      <c r="BA157" s="156">
        <f ca="1">IF(VACnom&gt;Vbat, Table7[[#This Row],[PIV (mW)]]+Table7[[#This Row],[Pqoss (mW)]]+Table7[[#This Row],[Pgate_top (mW)]], Table7[[#This Row],[PRR (mW)]]+Table7[[#This Row],[Pdead (mW)]]+Table7[[#This Row],[Pgate_top (mW)]])</f>
        <v>1209.0882857142856</v>
      </c>
      <c r="BB157" s="156">
        <f ca="1">Table7[[#This Row],[Pcon_top (mW)]]+Table7[[#This Row],[Psw_top (mW)]]</f>
        <v>1209.1709426020407</v>
      </c>
      <c r="BC157" s="156">
        <f ca="1">IF(VACnom&gt;Vbat, (1-Table7[[#This Row],[Duty Cycle]])*Table7[[#This Row],[I_L RMS]]^2*TI_MOSFET_S_RDSON_L_BU*10^-3, Table7[[#This Row],[Duty Cycle]]*Table7[[#This Row],[I_L RMS]]^2*TI_MOSFET_S_RDSON_L_BO*10^-3)/10^-3</f>
        <v>8.2656887755102035E-2</v>
      </c>
      <c r="BD157" s="156">
        <f ca="1">IF(VACnom&gt;Vbat, Table7[[#This Row],[PRR (mW)]]+Table7[[#This Row],[Pdead (mW)]]+Table7[[#This Row],[Pgate_bottom (mW)]], Table7[[#This Row],[PIV (mW)]]+Table7[[#This Row],[Pqoss (mW)]]+Table7[[#This Row],[Pgate_bottom (mW)]])</f>
        <v>941.36326530612246</v>
      </c>
      <c r="BE157" s="158">
        <f ca="1">Table7[[#This Row],[Pcon_bottom (mW)]]+Table7[[#This Row],[Psw_bottom (mW)]]</f>
        <v>941.44592219387755</v>
      </c>
      <c r="BF157" s="164">
        <f ca="1">Table7[[#This Row],[Pbottom (mW)]]+Table7[[#This Row],[Ptop (mW)]]</f>
        <v>2150.6168647959184</v>
      </c>
      <c r="BG157" s="153"/>
      <c r="BH157" s="156">
        <f>MAX(0,Table7[[#This Row],[I_L]]-0.5*Table7[[#This Row],[I_L pkpk]])</f>
        <v>0</v>
      </c>
      <c r="BI157" s="156">
        <f>Table7[[#This Row],[I_L]]+0.5*Table7[[#This Row],[I_L pkpk]]</f>
        <v>0.51607142857142863</v>
      </c>
      <c r="BJ157" s="156">
        <f>IF(VACnom&gt;Vbat, (VGS_S-(C_MOSFET_S_VTH_H_BU+Table7[[#This Row],[I_L]]/C_MOSFET_S_gFS_H_BU))/3.4, (VGS_S-(C_MOSFET_S_VTH_L_BO+Table7[[#This Row],[I_L]]/C_MOSFET_S_gFS_L_BO))/3.4 )</f>
        <v>2.3527696078431375</v>
      </c>
      <c r="BK157" s="156">
        <f>IF(VACnom&gt;Vbat, ((C_MOSFET_S_VTH_H_BU+Table7[[#This Row],[I_L]]/C_MOSFET_S_gFS_H_BU))/1, ((C_MOSFET_S_VTH_L_BO+Table7[[#This Row],[I_L]]/C_MOSFET_S_gFS_L_BO))/1 )</f>
        <v>2.0005833333333332</v>
      </c>
      <c r="BL157" s="156">
        <f>IF(VACnom&gt;Vbat, (C_MOSFET_S_QGD_H_BU+C_MOSFET_S_QGS_H_BU)*10^-9/Table7[[#This Row],[Ion (A) C]], (C_MOSFET_S_QGD_L_BO+C_MOSFET_S_QGS_L_BO)*10^-9/Table7[[#This Row],[Ion (A) C]])/10^-9</f>
        <v>2.7627014469805085</v>
      </c>
      <c r="BM157" s="156">
        <f>IF(VACnom&gt;Vbat, (C_MOSFET_S_QGD_H_BU+C_MOSFET_S_QGS_H_BU)*10^-9/Table7[[#This Row],[Ioff (A) C]], (C_MOSFET_S_QGD_L_BO+C_MOSFET_S_QGS_L_BO)*10^-9/Table7[[#This Row],[Ioff (A) C]])/10^-9</f>
        <v>3.2490523597284127</v>
      </c>
      <c r="BN157" s="156">
        <f xml:space="preserve"> 0.5*VACnom*Table7[[#This Row],[Ivalley (A) C]]*Table7[[#This Row],[ton (ns) C]]*10^-9*Fsw*10^3+0.5*VACnom*Table7[[#This Row],[Ipeak (A) C]]*Table7[[#This Row],[toff (ns) C]]*10^-9*Fsw*10^3/10^-3</f>
        <v>6.0362751340382861</v>
      </c>
      <c r="BO157" s="156">
        <f t="shared" si="12"/>
        <v>129.6</v>
      </c>
      <c r="BP157" s="156">
        <f t="shared" ca="1" si="13"/>
        <v>291.59999999999997</v>
      </c>
      <c r="BQ157" s="156">
        <f t="shared" si="14"/>
        <v>237.6</v>
      </c>
      <c r="BR157" s="156">
        <f>IF(VACnom&gt;Vbat, C_MOSFET_S_VSD_L_BU*Table7[[#This Row],[Ivalley (A) C]]*Fsw*10^3*40*10^-9+C_MOSFET_S_VSD_L_BU*Table7[[#This Row],[Ipeak (A) C]]*Fsw*10^3*30*10^-9, C_MOSFET_S_VSD_H_BO*Table7[[#This Row],[Ivalley (A) C]]*Fsw*10^3*40*10^-9+C_MOSFET_S_VSD_H_BO*Table7[[#This Row],[Ipeak (A) C]]*Fsw*10^3*30*10^-9)/10^-3</f>
        <v>7.4314285714285724</v>
      </c>
      <c r="BS157" s="156">
        <f t="shared" ca="1" si="15"/>
        <v>291.59999999999997</v>
      </c>
      <c r="BT157" s="156">
        <f>IF(VACnom&lt;Vbat, Table7[[#This Row],[Duty Cycle]]*Table7[[#This Row],[I_L RMS]]^2*C_MOSFET_S_RDSON_H_BU*10^-3, (1-Table7[[#This Row],[Duty Cycle]])*Table7[[#This Row],[I_L RMS]]^2*C_MOSFET_S_RDSON_H_BO*10^-3)/10^-3</f>
        <v>0.16826580721574344</v>
      </c>
      <c r="BU157" s="156">
        <f ca="1">IF(VACnom&gt;Vbat, Table7[[#This Row],[PIV (mW) C]]+Table7[[#This Row],[PQoss (mW) C]]+Table7[[#This Row],[Pgate_top (mW) C]], Table7[[#This Row],[PRR (mW) C]]+Table7[[#This Row],[Pdead (mW) C]]+Table7[[#This Row],[Pgate_top (mW) C]])</f>
        <v>536.6314285714285</v>
      </c>
      <c r="BV157" s="156">
        <f ca="1">Table7[[#This Row],[Pcon_top (mW) C]]+Table7[[#This Row],[Psw_top (mW) C]]</f>
        <v>536.79969437864429</v>
      </c>
      <c r="BW157" s="156">
        <f ca="1">IF(VACnom&gt;Vbat, (1-Table7[[#This Row],[Duty Cycle]])*Table7[[#This Row],[I_L RMS]]^2*C_MOSFET_S_RDSON_L_BU*10^-3, Table7[[#This Row],[Duty Cycle]]*Table7[[#This Row],[I_L RMS]]^2*C_MOSFET_S_RDSON_L_BO*10^-3)/10^-3</f>
        <v>0.10479712554664723</v>
      </c>
      <c r="BX157" s="156">
        <f ca="1">IF(VACnom&gt;Vbat, Table7[[#This Row],[PRR (mW) C]]+Table7[[#This Row],[Pdead (mW) C]]+Table7[[#This Row],[Pgate_bottom (mW) C]], Table7[[#This Row],[PIV (mW) C]]+Table7[[#This Row],[PQoss (mW) C]]+Table7[[#This Row],[Pgate_bottom (mW) C]])</f>
        <v>427.23627513403824</v>
      </c>
      <c r="BY157" s="156">
        <f ca="1">Table7[[#This Row],[Pcon_bottom (mW) C]]+Table7[[#This Row],[Psw_bottom (mV) C]]</f>
        <v>427.34107225958491</v>
      </c>
      <c r="BZ157" s="156">
        <f ca="1">Table7[[#This Row],[Pbottom (mW) C]]+Table7[[#This Row],[Ptop (mW) C]]</f>
        <v>964.14076663822925</v>
      </c>
      <c r="CA157" s="159"/>
      <c r="CB157" s="160">
        <f>(RAC_SNS*10^-3*(Table7[[#This Row],[IOUT (A)]]*Vbat/VACnom)^2/10^-3)</f>
        <v>3.8281250000000003E-2</v>
      </c>
      <c r="CC157" s="160">
        <f>(RBAT_SNS*10^-3*Table7[[#This Row],[IOUT (A)]]^2)/10^-3</f>
        <v>1.2500000000000002E-2</v>
      </c>
      <c r="CD157" s="160">
        <f>IF(VACnom&gt;Vbat,(L_DRC*10^-3*(Table7[[#This Row],[IOUT (A)]])^2/10^-3),(L_DRC*10^-3*(Table7[[#This Row],[IOUT (A)]]*Vbat/VACnom)^2/10^-3))</f>
        <v>9.1875000000000026E-2</v>
      </c>
      <c r="CE157" s="166"/>
      <c r="CF157" s="156">
        <f>(Table7[[#This Row],[R_AC (mW)]]+Table7[[#This Row],[R_SR (mW)]]+Table7[[#This Row],[Inductor Loss (mW)]])/10^3</f>
        <v>1.4265625000000004E-4</v>
      </c>
      <c r="CG157" s="156">
        <f ca="1">Table7[[#This Row],[Total TI (mW)]]/10^3</f>
        <v>2.1506168647959183</v>
      </c>
      <c r="CH157" s="156">
        <f ca="1">Table7[[#This Row],[Total Sense Loss]]+Table7[[#This Row],[Total MOSFET Loss]]</f>
        <v>2.1507595210459183</v>
      </c>
      <c r="CI157" s="161">
        <f ca="1">IF(Table7[[#This Row],[POUT (W)]]=0,0,(Table7[[#This Row],[POUT (W)]])/(Table7[[#This Row],[POUT (W)]]+Table7[[#This Row],[Total Power Loss (W)]]))*100</f>
        <v>21.812157529926964</v>
      </c>
      <c r="CJ157" s="167"/>
      <c r="CK157" s="156">
        <f>(Table7[[#This Row],[R_AC (mW)]]+Table7[[#This Row],[R_SR (mW)]]+Table7[[#This Row],[Inductor Loss (mW)]])/10^3</f>
        <v>1.4265625000000004E-4</v>
      </c>
      <c r="CL157" s="156">
        <f ca="1">Table7[[#This Row],[Total (mW) C]]/10^3</f>
        <v>0.96414076663822923</v>
      </c>
      <c r="CM157" s="156">
        <f ca="1">Table7[[#This Row],[Total Sense Loss C]]+Table7[[#This Row],[Total MOSFET Loss C]]</f>
        <v>0.96428342288822921</v>
      </c>
      <c r="CN157" s="161">
        <f ca="1">IF(Table7[[#This Row],[POUT (W)]]=0,0,(Table7[[#This Row],[POUT (W)]])/(Table7[[#This Row],[POUT (W)]]+Table7[[#This Row],[Total Power Loss (W) C]]))*100</f>
        <v>38.356220568532549</v>
      </c>
      <c r="CO157" s="167"/>
      <c r="CP157" s="161">
        <f>IF(MOSFET_S=Custom_MOSFET,Table7[[#This Row],[Total Sense Loss C]],Table7[[#This Row],[Total Sense Loss]])</f>
        <v>1.4265625000000004E-4</v>
      </c>
      <c r="CQ157" s="161">
        <f ca="1">IF(MOSFET_S=Custom_MOSFET,Table7[[#This Row],[Total MOSFET Loss C]],Table7[[#This Row],[Total MOSFET Loss]])</f>
        <v>2.1506168647959183</v>
      </c>
      <c r="CR157" s="161">
        <f ca="1">IF(MOSFET_S=Custom_MOSFET,Table7[[#This Row],[Efficiency C]],Table7[[#This Row],[Efficiency]])</f>
        <v>21.812157529926964</v>
      </c>
      <c r="CS157" s="167"/>
      <c r="CT157" s="161">
        <f>IF(MOSFET_S=Compare_MOSFET, Table7[[#This Row],[Total Sense Loss C]], -100)</f>
        <v>-100</v>
      </c>
      <c r="CU157" s="161">
        <f>IF(MOSFET_S=Compare_MOSFET, Table7[[#This Row],[Total MOSFET Loss C]], -100)</f>
        <v>-100</v>
      </c>
      <c r="CV157" s="161">
        <f>IF(MOSFET_S=Compare_MOSFET, Table7[[#This Row],[Efficiency C]], -100)</f>
        <v>-100</v>
      </c>
      <c r="CW157" s="167"/>
      <c r="CX157" s="161">
        <f ca="1">IF(Save_Sel=CLR_Save,  Table7[[#This Row],[Total Sense Loss P1]], Table7[[#This Row],[Total Sense Loss P1 Saved]])</f>
        <v>1.4265625000000004E-4</v>
      </c>
      <c r="CY157" s="161">
        <f ca="1">IF(Save_Sel=CLR_Save,  Table7[[#This Row],[Total MOSFET Loss P1]], Table7[[#This Row],[Total MOSFET Loss P1 Saved]] )</f>
        <v>1.4378611452715013</v>
      </c>
      <c r="CZ157" s="161">
        <f ca="1">IF(Save_Sel=CLR_Save, Table7[[#This Row],[Efficiency P1]], Table7[[#This Row],[Efficiency P1 Saved]])</f>
        <v>29.440573150651701</v>
      </c>
      <c r="DA157" s="167"/>
      <c r="DB157" s="161">
        <f ca="1">IF(Save_Sel=CLR_Save,  Table7[[#This Row],[Total Sense Loss P2]], Table7[[#This Row],[Total Sense Loss P2 Saved]])</f>
        <v>1.4265625000000004E-4</v>
      </c>
      <c r="DC157" s="161">
        <f ca="1">IF(Save_Sel=CLR_Save,  Table7[[#This Row],[Total MOSFET Loss P2]], Table7[[#This Row],[Total MOSFET Loss P2 Saved]] )</f>
        <v>0.96422637555768986</v>
      </c>
      <c r="DD157" s="161">
        <f ca="1">IF(Save_Sel=CLR_Save, Table7[[#This Row],[Efficiency P2]], Table7[[#This Row],[Efficiency P2 Saved]])</f>
        <v>38.354121553191092</v>
      </c>
      <c r="DE157" s="167"/>
      <c r="DF157" s="21"/>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c r="FH157" s="21"/>
      <c r="FI157" s="21"/>
    </row>
    <row r="158" spans="1:165" x14ac:dyDescent="0.25">
      <c r="A158" s="38"/>
      <c r="B158" s="51"/>
      <c r="C158" s="51"/>
      <c r="D158" s="34" t="s">
        <v>236</v>
      </c>
      <c r="E158" s="239">
        <v>10</v>
      </c>
      <c r="F158" s="239"/>
      <c r="G158" s="44" t="s">
        <v>1</v>
      </c>
      <c r="H158" s="15"/>
      <c r="I158" s="15">
        <v>4.5</v>
      </c>
      <c r="J158" s="31">
        <v>10</v>
      </c>
      <c r="K158" s="31">
        <f>$E$152</f>
        <v>12</v>
      </c>
      <c r="L158" s="31"/>
      <c r="M158" s="31"/>
      <c r="N158" s="31"/>
      <c r="O158" s="31"/>
      <c r="P158" s="31"/>
      <c r="Q158" s="31"/>
      <c r="R158" s="31"/>
      <c r="S158" s="32"/>
      <c r="T158" s="20"/>
      <c r="U158" s="21"/>
      <c r="V158" s="21"/>
      <c r="W158" s="21"/>
      <c r="X158" s="21"/>
      <c r="Y158" s="21"/>
      <c r="Z158" s="21"/>
      <c r="AA158" s="21"/>
      <c r="AB158" s="21"/>
      <c r="AC158" s="21"/>
      <c r="AD158" s="21"/>
      <c r="AE158" s="21"/>
      <c r="AF158" s="154">
        <f>AF157+1</f>
        <v>2</v>
      </c>
      <c r="AG158" s="154">
        <f t="shared" si="16"/>
        <v>0.1</v>
      </c>
      <c r="AH158" s="155">
        <f t="shared" si="3"/>
        <v>1.2000000000000002</v>
      </c>
      <c r="AI158" s="156">
        <f t="shared" si="4"/>
        <v>0.42857142857142855</v>
      </c>
      <c r="AJ158" s="156">
        <f t="shared" si="5"/>
        <v>0.17500000000000002</v>
      </c>
      <c r="AK158" s="156">
        <f t="shared" si="6"/>
        <v>0.85714285714285721</v>
      </c>
      <c r="AL158" s="156">
        <f t="shared" si="7"/>
        <v>0.30306680747966841</v>
      </c>
      <c r="AM158" s="157"/>
      <c r="AN158" s="156">
        <f>MAX(0,Table7[[#This Row],[I_L]]-0.5*Table7[[#This Row],[I_L pkpk]])</f>
        <v>0</v>
      </c>
      <c r="AO158" s="156">
        <f>Table7[[#This Row],[I_L]]+0.5*Table7[[#This Row],[I_L pkpk]]</f>
        <v>0.60357142857142865</v>
      </c>
      <c r="AP158" s="156">
        <f ca="1">IF(VACnom&gt;Vbat, (VGS_S-(TI_MOSFET_S_VTH_H_BU+Table7[[#This Row],[I_L]]/TI_MOSFET_S_gFS_H_BU))/3.4, (VGS_S-(TI_MOSFET_S_VTH_L_BO+Table7[[#This Row],[I_L]]/TI_MOSFET_S_gFS_L_BO))/3.4 )</f>
        <v>2.4260746606334842</v>
      </c>
      <c r="AQ158" s="156">
        <f ca="1">IF(VACnom&gt;Vbat, ((TI_MOSFET_S_VTH_H_BU+Table7[[#This Row],[I_L]]/TI_MOSFET_S_gFS_H_BU))/1, ((TI_MOSFET_S_VTH_L_BO+Table7[[#This Row],[I_L]]/TI_MOSFET_S_gFS_L_BO))/1 )</f>
        <v>1.7513461538461539</v>
      </c>
      <c r="AR158" s="156">
        <f ca="1">IF(VACnom&gt;Vbat, (TI_MOSFET_S_QGD_H_BU+TI_MOSFET_S_QGS_H_BU)*10^-9/Table7[[#This Row],[Ion (A)]], (TI_MOSFET_S_QGD_L_BO+TI_MOSFET_S_QGS_L_BO)*10^-9/Table7[[#This Row],[Ion (A)]])/10^-9</f>
        <v>11.871027906651435</v>
      </c>
      <c r="AS158" s="156">
        <f ca="1">IF(VACnom&gt;Vbat, (TI_MOSFET_S_QGD_H_BU+TI_MOSFET_S_QGS_H_BU)*10^-9/Table7[[#This Row],[Ioff (A)]], (TI_MOSFET_S_QGD_L_BO+TI_MOSFET_S_QGS_L_BO)*10^-9/Table7[[#This Row],[Ioff (A)]])/10^-9</f>
        <v>16.444493246952895</v>
      </c>
      <c r="AT158" s="156">
        <f ca="1" xml:space="preserve"> 0.5*VACnom*Table7[[#This Row],[Ivalley (A)]]*Table7[[#This Row],[ton (ns)]]*10^-9*Fsw*10^3+0.5*VACnom*Table7[[#This Row],[Ipeak (A)]]*Table7[[#This Row],[toff (ns)]]*10^-9*Fsw*10^3/10^-3</f>
        <v>35.731534612307655</v>
      </c>
      <c r="AU158" s="156">
        <f t="shared" ca="1" si="8"/>
        <v>262.8</v>
      </c>
      <c r="AV158" s="156">
        <f t="shared" ca="1" si="9"/>
        <v>648</v>
      </c>
      <c r="AW158" s="156">
        <f t="shared" ca="1" si="10"/>
        <v>554.4</v>
      </c>
      <c r="AX158" s="156">
        <f ca="1">IF(VACnom&gt;Vbat, TI_MOSFET_S_VSD_L_BU*Table7[[#This Row],[Ivalley (A)]]*Fsw*10^3*40*10^-9+TI_MOSFET_S_VSD_L_BU*Table7[[#This Row],[Ipeak (A)]]*Fsw*10^3*30*10^-9, TI_MOSFET_S_VSD_H_BO*Table7[[#This Row],[Ivalley (A)]]*Fsw*10^3*40*10^-9+TI_MOSFET_S_VSD_H_BO*Table7[[#This Row],[Ipeak (A)]]*Fsw*10^3*30*10^-9)/10^-3</f>
        <v>7.8222857142857158</v>
      </c>
      <c r="AY158" s="156">
        <f t="shared" ca="1" si="11"/>
        <v>648</v>
      </c>
      <c r="AZ158" s="156">
        <f ca="1">IF(VACnom&lt;Vbat, Table7[[#This Row],[Duty Cycle]]*Table7[[#This Row],[I_L RMS]]^2*TI_MOSFET_S_RDSON_H_BU*10^-3, (1-Table7[[#This Row],[Duty Cycle]])*Table7[[#This Row],[I_L RMS]]^2*TI_MOSFET_S_RDSON_H_BO*10^-3)/10^-3</f>
        <v>0.11021938775510205</v>
      </c>
      <c r="BA158" s="156">
        <f ca="1">IF(VACnom&gt;Vbat, Table7[[#This Row],[PIV (mW)]]+Table7[[#This Row],[Pqoss (mW)]]+Table7[[#This Row],[Pgate_top (mW)]], Table7[[#This Row],[PRR (mW)]]+Table7[[#This Row],[Pdead (mW)]]+Table7[[#This Row],[Pgate_top (mW)]])</f>
        <v>1210.2222857142856</v>
      </c>
      <c r="BB158" s="156">
        <f ca="1">Table7[[#This Row],[Pcon_top (mW)]]+Table7[[#This Row],[Psw_top (mW)]]</f>
        <v>1210.3325051020406</v>
      </c>
      <c r="BC158" s="156">
        <f ca="1">IF(VACnom&gt;Vbat, (1-Table7[[#This Row],[Duty Cycle]])*Table7[[#This Row],[I_L RMS]]^2*TI_MOSFET_S_RDSON_L_BU*10^-3, Table7[[#This Row],[Duty Cycle]]*Table7[[#This Row],[I_L RMS]]^2*TI_MOSFET_S_RDSON_L_BO*10^-3)/10^-3</f>
        <v>0.11021938775510205</v>
      </c>
      <c r="BD158" s="156">
        <f ca="1">IF(VACnom&gt;Vbat, Table7[[#This Row],[PRR (mW)]]+Table7[[#This Row],[Pdead (mW)]]+Table7[[#This Row],[Pgate_bottom (mW)]], Table7[[#This Row],[PIV (mW)]]+Table7[[#This Row],[Pqoss (mW)]]+Table7[[#This Row],[Pgate_bottom (mW)]])</f>
        <v>946.53153461230772</v>
      </c>
      <c r="BE158" s="158">
        <f ca="1">Table7[[#This Row],[Pcon_bottom (mW)]]+Table7[[#This Row],[Psw_bottom (mW)]]</f>
        <v>946.64175400006286</v>
      </c>
      <c r="BF158" s="164">
        <f ca="1">Table7[[#This Row],[Pbottom (mW)]]+Table7[[#This Row],[Ptop (mW)]]</f>
        <v>2156.9742591021036</v>
      </c>
      <c r="BG158" s="153"/>
      <c r="BH158" s="156">
        <f>MAX(0,Table7[[#This Row],[I_L]]-0.5*Table7[[#This Row],[I_L pkpk]])</f>
        <v>0</v>
      </c>
      <c r="BI158" s="156">
        <f>Table7[[#This Row],[I_L]]+0.5*Table7[[#This Row],[I_L pkpk]]</f>
        <v>0.60357142857142865</v>
      </c>
      <c r="BJ158" s="156">
        <f>IF(VACnom&gt;Vbat, (VGS_S-(C_MOSFET_S_VTH_H_BU+Table7[[#This Row],[I_L]]/C_MOSFET_S_gFS_H_BU))/3.4, (VGS_S-(C_MOSFET_S_VTH_L_BO+Table7[[#This Row],[I_L]]/C_MOSFET_S_gFS_L_BO))/3.4 )</f>
        <v>2.3525980392156862</v>
      </c>
      <c r="BK158" s="156">
        <f>IF(VACnom&gt;Vbat, ((C_MOSFET_S_VTH_H_BU+Table7[[#This Row],[I_L]]/C_MOSFET_S_gFS_H_BU))/1, ((C_MOSFET_S_VTH_L_BO+Table7[[#This Row],[I_L]]/C_MOSFET_S_gFS_L_BO))/1 )</f>
        <v>2.0011666666666668</v>
      </c>
      <c r="BL158" s="156">
        <f>IF(VACnom&gt;Vbat, (C_MOSFET_S_QGD_H_BU+C_MOSFET_S_QGS_H_BU)*10^-9/Table7[[#This Row],[Ion (A) C]], (C_MOSFET_S_QGD_L_BO+C_MOSFET_S_QGS_L_BO)*10^-9/Table7[[#This Row],[Ion (A) C]])/10^-9</f>
        <v>2.7629029233429878</v>
      </c>
      <c r="BM158" s="156">
        <f>IF(VACnom&gt;Vbat, (C_MOSFET_S_QGD_H_BU+C_MOSFET_S_QGS_H_BU)*10^-9/Table7[[#This Row],[Ioff (A) C]], (C_MOSFET_S_QGD_L_BO+C_MOSFET_S_QGS_L_BO)*10^-9/Table7[[#This Row],[Ioff (A) C]])/10^-9</f>
        <v>3.2481052719247101</v>
      </c>
      <c r="BN158" s="156">
        <f xml:space="preserve"> 0.5*VACnom*Table7[[#This Row],[Ivalley (A) C]]*Table7[[#This Row],[ton (ns) C]]*10^-9*Fsw*10^3+0.5*VACnom*Table7[[#This Row],[Ipeak (A) C]]*Table7[[#This Row],[toff (ns) C]]*10^-9*Fsw*10^3/10^-3</f>
        <v>7.0576687408535497</v>
      </c>
      <c r="BO158" s="156">
        <f t="shared" si="12"/>
        <v>129.6</v>
      </c>
      <c r="BP158" s="156">
        <f t="shared" ca="1" si="13"/>
        <v>291.59999999999997</v>
      </c>
      <c r="BQ158" s="156">
        <f t="shared" si="14"/>
        <v>237.6</v>
      </c>
      <c r="BR158" s="156">
        <f>IF(VACnom&gt;Vbat, C_MOSFET_S_VSD_L_BU*Table7[[#This Row],[Ivalley (A) C]]*Fsw*10^3*40*10^-9+C_MOSFET_S_VSD_L_BU*Table7[[#This Row],[Ipeak (A) C]]*Fsw*10^3*30*10^-9, C_MOSFET_S_VSD_H_BO*Table7[[#This Row],[Ivalley (A) C]]*Fsw*10^3*40*10^-9+C_MOSFET_S_VSD_H_BO*Table7[[#This Row],[Ipeak (A) C]]*Fsw*10^3*30*10^-9)/10^-3</f>
        <v>8.6914285714285757</v>
      </c>
      <c r="BS158" s="156">
        <f t="shared" ca="1" si="15"/>
        <v>291.59999999999997</v>
      </c>
      <c r="BT158" s="156">
        <f>IF(VACnom&lt;Vbat, Table7[[#This Row],[Duty Cycle]]*Table7[[#This Row],[I_L RMS]]^2*C_MOSFET_S_RDSON_H_BU*10^-3, (1-Table7[[#This Row],[Duty Cycle]])*Table7[[#This Row],[I_L RMS]]^2*C_MOSFET_S_RDSON_H_BO*10^-3)/10^-3</f>
        <v>0.22437518221574351</v>
      </c>
      <c r="BU158" s="156">
        <f ca="1">IF(VACnom&gt;Vbat, Table7[[#This Row],[PIV (mW) C]]+Table7[[#This Row],[PQoss (mW) C]]+Table7[[#This Row],[Pgate_top (mW) C]], Table7[[#This Row],[PRR (mW) C]]+Table7[[#This Row],[Pdead (mW) C]]+Table7[[#This Row],[Pgate_top (mW) C]])</f>
        <v>537.89142857142861</v>
      </c>
      <c r="BV158" s="156">
        <f ca="1">Table7[[#This Row],[Pcon_top (mW) C]]+Table7[[#This Row],[Psw_top (mW) C]]</f>
        <v>538.1158037536444</v>
      </c>
      <c r="BW158" s="156">
        <f ca="1">IF(VACnom&gt;Vbat, (1-Table7[[#This Row],[Duty Cycle]])*Table7[[#This Row],[I_L RMS]]^2*C_MOSFET_S_RDSON_L_BU*10^-3, Table7[[#This Row],[Duty Cycle]]*Table7[[#This Row],[I_L RMS]]^2*C_MOSFET_S_RDSON_L_BO*10^-3)/10^-3</f>
        <v>0.13974243804664727</v>
      </c>
      <c r="BX158" s="156">
        <f ca="1">IF(VACnom&gt;Vbat, Table7[[#This Row],[PRR (mW) C]]+Table7[[#This Row],[Pdead (mW) C]]+Table7[[#This Row],[Pgate_bottom (mW) C]], Table7[[#This Row],[PIV (mW) C]]+Table7[[#This Row],[PQoss (mW) C]]+Table7[[#This Row],[Pgate_bottom (mW) C]])</f>
        <v>428.25766874085355</v>
      </c>
      <c r="BY158" s="156">
        <f ca="1">Table7[[#This Row],[Pcon_bottom (mW) C]]+Table7[[#This Row],[Psw_bottom (mV) C]]</f>
        <v>428.3974111789002</v>
      </c>
      <c r="BZ158" s="156">
        <f ca="1">Table7[[#This Row],[Pbottom (mW) C]]+Table7[[#This Row],[Ptop (mW) C]]</f>
        <v>966.51321493254454</v>
      </c>
      <c r="CA158" s="159"/>
      <c r="CB158" s="160">
        <f>(RAC_SNS*10^-3*(Table7[[#This Row],[IOUT (A)]]*Vbat/VACnom)^2/10^-3)</f>
        <v>0.15312500000000001</v>
      </c>
      <c r="CC158" s="160">
        <f>(RBAT_SNS*10^-3*Table7[[#This Row],[IOUT (A)]]^2)/10^-3</f>
        <v>5.000000000000001E-2</v>
      </c>
      <c r="CD158" s="160">
        <f>IF(VACnom&gt;Vbat,(L_DRC*10^-3*(Table7[[#This Row],[IOUT (A)]])^2/10^-3),(L_DRC*10^-3*(Table7[[#This Row],[IOUT (A)]]*Vbat/VACnom)^2/10^-3))</f>
        <v>0.3675000000000001</v>
      </c>
      <c r="CE158" s="166"/>
      <c r="CF158" s="156">
        <f>(Table7[[#This Row],[R_AC (mW)]]+Table7[[#This Row],[R_SR (mW)]]+Table7[[#This Row],[Inductor Loss (mW)]])/10^3</f>
        <v>5.7062500000000017E-4</v>
      </c>
      <c r="CG158" s="156">
        <f ca="1">Table7[[#This Row],[Total TI (mW)]]/10^3</f>
        <v>2.1569742591021037</v>
      </c>
      <c r="CH158" s="156">
        <f ca="1">Table7[[#This Row],[Total Sense Loss]]+Table7[[#This Row],[Total MOSFET Loss]]</f>
        <v>2.1575448841021037</v>
      </c>
      <c r="CI158" s="161">
        <f ca="1">IF(Table7[[#This Row],[POUT (W)]]=0,0,(Table7[[#This Row],[POUT (W)]])/(Table7[[#This Row],[POUT (W)]]+Table7[[#This Row],[Total Power Loss (W)]]))*100</f>
        <v>35.74040084116141</v>
      </c>
      <c r="CJ158" s="167"/>
      <c r="CK158" s="156">
        <f>(Table7[[#This Row],[R_AC (mW)]]+Table7[[#This Row],[R_SR (mW)]]+Table7[[#This Row],[Inductor Loss (mW)]])/10^3</f>
        <v>5.7062500000000017E-4</v>
      </c>
      <c r="CL158" s="156">
        <f ca="1">Table7[[#This Row],[Total (mW) C]]/10^3</f>
        <v>0.9665132149325445</v>
      </c>
      <c r="CM158" s="156">
        <f ca="1">Table7[[#This Row],[Total Sense Loss C]]+Table7[[#This Row],[Total MOSFET Loss C]]</f>
        <v>0.96708383993254454</v>
      </c>
      <c r="CN158" s="161">
        <f ca="1">IF(Table7[[#This Row],[POUT (W)]]=0,0,(Table7[[#This Row],[POUT (W)]])/(Table7[[#This Row],[POUT (W)]]+Table7[[#This Row],[Total Power Loss (W) C]]))*100</f>
        <v>55.373953600122491</v>
      </c>
      <c r="CO158" s="167"/>
      <c r="CP158" s="161">
        <f>IF(MOSFET_S=Custom_MOSFET,Table7[[#This Row],[Total Sense Loss C]],Table7[[#This Row],[Total Sense Loss]])</f>
        <v>5.7062500000000017E-4</v>
      </c>
      <c r="CQ158" s="161">
        <f ca="1">IF(MOSFET_S=Custom_MOSFET,Table7[[#This Row],[Total MOSFET Loss C]],Table7[[#This Row],[Total MOSFET Loss]])</f>
        <v>2.1569742591021037</v>
      </c>
      <c r="CR158" s="161">
        <f ca="1">IF(MOSFET_S=Custom_MOSFET,Table7[[#This Row],[Efficiency C]],Table7[[#This Row],[Efficiency]])</f>
        <v>35.74040084116141</v>
      </c>
      <c r="CS158" s="167"/>
      <c r="CT158" s="161">
        <f>IF(MOSFET_S=Compare_MOSFET, Table7[[#This Row],[Total Sense Loss C]], -100)</f>
        <v>-100</v>
      </c>
      <c r="CU158" s="161">
        <f>IF(MOSFET_S=Compare_MOSFET, Table7[[#This Row],[Total MOSFET Loss C]], -100)</f>
        <v>-100</v>
      </c>
      <c r="CV158" s="161">
        <f>IF(MOSFET_S=Compare_MOSFET, Table7[[#This Row],[Efficiency C]], -100)</f>
        <v>-100</v>
      </c>
      <c r="CW158" s="167"/>
      <c r="CX158" s="161">
        <f ca="1">IF(Save_Sel=CLR_Save,  Table7[[#This Row],[Total Sense Loss P1]], Table7[[#This Row],[Total Sense Loss P1 Saved]])</f>
        <v>5.7062500000000017E-4</v>
      </c>
      <c r="CY158" s="161">
        <f ca="1">IF(Save_Sel=CLR_Save,  Table7[[#This Row],[Total MOSFET Loss P1]], Table7[[#This Row],[Total MOSFET Loss P1 Saved]] )</f>
        <v>1.4442333052026866</v>
      </c>
      <c r="CZ158" s="161">
        <f ca="1">IF(Save_Sel=CLR_Save, Table7[[#This Row],[Efficiency P1]], Table7[[#This Row],[Efficiency P1 Saved]])</f>
        <v>45.371983393416883</v>
      </c>
      <c r="DA158" s="167"/>
      <c r="DB158" s="161">
        <f ca="1">IF(Save_Sel=CLR_Save,  Table7[[#This Row],[Total Sense Loss P2]], Table7[[#This Row],[Total Sense Loss P2 Saved]])</f>
        <v>5.7062500000000017E-4</v>
      </c>
      <c r="DC158" s="161">
        <f ca="1">IF(Save_Sel=CLR_Save,  Table7[[#This Row],[Total MOSFET Loss P2]], Table7[[#This Row],[Total MOSFET Loss P2 Saved]] )</f>
        <v>0.96662737072700522</v>
      </c>
      <c r="DD158" s="161">
        <f ca="1">IF(Save_Sel=CLR_Save, Table7[[#This Row],[Efficiency P2]], Table7[[#This Row],[Efficiency P2 Saved]])</f>
        <v>55.371036811864968</v>
      </c>
      <c r="DE158" s="167"/>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c r="FH158" s="21"/>
      <c r="FI158" s="21"/>
    </row>
    <row r="159" spans="1:165" ht="15.75" thickBot="1" x14ac:dyDescent="0.3">
      <c r="A159" s="105"/>
      <c r="B159" s="49"/>
      <c r="C159" s="49"/>
      <c r="D159" s="37" t="s">
        <v>256</v>
      </c>
      <c r="E159" s="246" t="s">
        <v>62</v>
      </c>
      <c r="F159" s="246"/>
      <c r="G159" s="47"/>
      <c r="H159" s="15"/>
      <c r="I159" s="31" t="s">
        <v>62</v>
      </c>
      <c r="J159" s="31" t="s">
        <v>63</v>
      </c>
      <c r="K159" s="88">
        <f ca="1">IF(Save_Sel=Save,K159,Ioutmax)</f>
        <v>5</v>
      </c>
      <c r="L159" s="31"/>
      <c r="M159" s="31"/>
      <c r="N159" s="31"/>
      <c r="O159" s="31"/>
      <c r="P159" s="31"/>
      <c r="Q159" s="31"/>
      <c r="R159" s="31"/>
      <c r="S159" s="32"/>
      <c r="T159" s="20"/>
      <c r="U159" s="21"/>
      <c r="V159" s="21"/>
      <c r="W159" s="21"/>
      <c r="X159" s="21"/>
      <c r="Y159" s="21"/>
      <c r="Z159" s="21"/>
      <c r="AA159" s="21"/>
      <c r="AB159" s="21"/>
      <c r="AC159" s="21"/>
      <c r="AD159" s="21"/>
      <c r="AE159" s="21"/>
      <c r="AF159" s="154">
        <f>AF158+1</f>
        <v>3</v>
      </c>
      <c r="AG159" s="154">
        <f t="shared" si="16"/>
        <v>0.15</v>
      </c>
      <c r="AH159" s="155">
        <f t="shared" si="3"/>
        <v>1.7999999999999998</v>
      </c>
      <c r="AI159" s="156">
        <f t="shared" si="4"/>
        <v>0.42857142857142855</v>
      </c>
      <c r="AJ159" s="156">
        <f t="shared" si="5"/>
        <v>0.26250000000000001</v>
      </c>
      <c r="AK159" s="156">
        <f t="shared" si="6"/>
        <v>0.85714285714285721</v>
      </c>
      <c r="AL159" s="156">
        <f t="shared" si="7"/>
        <v>0.3607363854616254</v>
      </c>
      <c r="AM159" s="157"/>
      <c r="AN159" s="156">
        <f>MAX(0,Table7[[#This Row],[I_L]]-0.5*Table7[[#This Row],[I_L pkpk]])</f>
        <v>0</v>
      </c>
      <c r="AO159" s="156">
        <f>Table7[[#This Row],[I_L]]+0.5*Table7[[#This Row],[I_L pkpk]]</f>
        <v>0.69107142857142856</v>
      </c>
      <c r="AP159" s="156">
        <f ca="1">IF(VACnom&gt;Vbat, (VGS_S-(TI_MOSFET_S_VTH_H_BU+Table7[[#This Row],[I_L]]/TI_MOSFET_S_gFS_H_BU))/3.4, (VGS_S-(TI_MOSFET_S_VTH_L_BO+Table7[[#This Row],[I_L]]/TI_MOSFET_S_gFS_L_BO))/3.4 )</f>
        <v>2.4258766968325793</v>
      </c>
      <c r="AQ159" s="156">
        <f ca="1">IF(VACnom&gt;Vbat, ((TI_MOSFET_S_VTH_H_BU+Table7[[#This Row],[I_L]]/TI_MOSFET_S_gFS_H_BU))/1, ((TI_MOSFET_S_VTH_L_BO+Table7[[#This Row],[I_L]]/TI_MOSFET_S_gFS_L_BO))/1 )</f>
        <v>1.7520192307692308</v>
      </c>
      <c r="AR159" s="156">
        <f ca="1">IF(VACnom&gt;Vbat, (TI_MOSFET_S_QGD_H_BU+TI_MOSFET_S_QGS_H_BU)*10^-9/Table7[[#This Row],[Ion (A)]], (TI_MOSFET_S_QGD_L_BO+TI_MOSFET_S_QGS_L_BO)*10^-9/Table7[[#This Row],[Ion (A)]])/10^-9</f>
        <v>11.871996642534887</v>
      </c>
      <c r="AS159" s="156">
        <f ca="1">IF(VACnom&gt;Vbat, (TI_MOSFET_S_QGD_H_BU+TI_MOSFET_S_QGS_H_BU)*10^-9/Table7[[#This Row],[Ioff (A)]], (TI_MOSFET_S_QGD_L_BO+TI_MOSFET_S_QGS_L_BO)*10^-9/Table7[[#This Row],[Ioff (A)]])/10^-9</f>
        <v>16.438175731299051</v>
      </c>
      <c r="AT159" s="156">
        <f ca="1" xml:space="preserve"> 0.5*VACnom*Table7[[#This Row],[Ivalley (A)]]*Table7[[#This Row],[ton (ns)]]*10^-9*Fsw*10^3+0.5*VACnom*Table7[[#This Row],[Ipeak (A)]]*Table7[[#This Row],[toff (ns)]]*10^-9*Fsw*10^3/10^-3</f>
        <v>40.895832908653276</v>
      </c>
      <c r="AU159" s="156">
        <f t="shared" ca="1" si="8"/>
        <v>262.8</v>
      </c>
      <c r="AV159" s="156">
        <f t="shared" ca="1" si="9"/>
        <v>648</v>
      </c>
      <c r="AW159" s="156">
        <f t="shared" ca="1" si="10"/>
        <v>554.4</v>
      </c>
      <c r="AX159" s="156">
        <f ca="1">IF(VACnom&gt;Vbat, TI_MOSFET_S_VSD_L_BU*Table7[[#This Row],[Ivalley (A)]]*Fsw*10^3*40*10^-9+TI_MOSFET_S_VSD_L_BU*Table7[[#This Row],[Ipeak (A)]]*Fsw*10^3*30*10^-9, TI_MOSFET_S_VSD_H_BO*Table7[[#This Row],[Ivalley (A)]]*Fsw*10^3*40*10^-9+TI_MOSFET_S_VSD_H_BO*Table7[[#This Row],[Ipeak (A)]]*Fsw*10^3*30*10^-9)/10^-3</f>
        <v>8.9562857142857144</v>
      </c>
      <c r="AY159" s="156">
        <f t="shared" ca="1" si="11"/>
        <v>648</v>
      </c>
      <c r="AZ159" s="156">
        <f ca="1">IF(VACnom&lt;Vbat, Table7[[#This Row],[Duty Cycle]]*Table7[[#This Row],[I_L RMS]]^2*TI_MOSFET_S_RDSON_H_BU*10^-3, (1-Table7[[#This Row],[Duty Cycle]])*Table7[[#This Row],[I_L RMS]]^2*TI_MOSFET_S_RDSON_H_BO*10^-3)/10^-3</f>
        <v>0.15615688775510206</v>
      </c>
      <c r="BA159" s="156">
        <f ca="1">IF(VACnom&gt;Vbat, Table7[[#This Row],[PIV (mW)]]+Table7[[#This Row],[Pqoss (mW)]]+Table7[[#This Row],[Pgate_top (mW)]], Table7[[#This Row],[PRR (mW)]]+Table7[[#This Row],[Pdead (mW)]]+Table7[[#This Row],[Pgate_top (mW)]])</f>
        <v>1211.3562857142856</v>
      </c>
      <c r="BB159" s="156">
        <f ca="1">Table7[[#This Row],[Pcon_top (mW)]]+Table7[[#This Row],[Psw_top (mW)]]</f>
        <v>1211.5124426020407</v>
      </c>
      <c r="BC159" s="156">
        <f ca="1">IF(VACnom&gt;Vbat, (1-Table7[[#This Row],[Duty Cycle]])*Table7[[#This Row],[I_L RMS]]^2*TI_MOSFET_S_RDSON_L_BU*10^-3, Table7[[#This Row],[Duty Cycle]]*Table7[[#This Row],[I_L RMS]]^2*TI_MOSFET_S_RDSON_L_BO*10^-3)/10^-3</f>
        <v>0.15615688775510206</v>
      </c>
      <c r="BD159" s="156">
        <f ca="1">IF(VACnom&gt;Vbat, Table7[[#This Row],[PRR (mW)]]+Table7[[#This Row],[Pdead (mW)]]+Table7[[#This Row],[Pgate_bottom (mW)]], Table7[[#This Row],[PIV (mW)]]+Table7[[#This Row],[Pqoss (mW)]]+Table7[[#This Row],[Pgate_bottom (mW)]])</f>
        <v>951.6958329086533</v>
      </c>
      <c r="BE159" s="158">
        <f ca="1">Table7[[#This Row],[Pcon_bottom (mW)]]+Table7[[#This Row],[Psw_bottom (mW)]]</f>
        <v>951.85198979640836</v>
      </c>
      <c r="BF159" s="164">
        <f ca="1">Table7[[#This Row],[Pbottom (mW)]]+Table7[[#This Row],[Ptop (mW)]]</f>
        <v>2163.364432398449</v>
      </c>
      <c r="BG159" s="153"/>
      <c r="BH159" s="156">
        <f>MAX(0,Table7[[#This Row],[I_L]]-0.5*Table7[[#This Row],[I_L pkpk]])</f>
        <v>0</v>
      </c>
      <c r="BI159" s="156">
        <f>Table7[[#This Row],[I_L]]+0.5*Table7[[#This Row],[I_L pkpk]]</f>
        <v>0.69107142857142856</v>
      </c>
      <c r="BJ159" s="156">
        <f>IF(VACnom&gt;Vbat, (VGS_S-(C_MOSFET_S_VTH_H_BU+Table7[[#This Row],[I_L]]/C_MOSFET_S_gFS_H_BU))/3.4, (VGS_S-(C_MOSFET_S_VTH_L_BO+Table7[[#This Row],[I_L]]/C_MOSFET_S_gFS_L_BO))/3.4 )</f>
        <v>2.3524264705882354</v>
      </c>
      <c r="BK159" s="156">
        <f>IF(VACnom&gt;Vbat, ((C_MOSFET_S_VTH_H_BU+Table7[[#This Row],[I_L]]/C_MOSFET_S_gFS_H_BU))/1, ((C_MOSFET_S_VTH_L_BO+Table7[[#This Row],[I_L]]/C_MOSFET_S_gFS_L_BO))/1 )</f>
        <v>2.0017499999999999</v>
      </c>
      <c r="BL159" s="156">
        <f>IF(VACnom&gt;Vbat, (C_MOSFET_S_QGD_H_BU+C_MOSFET_S_QGS_H_BU)*10^-9/Table7[[#This Row],[Ion (A) C]], (C_MOSFET_S_QGD_L_BO+C_MOSFET_S_QGS_L_BO)*10^-9/Table7[[#This Row],[Ion (A) C]])/10^-9</f>
        <v>2.7631044290938642</v>
      </c>
      <c r="BM159" s="156">
        <f>IF(VACnom&gt;Vbat, (C_MOSFET_S_QGD_H_BU+C_MOSFET_S_QGS_H_BU)*10^-9/Table7[[#This Row],[Ioff (A) C]], (C_MOSFET_S_QGD_L_BO+C_MOSFET_S_QGS_L_BO)*10^-9/Table7[[#This Row],[Ioff (A) C]])/10^-9</f>
        <v>3.2471587361059071</v>
      </c>
      <c r="BN159" s="156">
        <f xml:space="preserve"> 0.5*VACnom*Table7[[#This Row],[Ivalley (A) C]]*Table7[[#This Row],[ton (ns) C]]*10^-9*Fsw*10^3+0.5*VACnom*Table7[[#This Row],[Ipeak (A) C]]*Table7[[#This Row],[toff (ns) C]]*10^-9*Fsw*10^3/10^-3</f>
        <v>8.0784670556120535</v>
      </c>
      <c r="BO159" s="156">
        <f t="shared" si="12"/>
        <v>129.6</v>
      </c>
      <c r="BP159" s="156">
        <f t="shared" ca="1" si="13"/>
        <v>291.59999999999997</v>
      </c>
      <c r="BQ159" s="156">
        <f t="shared" si="14"/>
        <v>237.6</v>
      </c>
      <c r="BR159" s="156">
        <f>IF(VACnom&gt;Vbat, C_MOSFET_S_VSD_L_BU*Table7[[#This Row],[Ivalley (A) C]]*Fsw*10^3*40*10^-9+C_MOSFET_S_VSD_L_BU*Table7[[#This Row],[Ipeak (A) C]]*Fsw*10^3*30*10^-9, C_MOSFET_S_VSD_H_BO*Table7[[#This Row],[Ivalley (A) C]]*Fsw*10^3*40*10^-9+C_MOSFET_S_VSD_H_BO*Table7[[#This Row],[Ipeak (A) C]]*Fsw*10^3*30*10^-9)/10^-3</f>
        <v>9.951428571428572</v>
      </c>
      <c r="BS159" s="156">
        <f t="shared" ca="1" si="15"/>
        <v>291.59999999999997</v>
      </c>
      <c r="BT159" s="156">
        <f>IF(VACnom&lt;Vbat, Table7[[#This Row],[Duty Cycle]]*Table7[[#This Row],[I_L RMS]]^2*C_MOSFET_S_RDSON_H_BU*10^-3, (1-Table7[[#This Row],[Duty Cycle]])*Table7[[#This Row],[I_L RMS]]^2*C_MOSFET_S_RDSON_H_BO*10^-3)/10^-3</f>
        <v>0.31789080721574348</v>
      </c>
      <c r="BU159" s="156">
        <f ca="1">IF(VACnom&gt;Vbat, Table7[[#This Row],[PIV (mW) C]]+Table7[[#This Row],[PQoss (mW) C]]+Table7[[#This Row],[Pgate_top (mW) C]], Table7[[#This Row],[PRR (mW) C]]+Table7[[#This Row],[Pdead (mW) C]]+Table7[[#This Row],[Pgate_top (mW) C]])</f>
        <v>539.1514285714286</v>
      </c>
      <c r="BV159" s="156">
        <f ca="1">Table7[[#This Row],[Pcon_top (mW) C]]+Table7[[#This Row],[Psw_top (mW) C]]</f>
        <v>539.46931937864429</v>
      </c>
      <c r="BW159" s="156">
        <f ca="1">IF(VACnom&gt;Vbat, (1-Table7[[#This Row],[Duty Cycle]])*Table7[[#This Row],[I_L RMS]]^2*C_MOSFET_S_RDSON_L_BU*10^-3, Table7[[#This Row],[Duty Cycle]]*Table7[[#This Row],[I_L RMS]]^2*C_MOSFET_S_RDSON_L_BO*10^-3)/10^-3</f>
        <v>0.19798462554664725</v>
      </c>
      <c r="BX159" s="156">
        <f ca="1">IF(VACnom&gt;Vbat, Table7[[#This Row],[PRR (mW) C]]+Table7[[#This Row],[Pdead (mW) C]]+Table7[[#This Row],[Pgate_bottom (mW) C]], Table7[[#This Row],[PIV (mW) C]]+Table7[[#This Row],[PQoss (mW) C]]+Table7[[#This Row],[Pgate_bottom (mW) C]])</f>
        <v>429.27846705561205</v>
      </c>
      <c r="BY159" s="156">
        <f ca="1">Table7[[#This Row],[Pcon_bottom (mW) C]]+Table7[[#This Row],[Psw_bottom (mV) C]]</f>
        <v>429.47645168115872</v>
      </c>
      <c r="BZ159" s="156">
        <f ca="1">Table7[[#This Row],[Pbottom (mW) C]]+Table7[[#This Row],[Ptop (mW) C]]</f>
        <v>968.94577105980306</v>
      </c>
      <c r="CA159" s="159"/>
      <c r="CB159" s="160">
        <f>(RAC_SNS*10^-3*(Table7[[#This Row],[IOUT (A)]]*Vbat/VACnom)^2/10^-3)</f>
        <v>0.34453125000000001</v>
      </c>
      <c r="CC159" s="160">
        <f>(RBAT_SNS*10^-3*Table7[[#This Row],[IOUT (A)]]^2)/10^-3</f>
        <v>0.11249999999999999</v>
      </c>
      <c r="CD159" s="160">
        <f>IF(VACnom&gt;Vbat,(L_DRC*10^-3*(Table7[[#This Row],[IOUT (A)]])^2/10^-3),(L_DRC*10^-3*(Table7[[#This Row],[IOUT (A)]]*Vbat/VACnom)^2/10^-3))</f>
        <v>0.82687500000000003</v>
      </c>
      <c r="CE159" s="166"/>
      <c r="CF159" s="156">
        <f>(Table7[[#This Row],[R_AC (mW)]]+Table7[[#This Row],[R_SR (mW)]]+Table7[[#This Row],[Inductor Loss (mW)]])/10^3</f>
        <v>1.2839062500000001E-3</v>
      </c>
      <c r="CG159" s="156">
        <f ca="1">Table7[[#This Row],[Total TI (mW)]]/10^3</f>
        <v>2.1633644323984491</v>
      </c>
      <c r="CH159" s="156">
        <f ca="1">Table7[[#This Row],[Total Sense Loss]]+Table7[[#This Row],[Total MOSFET Loss]]</f>
        <v>2.164648338648449</v>
      </c>
      <c r="CI159" s="161">
        <f ca="1">IF(Table7[[#This Row],[POUT (W)]]=0,0,(Table7[[#This Row],[POUT (W)]])/(Table7[[#This Row],[POUT (W)]]+Table7[[#This Row],[Total Power Loss (W)]]))*100</f>
        <v>45.401252425167698</v>
      </c>
      <c r="CJ159" s="167"/>
      <c r="CK159" s="156">
        <f>(Table7[[#This Row],[R_AC (mW)]]+Table7[[#This Row],[R_SR (mW)]]+Table7[[#This Row],[Inductor Loss (mW)]])/10^3</f>
        <v>1.2839062500000001E-3</v>
      </c>
      <c r="CL159" s="156">
        <f ca="1">Table7[[#This Row],[Total (mW) C]]/10^3</f>
        <v>0.96894577105980306</v>
      </c>
      <c r="CM159" s="156">
        <f ca="1">Table7[[#This Row],[Total Sense Loss C]]+Table7[[#This Row],[Total MOSFET Loss C]]</f>
        <v>0.97022967730980303</v>
      </c>
      <c r="CN159" s="161">
        <f ca="1">IF(Table7[[#This Row],[POUT (W)]]=0,0,(Table7[[#This Row],[POUT (W)]])/(Table7[[#This Row],[POUT (W)]]+Table7[[#This Row],[Total Power Loss (W) C]]))*100</f>
        <v>64.976561862119581</v>
      </c>
      <c r="CO159" s="167"/>
      <c r="CP159" s="161">
        <f>IF(MOSFET_S=Custom_MOSFET,Table7[[#This Row],[Total Sense Loss C]],Table7[[#This Row],[Total Sense Loss]])</f>
        <v>1.2839062500000001E-3</v>
      </c>
      <c r="CQ159" s="161">
        <f ca="1">IF(MOSFET_S=Custom_MOSFET,Table7[[#This Row],[Total MOSFET Loss C]],Table7[[#This Row],[Total MOSFET Loss]])</f>
        <v>2.1633644323984491</v>
      </c>
      <c r="CR159" s="161">
        <f ca="1">IF(MOSFET_S=Custom_MOSFET,Table7[[#This Row],[Efficiency C]],Table7[[#This Row],[Efficiency]])</f>
        <v>45.401252425167698</v>
      </c>
      <c r="CS159" s="167"/>
      <c r="CT159" s="161">
        <f>IF(MOSFET_S=Compare_MOSFET, Table7[[#This Row],[Total Sense Loss C]], -100)</f>
        <v>-100</v>
      </c>
      <c r="CU159" s="161">
        <f>IF(MOSFET_S=Compare_MOSFET, Table7[[#This Row],[Total MOSFET Loss C]], -100)</f>
        <v>-100</v>
      </c>
      <c r="CV159" s="161">
        <f>IF(MOSFET_S=Compare_MOSFET, Table7[[#This Row],[Efficiency C]], -100)</f>
        <v>-100</v>
      </c>
      <c r="CW159" s="167"/>
      <c r="CX159" s="161">
        <f ca="1">IF(Save_Sel=CLR_Save,  Table7[[#This Row],[Total Sense Loss P1]], Table7[[#This Row],[Total Sense Loss P1 Saved]])</f>
        <v>1.2839062500000001E-3</v>
      </c>
      <c r="CY159" s="161">
        <f ca="1">IF(Save_Sel=CLR_Save,  Table7[[#This Row],[Total MOSFET Loss P1]], Table7[[#This Row],[Total MOSFET Loss P1 Saved]] )</f>
        <v>1.4506480878740322</v>
      </c>
      <c r="CZ159" s="161">
        <f ca="1">IF(Save_Sel=CLR_Save, Table7[[#This Row],[Efficiency P1]], Table7[[#This Row],[Efficiency P1 Saved]])</f>
        <v>55.351711021400476</v>
      </c>
      <c r="DA159" s="167"/>
      <c r="DB159" s="161">
        <f ca="1">IF(Save_Sel=CLR_Save,  Table7[[#This Row],[Total Sense Loss P2]], Table7[[#This Row],[Total Sense Loss P2 Saved]])</f>
        <v>1.2839062500000001E-3</v>
      </c>
      <c r="DC159" s="161">
        <f ca="1">IF(Save_Sel=CLR_Save,  Table7[[#This Row],[Total MOSFET Loss P2]], Table7[[#This Row],[Total MOSFET Loss P2 Saved]] )</f>
        <v>0.96910750497926368</v>
      </c>
      <c r="DD159" s="161">
        <f ca="1">IF(Save_Sel=CLR_Save, Table7[[#This Row],[Efficiency P2]], Table7[[#This Row],[Efficiency P2 Saved]])</f>
        <v>64.972768566349018</v>
      </c>
      <c r="DE159" s="167"/>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c r="FH159" s="21"/>
      <c r="FI159" s="21"/>
    </row>
    <row r="160" spans="1:165" x14ac:dyDescent="0.25">
      <c r="A160" s="38"/>
      <c r="B160" s="51"/>
      <c r="C160" s="51"/>
      <c r="D160" s="34"/>
      <c r="E160" s="110"/>
      <c r="F160" s="110"/>
      <c r="G160" s="51"/>
      <c r="H160" s="31"/>
      <c r="I160" s="57"/>
      <c r="J160" s="57"/>
      <c r="K160" s="57"/>
      <c r="L160" s="31"/>
      <c r="M160" s="31"/>
      <c r="N160" s="31"/>
      <c r="O160" s="31"/>
      <c r="P160" s="31"/>
      <c r="Q160" s="31"/>
      <c r="R160" s="31"/>
      <c r="S160" s="32"/>
      <c r="T160" s="20"/>
      <c r="U160" s="21"/>
      <c r="V160" s="21"/>
      <c r="W160" s="21"/>
      <c r="X160" s="21"/>
      <c r="Y160" s="21"/>
      <c r="Z160" s="21"/>
      <c r="AA160" s="21"/>
      <c r="AB160" s="21"/>
      <c r="AC160" s="21"/>
      <c r="AD160" s="21"/>
      <c r="AE160" s="21"/>
      <c r="AF160" s="154">
        <f t="shared" ref="AF160:AF221" si="17">AF159+1</f>
        <v>4</v>
      </c>
      <c r="AG160" s="154">
        <f t="shared" si="16"/>
        <v>0.2</v>
      </c>
      <c r="AH160" s="155">
        <f t="shared" si="3"/>
        <v>2.4000000000000004</v>
      </c>
      <c r="AI160" s="156">
        <f t="shared" si="4"/>
        <v>0.42857142857142855</v>
      </c>
      <c r="AJ160" s="156">
        <f t="shared" si="5"/>
        <v>0.35000000000000003</v>
      </c>
      <c r="AK160" s="156">
        <f t="shared" si="6"/>
        <v>0.85714285714285721</v>
      </c>
      <c r="AL160" s="156">
        <f t="shared" si="7"/>
        <v>0.42863094824792858</v>
      </c>
      <c r="AM160" s="157"/>
      <c r="AN160" s="156">
        <f>MAX(0,Table7[[#This Row],[I_L]]-0.5*Table7[[#This Row],[I_L pkpk]])</f>
        <v>0</v>
      </c>
      <c r="AO160" s="156">
        <f>Table7[[#This Row],[I_L]]+0.5*Table7[[#This Row],[I_L pkpk]]</f>
        <v>0.77857142857142869</v>
      </c>
      <c r="AP160" s="156">
        <f ca="1">IF(VACnom&gt;Vbat, (VGS_S-(TI_MOSFET_S_VTH_H_BU+Table7[[#This Row],[I_L]]/TI_MOSFET_S_gFS_H_BU))/3.4, (VGS_S-(TI_MOSFET_S_VTH_L_BO+Table7[[#This Row],[I_L]]/TI_MOSFET_S_gFS_L_BO))/3.4 )</f>
        <v>2.4256787330316745</v>
      </c>
      <c r="AQ160" s="156">
        <f ca="1">IF(VACnom&gt;Vbat, ((TI_MOSFET_S_VTH_H_BU+Table7[[#This Row],[I_L]]/TI_MOSFET_S_gFS_H_BU))/1, ((TI_MOSFET_S_VTH_L_BO+Table7[[#This Row],[I_L]]/TI_MOSFET_S_gFS_L_BO))/1 )</f>
        <v>1.7526923076923078</v>
      </c>
      <c r="AR160" s="156">
        <f ca="1">IF(VACnom&gt;Vbat, (TI_MOSFET_S_QGD_H_BU+TI_MOSFET_S_QGS_H_BU)*10^-9/Table7[[#This Row],[Ion (A)]], (TI_MOSFET_S_QGD_L_BO+TI_MOSFET_S_QGS_L_BO)*10^-9/Table7[[#This Row],[Ion (A)]])/10^-9</f>
        <v>11.872965536538729</v>
      </c>
      <c r="AS160" s="156">
        <f ca="1">IF(VACnom&gt;Vbat, (TI_MOSFET_S_QGD_H_BU+TI_MOSFET_S_QGS_H_BU)*10^-9/Table7[[#This Row],[Ioff (A)]], (TI_MOSFET_S_QGD_L_BO+TI_MOSFET_S_QGS_L_BO)*10^-9/Table7[[#This Row],[Ioff (A)]])/10^-9</f>
        <v>16.431863067807768</v>
      </c>
      <c r="AT160" s="156">
        <f ca="1" xml:space="preserve"> 0.5*VACnom*Table7[[#This Row],[Ivalley (A)]]*Table7[[#This Row],[ton (ns)]]*10^-9*Fsw*10^3+0.5*VACnom*Table7[[#This Row],[Ipeak (A)]]*Table7[[#This Row],[toff (ns)]]*10^-9*Fsw*10^3/10^-3</f>
        <v>46.056164770055496</v>
      </c>
      <c r="AU160" s="156">
        <f t="shared" ca="1" si="8"/>
        <v>262.8</v>
      </c>
      <c r="AV160" s="156">
        <f t="shared" ca="1" si="9"/>
        <v>648</v>
      </c>
      <c r="AW160" s="156">
        <f t="shared" ca="1" si="10"/>
        <v>554.4</v>
      </c>
      <c r="AX160" s="156">
        <f ca="1">IF(VACnom&gt;Vbat, TI_MOSFET_S_VSD_L_BU*Table7[[#This Row],[Ivalley (A)]]*Fsw*10^3*40*10^-9+TI_MOSFET_S_VSD_L_BU*Table7[[#This Row],[Ipeak (A)]]*Fsw*10^3*30*10^-9, TI_MOSFET_S_VSD_H_BO*Table7[[#This Row],[Ivalley (A)]]*Fsw*10^3*40*10^-9+TI_MOSFET_S_VSD_H_BO*Table7[[#This Row],[Ipeak (A)]]*Fsw*10^3*30*10^-9)/10^-3</f>
        <v>10.090285714285715</v>
      </c>
      <c r="AY160" s="156">
        <f t="shared" ca="1" si="11"/>
        <v>648</v>
      </c>
      <c r="AZ160" s="156">
        <f ca="1">IF(VACnom&lt;Vbat, Table7[[#This Row],[Duty Cycle]]*Table7[[#This Row],[I_L RMS]]^2*TI_MOSFET_S_RDSON_H_BU*10^-3, (1-Table7[[#This Row],[Duty Cycle]])*Table7[[#This Row],[I_L RMS]]^2*TI_MOSFET_S_RDSON_H_BO*10^-3)/10^-3</f>
        <v>0.22046938775510211</v>
      </c>
      <c r="BA160" s="156">
        <f ca="1">IF(VACnom&gt;Vbat, Table7[[#This Row],[PIV (mW)]]+Table7[[#This Row],[Pqoss (mW)]]+Table7[[#This Row],[Pgate_top (mW)]], Table7[[#This Row],[PRR (mW)]]+Table7[[#This Row],[Pdead (mW)]]+Table7[[#This Row],[Pgate_top (mW)]])</f>
        <v>1212.4902857142856</v>
      </c>
      <c r="BB160" s="156">
        <f ca="1">Table7[[#This Row],[Pcon_top (mW)]]+Table7[[#This Row],[Psw_top (mW)]]</f>
        <v>1212.7107551020408</v>
      </c>
      <c r="BC160" s="156">
        <f ca="1">IF(VACnom&gt;Vbat, (1-Table7[[#This Row],[Duty Cycle]])*Table7[[#This Row],[I_L RMS]]^2*TI_MOSFET_S_RDSON_L_BU*10^-3, Table7[[#This Row],[Duty Cycle]]*Table7[[#This Row],[I_L RMS]]^2*TI_MOSFET_S_RDSON_L_BO*10^-3)/10^-3</f>
        <v>0.22046938775510211</v>
      </c>
      <c r="BD160" s="156">
        <f ca="1">IF(VACnom&gt;Vbat, Table7[[#This Row],[PRR (mW)]]+Table7[[#This Row],[Pdead (mW)]]+Table7[[#This Row],[Pgate_bottom (mW)]], Table7[[#This Row],[PIV (mW)]]+Table7[[#This Row],[Pqoss (mW)]]+Table7[[#This Row],[Pgate_bottom (mW)]])</f>
        <v>956.85616477005556</v>
      </c>
      <c r="BE160" s="158">
        <f ca="1">Table7[[#This Row],[Pcon_bottom (mW)]]+Table7[[#This Row],[Psw_bottom (mW)]]</f>
        <v>957.07663415781064</v>
      </c>
      <c r="BF160" s="164">
        <f ca="1">Table7[[#This Row],[Pbottom (mW)]]+Table7[[#This Row],[Ptop (mW)]]</f>
        <v>2169.7873892598514</v>
      </c>
      <c r="BG160" s="153"/>
      <c r="BH160" s="156">
        <f>MAX(0,Table7[[#This Row],[I_L]]-0.5*Table7[[#This Row],[I_L pkpk]])</f>
        <v>0</v>
      </c>
      <c r="BI160" s="156">
        <f>Table7[[#This Row],[I_L]]+0.5*Table7[[#This Row],[I_L pkpk]]</f>
        <v>0.77857142857142869</v>
      </c>
      <c r="BJ160" s="156">
        <f>IF(VACnom&gt;Vbat, (VGS_S-(C_MOSFET_S_VTH_H_BU+Table7[[#This Row],[I_L]]/C_MOSFET_S_gFS_H_BU))/3.4, (VGS_S-(C_MOSFET_S_VTH_L_BO+Table7[[#This Row],[I_L]]/C_MOSFET_S_gFS_L_BO))/3.4 )</f>
        <v>2.3522549019607841</v>
      </c>
      <c r="BK160" s="156">
        <f>IF(VACnom&gt;Vbat, ((C_MOSFET_S_VTH_H_BU+Table7[[#This Row],[I_L]]/C_MOSFET_S_gFS_H_BU))/1, ((C_MOSFET_S_VTH_L_BO+Table7[[#This Row],[I_L]]/C_MOSFET_S_gFS_L_BO))/1 )</f>
        <v>2.0023333333333335</v>
      </c>
      <c r="BL160" s="156">
        <f>IF(VACnom&gt;Vbat, (C_MOSFET_S_QGD_H_BU+C_MOSFET_S_QGS_H_BU)*10^-9/Table7[[#This Row],[Ion (A) C]], (C_MOSFET_S_QGD_L_BO+C_MOSFET_S_QGS_L_BO)*10^-9/Table7[[#This Row],[Ion (A) C]])/10^-9</f>
        <v>2.7633059642395699</v>
      </c>
      <c r="BM160" s="156">
        <f>IF(VACnom&gt;Vbat, (C_MOSFET_S_QGD_H_BU+C_MOSFET_S_QGS_H_BU)*10^-9/Table7[[#This Row],[Ioff (A) C]], (C_MOSFET_S_QGD_L_BO+C_MOSFET_S_QGS_L_BO)*10^-9/Table7[[#This Row],[Ioff (A) C]])/10^-9</f>
        <v>3.2462127517895785</v>
      </c>
      <c r="BN160" s="156">
        <f xml:space="preserve"> 0.5*VACnom*Table7[[#This Row],[Ivalley (A) C]]*Table7[[#This Row],[ton (ns) C]]*10^-9*Fsw*10^3+0.5*VACnom*Table7[[#This Row],[Ipeak (A) C]]*Table7[[#This Row],[toff (ns) C]]*10^-9*Fsw*10^3/10^-3</f>
        <v>9.098670598587363</v>
      </c>
      <c r="BO160" s="156">
        <f t="shared" si="12"/>
        <v>129.6</v>
      </c>
      <c r="BP160" s="156">
        <f t="shared" ca="1" si="13"/>
        <v>291.59999999999997</v>
      </c>
      <c r="BQ160" s="156">
        <f t="shared" si="14"/>
        <v>237.6</v>
      </c>
      <c r="BR160" s="156">
        <f>IF(VACnom&gt;Vbat, C_MOSFET_S_VSD_L_BU*Table7[[#This Row],[Ivalley (A) C]]*Fsw*10^3*40*10^-9+C_MOSFET_S_VSD_L_BU*Table7[[#This Row],[Ipeak (A) C]]*Fsw*10^3*30*10^-9, C_MOSFET_S_VSD_H_BO*Table7[[#This Row],[Ivalley (A) C]]*Fsw*10^3*40*10^-9+C_MOSFET_S_VSD_H_BO*Table7[[#This Row],[Ipeak (A) C]]*Fsw*10^3*30*10^-9)/10^-3</f>
        <v>11.211428571428575</v>
      </c>
      <c r="BS160" s="156">
        <f t="shared" ca="1" si="15"/>
        <v>291.59999999999997</v>
      </c>
      <c r="BT160" s="156">
        <f>IF(VACnom&lt;Vbat, Table7[[#This Row],[Duty Cycle]]*Table7[[#This Row],[I_L RMS]]^2*C_MOSFET_S_RDSON_H_BU*10^-3, (1-Table7[[#This Row],[Duty Cycle]])*Table7[[#This Row],[I_L RMS]]^2*C_MOSFET_S_RDSON_H_BO*10^-3)/10^-3</f>
        <v>0.44881268221574361</v>
      </c>
      <c r="BU160" s="156">
        <f ca="1">IF(VACnom&gt;Vbat, Table7[[#This Row],[PIV (mW) C]]+Table7[[#This Row],[PQoss (mW) C]]+Table7[[#This Row],[Pgate_top (mW) C]], Table7[[#This Row],[PRR (mW) C]]+Table7[[#This Row],[Pdead (mW) C]]+Table7[[#This Row],[Pgate_top (mW) C]])</f>
        <v>540.41142857142859</v>
      </c>
      <c r="BV160" s="156">
        <f ca="1">Table7[[#This Row],[Pcon_top (mW) C]]+Table7[[#This Row],[Psw_top (mW) C]]</f>
        <v>540.86024125364429</v>
      </c>
      <c r="BW160" s="156">
        <f ca="1">IF(VACnom&gt;Vbat, (1-Table7[[#This Row],[Duty Cycle]])*Table7[[#This Row],[I_L RMS]]^2*C_MOSFET_S_RDSON_L_BU*10^-3, Table7[[#This Row],[Duty Cycle]]*Table7[[#This Row],[I_L RMS]]^2*C_MOSFET_S_RDSON_L_BO*10^-3)/10^-3</f>
        <v>0.27952368804664735</v>
      </c>
      <c r="BX160" s="156">
        <f ca="1">IF(VACnom&gt;Vbat, Table7[[#This Row],[PRR (mW) C]]+Table7[[#This Row],[Pdead (mW) C]]+Table7[[#This Row],[Pgate_bottom (mW) C]], Table7[[#This Row],[PIV (mW) C]]+Table7[[#This Row],[PQoss (mW) C]]+Table7[[#This Row],[Pgate_bottom (mW) C]])</f>
        <v>430.29867059858736</v>
      </c>
      <c r="BY160" s="156">
        <f ca="1">Table7[[#This Row],[Pcon_bottom (mW) C]]+Table7[[#This Row],[Psw_bottom (mV) C]]</f>
        <v>430.57819428663402</v>
      </c>
      <c r="BZ160" s="156">
        <f ca="1">Table7[[#This Row],[Pbottom (mW) C]]+Table7[[#This Row],[Ptop (mW) C]]</f>
        <v>971.43843554027831</v>
      </c>
      <c r="CA160" s="159"/>
      <c r="CB160" s="160">
        <f>(RAC_SNS*10^-3*(Table7[[#This Row],[IOUT (A)]]*Vbat/VACnom)^2/10^-3)</f>
        <v>0.61250000000000004</v>
      </c>
      <c r="CC160" s="160">
        <f>(RBAT_SNS*10^-3*Table7[[#This Row],[IOUT (A)]]^2)/10^-3</f>
        <v>0.20000000000000004</v>
      </c>
      <c r="CD160" s="160">
        <f>IF(VACnom&gt;Vbat,(L_DRC*10^-3*(Table7[[#This Row],[IOUT (A)]])^2/10^-3),(L_DRC*10^-3*(Table7[[#This Row],[IOUT (A)]]*Vbat/VACnom)^2/10^-3))</f>
        <v>1.4700000000000004</v>
      </c>
      <c r="CE160" s="166"/>
      <c r="CF160" s="156">
        <f>(Table7[[#This Row],[R_AC (mW)]]+Table7[[#This Row],[R_SR (mW)]]+Table7[[#This Row],[Inductor Loss (mW)]])/10^3</f>
        <v>2.2825000000000007E-3</v>
      </c>
      <c r="CG160" s="156">
        <f ca="1">Table7[[#This Row],[Total TI (mW)]]/10^3</f>
        <v>2.1697873892598514</v>
      </c>
      <c r="CH160" s="156">
        <f ca="1">Table7[[#This Row],[Total Sense Loss]]+Table7[[#This Row],[Total MOSFET Loss]]</f>
        <v>2.1720698892598516</v>
      </c>
      <c r="CI160" s="161">
        <f ca="1">IF(Table7[[#This Row],[POUT (W)]]=0,0,(Table7[[#This Row],[POUT (W)]])/(Table7[[#This Row],[POUT (W)]]+Table7[[#This Row],[Total Power Loss (W)]]))*100</f>
        <v>52.492635898628471</v>
      </c>
      <c r="CJ160" s="167"/>
      <c r="CK160" s="156">
        <f>(Table7[[#This Row],[R_AC (mW)]]+Table7[[#This Row],[R_SR (mW)]]+Table7[[#This Row],[Inductor Loss (mW)]])/10^3</f>
        <v>2.2825000000000007E-3</v>
      </c>
      <c r="CL160" s="156">
        <f ca="1">Table7[[#This Row],[Total (mW) C]]/10^3</f>
        <v>0.97143843554027831</v>
      </c>
      <c r="CM160" s="156">
        <f ca="1">Table7[[#This Row],[Total Sense Loss C]]+Table7[[#This Row],[Total MOSFET Loss C]]</f>
        <v>0.97372093554027828</v>
      </c>
      <c r="CN160" s="161">
        <f ca="1">IF(Table7[[#This Row],[POUT (W)]]=0,0,(Table7[[#This Row],[POUT (W)]])/(Table7[[#This Row],[POUT (W)]]+Table7[[#This Row],[Total Power Loss (W) C]]))*100</f>
        <v>71.138071164017504</v>
      </c>
      <c r="CO160" s="167"/>
      <c r="CP160" s="161">
        <f>IF(MOSFET_S=Custom_MOSFET,Table7[[#This Row],[Total Sense Loss C]],Table7[[#This Row],[Total Sense Loss]])</f>
        <v>2.2825000000000007E-3</v>
      </c>
      <c r="CQ160" s="161">
        <f ca="1">IF(MOSFET_S=Custom_MOSFET,Table7[[#This Row],[Total MOSFET Loss C]],Table7[[#This Row],[Total MOSFET Loss]])</f>
        <v>2.1697873892598514</v>
      </c>
      <c r="CR160" s="161">
        <f ca="1">IF(MOSFET_S=Custom_MOSFET,Table7[[#This Row],[Efficiency C]],Table7[[#This Row],[Efficiency]])</f>
        <v>52.492635898628471</v>
      </c>
      <c r="CS160" s="167"/>
      <c r="CT160" s="161">
        <f>IF(MOSFET_S=Compare_MOSFET, Table7[[#This Row],[Total Sense Loss C]], -100)</f>
        <v>-100</v>
      </c>
      <c r="CU160" s="161">
        <f>IF(MOSFET_S=Compare_MOSFET, Table7[[#This Row],[Total MOSFET Loss C]], -100)</f>
        <v>-100</v>
      </c>
      <c r="CV160" s="161">
        <f>IF(MOSFET_S=Compare_MOSFET, Table7[[#This Row],[Efficiency C]], -100)</f>
        <v>-100</v>
      </c>
      <c r="CW160" s="167"/>
      <c r="CX160" s="161">
        <f ca="1">IF(Save_Sel=CLR_Save,  Table7[[#This Row],[Total Sense Loss P1]], Table7[[#This Row],[Total Sense Loss P1 Saved]])</f>
        <v>2.2825000000000007E-3</v>
      </c>
      <c r="CY160" s="161">
        <f ca="1">IF(Save_Sel=CLR_Save,  Table7[[#This Row],[Total MOSFET Loss P1]], Table7[[#This Row],[Total MOSFET Loss P1 Saved]] )</f>
        <v>1.4571054978604345</v>
      </c>
      <c r="CZ160" s="161">
        <f ca="1">IF(Save_Sel=CLR_Save, Table7[[#This Row],[Efficiency P1]], Table7[[#This Row],[Efficiency P1 Saved]])</f>
        <v>62.186025383571454</v>
      </c>
      <c r="DA160" s="167"/>
      <c r="DB160" s="161">
        <f ca="1">IF(Save_Sel=CLR_Save,  Table7[[#This Row],[Total Sense Loss P2]], Table7[[#This Row],[Total Sense Loss P2 Saved]])</f>
        <v>2.2825000000000007E-3</v>
      </c>
      <c r="DC160" s="161">
        <f ca="1">IF(Save_Sel=CLR_Save,  Table7[[#This Row],[Total MOSFET Loss P2]], Table7[[#This Row],[Total MOSFET Loss P2 Saved]] )</f>
        <v>0.97166677883473906</v>
      </c>
      <c r="DD160" s="161">
        <f ca="1">IF(Save_Sel=CLR_Save, Table7[[#This Row],[Efficiency P2]], Table7[[#This Row],[Efficiency P2 Saved]])</f>
        <v>71.133256657281109</v>
      </c>
      <c r="DE160" s="167"/>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c r="FH160" s="21"/>
      <c r="FI160" s="21"/>
    </row>
    <row r="161" spans="1:165" ht="15.75" thickBot="1" x14ac:dyDescent="0.3">
      <c r="A161" s="251" t="str">
        <f>IF(MOSFET_S=Custom_MOSFET, "TI MOSFET Recommendation", "TI MOSFET Recommendation (Plot 1)")</f>
        <v>TI MOSFET Recommendation (Plot 1)</v>
      </c>
      <c r="B161" s="244"/>
      <c r="C161" s="244"/>
      <c r="D161" s="244"/>
      <c r="E161" s="244"/>
      <c r="F161" s="244"/>
      <c r="G161" s="244"/>
      <c r="H161" s="31"/>
      <c r="I161" s="243" t="str">
        <f>IF(MOSFET_S=Custom_MOSFET, "Custom MOSFET Comparison (Plot 1)", IF(MOSFET_S=Compare_MOSFET, "Custom MOSFET Comparison (Plot 2)", "Custom MOSFET Comparison"))</f>
        <v>Custom MOSFET Comparison</v>
      </c>
      <c r="J161" s="243"/>
      <c r="K161" s="243"/>
      <c r="L161" s="243"/>
      <c r="M161" s="243"/>
      <c r="N161" s="243"/>
      <c r="O161" s="243"/>
      <c r="P161" s="243"/>
      <c r="Q161" s="31"/>
      <c r="R161" s="31"/>
      <c r="S161" s="32"/>
      <c r="T161" s="20"/>
      <c r="U161" s="21"/>
      <c r="V161" s="21"/>
      <c r="W161" s="21"/>
      <c r="X161" s="21"/>
      <c r="Y161" s="21"/>
      <c r="Z161" s="21"/>
      <c r="AA161" s="21"/>
      <c r="AB161" s="21"/>
      <c r="AC161" s="21"/>
      <c r="AD161" s="21"/>
      <c r="AE161" s="21"/>
      <c r="AF161" s="154">
        <f t="shared" si="17"/>
        <v>5</v>
      </c>
      <c r="AG161" s="154">
        <f t="shared" si="16"/>
        <v>0.25</v>
      </c>
      <c r="AH161" s="155">
        <f t="shared" si="3"/>
        <v>3</v>
      </c>
      <c r="AI161" s="156">
        <f t="shared" si="4"/>
        <v>0.42857142857142855</v>
      </c>
      <c r="AJ161" s="156">
        <f t="shared" si="5"/>
        <v>0.4375</v>
      </c>
      <c r="AK161" s="156">
        <f t="shared" si="6"/>
        <v>0.85714285714285721</v>
      </c>
      <c r="AL161" s="156">
        <f t="shared" si="7"/>
        <v>0.50262385517991326</v>
      </c>
      <c r="AM161" s="157"/>
      <c r="AN161" s="156">
        <f>MAX(0,Table7[[#This Row],[I_L]]-0.5*Table7[[#This Row],[I_L pkpk]])</f>
        <v>8.9285714285713969E-3</v>
      </c>
      <c r="AO161" s="156">
        <f>Table7[[#This Row],[I_L]]+0.5*Table7[[#This Row],[I_L pkpk]]</f>
        <v>0.8660714285714286</v>
      </c>
      <c r="AP161" s="156">
        <f ca="1">IF(VACnom&gt;Vbat, (VGS_S-(TI_MOSFET_S_VTH_H_BU+Table7[[#This Row],[I_L]]/TI_MOSFET_S_gFS_H_BU))/3.4, (VGS_S-(TI_MOSFET_S_VTH_L_BO+Table7[[#This Row],[I_L]]/TI_MOSFET_S_gFS_L_BO))/3.4 )</f>
        <v>2.4254807692307692</v>
      </c>
      <c r="AQ161" s="156">
        <f ca="1">IF(VACnom&gt;Vbat, ((TI_MOSFET_S_VTH_H_BU+Table7[[#This Row],[I_L]]/TI_MOSFET_S_gFS_H_BU))/1, ((TI_MOSFET_S_VTH_L_BO+Table7[[#This Row],[I_L]]/TI_MOSFET_S_gFS_L_BO))/1 )</f>
        <v>1.7533653846153847</v>
      </c>
      <c r="AR161" s="156">
        <f ca="1">IF(VACnom&gt;Vbat, (TI_MOSFET_S_QGD_H_BU+TI_MOSFET_S_QGS_H_BU)*10^-9/Table7[[#This Row],[Ion (A)]], (TI_MOSFET_S_QGD_L_BO+TI_MOSFET_S_QGS_L_BO)*10^-9/Table7[[#This Row],[Ion (A)]])/10^-9</f>
        <v>11.873934588701687</v>
      </c>
      <c r="AS161" s="156">
        <f ca="1">IF(VACnom&gt;Vbat, (TI_MOSFET_S_QGD_H_BU+TI_MOSFET_S_QGS_H_BU)*10^-9/Table7[[#This Row],[Ioff (A)]], (TI_MOSFET_S_QGD_L_BO+TI_MOSFET_S_QGS_L_BO)*10^-9/Table7[[#This Row],[Ioff (A)]])/10^-9</f>
        <v>16.425555250891144</v>
      </c>
      <c r="AT161" s="156">
        <f ca="1" xml:space="preserve"> 0.5*VACnom*Table7[[#This Row],[Ivalley (A)]]*Table7[[#This Row],[ton (ns)]]*10^-9*Fsw*10^3+0.5*VACnom*Table7[[#This Row],[Ipeak (A)]]*Table7[[#This Row],[toff (ns)]]*10^-9*Fsw*10^3/10^-3</f>
        <v>51.21291642656881</v>
      </c>
      <c r="AU161" s="156">
        <f t="shared" ca="1" si="8"/>
        <v>262.8</v>
      </c>
      <c r="AV161" s="156">
        <f t="shared" ca="1" si="9"/>
        <v>648</v>
      </c>
      <c r="AW161" s="156">
        <f t="shared" ca="1" si="10"/>
        <v>554.4</v>
      </c>
      <c r="AX161" s="156">
        <f ca="1">IF(VACnom&gt;Vbat, TI_MOSFET_S_VSD_L_BU*Table7[[#This Row],[Ivalley (A)]]*Fsw*10^3*40*10^-9+TI_MOSFET_S_VSD_L_BU*Table7[[#This Row],[Ipeak (A)]]*Fsw*10^3*30*10^-9, TI_MOSFET_S_VSD_H_BO*Table7[[#This Row],[Ivalley (A)]]*Fsw*10^3*40*10^-9+TI_MOSFET_S_VSD_H_BO*Table7[[#This Row],[Ipeak (A)]]*Fsw*10^3*30*10^-9)/10^-3</f>
        <v>11.378571428571426</v>
      </c>
      <c r="AY161" s="156">
        <f t="shared" ca="1" si="11"/>
        <v>648</v>
      </c>
      <c r="AZ161" s="156">
        <f ca="1">IF(VACnom&lt;Vbat, Table7[[#This Row],[Duty Cycle]]*Table7[[#This Row],[I_L RMS]]^2*TI_MOSFET_S_RDSON_H_BU*10^-3, (1-Table7[[#This Row],[Duty Cycle]])*Table7[[#This Row],[I_L RMS]]^2*TI_MOSFET_S_RDSON_H_BO*10^-3)/10^-3</f>
        <v>0.30315688775510208</v>
      </c>
      <c r="BA161" s="156">
        <f ca="1">IF(VACnom&gt;Vbat, Table7[[#This Row],[PIV (mW)]]+Table7[[#This Row],[Pqoss (mW)]]+Table7[[#This Row],[Pgate_top (mW)]], Table7[[#This Row],[PRR (mW)]]+Table7[[#This Row],[Pdead (mW)]]+Table7[[#This Row],[Pgate_top (mW)]])</f>
        <v>1213.7785714285715</v>
      </c>
      <c r="BB161" s="156">
        <f ca="1">Table7[[#This Row],[Pcon_top (mW)]]+Table7[[#This Row],[Psw_top (mW)]]</f>
        <v>1214.0817283163265</v>
      </c>
      <c r="BC161" s="156">
        <f ca="1">IF(VACnom&gt;Vbat, (1-Table7[[#This Row],[Duty Cycle]])*Table7[[#This Row],[I_L RMS]]^2*TI_MOSFET_S_RDSON_L_BU*10^-3, Table7[[#This Row],[Duty Cycle]]*Table7[[#This Row],[I_L RMS]]^2*TI_MOSFET_S_RDSON_L_BO*10^-3)/10^-3</f>
        <v>0.30315688775510208</v>
      </c>
      <c r="BD161" s="156">
        <f ca="1">IF(VACnom&gt;Vbat, Table7[[#This Row],[PRR (mW)]]+Table7[[#This Row],[Pdead (mW)]]+Table7[[#This Row],[Pgate_bottom (mW)]], Table7[[#This Row],[PIV (mW)]]+Table7[[#This Row],[Pqoss (mW)]]+Table7[[#This Row],[Pgate_bottom (mW)]])</f>
        <v>962.01291642656884</v>
      </c>
      <c r="BE161" s="158">
        <f ca="1">Table7[[#This Row],[Pcon_bottom (mW)]]+Table7[[#This Row],[Psw_bottom (mW)]]</f>
        <v>962.31607331432394</v>
      </c>
      <c r="BF161" s="164">
        <f ca="1">Table7[[#This Row],[Pbottom (mW)]]+Table7[[#This Row],[Ptop (mW)]]</f>
        <v>2176.3978016306505</v>
      </c>
      <c r="BG161" s="153"/>
      <c r="BH161" s="156">
        <f>MAX(0,Table7[[#This Row],[I_L]]-0.5*Table7[[#This Row],[I_L pkpk]])</f>
        <v>8.9285714285713969E-3</v>
      </c>
      <c r="BI161" s="156">
        <f>Table7[[#This Row],[I_L]]+0.5*Table7[[#This Row],[I_L pkpk]]</f>
        <v>0.8660714285714286</v>
      </c>
      <c r="BJ161" s="156">
        <f>IF(VACnom&gt;Vbat, (VGS_S-(C_MOSFET_S_VTH_H_BU+Table7[[#This Row],[I_L]]/C_MOSFET_S_gFS_H_BU))/3.4, (VGS_S-(C_MOSFET_S_VTH_L_BO+Table7[[#This Row],[I_L]]/C_MOSFET_S_gFS_L_BO))/3.4 )</f>
        <v>2.3520833333333333</v>
      </c>
      <c r="BK161" s="156">
        <f>IF(VACnom&gt;Vbat, ((C_MOSFET_S_VTH_H_BU+Table7[[#This Row],[I_L]]/C_MOSFET_S_gFS_H_BU))/1, ((C_MOSFET_S_VTH_L_BO+Table7[[#This Row],[I_L]]/C_MOSFET_S_gFS_L_BO))/1 )</f>
        <v>2.0029166666666667</v>
      </c>
      <c r="BL161" s="156">
        <f>IF(VACnom&gt;Vbat, (C_MOSFET_S_QGD_H_BU+C_MOSFET_S_QGS_H_BU)*10^-9/Table7[[#This Row],[Ion (A) C]], (C_MOSFET_S_QGD_L_BO+C_MOSFET_S_QGS_L_BO)*10^-9/Table7[[#This Row],[Ion (A) C]])/10^-9</f>
        <v>2.7635075287865365</v>
      </c>
      <c r="BM161" s="156">
        <f>IF(VACnom&gt;Vbat, (C_MOSFET_S_QGD_H_BU+C_MOSFET_S_QGS_H_BU)*10^-9/Table7[[#This Row],[Ioff (A) C]], (C_MOSFET_S_QGD_L_BO+C_MOSFET_S_QGS_L_BO)*10^-9/Table7[[#This Row],[Ioff (A) C]])/10^-9</f>
        <v>3.245267318493863</v>
      </c>
      <c r="BN161" s="156">
        <f xml:space="preserve"> 0.5*VACnom*Table7[[#This Row],[Ivalley (A) C]]*Table7[[#This Row],[ton (ns) C]]*10^-9*Fsw*10^3+0.5*VACnom*Table7[[#This Row],[Ipeak (A) C]]*Table7[[#This Row],[toff (ns) C]]*10^-9*Fsw*10^3/10^-3</f>
        <v>10.118368716474647</v>
      </c>
      <c r="BO161" s="156">
        <f t="shared" si="12"/>
        <v>129.6</v>
      </c>
      <c r="BP161" s="156">
        <f t="shared" ca="1" si="13"/>
        <v>291.59999999999997</v>
      </c>
      <c r="BQ161" s="156">
        <f t="shared" si="14"/>
        <v>237.6</v>
      </c>
      <c r="BR161" s="156">
        <f>IF(VACnom&gt;Vbat, C_MOSFET_S_VSD_L_BU*Table7[[#This Row],[Ivalley (A) C]]*Fsw*10^3*40*10^-9+C_MOSFET_S_VSD_L_BU*Table7[[#This Row],[Ipeak (A) C]]*Fsw*10^3*30*10^-9, C_MOSFET_S_VSD_H_BO*Table7[[#This Row],[Ivalley (A) C]]*Fsw*10^3*40*10^-9+C_MOSFET_S_VSD_H_BO*Table7[[#This Row],[Ipeak (A) C]]*Fsw*10^3*30*10^-9)/10^-3</f>
        <v>12.642857142857146</v>
      </c>
      <c r="BS161" s="156">
        <f t="shared" ca="1" si="15"/>
        <v>291.59999999999997</v>
      </c>
      <c r="BT161" s="156">
        <f>IF(VACnom&lt;Vbat, Table7[[#This Row],[Duty Cycle]]*Table7[[#This Row],[I_L RMS]]^2*C_MOSFET_S_RDSON_H_BU*10^-3, (1-Table7[[#This Row],[Duty Cycle]])*Table7[[#This Row],[I_L RMS]]^2*C_MOSFET_S_RDSON_H_BO*10^-3)/10^-3</f>
        <v>0.6171408072157436</v>
      </c>
      <c r="BU161" s="156">
        <f ca="1">IF(VACnom&gt;Vbat, Table7[[#This Row],[PIV (mW) C]]+Table7[[#This Row],[PQoss (mW) C]]+Table7[[#This Row],[Pgate_top (mW) C]], Table7[[#This Row],[PRR (mW) C]]+Table7[[#This Row],[Pdead (mW) C]]+Table7[[#This Row],[Pgate_top (mW) C]])</f>
        <v>541.84285714285716</v>
      </c>
      <c r="BV161" s="156">
        <f ca="1">Table7[[#This Row],[Pcon_top (mW) C]]+Table7[[#This Row],[Psw_top (mW) C]]</f>
        <v>542.45999795007288</v>
      </c>
      <c r="BW161" s="156">
        <f ca="1">IF(VACnom&gt;Vbat, (1-Table7[[#This Row],[Duty Cycle]])*Table7[[#This Row],[I_L RMS]]^2*C_MOSFET_S_RDSON_L_BU*10^-3, Table7[[#This Row],[Duty Cycle]]*Table7[[#This Row],[I_L RMS]]^2*C_MOSFET_S_RDSON_L_BO*10^-3)/10^-3</f>
        <v>0.38435962554664732</v>
      </c>
      <c r="BX161" s="156">
        <f ca="1">IF(VACnom&gt;Vbat, Table7[[#This Row],[PRR (mW) C]]+Table7[[#This Row],[Pdead (mW) C]]+Table7[[#This Row],[Pgate_bottom (mW) C]], Table7[[#This Row],[PIV (mW) C]]+Table7[[#This Row],[PQoss (mW) C]]+Table7[[#This Row],[Pgate_bottom (mW) C]])</f>
        <v>431.31836871647459</v>
      </c>
      <c r="BY161" s="156">
        <f ca="1">Table7[[#This Row],[Pcon_bottom (mW) C]]+Table7[[#This Row],[Psw_bottom (mV) C]]</f>
        <v>431.70272834202126</v>
      </c>
      <c r="BZ161" s="156">
        <f ca="1">Table7[[#This Row],[Pbottom (mW) C]]+Table7[[#This Row],[Ptop (mW) C]]</f>
        <v>974.16272629209413</v>
      </c>
      <c r="CA161" s="159"/>
      <c r="CB161" s="160">
        <f>(RAC_SNS*10^-3*(Table7[[#This Row],[IOUT (A)]]*Vbat/VACnom)^2/10^-3)</f>
        <v>0.95703125</v>
      </c>
      <c r="CC161" s="160">
        <f>(RBAT_SNS*10^-3*Table7[[#This Row],[IOUT (A)]]^2)/10^-3</f>
        <v>0.3125</v>
      </c>
      <c r="CD161" s="160">
        <f>IF(VACnom&gt;Vbat,(L_DRC*10^-3*(Table7[[#This Row],[IOUT (A)]])^2/10^-3),(L_DRC*10^-3*(Table7[[#This Row],[IOUT (A)]]*Vbat/VACnom)^2/10^-3))</f>
        <v>2.296875</v>
      </c>
      <c r="CE161" s="166"/>
      <c r="CF161" s="156">
        <f>(Table7[[#This Row],[R_AC (mW)]]+Table7[[#This Row],[R_SR (mW)]]+Table7[[#This Row],[Inductor Loss (mW)]])/10^3</f>
        <v>3.5664062500000001E-3</v>
      </c>
      <c r="CG161" s="156">
        <f ca="1">Table7[[#This Row],[Total TI (mW)]]/10^3</f>
        <v>2.1763978016306504</v>
      </c>
      <c r="CH161" s="156">
        <f ca="1">Table7[[#This Row],[Total Sense Loss]]+Table7[[#This Row],[Total MOSFET Loss]]</f>
        <v>2.1799642078806505</v>
      </c>
      <c r="CI161" s="161">
        <f ca="1">IF(Table7[[#This Row],[POUT (W)]]=0,0,(Table7[[#This Row],[POUT (W)]])/(Table7[[#This Row],[POUT (W)]]+Table7[[#This Row],[Total Power Loss (W)]]))*100</f>
        <v>57.915458092082673</v>
      </c>
      <c r="CJ161" s="167"/>
      <c r="CK161" s="156">
        <f>(Table7[[#This Row],[R_AC (mW)]]+Table7[[#This Row],[R_SR (mW)]]+Table7[[#This Row],[Inductor Loss (mW)]])/10^3</f>
        <v>3.5664062500000001E-3</v>
      </c>
      <c r="CL161" s="156">
        <f ca="1">Table7[[#This Row],[Total (mW) C]]/10^3</f>
        <v>0.97416272629209411</v>
      </c>
      <c r="CM161" s="156">
        <f ca="1">Table7[[#This Row],[Total Sense Loss C]]+Table7[[#This Row],[Total MOSFET Loss C]]</f>
        <v>0.97772913254209415</v>
      </c>
      <c r="CN161" s="161">
        <f ca="1">IF(Table7[[#This Row],[POUT (W)]]=0,0,(Table7[[#This Row],[POUT (W)]])/(Table7[[#This Row],[POUT (W)]]+Table7[[#This Row],[Total Power Loss (W) C]]))*100</f>
        <v>75.419916742363867</v>
      </c>
      <c r="CO161" s="167"/>
      <c r="CP161" s="161">
        <f>IF(MOSFET_S=Custom_MOSFET,Table7[[#This Row],[Total Sense Loss C]],Table7[[#This Row],[Total Sense Loss]])</f>
        <v>3.5664062500000001E-3</v>
      </c>
      <c r="CQ161" s="161">
        <f ca="1">IF(MOSFET_S=Custom_MOSFET,Table7[[#This Row],[Total MOSFET Loss C]],Table7[[#This Row],[Total MOSFET Loss]])</f>
        <v>2.1763978016306504</v>
      </c>
      <c r="CR161" s="161">
        <f ca="1">IF(MOSFET_S=Custom_MOSFET,Table7[[#This Row],[Efficiency C]],Table7[[#This Row],[Efficiency]])</f>
        <v>57.915458092082673</v>
      </c>
      <c r="CS161" s="167"/>
      <c r="CT161" s="161">
        <f>IF(MOSFET_S=Compare_MOSFET, Table7[[#This Row],[Total Sense Loss C]], -100)</f>
        <v>-100</v>
      </c>
      <c r="CU161" s="161">
        <f>IF(MOSFET_S=Compare_MOSFET, Table7[[#This Row],[Total MOSFET Loss C]], -100)</f>
        <v>-100</v>
      </c>
      <c r="CV161" s="161">
        <f>IF(MOSFET_S=Compare_MOSFET, Table7[[#This Row],[Efficiency C]], -100)</f>
        <v>-100</v>
      </c>
      <c r="CW161" s="167"/>
      <c r="CX161" s="161">
        <f ca="1">IF(Save_Sel=CLR_Save,  Table7[[#This Row],[Total Sense Loss P1]], Table7[[#This Row],[Total Sense Loss P1 Saved]])</f>
        <v>3.5664062500000001E-3</v>
      </c>
      <c r="CY161" s="161">
        <f ca="1">IF(Save_Sel=CLR_Save,  Table7[[#This Row],[Total MOSFET Loss P1]], Table7[[#This Row],[Total MOSFET Loss P1 Saved]] )</f>
        <v>1.4637609713658826</v>
      </c>
      <c r="CZ161" s="161">
        <f ca="1">IF(Save_Sel=CLR_Save, Table7[[#This Row],[Efficiency P1]], Table7[[#This Row],[Efficiency P1 Saved]])</f>
        <v>67.154245624170855</v>
      </c>
      <c r="DA161" s="167"/>
      <c r="DB161" s="161">
        <f ca="1">IF(Save_Sel=CLR_Save,  Table7[[#This Row],[Total Sense Loss P2]], Table7[[#This Row],[Total Sense Loss P2 Saved]])</f>
        <v>3.5664062500000001E-3</v>
      </c>
      <c r="DC161" s="161">
        <f ca="1">IF(Save_Sel=CLR_Save,  Table7[[#This Row],[Total MOSFET Loss P2]], Table7[[#This Row],[Total MOSFET Loss P2 Saved]] )</f>
        <v>0.97447690585927149</v>
      </c>
      <c r="DD161" s="161">
        <f ca="1">IF(Save_Sel=CLR_Save, Table7[[#This Row],[Efficiency P2]], Table7[[#This Row],[Efficiency P2 Saved]])</f>
        <v>75.413960196660483</v>
      </c>
      <c r="DE161" s="167"/>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c r="FH161" s="21"/>
      <c r="FI161" s="21"/>
    </row>
    <row r="162" spans="1:165" x14ac:dyDescent="0.25">
      <c r="A162" s="56"/>
      <c r="B162" s="65"/>
      <c r="C162" s="52"/>
      <c r="D162" s="66" t="s">
        <v>11</v>
      </c>
      <c r="E162" s="67"/>
      <c r="F162" s="52"/>
      <c r="G162" s="40"/>
      <c r="H162" s="31"/>
      <c r="I162" s="117"/>
      <c r="J162" s="52"/>
      <c r="K162" s="65"/>
      <c r="L162" s="52"/>
      <c r="M162" s="66" t="s">
        <v>11</v>
      </c>
      <c r="N162" s="67"/>
      <c r="O162" s="52"/>
      <c r="P162" s="40"/>
      <c r="Q162" s="31"/>
      <c r="R162" s="31"/>
      <c r="S162" s="32"/>
      <c r="T162" s="20"/>
      <c r="U162" s="21"/>
      <c r="V162" s="21"/>
      <c r="W162" s="21"/>
      <c r="X162" s="21"/>
      <c r="Y162" s="21"/>
      <c r="Z162" s="21"/>
      <c r="AA162" s="21"/>
      <c r="AB162" s="21"/>
      <c r="AC162" s="21"/>
      <c r="AD162" s="21"/>
      <c r="AE162" s="21"/>
      <c r="AF162" s="154">
        <f t="shared" si="17"/>
        <v>6</v>
      </c>
      <c r="AG162" s="154">
        <f t="shared" si="16"/>
        <v>0.3</v>
      </c>
      <c r="AH162" s="155">
        <f t="shared" si="3"/>
        <v>3.5999999999999996</v>
      </c>
      <c r="AI162" s="156">
        <f t="shared" si="4"/>
        <v>0.42857142857142855</v>
      </c>
      <c r="AJ162" s="156">
        <f t="shared" si="5"/>
        <v>0.52500000000000002</v>
      </c>
      <c r="AK162" s="156">
        <f t="shared" si="6"/>
        <v>0.85714285714285721</v>
      </c>
      <c r="AL162" s="156">
        <f t="shared" si="7"/>
        <v>0.58038736185061646</v>
      </c>
      <c r="AM162" s="157"/>
      <c r="AN162" s="156">
        <f>MAX(0,Table7[[#This Row],[I_L]]-0.5*Table7[[#This Row],[I_L pkpk]])</f>
        <v>9.6428571428571419E-2</v>
      </c>
      <c r="AO162" s="156">
        <f>Table7[[#This Row],[I_L]]+0.5*Table7[[#This Row],[I_L pkpk]]</f>
        <v>0.95357142857142863</v>
      </c>
      <c r="AP162" s="156">
        <f ca="1">IF(VACnom&gt;Vbat, (VGS_S-(TI_MOSFET_S_VTH_H_BU+Table7[[#This Row],[I_L]]/TI_MOSFET_S_gFS_H_BU))/3.4, (VGS_S-(TI_MOSFET_S_VTH_L_BO+Table7[[#This Row],[I_L]]/TI_MOSFET_S_gFS_L_BO))/3.4 )</f>
        <v>2.4252828054298643</v>
      </c>
      <c r="AQ162" s="156">
        <f ca="1">IF(VACnom&gt;Vbat, ((TI_MOSFET_S_VTH_H_BU+Table7[[#This Row],[I_L]]/TI_MOSFET_S_gFS_H_BU))/1, ((TI_MOSFET_S_VTH_L_BO+Table7[[#This Row],[I_L]]/TI_MOSFET_S_gFS_L_BO))/1 )</f>
        <v>1.7540384615384614</v>
      </c>
      <c r="AR162" s="156">
        <f ca="1">IF(VACnom&gt;Vbat, (TI_MOSFET_S_QGD_H_BU+TI_MOSFET_S_QGS_H_BU)*10^-9/Table7[[#This Row],[Ion (A)]], (TI_MOSFET_S_QGD_L_BO+TI_MOSFET_S_QGS_L_BO)*10^-9/Table7[[#This Row],[Ion (A)]])/10^-9</f>
        <v>11.874903799062478</v>
      </c>
      <c r="AS162" s="156">
        <f ca="1">IF(VACnom&gt;Vbat, (TI_MOSFET_S_QGD_H_BU+TI_MOSFET_S_QGS_H_BU)*10^-9/Table7[[#This Row],[Ioff (A)]], (TI_MOSFET_S_QGD_L_BO+TI_MOSFET_S_QGS_L_BO)*10^-9/Table7[[#This Row],[Ioff (A)]])/10^-9</f>
        <v>16.41925227496985</v>
      </c>
      <c r="AT162" s="156">
        <f ca="1" xml:space="preserve"> 0.5*VACnom*Table7[[#This Row],[Ivalley (A)]]*Table7[[#This Row],[ton (ns)]]*10^-9*Fsw*10^3+0.5*VACnom*Table7[[#This Row],[Ipeak (A)]]*Table7[[#This Row],[toff (ns)]]*10^-9*Fsw*10^3/10^-3</f>
        <v>56.369069740536744</v>
      </c>
      <c r="AU162" s="156">
        <f t="shared" ca="1" si="8"/>
        <v>262.8</v>
      </c>
      <c r="AV162" s="156">
        <f t="shared" ca="1" si="9"/>
        <v>648</v>
      </c>
      <c r="AW162" s="156">
        <f t="shared" ca="1" si="10"/>
        <v>554.4</v>
      </c>
      <c r="AX162" s="156">
        <f ca="1">IF(VACnom&gt;Vbat, TI_MOSFET_S_VSD_L_BU*Table7[[#This Row],[Ivalley (A)]]*Fsw*10^3*40*10^-9+TI_MOSFET_S_VSD_L_BU*Table7[[#This Row],[Ipeak (A)]]*Fsw*10^3*30*10^-9, TI_MOSFET_S_VSD_H_BO*Table7[[#This Row],[Ivalley (A)]]*Fsw*10^3*40*10^-9+TI_MOSFET_S_VSD_H_BO*Table7[[#This Row],[Ipeak (A)]]*Fsw*10^3*30*10^-9)/10^-3</f>
        <v>14.024571428571429</v>
      </c>
      <c r="AY162" s="156">
        <f t="shared" ca="1" si="11"/>
        <v>648</v>
      </c>
      <c r="AZ162" s="156">
        <f ca="1">IF(VACnom&lt;Vbat, Table7[[#This Row],[Duty Cycle]]*Table7[[#This Row],[I_L RMS]]^2*TI_MOSFET_S_RDSON_H_BU*10^-3, (1-Table7[[#This Row],[Duty Cycle]])*Table7[[#This Row],[I_L RMS]]^2*TI_MOSFET_S_RDSON_H_BO*10^-3)/10^-3</f>
        <v>0.40421938775510202</v>
      </c>
      <c r="BA162" s="156">
        <f ca="1">IF(VACnom&gt;Vbat, Table7[[#This Row],[PIV (mW)]]+Table7[[#This Row],[Pqoss (mW)]]+Table7[[#This Row],[Pgate_top (mW)]], Table7[[#This Row],[PRR (mW)]]+Table7[[#This Row],[Pdead (mW)]]+Table7[[#This Row],[Pgate_top (mW)]])</f>
        <v>1216.4245714285714</v>
      </c>
      <c r="BB162" s="156">
        <f ca="1">Table7[[#This Row],[Pcon_top (mW)]]+Table7[[#This Row],[Psw_top (mW)]]</f>
        <v>1216.8287908163265</v>
      </c>
      <c r="BC162" s="156">
        <f ca="1">IF(VACnom&gt;Vbat, (1-Table7[[#This Row],[Duty Cycle]])*Table7[[#This Row],[I_L RMS]]^2*TI_MOSFET_S_RDSON_L_BU*10^-3, Table7[[#This Row],[Duty Cycle]]*Table7[[#This Row],[I_L RMS]]^2*TI_MOSFET_S_RDSON_L_BO*10^-3)/10^-3</f>
        <v>0.40421938775510202</v>
      </c>
      <c r="BD162" s="156">
        <f ca="1">IF(VACnom&gt;Vbat, Table7[[#This Row],[PRR (mW)]]+Table7[[#This Row],[Pdead (mW)]]+Table7[[#This Row],[Pgate_bottom (mW)]], Table7[[#This Row],[PIV (mW)]]+Table7[[#This Row],[Pqoss (mW)]]+Table7[[#This Row],[Pgate_bottom (mW)]])</f>
        <v>967.16906974053677</v>
      </c>
      <c r="BE162" s="158">
        <f ca="1">Table7[[#This Row],[Pcon_bottom (mW)]]+Table7[[#This Row],[Psw_bottom (mW)]]</f>
        <v>967.57328912829189</v>
      </c>
      <c r="BF162" s="164">
        <f ca="1">Table7[[#This Row],[Pbottom (mW)]]+Table7[[#This Row],[Ptop (mW)]]</f>
        <v>2184.4020799446184</v>
      </c>
      <c r="BG162" s="153"/>
      <c r="BH162" s="156">
        <f>MAX(0,Table7[[#This Row],[I_L]]-0.5*Table7[[#This Row],[I_L pkpk]])</f>
        <v>9.6428571428571419E-2</v>
      </c>
      <c r="BI162" s="156">
        <f>Table7[[#This Row],[I_L]]+0.5*Table7[[#This Row],[I_L pkpk]]</f>
        <v>0.95357142857142863</v>
      </c>
      <c r="BJ162" s="156">
        <f>IF(VACnom&gt;Vbat, (VGS_S-(C_MOSFET_S_VTH_H_BU+Table7[[#This Row],[I_L]]/C_MOSFET_S_gFS_H_BU))/3.4, (VGS_S-(C_MOSFET_S_VTH_L_BO+Table7[[#This Row],[I_L]]/C_MOSFET_S_gFS_L_BO))/3.4 )</f>
        <v>2.3519117647058825</v>
      </c>
      <c r="BK162" s="156">
        <f>IF(VACnom&gt;Vbat, ((C_MOSFET_S_VTH_H_BU+Table7[[#This Row],[I_L]]/C_MOSFET_S_gFS_H_BU))/1, ((C_MOSFET_S_VTH_L_BO+Table7[[#This Row],[I_L]]/C_MOSFET_S_gFS_L_BO))/1 )</f>
        <v>2.0034999999999998</v>
      </c>
      <c r="BL162" s="156">
        <f>IF(VACnom&gt;Vbat, (C_MOSFET_S_QGD_H_BU+C_MOSFET_S_QGS_H_BU)*10^-9/Table7[[#This Row],[Ion (A) C]], (C_MOSFET_S_QGD_L_BO+C_MOSFET_S_QGS_L_BO)*10^-9/Table7[[#This Row],[Ion (A) C]])/10^-9</f>
        <v>2.763709122741199</v>
      </c>
      <c r="BM162" s="156">
        <f>IF(VACnom&gt;Vbat, (C_MOSFET_S_QGD_H_BU+C_MOSFET_S_QGS_H_BU)*10^-9/Table7[[#This Row],[Ioff (A) C]], (C_MOSFET_S_QGD_L_BO+C_MOSFET_S_QGS_L_BO)*10^-9/Table7[[#This Row],[Ioff (A) C]])/10^-9</f>
        <v>3.2443224357374598</v>
      </c>
      <c r="BN162" s="156">
        <f xml:space="preserve"> 0.5*VACnom*Table7[[#This Row],[Ivalley (A) C]]*Table7[[#This Row],[ton (ns) C]]*10^-9*Fsw*10^3+0.5*VACnom*Table7[[#This Row],[Ipeak (A) C]]*Table7[[#This Row],[toff (ns) C]]*10^-9*Fsw*10^3/10^-3</f>
        <v>11.138254849134203</v>
      </c>
      <c r="BO162" s="156">
        <f t="shared" si="12"/>
        <v>129.6</v>
      </c>
      <c r="BP162" s="156">
        <f t="shared" ca="1" si="13"/>
        <v>291.59999999999997</v>
      </c>
      <c r="BQ162" s="156">
        <f t="shared" si="14"/>
        <v>237.6</v>
      </c>
      <c r="BR162" s="156">
        <f>IF(VACnom&gt;Vbat, C_MOSFET_S_VSD_L_BU*Table7[[#This Row],[Ivalley (A) C]]*Fsw*10^3*40*10^-9+C_MOSFET_S_VSD_L_BU*Table7[[#This Row],[Ipeak (A) C]]*Fsw*10^3*30*10^-9, C_MOSFET_S_VSD_H_BO*Table7[[#This Row],[Ivalley (A) C]]*Fsw*10^3*40*10^-9+C_MOSFET_S_VSD_H_BO*Table7[[#This Row],[Ipeak (A) C]]*Fsw*10^3*30*10^-9)/10^-3</f>
        <v>15.582857142857144</v>
      </c>
      <c r="BS162" s="156">
        <f t="shared" ca="1" si="15"/>
        <v>291.59999999999997</v>
      </c>
      <c r="BT162" s="156">
        <f>IF(VACnom&lt;Vbat, Table7[[#This Row],[Duty Cycle]]*Table7[[#This Row],[I_L RMS]]^2*C_MOSFET_S_RDSON_H_BU*10^-3, (1-Table7[[#This Row],[Duty Cycle]])*Table7[[#This Row],[I_L RMS]]^2*C_MOSFET_S_RDSON_H_BO*10^-3)/10^-3</f>
        <v>0.82287518221574352</v>
      </c>
      <c r="BU162" s="156">
        <f ca="1">IF(VACnom&gt;Vbat, Table7[[#This Row],[PIV (mW) C]]+Table7[[#This Row],[PQoss (mW) C]]+Table7[[#This Row],[Pgate_top (mW) C]], Table7[[#This Row],[PRR (mW) C]]+Table7[[#This Row],[Pdead (mW) C]]+Table7[[#This Row],[Pgate_top (mW) C]])</f>
        <v>544.7828571428571</v>
      </c>
      <c r="BV162" s="156">
        <f ca="1">Table7[[#This Row],[Pcon_top (mW) C]]+Table7[[#This Row],[Psw_top (mW) C]]</f>
        <v>545.60573232507284</v>
      </c>
      <c r="BW162" s="156">
        <f ca="1">IF(VACnom&gt;Vbat, (1-Table7[[#This Row],[Duty Cycle]])*Table7[[#This Row],[I_L RMS]]^2*C_MOSFET_S_RDSON_L_BU*10^-3, Table7[[#This Row],[Duty Cycle]]*Table7[[#This Row],[I_L RMS]]^2*C_MOSFET_S_RDSON_L_BO*10^-3)/10^-3</f>
        <v>0.51249243804664724</v>
      </c>
      <c r="BX162" s="156">
        <f ca="1">IF(VACnom&gt;Vbat, Table7[[#This Row],[PRR (mW) C]]+Table7[[#This Row],[Pdead (mW) C]]+Table7[[#This Row],[Pgate_bottom (mW) C]], Table7[[#This Row],[PIV (mW) C]]+Table7[[#This Row],[PQoss (mW) C]]+Table7[[#This Row],[Pgate_bottom (mW) C]])</f>
        <v>432.33825484913416</v>
      </c>
      <c r="BY162" s="156">
        <f ca="1">Table7[[#This Row],[Pcon_bottom (mW) C]]+Table7[[#This Row],[Psw_bottom (mV) C]]</f>
        <v>432.85074728718081</v>
      </c>
      <c r="BZ162" s="156">
        <f ca="1">Table7[[#This Row],[Pbottom (mW) C]]+Table7[[#This Row],[Ptop (mW) C]]</f>
        <v>978.45647961225359</v>
      </c>
      <c r="CA162" s="159"/>
      <c r="CB162" s="160">
        <f>(RAC_SNS*10^-3*(Table7[[#This Row],[IOUT (A)]]*Vbat/VACnom)^2/10^-3)</f>
        <v>1.378125</v>
      </c>
      <c r="CC162" s="160">
        <f>(RBAT_SNS*10^-3*Table7[[#This Row],[IOUT (A)]]^2)/10^-3</f>
        <v>0.44999999999999996</v>
      </c>
      <c r="CD162" s="160">
        <f>IF(VACnom&gt;Vbat,(L_DRC*10^-3*(Table7[[#This Row],[IOUT (A)]])^2/10^-3),(L_DRC*10^-3*(Table7[[#This Row],[IOUT (A)]]*Vbat/VACnom)^2/10^-3))</f>
        <v>3.3075000000000001</v>
      </c>
      <c r="CE162" s="166"/>
      <c r="CF162" s="156">
        <f>(Table7[[#This Row],[R_AC (mW)]]+Table7[[#This Row],[R_SR (mW)]]+Table7[[#This Row],[Inductor Loss (mW)]])/10^3</f>
        <v>5.1356250000000004E-3</v>
      </c>
      <c r="CG162" s="156">
        <f ca="1">Table7[[#This Row],[Total TI (mW)]]/10^3</f>
        <v>2.1844020799446184</v>
      </c>
      <c r="CH162" s="156">
        <f ca="1">Table7[[#This Row],[Total Sense Loss]]+Table7[[#This Row],[Total MOSFET Loss]]</f>
        <v>2.1895377049446183</v>
      </c>
      <c r="CI162" s="161">
        <f ca="1">IF(Table7[[#This Row],[POUT (W)]]=0,0,(Table7[[#This Row],[POUT (W)]])/(Table7[[#This Row],[POUT (W)]]+Table7[[#This Row],[Total Power Loss (W)]]))*100</f>
        <v>62.181130574991862</v>
      </c>
      <c r="CJ162" s="167"/>
      <c r="CK162" s="156">
        <f>(Table7[[#This Row],[R_AC (mW)]]+Table7[[#This Row],[R_SR (mW)]]+Table7[[#This Row],[Inductor Loss (mW)]])/10^3</f>
        <v>5.1356250000000004E-3</v>
      </c>
      <c r="CL162" s="156">
        <f ca="1">Table7[[#This Row],[Total (mW) C]]/10^3</f>
        <v>0.97845647961225357</v>
      </c>
      <c r="CM162" s="156">
        <f ca="1">Table7[[#This Row],[Total Sense Loss C]]+Table7[[#This Row],[Total MOSFET Loss C]]</f>
        <v>0.98359210461225355</v>
      </c>
      <c r="CN162" s="161">
        <f ca="1">IF(Table7[[#This Row],[POUT (W)]]=0,0,(Table7[[#This Row],[POUT (W)]])/(Table7[[#This Row],[POUT (W)]]+Table7[[#This Row],[Total Power Loss (W) C]]))*100</f>
        <v>78.54102018322024</v>
      </c>
      <c r="CO162" s="167"/>
      <c r="CP162" s="161">
        <f>IF(MOSFET_S=Custom_MOSFET,Table7[[#This Row],[Total Sense Loss C]],Table7[[#This Row],[Total Sense Loss]])</f>
        <v>5.1356250000000004E-3</v>
      </c>
      <c r="CQ162" s="161">
        <f ca="1">IF(MOSFET_S=Custom_MOSFET,Table7[[#This Row],[Total MOSFET Loss C]],Table7[[#This Row],[Total MOSFET Loss]])</f>
        <v>2.1844020799446184</v>
      </c>
      <c r="CR162" s="161">
        <f ca="1">IF(MOSFET_S=Custom_MOSFET,Table7[[#This Row],[Efficiency C]],Table7[[#This Row],[Efficiency]])</f>
        <v>62.181130574991862</v>
      </c>
      <c r="CS162" s="167"/>
      <c r="CT162" s="161">
        <f>IF(MOSFET_S=Compare_MOSFET, Table7[[#This Row],[Total Sense Loss C]], -100)</f>
        <v>-100</v>
      </c>
      <c r="CU162" s="161">
        <f>IF(MOSFET_S=Compare_MOSFET, Table7[[#This Row],[Total MOSFET Loss C]], -100)</f>
        <v>-100</v>
      </c>
      <c r="CV162" s="161">
        <f>IF(MOSFET_S=Compare_MOSFET, Table7[[#This Row],[Efficiency C]], -100)</f>
        <v>-100</v>
      </c>
      <c r="CW162" s="167"/>
      <c r="CX162" s="161">
        <f ca="1">IF(Save_Sel=CLR_Save,  Table7[[#This Row],[Total Sense Loss P1]], Table7[[#This Row],[Total Sense Loss P1 Saved]])</f>
        <v>5.1356250000000004E-3</v>
      </c>
      <c r="CY162" s="161">
        <f ca="1">IF(Save_Sel=CLR_Save,  Table7[[#This Row],[Total MOSFET Loss P1]], Table7[[#This Row],[Total MOSFET Loss P1 Saved]] )</f>
        <v>1.4718268827464931</v>
      </c>
      <c r="CZ162" s="161">
        <f ca="1">IF(Save_Sel=CLR_Save, Table7[[#This Row],[Efficiency P1]], Table7[[#This Row],[Efficiency P1 Saved]])</f>
        <v>70.908540185338666</v>
      </c>
      <c r="DA162" s="167"/>
      <c r="DB162" s="161">
        <f ca="1">IF(Save_Sel=CLR_Save,  Table7[[#This Row],[Total Sense Loss P2]], Table7[[#This Row],[Total Sense Loss P2 Saved]])</f>
        <v>5.1356250000000004E-3</v>
      </c>
      <c r="DC162" s="161">
        <f ca="1">IF(Save_Sel=CLR_Save,  Table7[[#This Row],[Total MOSFET Loss P2]], Table7[[#This Row],[Total MOSFET Loss P2 Saved]] )</f>
        <v>0.97887724904995344</v>
      </c>
      <c r="DD162" s="161">
        <f ca="1">IF(Save_Sel=CLR_Save, Table7[[#This Row],[Efficiency P2]], Table7[[#This Row],[Efficiency P2 Saved]])</f>
        <v>78.533810853358659</v>
      </c>
      <c r="DE162" s="167"/>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c r="FH162" s="21"/>
      <c r="FI162" s="21"/>
    </row>
    <row r="163" spans="1:165" x14ac:dyDescent="0.25">
      <c r="A163" s="50"/>
      <c r="B163" s="51"/>
      <c r="C163" s="51"/>
      <c r="D163" s="41"/>
      <c r="E163" s="51" t="s">
        <v>13</v>
      </c>
      <c r="F163" s="51" t="s">
        <v>14</v>
      </c>
      <c r="G163" s="44"/>
      <c r="H163" s="31"/>
      <c r="I163" s="118"/>
      <c r="J163" s="51"/>
      <c r="K163" s="51"/>
      <c r="L163" s="51"/>
      <c r="M163" s="41"/>
      <c r="N163" s="51" t="s">
        <v>13</v>
      </c>
      <c r="O163" s="51" t="s">
        <v>14</v>
      </c>
      <c r="P163" s="44"/>
      <c r="Q163" s="31"/>
      <c r="R163" s="31"/>
      <c r="S163" s="32"/>
      <c r="T163" s="20"/>
      <c r="U163" s="21"/>
      <c r="V163" s="21"/>
      <c r="W163" s="21"/>
      <c r="X163" s="21"/>
      <c r="Y163" s="21"/>
      <c r="Z163" s="21"/>
      <c r="AA163" s="21"/>
      <c r="AB163" s="21"/>
      <c r="AC163" s="21"/>
      <c r="AD163" s="21"/>
      <c r="AE163" s="21"/>
      <c r="AF163" s="154">
        <f>AF162+1</f>
        <v>7</v>
      </c>
      <c r="AG163" s="154">
        <f t="shared" si="16"/>
        <v>0.35</v>
      </c>
      <c r="AH163" s="155">
        <f t="shared" si="3"/>
        <v>4.1999999999999993</v>
      </c>
      <c r="AI163" s="156">
        <f t="shared" si="4"/>
        <v>0.42857142857142855</v>
      </c>
      <c r="AJ163" s="156">
        <f t="shared" si="5"/>
        <v>0.61250000000000004</v>
      </c>
      <c r="AK163" s="156">
        <f t="shared" si="6"/>
        <v>0.85714285714285721</v>
      </c>
      <c r="AL163" s="156">
        <f t="shared" si="7"/>
        <v>0.66059120475216626</v>
      </c>
      <c r="AM163" s="157"/>
      <c r="AN163" s="156">
        <f>MAX(0,Table7[[#This Row],[I_L]]-0.5*Table7[[#This Row],[I_L pkpk]])</f>
        <v>0.18392857142857144</v>
      </c>
      <c r="AO163" s="156">
        <f>Table7[[#This Row],[I_L]]+0.5*Table7[[#This Row],[I_L pkpk]]</f>
        <v>1.0410714285714286</v>
      </c>
      <c r="AP163" s="156">
        <f ca="1">IF(VACnom&gt;Vbat, (VGS_S-(TI_MOSFET_S_VTH_H_BU+Table7[[#This Row],[I_L]]/TI_MOSFET_S_gFS_H_BU))/3.4, (VGS_S-(TI_MOSFET_S_VTH_L_BO+Table7[[#This Row],[I_L]]/TI_MOSFET_S_gFS_L_BO))/3.4 )</f>
        <v>2.4250848416289594</v>
      </c>
      <c r="AQ163" s="156">
        <f ca="1">IF(VACnom&gt;Vbat, ((TI_MOSFET_S_VTH_H_BU+Table7[[#This Row],[I_L]]/TI_MOSFET_S_gFS_H_BU))/1, ((TI_MOSFET_S_VTH_L_BO+Table7[[#This Row],[I_L]]/TI_MOSFET_S_gFS_L_BO))/1 )</f>
        <v>1.7547115384615384</v>
      </c>
      <c r="AR163" s="156">
        <f ca="1">IF(VACnom&gt;Vbat, (TI_MOSFET_S_QGD_H_BU+TI_MOSFET_S_QGS_H_BU)*10^-9/Table7[[#This Row],[Ion (A)]], (TI_MOSFET_S_QGD_L_BO+TI_MOSFET_S_QGS_L_BO)*10^-9/Table7[[#This Row],[Ion (A)]])/10^-9</f>
        <v>11.875873167659853</v>
      </c>
      <c r="AS163" s="156">
        <f ca="1">IF(VACnom&gt;Vbat, (TI_MOSFET_S_QGD_H_BU+TI_MOSFET_S_QGS_H_BU)*10^-9/Table7[[#This Row],[Ioff (A)]], (TI_MOSFET_S_QGD_L_BO+TI_MOSFET_S_QGS_L_BO)*10^-9/Table7[[#This Row],[Ioff (A)]])/10^-9</f>
        <v>16.412954134473125</v>
      </c>
      <c r="AT163" s="156">
        <f ca="1" xml:space="preserve"> 0.5*VACnom*Table7[[#This Row],[Ivalley (A)]]*Table7[[#This Row],[ton (ns)]]*10^-9*Fsw*10^3+0.5*VACnom*Table7[[#This Row],[Ipeak (A)]]*Table7[[#This Row],[toff (ns)]]*10^-9*Fsw*10^3/10^-3</f>
        <v>61.521270912862072</v>
      </c>
      <c r="AU163" s="156">
        <f t="shared" ca="1" si="8"/>
        <v>262.8</v>
      </c>
      <c r="AV163" s="156">
        <f t="shared" ca="1" si="9"/>
        <v>648</v>
      </c>
      <c r="AW163" s="156">
        <f t="shared" ca="1" si="10"/>
        <v>554.4</v>
      </c>
      <c r="AX163" s="156">
        <f ca="1">IF(VACnom&gt;Vbat, TI_MOSFET_S_VSD_L_BU*Table7[[#This Row],[Ivalley (A)]]*Fsw*10^3*40*10^-9+TI_MOSFET_S_VSD_L_BU*Table7[[#This Row],[Ipeak (A)]]*Fsw*10^3*30*10^-9, TI_MOSFET_S_VSD_H_BO*Table7[[#This Row],[Ivalley (A)]]*Fsw*10^3*40*10^-9+TI_MOSFET_S_VSD_H_BO*Table7[[#This Row],[Ipeak (A)]]*Fsw*10^3*30*10^-9)/10^-3</f>
        <v>16.670571428571431</v>
      </c>
      <c r="AY163" s="156">
        <f t="shared" ca="1" si="11"/>
        <v>648</v>
      </c>
      <c r="AZ163" s="156">
        <f ca="1">IF(VACnom&lt;Vbat, Table7[[#This Row],[Duty Cycle]]*Table7[[#This Row],[I_L RMS]]^2*TI_MOSFET_S_RDSON_H_BU*10^-3, (1-Table7[[#This Row],[Duty Cycle]])*Table7[[#This Row],[I_L RMS]]^2*TI_MOSFET_S_RDSON_H_BO*10^-3)/10^-3</f>
        <v>0.52365688775510211</v>
      </c>
      <c r="BA163" s="156">
        <f ca="1">IF(VACnom&gt;Vbat, Table7[[#This Row],[PIV (mW)]]+Table7[[#This Row],[Pqoss (mW)]]+Table7[[#This Row],[Pgate_top (mW)]], Table7[[#This Row],[PRR (mW)]]+Table7[[#This Row],[Pdead (mW)]]+Table7[[#This Row],[Pgate_top (mW)]])</f>
        <v>1219.0705714285714</v>
      </c>
      <c r="BB163" s="156">
        <f ca="1">Table7[[#This Row],[Pcon_top (mW)]]+Table7[[#This Row],[Psw_top (mW)]]</f>
        <v>1219.5942283163265</v>
      </c>
      <c r="BC163" s="156">
        <f ca="1">IF(VACnom&gt;Vbat, (1-Table7[[#This Row],[Duty Cycle]])*Table7[[#This Row],[I_L RMS]]^2*TI_MOSFET_S_RDSON_L_BU*10^-3, Table7[[#This Row],[Duty Cycle]]*Table7[[#This Row],[I_L RMS]]^2*TI_MOSFET_S_RDSON_L_BO*10^-3)/10^-3</f>
        <v>0.52365688775510211</v>
      </c>
      <c r="BD163" s="156">
        <f ca="1">IF(VACnom&gt;Vbat, Table7[[#This Row],[PRR (mW)]]+Table7[[#This Row],[Pdead (mW)]]+Table7[[#This Row],[Pgate_bottom (mW)]], Table7[[#This Row],[PIV (mW)]]+Table7[[#This Row],[Pqoss (mW)]]+Table7[[#This Row],[Pgate_bottom (mW)]])</f>
        <v>972.32127091286202</v>
      </c>
      <c r="BE163" s="158">
        <f ca="1">Table7[[#This Row],[Pcon_bottom (mW)]]+Table7[[#This Row],[Psw_bottom (mW)]]</f>
        <v>972.84492780061714</v>
      </c>
      <c r="BF163" s="164">
        <f ca="1">Table7[[#This Row],[Pbottom (mW)]]+Table7[[#This Row],[Ptop (mW)]]</f>
        <v>2192.4391561169436</v>
      </c>
      <c r="BG163" s="153"/>
      <c r="BH163" s="156">
        <f>MAX(0,Table7[[#This Row],[I_L]]-0.5*Table7[[#This Row],[I_L pkpk]])</f>
        <v>0.18392857142857144</v>
      </c>
      <c r="BI163" s="156">
        <f>Table7[[#This Row],[I_L]]+0.5*Table7[[#This Row],[I_L pkpk]]</f>
        <v>1.0410714285714286</v>
      </c>
      <c r="BJ163" s="156">
        <f>IF(VACnom&gt;Vbat, (VGS_S-(C_MOSFET_S_VTH_H_BU+Table7[[#This Row],[I_L]]/C_MOSFET_S_gFS_H_BU))/3.4, (VGS_S-(C_MOSFET_S_VTH_L_BO+Table7[[#This Row],[I_L]]/C_MOSFET_S_gFS_L_BO))/3.4 )</f>
        <v>2.3517401960784312</v>
      </c>
      <c r="BK163" s="156">
        <f>IF(VACnom&gt;Vbat, ((C_MOSFET_S_VTH_H_BU+Table7[[#This Row],[I_L]]/C_MOSFET_S_gFS_H_BU))/1, ((C_MOSFET_S_VTH_L_BO+Table7[[#This Row],[I_L]]/C_MOSFET_S_gFS_L_BO))/1 )</f>
        <v>2.0040833333333334</v>
      </c>
      <c r="BL163" s="156">
        <f>IF(VACnom&gt;Vbat, (C_MOSFET_S_QGD_H_BU+C_MOSFET_S_QGS_H_BU)*10^-9/Table7[[#This Row],[Ion (A) C]], (C_MOSFET_S_QGD_L_BO+C_MOSFET_S_QGS_L_BO)*10^-9/Table7[[#This Row],[Ion (A) C]])/10^-9</f>
        <v>2.7639107461099934</v>
      </c>
      <c r="BM163" s="156">
        <f>IF(VACnom&gt;Vbat, (C_MOSFET_S_QGD_H_BU+C_MOSFET_S_QGS_H_BU)*10^-9/Table7[[#This Row],[Ioff (A) C]], (C_MOSFET_S_QGD_L_BO+C_MOSFET_S_QGS_L_BO)*10^-9/Table7[[#This Row],[Ioff (A) C]])/10^-9</f>
        <v>3.2433781030396274</v>
      </c>
      <c r="BN163" s="156">
        <f xml:space="preserve"> 0.5*VACnom*Table7[[#This Row],[Ivalley (A) C]]*Table7[[#This Row],[ton (ns) C]]*10^-9*Fsw*10^3+0.5*VACnom*Table7[[#This Row],[Ipeak (A) C]]*Table7[[#This Row],[toff (ns) C]]*10^-9*Fsw*10^3/10^-3</f>
        <v>12.157547894221839</v>
      </c>
      <c r="BO163" s="156">
        <f t="shared" si="12"/>
        <v>129.6</v>
      </c>
      <c r="BP163" s="156">
        <f t="shared" ca="1" si="13"/>
        <v>291.59999999999997</v>
      </c>
      <c r="BQ163" s="156">
        <f t="shared" si="14"/>
        <v>237.6</v>
      </c>
      <c r="BR163" s="156">
        <f>IF(VACnom&gt;Vbat, C_MOSFET_S_VSD_L_BU*Table7[[#This Row],[Ivalley (A) C]]*Fsw*10^3*40*10^-9+C_MOSFET_S_VSD_L_BU*Table7[[#This Row],[Ipeak (A) C]]*Fsw*10^3*30*10^-9, C_MOSFET_S_VSD_H_BO*Table7[[#This Row],[Ivalley (A) C]]*Fsw*10^3*40*10^-9+C_MOSFET_S_VSD_H_BO*Table7[[#This Row],[Ipeak (A) C]]*Fsw*10^3*30*10^-9)/10^-3</f>
        <v>18.522857142857145</v>
      </c>
      <c r="BS163" s="156">
        <f t="shared" ca="1" si="15"/>
        <v>291.59999999999997</v>
      </c>
      <c r="BT163" s="156">
        <f>IF(VACnom&lt;Vbat, Table7[[#This Row],[Duty Cycle]]*Table7[[#This Row],[I_L RMS]]^2*C_MOSFET_S_RDSON_H_BU*10^-3, (1-Table7[[#This Row],[Duty Cycle]])*Table7[[#This Row],[I_L RMS]]^2*C_MOSFET_S_RDSON_H_BO*10^-3)/10^-3</f>
        <v>1.0660158072157437</v>
      </c>
      <c r="BU163" s="156">
        <f ca="1">IF(VACnom&gt;Vbat, Table7[[#This Row],[PIV (mW) C]]+Table7[[#This Row],[PQoss (mW) C]]+Table7[[#This Row],[Pgate_top (mW) C]], Table7[[#This Row],[PRR (mW) C]]+Table7[[#This Row],[Pdead (mW) C]]+Table7[[#This Row],[Pgate_top (mW) C]])</f>
        <v>547.72285714285704</v>
      </c>
      <c r="BV163" s="156">
        <f ca="1">Table7[[#This Row],[Pcon_top (mW) C]]+Table7[[#This Row],[Psw_top (mW) C]]</f>
        <v>548.7888729500728</v>
      </c>
      <c r="BW163" s="156">
        <f ca="1">IF(VACnom&gt;Vbat, (1-Table7[[#This Row],[Duty Cycle]])*Table7[[#This Row],[I_L RMS]]^2*C_MOSFET_S_RDSON_L_BU*10^-3, Table7[[#This Row],[Duty Cycle]]*Table7[[#This Row],[I_L RMS]]^2*C_MOSFET_S_RDSON_L_BO*10^-3)/10^-3</f>
        <v>0.66392212554664731</v>
      </c>
      <c r="BX163" s="156">
        <f ca="1">IF(VACnom&gt;Vbat, Table7[[#This Row],[PRR (mW) C]]+Table7[[#This Row],[Pdead (mW) C]]+Table7[[#This Row],[Pgate_bottom (mW) C]], Table7[[#This Row],[PIV (mW) C]]+Table7[[#This Row],[PQoss (mW) C]]+Table7[[#This Row],[Pgate_bottom (mW) C]])</f>
        <v>433.3575478942218</v>
      </c>
      <c r="BY163" s="156">
        <f ca="1">Table7[[#This Row],[Pcon_bottom (mW) C]]+Table7[[#This Row],[Psw_bottom (mV) C]]</f>
        <v>434.02147001976846</v>
      </c>
      <c r="BZ163" s="156">
        <f ca="1">Table7[[#This Row],[Pbottom (mW) C]]+Table7[[#This Row],[Ptop (mW) C]]</f>
        <v>982.81034296984126</v>
      </c>
      <c r="CA163" s="159"/>
      <c r="CB163" s="160">
        <f>(RAC_SNS*10^-3*(Table7[[#This Row],[IOUT (A)]]*Vbat/VACnom)^2/10^-3)</f>
        <v>1.8757812499999995</v>
      </c>
      <c r="CC163" s="160">
        <f>(RBAT_SNS*10^-3*Table7[[#This Row],[IOUT (A)]]^2)/10^-3</f>
        <v>0.61249999999999993</v>
      </c>
      <c r="CD163" s="160">
        <f>IF(VACnom&gt;Vbat,(L_DRC*10^-3*(Table7[[#This Row],[IOUT (A)]])^2/10^-3),(L_DRC*10^-3*(Table7[[#This Row],[IOUT (A)]]*Vbat/VACnom)^2/10^-3))</f>
        <v>4.5018749999999992</v>
      </c>
      <c r="CE163" s="166"/>
      <c r="CF163" s="156">
        <f>(Table7[[#This Row],[R_AC (mW)]]+Table7[[#This Row],[R_SR (mW)]]+Table7[[#This Row],[Inductor Loss (mW)]])/10^3</f>
        <v>6.9901562499999981E-3</v>
      </c>
      <c r="CG163" s="156">
        <f ca="1">Table7[[#This Row],[Total TI (mW)]]/10^3</f>
        <v>2.1924391561169436</v>
      </c>
      <c r="CH163" s="156">
        <f ca="1">Table7[[#This Row],[Total Sense Loss]]+Table7[[#This Row],[Total MOSFET Loss]]</f>
        <v>2.1994293123669437</v>
      </c>
      <c r="CI163" s="161">
        <f ca="1">IF(Table7[[#This Row],[POUT (W)]]=0,0,(Table7[[#This Row],[POUT (W)]])/(Table7[[#This Row],[POUT (W)]]+Table7[[#This Row],[Total Power Loss (W)]]))*100</f>
        <v>65.630852299336595</v>
      </c>
      <c r="CJ163" s="167"/>
      <c r="CK163" s="156">
        <f>(Table7[[#This Row],[R_AC (mW)]]+Table7[[#This Row],[R_SR (mW)]]+Table7[[#This Row],[Inductor Loss (mW)]])/10^3</f>
        <v>6.9901562499999981E-3</v>
      </c>
      <c r="CL163" s="156">
        <f ca="1">Table7[[#This Row],[Total (mW) C]]/10^3</f>
        <v>0.98281034296984127</v>
      </c>
      <c r="CM163" s="156">
        <f ca="1">Table7[[#This Row],[Total Sense Loss C]]+Table7[[#This Row],[Total MOSFET Loss C]]</f>
        <v>0.98980049921984126</v>
      </c>
      <c r="CN163" s="161">
        <f ca="1">IF(Table7[[#This Row],[POUT (W)]]=0,0,(Table7[[#This Row],[POUT (W)]])/(Table7[[#This Row],[POUT (W)]]+Table7[[#This Row],[Total Power Loss (W) C]]))*100</f>
        <v>80.927966318384819</v>
      </c>
      <c r="CO163" s="167"/>
      <c r="CP163" s="161">
        <f>IF(MOSFET_S=Custom_MOSFET,Table7[[#This Row],[Total Sense Loss C]],Table7[[#This Row],[Total Sense Loss]])</f>
        <v>6.9901562499999981E-3</v>
      </c>
      <c r="CQ163" s="161">
        <f ca="1">IF(MOSFET_S=Custom_MOSFET,Table7[[#This Row],[Total MOSFET Loss C]],Table7[[#This Row],[Total MOSFET Loss]])</f>
        <v>2.1924391561169436</v>
      </c>
      <c r="CR163" s="161">
        <f ca="1">IF(MOSFET_S=Custom_MOSFET,Table7[[#This Row],[Efficiency C]],Table7[[#This Row],[Efficiency]])</f>
        <v>65.630852299336595</v>
      </c>
      <c r="CS163" s="167"/>
      <c r="CT163" s="161">
        <f>IF(MOSFET_S=Compare_MOSFET, Table7[[#This Row],[Total Sense Loss C]], -100)</f>
        <v>-100</v>
      </c>
      <c r="CU163" s="161">
        <f>IF(MOSFET_S=Compare_MOSFET, Table7[[#This Row],[Total MOSFET Loss C]], -100)</f>
        <v>-100</v>
      </c>
      <c r="CV163" s="161">
        <f>IF(MOSFET_S=Compare_MOSFET, Table7[[#This Row],[Efficiency C]], -100)</f>
        <v>-100</v>
      </c>
      <c r="CW163" s="167"/>
      <c r="CX163" s="161">
        <f ca="1">IF(Save_Sel=CLR_Save,  Table7[[#This Row],[Total Sense Loss P1]], Table7[[#This Row],[Total Sense Loss P1 Saved]])</f>
        <v>6.9901562499999981E-3</v>
      </c>
      <c r="CY163" s="161">
        <f ca="1">IF(Save_Sel=CLR_Save,  Table7[[#This Row],[Total MOSFET Loss P1]], Table7[[#This Row],[Total MOSFET Loss P1 Saved]] )</f>
        <v>1.4799354406328953</v>
      </c>
      <c r="CZ163" s="161">
        <f ca="1">IF(Save_Sel=CLR_Save, Table7[[#This Row],[Efficiency P1]], Table7[[#This Row],[Efficiency P1 Saved]])</f>
        <v>73.853612614557406</v>
      </c>
      <c r="DA163" s="167"/>
      <c r="DB163" s="161">
        <f ca="1">IF(Save_Sel=CLR_Save,  Table7[[#This Row],[Total Sense Loss P2]], Table7[[#This Row],[Total Sense Loss P2 Saved]])</f>
        <v>6.9901562499999981E-3</v>
      </c>
      <c r="DC163" s="161">
        <f ca="1">IF(Save_Sel=CLR_Save,  Table7[[#This Row],[Total MOSFET Loss P2]], Table7[[#This Row],[Total MOSFET Loss P2 Saved]] )</f>
        <v>0.98335673470450158</v>
      </c>
      <c r="DD163" s="161">
        <f ca="1">IF(Save_Sel=CLR_Save, Table7[[#This Row],[Efficiency P2]], Table7[[#This Row],[Efficiency P2 Saved]])</f>
        <v>80.919446970289528</v>
      </c>
      <c r="DE163" s="167"/>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c r="FH163" s="21"/>
      <c r="FI163" s="21"/>
    </row>
    <row r="164" spans="1:165" x14ac:dyDescent="0.25">
      <c r="A164" s="50">
        <v>1</v>
      </c>
      <c r="B164" s="51"/>
      <c r="C164" s="51"/>
      <c r="D164" s="34" t="s">
        <v>151</v>
      </c>
      <c r="E164" s="132">
        <f ca="1">IF( VGS_S=Vgs_4P5,TI_RDS_4P5_H_BU, IF(VGS_S=Vgs_10, TI_RDS_10_H_BU, IF( AND(VGS_S=Vgs_C, ISNUMBER(TI_RDS_C_H_BU)), TI_RDS_C_H_BU, "ERROR" )))</f>
        <v>2.8</v>
      </c>
      <c r="F164" s="132">
        <f ca="1">IF( VGS_S=Vgs_4P5,TI_RDS_4P5_L_BU, IF(VGS_S=Vgs_10, TI_RDS_10_L_BU, IF( AND(VGS_S=Vgs_C, ISNUMBER(TI_RDS_C_L_BU)), TI_RDS_C_L_BU, "ERROR" )))</f>
        <v>2.8</v>
      </c>
      <c r="G164" s="44" t="s">
        <v>22</v>
      </c>
      <c r="H164" s="31"/>
      <c r="I164" s="50">
        <v>1</v>
      </c>
      <c r="J164" s="31"/>
      <c r="K164" s="51"/>
      <c r="L164" s="51"/>
      <c r="M164" s="34" t="s">
        <v>130</v>
      </c>
      <c r="N164" s="132">
        <f>IF( VGS_S=Vgs_4P5,C_RDS_4P5_H_BU, IF(VGS_S=Vgs_10, C_RDS_10_H_BU, IF( AND(VGS_S=Vgs_C, ISNUMBER(C_RDS_C_H_BU)), C_RDS_C_H_BU, "ERROR" )))</f>
        <v>5.7</v>
      </c>
      <c r="O164" s="132">
        <f>IF( VGS_S=Vgs_4P5,C_RDS_4P5_L_BU, IF(VGS_S=Vgs_10, C_RDS_10_L_BU, IF( AND(VGS_S=Vgs_C, ISNUMBER(C_RDS_C_L_BU)), C_RDS_C_L_BU, "ERROR" )))</f>
        <v>5.7</v>
      </c>
      <c r="P164" s="44" t="s">
        <v>22</v>
      </c>
      <c r="Q164" s="31"/>
      <c r="R164" s="31"/>
      <c r="S164" s="32"/>
      <c r="T164" s="20"/>
      <c r="U164" s="21"/>
      <c r="V164" s="21"/>
      <c r="W164" s="21"/>
      <c r="X164" s="21"/>
      <c r="Y164" s="21"/>
      <c r="Z164" s="21"/>
      <c r="AA164" s="21"/>
      <c r="AB164" s="21"/>
      <c r="AC164" s="21"/>
      <c r="AD164" s="21"/>
      <c r="AE164" s="21"/>
      <c r="AF164" s="154">
        <f t="shared" si="17"/>
        <v>8</v>
      </c>
      <c r="AG164" s="154">
        <f t="shared" si="16"/>
        <v>0.4</v>
      </c>
      <c r="AH164" s="155">
        <f t="shared" si="3"/>
        <v>4.8000000000000007</v>
      </c>
      <c r="AI164" s="156">
        <f t="shared" si="4"/>
        <v>0.42857142857142855</v>
      </c>
      <c r="AJ164" s="156">
        <f t="shared" si="5"/>
        <v>0.70000000000000007</v>
      </c>
      <c r="AK164" s="156">
        <f t="shared" si="6"/>
        <v>0.85714285714285721</v>
      </c>
      <c r="AL164" s="156">
        <f t="shared" si="7"/>
        <v>0.74244494058207333</v>
      </c>
      <c r="AM164" s="157"/>
      <c r="AN164" s="156">
        <f>MAX(0,Table7[[#This Row],[I_L]]-0.5*Table7[[#This Row],[I_L pkpk]])</f>
        <v>0.27142857142857146</v>
      </c>
      <c r="AO164" s="156">
        <f>Table7[[#This Row],[I_L]]+0.5*Table7[[#This Row],[I_L pkpk]]</f>
        <v>1.1285714285714286</v>
      </c>
      <c r="AP164" s="156">
        <f ca="1">IF(VACnom&gt;Vbat, (VGS_S-(TI_MOSFET_S_VTH_H_BU+Table7[[#This Row],[I_L]]/TI_MOSFET_S_gFS_H_BU))/3.4, (VGS_S-(TI_MOSFET_S_VTH_L_BO+Table7[[#This Row],[I_L]]/TI_MOSFET_S_gFS_L_BO))/3.4 )</f>
        <v>2.4248868778280541</v>
      </c>
      <c r="AQ164" s="156">
        <f ca="1">IF(VACnom&gt;Vbat, ((TI_MOSFET_S_VTH_H_BU+Table7[[#This Row],[I_L]]/TI_MOSFET_S_gFS_H_BU))/1, ((TI_MOSFET_S_VTH_L_BO+Table7[[#This Row],[I_L]]/TI_MOSFET_S_gFS_L_BO))/1 )</f>
        <v>1.7553846153846153</v>
      </c>
      <c r="AR164" s="156">
        <f ca="1">IF(VACnom&gt;Vbat, (TI_MOSFET_S_QGD_H_BU+TI_MOSFET_S_QGS_H_BU)*10^-9/Table7[[#This Row],[Ion (A)]], (TI_MOSFET_S_QGD_L_BO+TI_MOSFET_S_QGS_L_BO)*10^-9/Table7[[#This Row],[Ion (A)]])/10^-9</f>
        <v>11.876842694532565</v>
      </c>
      <c r="AS164" s="156">
        <f ca="1">IF(VACnom&gt;Vbat, (TI_MOSFET_S_QGD_H_BU+TI_MOSFET_S_QGS_H_BU)*10^-9/Table7[[#This Row],[Ioff (A)]], (TI_MOSFET_S_QGD_L_BO+TI_MOSFET_S_QGS_L_BO)*10^-9/Table7[[#This Row],[Ioff (A)]])/10^-9</f>
        <v>16.406660823838738</v>
      </c>
      <c r="AT164" s="156">
        <f ca="1" xml:space="preserve"> 0.5*VACnom*Table7[[#This Row],[Ivalley (A)]]*Table7[[#This Row],[ton (ns)]]*10^-9*Fsw*10^3+0.5*VACnom*Table7[[#This Row],[Ipeak (A)]]*Table7[[#This Row],[toff (ns)]]*10^-9*Fsw*10^3/10^-3</f>
        <v>66.669524490572044</v>
      </c>
      <c r="AU164" s="156">
        <f t="shared" ca="1" si="8"/>
        <v>262.8</v>
      </c>
      <c r="AV164" s="156">
        <f t="shared" ca="1" si="9"/>
        <v>648</v>
      </c>
      <c r="AW164" s="156">
        <f t="shared" ca="1" si="10"/>
        <v>554.4</v>
      </c>
      <c r="AX164" s="156">
        <f ca="1">IF(VACnom&gt;Vbat, TI_MOSFET_S_VSD_L_BU*Table7[[#This Row],[Ivalley (A)]]*Fsw*10^3*40*10^-9+TI_MOSFET_S_VSD_L_BU*Table7[[#This Row],[Ipeak (A)]]*Fsw*10^3*30*10^-9, TI_MOSFET_S_VSD_H_BO*Table7[[#This Row],[Ivalley (A)]]*Fsw*10^3*40*10^-9+TI_MOSFET_S_VSD_H_BO*Table7[[#This Row],[Ipeak (A)]]*Fsw*10^3*30*10^-9)/10^-3</f>
        <v>19.316571428571425</v>
      </c>
      <c r="AY164" s="156">
        <f t="shared" ca="1" si="11"/>
        <v>648</v>
      </c>
      <c r="AZ164" s="156">
        <f ca="1">IF(VACnom&lt;Vbat, Table7[[#This Row],[Duty Cycle]]*Table7[[#This Row],[I_L RMS]]^2*TI_MOSFET_S_RDSON_H_BU*10^-3, (1-Table7[[#This Row],[Duty Cycle]])*Table7[[#This Row],[I_L RMS]]^2*TI_MOSFET_S_RDSON_H_BO*10^-3)/10^-3</f>
        <v>0.661469387755102</v>
      </c>
      <c r="BA164" s="156">
        <f ca="1">IF(VACnom&gt;Vbat, Table7[[#This Row],[PIV (mW)]]+Table7[[#This Row],[Pqoss (mW)]]+Table7[[#This Row],[Pgate_top (mW)]], Table7[[#This Row],[PRR (mW)]]+Table7[[#This Row],[Pdead (mW)]]+Table7[[#This Row],[Pgate_top (mW)]])</f>
        <v>1221.7165714285716</v>
      </c>
      <c r="BB164" s="156">
        <f ca="1">Table7[[#This Row],[Pcon_top (mW)]]+Table7[[#This Row],[Psw_top (mW)]]</f>
        <v>1222.3780408163266</v>
      </c>
      <c r="BC164" s="156">
        <f ca="1">IF(VACnom&gt;Vbat, (1-Table7[[#This Row],[Duty Cycle]])*Table7[[#This Row],[I_L RMS]]^2*TI_MOSFET_S_RDSON_L_BU*10^-3, Table7[[#This Row],[Duty Cycle]]*Table7[[#This Row],[I_L RMS]]^2*TI_MOSFET_S_RDSON_L_BO*10^-3)/10^-3</f>
        <v>0.661469387755102</v>
      </c>
      <c r="BD164" s="156">
        <f ca="1">IF(VACnom&gt;Vbat, Table7[[#This Row],[PRR (mW)]]+Table7[[#This Row],[Pdead (mW)]]+Table7[[#This Row],[Pgate_bottom (mW)]], Table7[[#This Row],[PIV (mW)]]+Table7[[#This Row],[Pqoss (mW)]]+Table7[[#This Row],[Pgate_bottom (mW)]])</f>
        <v>977.46952449057198</v>
      </c>
      <c r="BE164" s="158">
        <f ca="1">Table7[[#This Row],[Pcon_bottom (mW)]]+Table7[[#This Row],[Psw_bottom (mW)]]</f>
        <v>978.1309938783271</v>
      </c>
      <c r="BF164" s="164">
        <f ca="1">Table7[[#This Row],[Pbottom (mW)]]+Table7[[#This Row],[Ptop (mW)]]</f>
        <v>2200.5090346946536</v>
      </c>
      <c r="BG164" s="153"/>
      <c r="BH164" s="156">
        <f>MAX(0,Table7[[#This Row],[I_L]]-0.5*Table7[[#This Row],[I_L pkpk]])</f>
        <v>0.27142857142857146</v>
      </c>
      <c r="BI164" s="156">
        <f>Table7[[#This Row],[I_L]]+0.5*Table7[[#This Row],[I_L pkpk]]</f>
        <v>1.1285714285714286</v>
      </c>
      <c r="BJ164" s="156">
        <f>IF(VACnom&gt;Vbat, (VGS_S-(C_MOSFET_S_VTH_H_BU+Table7[[#This Row],[I_L]]/C_MOSFET_S_gFS_H_BU))/3.4, (VGS_S-(C_MOSFET_S_VTH_L_BO+Table7[[#This Row],[I_L]]/C_MOSFET_S_gFS_L_BO))/3.4 )</f>
        <v>2.3515686274509804</v>
      </c>
      <c r="BK164" s="156">
        <f>IF(VACnom&gt;Vbat, ((C_MOSFET_S_VTH_H_BU+Table7[[#This Row],[I_L]]/C_MOSFET_S_gFS_H_BU))/1, ((C_MOSFET_S_VTH_L_BO+Table7[[#This Row],[I_L]]/C_MOSFET_S_gFS_L_BO))/1 )</f>
        <v>2.0046666666666666</v>
      </c>
      <c r="BL164" s="156">
        <f>IF(VACnom&gt;Vbat, (C_MOSFET_S_QGD_H_BU+C_MOSFET_S_QGS_H_BU)*10^-9/Table7[[#This Row],[Ion (A) C]], (C_MOSFET_S_QGD_L_BO+C_MOSFET_S_QGS_L_BO)*10^-9/Table7[[#This Row],[Ion (A) C]])/10^-9</f>
        <v>2.7641123988993579</v>
      </c>
      <c r="BM164" s="156">
        <f>IF(VACnom&gt;Vbat, (C_MOSFET_S_QGD_H_BU+C_MOSFET_S_QGS_H_BU)*10^-9/Table7[[#This Row],[Ioff (A) C]], (C_MOSFET_S_QGD_L_BO+C_MOSFET_S_QGS_L_BO)*10^-9/Table7[[#This Row],[Ioff (A) C]])/10^-9</f>
        <v>3.2424343199201862</v>
      </c>
      <c r="BN164" s="156">
        <f xml:space="preserve"> 0.5*VACnom*Table7[[#This Row],[Ivalley (A) C]]*Table7[[#This Row],[ton (ns) C]]*10^-9*Fsw*10^3+0.5*VACnom*Table7[[#This Row],[Ipeak (A) C]]*Table7[[#This Row],[toff (ns) C]]*10^-9*Fsw*10^3/10^-3</f>
        <v>13.176248369619794</v>
      </c>
      <c r="BO164" s="156">
        <f t="shared" si="12"/>
        <v>129.6</v>
      </c>
      <c r="BP164" s="156">
        <f t="shared" ca="1" si="13"/>
        <v>291.59999999999997</v>
      </c>
      <c r="BQ164" s="156">
        <f t="shared" si="14"/>
        <v>237.6</v>
      </c>
      <c r="BR164" s="156">
        <f>IF(VACnom&gt;Vbat, C_MOSFET_S_VSD_L_BU*Table7[[#This Row],[Ivalley (A) C]]*Fsw*10^3*40*10^-9+C_MOSFET_S_VSD_L_BU*Table7[[#This Row],[Ipeak (A) C]]*Fsw*10^3*30*10^-9, C_MOSFET_S_VSD_H_BO*Table7[[#This Row],[Ivalley (A) C]]*Fsw*10^3*40*10^-9+C_MOSFET_S_VSD_H_BO*Table7[[#This Row],[Ipeak (A) C]]*Fsw*10^3*30*10^-9)/10^-3</f>
        <v>21.462857142857146</v>
      </c>
      <c r="BS164" s="156">
        <f t="shared" ca="1" si="15"/>
        <v>291.59999999999997</v>
      </c>
      <c r="BT164" s="156">
        <f>IF(VACnom&lt;Vbat, Table7[[#This Row],[Duty Cycle]]*Table7[[#This Row],[I_L RMS]]^2*C_MOSFET_S_RDSON_H_BU*10^-3, (1-Table7[[#This Row],[Duty Cycle]])*Table7[[#This Row],[I_L RMS]]^2*C_MOSFET_S_RDSON_H_BO*10^-3)/10^-3</f>
        <v>1.3465626822157435</v>
      </c>
      <c r="BU164" s="156">
        <f ca="1">IF(VACnom&gt;Vbat, Table7[[#This Row],[PIV (mW) C]]+Table7[[#This Row],[PQoss (mW) C]]+Table7[[#This Row],[Pgate_top (mW) C]], Table7[[#This Row],[PRR (mW) C]]+Table7[[#This Row],[Pdead (mW) C]]+Table7[[#This Row],[Pgate_top (mW) C]])</f>
        <v>550.66285714285709</v>
      </c>
      <c r="BV164" s="156">
        <f ca="1">Table7[[#This Row],[Pcon_top (mW) C]]+Table7[[#This Row],[Psw_top (mW) C]]</f>
        <v>552.00941982507288</v>
      </c>
      <c r="BW164" s="156">
        <f ca="1">IF(VACnom&gt;Vbat, (1-Table7[[#This Row],[Duty Cycle]])*Table7[[#This Row],[I_L RMS]]^2*C_MOSFET_S_RDSON_L_BU*10^-3, Table7[[#This Row],[Duty Cycle]]*Table7[[#This Row],[I_L RMS]]^2*C_MOSFET_S_RDSON_L_BO*10^-3)/10^-3</f>
        <v>0.83864868804664727</v>
      </c>
      <c r="BX164" s="156">
        <f ca="1">IF(VACnom&gt;Vbat, Table7[[#This Row],[PRR (mW) C]]+Table7[[#This Row],[Pdead (mW) C]]+Table7[[#This Row],[Pgate_bottom (mW) C]], Table7[[#This Row],[PIV (mW) C]]+Table7[[#This Row],[PQoss (mW) C]]+Table7[[#This Row],[Pgate_bottom (mW) C]])</f>
        <v>434.37624836961976</v>
      </c>
      <c r="BY164" s="156">
        <f ca="1">Table7[[#This Row],[Pcon_bottom (mW) C]]+Table7[[#This Row],[Psw_bottom (mV) C]]</f>
        <v>435.21489705766641</v>
      </c>
      <c r="BZ164" s="156">
        <f ca="1">Table7[[#This Row],[Pbottom (mW) C]]+Table7[[#This Row],[Ptop (mW) C]]</f>
        <v>987.22431688273923</v>
      </c>
      <c r="CA164" s="159"/>
      <c r="CB164" s="160">
        <f>(RAC_SNS*10^-3*(Table7[[#This Row],[IOUT (A)]]*Vbat/VACnom)^2/10^-3)</f>
        <v>2.4500000000000002</v>
      </c>
      <c r="CC164" s="160">
        <f>(RBAT_SNS*10^-3*Table7[[#This Row],[IOUT (A)]]^2)/10^-3</f>
        <v>0.80000000000000016</v>
      </c>
      <c r="CD164" s="160">
        <f>IF(VACnom&gt;Vbat,(L_DRC*10^-3*(Table7[[#This Row],[IOUT (A)]])^2/10^-3),(L_DRC*10^-3*(Table7[[#This Row],[IOUT (A)]]*Vbat/VACnom)^2/10^-3))</f>
        <v>5.8800000000000017</v>
      </c>
      <c r="CE164" s="166"/>
      <c r="CF164" s="156">
        <f>(Table7[[#This Row],[R_AC (mW)]]+Table7[[#This Row],[R_SR (mW)]]+Table7[[#This Row],[Inductor Loss (mW)]])/10^3</f>
        <v>9.1300000000000027E-3</v>
      </c>
      <c r="CG164" s="156">
        <f ca="1">Table7[[#This Row],[Total TI (mW)]]/10^3</f>
        <v>2.2005090346946536</v>
      </c>
      <c r="CH164" s="156">
        <f ca="1">Table7[[#This Row],[Total Sense Loss]]+Table7[[#This Row],[Total MOSFET Loss]]</f>
        <v>2.2096390346946535</v>
      </c>
      <c r="CI164" s="161">
        <f ca="1">IF(Table7[[#This Row],[POUT (W)]]=0,0,(Table7[[#This Row],[POUT (W)]])/(Table7[[#This Row],[POUT (W)]]+Table7[[#This Row],[Total Power Loss (W)]]))*100</f>
        <v>68.477135216836345</v>
      </c>
      <c r="CJ164" s="167"/>
      <c r="CK164" s="156">
        <f>(Table7[[#This Row],[R_AC (mW)]]+Table7[[#This Row],[R_SR (mW)]]+Table7[[#This Row],[Inductor Loss (mW)]])/10^3</f>
        <v>9.1300000000000027E-3</v>
      </c>
      <c r="CL164" s="156">
        <f ca="1">Table7[[#This Row],[Total (mW) C]]/10^3</f>
        <v>0.98722431688273926</v>
      </c>
      <c r="CM164" s="156">
        <f ca="1">Table7[[#This Row],[Total Sense Loss C]]+Table7[[#This Row],[Total MOSFET Loss C]]</f>
        <v>0.99635431688273923</v>
      </c>
      <c r="CN164" s="161">
        <f ca="1">IF(Table7[[#This Row],[POUT (W)]]=0,0,(Table7[[#This Row],[POUT (W)]])/(Table7[[#This Row],[POUT (W)]]+Table7[[#This Row],[Total Power Loss (W) C]]))*100</f>
        <v>82.810672667460821</v>
      </c>
      <c r="CO164" s="167"/>
      <c r="CP164" s="161">
        <f>IF(MOSFET_S=Custom_MOSFET,Table7[[#This Row],[Total Sense Loss C]],Table7[[#This Row],[Total Sense Loss]])</f>
        <v>9.1300000000000027E-3</v>
      </c>
      <c r="CQ164" s="161">
        <f ca="1">IF(MOSFET_S=Custom_MOSFET,Table7[[#This Row],[Total MOSFET Loss C]],Table7[[#This Row],[Total MOSFET Loss]])</f>
        <v>2.2005090346946536</v>
      </c>
      <c r="CR164" s="161">
        <f ca="1">IF(MOSFET_S=Custom_MOSFET,Table7[[#This Row],[Efficiency C]],Table7[[#This Row],[Efficiency]])</f>
        <v>68.477135216836345</v>
      </c>
      <c r="CS164" s="167"/>
      <c r="CT164" s="161">
        <f>IF(MOSFET_S=Compare_MOSFET, Table7[[#This Row],[Total Sense Loss C]], -100)</f>
        <v>-100</v>
      </c>
      <c r="CU164" s="161">
        <f>IF(MOSFET_S=Compare_MOSFET, Table7[[#This Row],[Total MOSFET Loss C]], -100)</f>
        <v>-100</v>
      </c>
      <c r="CV164" s="161">
        <f>IF(MOSFET_S=Compare_MOSFET, Table7[[#This Row],[Efficiency C]], -100)</f>
        <v>-100</v>
      </c>
      <c r="CW164" s="167"/>
      <c r="CX164" s="161">
        <f ca="1">IF(Save_Sel=CLR_Save,  Table7[[#This Row],[Total Sense Loss P1]], Table7[[#This Row],[Total Sense Loss P1 Saved]])</f>
        <v>9.1300000000000027E-3</v>
      </c>
      <c r="CY164" s="161">
        <f ca="1">IF(Save_Sel=CLR_Save,  Table7[[#This Row],[Total MOSFET Loss P1]], Table7[[#This Row],[Total MOSFET Loss P1 Saved]] )</f>
        <v>1.4880866495760192</v>
      </c>
      <c r="CZ164" s="161">
        <f ca="1">IF(Save_Sel=CLR_Save, Table7[[#This Row],[Efficiency P1]], Table7[[#This Row],[Efficiency P1 Saved]])</f>
        <v>76.224152147015232</v>
      </c>
      <c r="DA164" s="167"/>
      <c r="DB164" s="161">
        <f ca="1">IF(Save_Sel=CLR_Save,  Table7[[#This Row],[Total Sense Loss P2]], Table7[[#This Row],[Total Sense Loss P2 Saved]])</f>
        <v>9.1300000000000027E-3</v>
      </c>
      <c r="DC164" s="161">
        <f ca="1">IF(Save_Sel=CLR_Save,  Table7[[#This Row],[Total MOSFET Loss P2]], Table7[[#This Row],[Total MOSFET Loss P2 Saved]] )</f>
        <v>0.98791536334168473</v>
      </c>
      <c r="DD164" s="161">
        <f ca="1">IF(Save_Sel=CLR_Save, Table7[[#This Row],[Efficiency P2]], Table7[[#This Row],[Efficiency P2 Saved]])</f>
        <v>82.800801083141067</v>
      </c>
      <c r="DE164" s="167"/>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c r="FH164" s="21"/>
      <c r="FI164" s="21"/>
    </row>
    <row r="165" spans="1:165" x14ac:dyDescent="0.25">
      <c r="A165" s="50">
        <v>4</v>
      </c>
      <c r="B165" s="51"/>
      <c r="C165" s="51"/>
      <c r="D165" s="34" t="s">
        <v>152</v>
      </c>
      <c r="E165" s="132">
        <f ca="1">IF( VGS_S=Vgs_4P5,TI_QG_4P5_H_BU, IF(VGS_S=Vgs_10, TI_QG_10_H_BU, IF( AND(VGS_S=Vgs_C, ISNUMBER(TI_QG_C_H_BU)), TI_QG_C_H_BU, "ERROR" )))</f>
        <v>90</v>
      </c>
      <c r="F165" s="132">
        <f ca="1">IF( VGS_S=Vgs_4P5,TI_QG_4P5_L_BU, IF(VGS_S=Vgs_10, TI_QG_10_L_BU, IF( AND(VGS_S=Vgs_C, ISNUMBER(TI_QG_C_L_BU)), TI_QG_C_L_BU, "ERROR" )))</f>
        <v>90</v>
      </c>
      <c r="G165" s="44" t="s">
        <v>23</v>
      </c>
      <c r="H165" s="31"/>
      <c r="I165" s="50">
        <v>4</v>
      </c>
      <c r="J165" s="31"/>
      <c r="K165" s="51"/>
      <c r="L165" s="51"/>
      <c r="M165" s="34" t="s">
        <v>134</v>
      </c>
      <c r="N165" s="132">
        <f>IF( VGS_S=Vgs_4P5,C_QG_4P5_H_BU, IF(VGS_S=Vgs_10, C_QG_10_H_BU, IF( AND(VGS_S=Vgs_C, ISNUMBER(C_QG_C_H_BU)), C_QG_C_H_BU, "ERROR" )))</f>
        <v>15</v>
      </c>
      <c r="O165" s="132">
        <f>IF( VGS_S=Vgs_4P5,C_QG_4P5_L_BU, IF(VGS_S=Vgs_10, C_QG_10_L_BU, IF( AND(VGS_S=Vgs_C, ISNUMBER(C_QG_C_L_BU)), C_QG_C_L_BU, "ERROR" )))</f>
        <v>15</v>
      </c>
      <c r="P165" s="44" t="s">
        <v>23</v>
      </c>
      <c r="Q165" s="31"/>
      <c r="R165" s="31"/>
      <c r="S165" s="32"/>
      <c r="T165" s="20"/>
      <c r="U165" s="21"/>
      <c r="V165" s="21"/>
      <c r="W165" s="21"/>
      <c r="X165" s="21"/>
      <c r="Y165" s="21"/>
      <c r="Z165" s="21"/>
      <c r="AA165" s="21"/>
      <c r="AB165" s="21"/>
      <c r="AC165" s="21"/>
      <c r="AD165" s="21"/>
      <c r="AE165" s="21"/>
      <c r="AF165" s="154">
        <f t="shared" si="17"/>
        <v>9</v>
      </c>
      <c r="AG165" s="154">
        <f t="shared" si="16"/>
        <v>0.45</v>
      </c>
      <c r="AH165" s="155">
        <f t="shared" si="3"/>
        <v>5.4</v>
      </c>
      <c r="AI165" s="156">
        <f t="shared" si="4"/>
        <v>0.42857142857142855</v>
      </c>
      <c r="AJ165" s="156">
        <f t="shared" si="5"/>
        <v>0.78750000000000009</v>
      </c>
      <c r="AK165" s="156">
        <f t="shared" si="6"/>
        <v>0.85714285714285721</v>
      </c>
      <c r="AL165" s="156">
        <f t="shared" si="7"/>
        <v>0.8254578970461901</v>
      </c>
      <c r="AM165" s="157"/>
      <c r="AN165" s="156">
        <f>MAX(0,Table7[[#This Row],[I_L]]-0.5*Table7[[#This Row],[I_L pkpk]])</f>
        <v>0.35892857142857149</v>
      </c>
      <c r="AO165" s="156">
        <f>Table7[[#This Row],[I_L]]+0.5*Table7[[#This Row],[I_L pkpk]]</f>
        <v>1.2160714285714287</v>
      </c>
      <c r="AP165" s="156">
        <f ca="1">IF(VACnom&gt;Vbat, (VGS_S-(TI_MOSFET_S_VTH_H_BU+Table7[[#This Row],[I_L]]/TI_MOSFET_S_gFS_H_BU))/3.4, (VGS_S-(TI_MOSFET_S_VTH_L_BO+Table7[[#This Row],[I_L]]/TI_MOSFET_S_gFS_L_BO))/3.4 )</f>
        <v>2.4246889140271493</v>
      </c>
      <c r="AQ165" s="156">
        <f ca="1">IF(VACnom&gt;Vbat, ((TI_MOSFET_S_VTH_H_BU+Table7[[#This Row],[I_L]]/TI_MOSFET_S_gFS_H_BU))/1, ((TI_MOSFET_S_VTH_L_BO+Table7[[#This Row],[I_L]]/TI_MOSFET_S_gFS_L_BO))/1 )</f>
        <v>1.7560576923076923</v>
      </c>
      <c r="AR165" s="156">
        <f ca="1">IF(VACnom&gt;Vbat, (TI_MOSFET_S_QGD_H_BU+TI_MOSFET_S_QGS_H_BU)*10^-9/Table7[[#This Row],[Ion (A)]], (TI_MOSFET_S_QGD_L_BO+TI_MOSFET_S_QGS_L_BO)*10^-9/Table7[[#This Row],[Ion (A)]])/10^-9</f>
        <v>11.877812379719376</v>
      </c>
      <c r="AS165" s="156">
        <f ca="1">IF(VACnom&gt;Vbat, (TI_MOSFET_S_QGD_H_BU+TI_MOSFET_S_QGS_H_BU)*10^-9/Table7[[#This Row],[Ioff (A)]], (TI_MOSFET_S_QGD_L_BO+TI_MOSFET_S_QGS_L_BO)*10^-9/Table7[[#This Row],[Ioff (A)]])/10^-9</f>
        <v>16.400372337513005</v>
      </c>
      <c r="AT165" s="156">
        <f ca="1" xml:space="preserve"> 0.5*VACnom*Table7[[#This Row],[Ivalley (A)]]*Table7[[#This Row],[ton (ns)]]*10^-9*Fsw*10^3+0.5*VACnom*Table7[[#This Row],[Ipeak (A)]]*Table7[[#This Row],[toff (ns)]]*10^-9*Fsw*10^3/10^-3</f>
        <v>71.813835013722965</v>
      </c>
      <c r="AU165" s="156">
        <f t="shared" ca="1" si="8"/>
        <v>262.8</v>
      </c>
      <c r="AV165" s="156">
        <f t="shared" ca="1" si="9"/>
        <v>648</v>
      </c>
      <c r="AW165" s="156">
        <f t="shared" ca="1" si="10"/>
        <v>554.4</v>
      </c>
      <c r="AX165" s="156">
        <f ca="1">IF(VACnom&gt;Vbat, TI_MOSFET_S_VSD_L_BU*Table7[[#This Row],[Ivalley (A)]]*Fsw*10^3*40*10^-9+TI_MOSFET_S_VSD_L_BU*Table7[[#This Row],[Ipeak (A)]]*Fsw*10^3*30*10^-9, TI_MOSFET_S_VSD_H_BO*Table7[[#This Row],[Ivalley (A)]]*Fsw*10^3*40*10^-9+TI_MOSFET_S_VSD_H_BO*Table7[[#This Row],[Ipeak (A)]]*Fsw*10^3*30*10^-9)/10^-3</f>
        <v>21.962571428571433</v>
      </c>
      <c r="AY165" s="156">
        <f t="shared" ca="1" si="11"/>
        <v>648</v>
      </c>
      <c r="AZ165" s="156">
        <f ca="1">IF(VACnom&lt;Vbat, Table7[[#This Row],[Duty Cycle]]*Table7[[#This Row],[I_L RMS]]^2*TI_MOSFET_S_RDSON_H_BU*10^-3, (1-Table7[[#This Row],[Duty Cycle]])*Table7[[#This Row],[I_L RMS]]^2*TI_MOSFET_S_RDSON_H_BO*10^-3)/10^-3</f>
        <v>0.81765688775510226</v>
      </c>
      <c r="BA165" s="156">
        <f ca="1">IF(VACnom&gt;Vbat, Table7[[#This Row],[PIV (mW)]]+Table7[[#This Row],[Pqoss (mW)]]+Table7[[#This Row],[Pgate_top (mW)]], Table7[[#This Row],[PRR (mW)]]+Table7[[#This Row],[Pdead (mW)]]+Table7[[#This Row],[Pgate_top (mW)]])</f>
        <v>1224.3625714285713</v>
      </c>
      <c r="BB165" s="156">
        <f ca="1">Table7[[#This Row],[Pcon_top (mW)]]+Table7[[#This Row],[Psw_top (mW)]]</f>
        <v>1225.1802283163263</v>
      </c>
      <c r="BC165" s="156">
        <f ca="1">IF(VACnom&gt;Vbat, (1-Table7[[#This Row],[Duty Cycle]])*Table7[[#This Row],[I_L RMS]]^2*TI_MOSFET_S_RDSON_L_BU*10^-3, Table7[[#This Row],[Duty Cycle]]*Table7[[#This Row],[I_L RMS]]^2*TI_MOSFET_S_RDSON_L_BO*10^-3)/10^-3</f>
        <v>0.81765688775510226</v>
      </c>
      <c r="BD165" s="156">
        <f ca="1">IF(VACnom&gt;Vbat, Table7[[#This Row],[PRR (mW)]]+Table7[[#This Row],[Pdead (mW)]]+Table7[[#This Row],[Pgate_bottom (mW)]], Table7[[#This Row],[PIV (mW)]]+Table7[[#This Row],[Pqoss (mW)]]+Table7[[#This Row],[Pgate_bottom (mW)]])</f>
        <v>982.61383501372302</v>
      </c>
      <c r="BE165" s="158">
        <f ca="1">Table7[[#This Row],[Pcon_bottom (mW)]]+Table7[[#This Row],[Psw_bottom (mW)]]</f>
        <v>983.43149190147813</v>
      </c>
      <c r="BF165" s="164">
        <f ca="1">Table7[[#This Row],[Pbottom (mW)]]+Table7[[#This Row],[Ptop (mW)]]</f>
        <v>2208.6117202178043</v>
      </c>
      <c r="BG165" s="153"/>
      <c r="BH165" s="156">
        <f>MAX(0,Table7[[#This Row],[I_L]]-0.5*Table7[[#This Row],[I_L pkpk]])</f>
        <v>0.35892857142857149</v>
      </c>
      <c r="BI165" s="156">
        <f>Table7[[#This Row],[I_L]]+0.5*Table7[[#This Row],[I_L pkpk]]</f>
        <v>1.2160714285714287</v>
      </c>
      <c r="BJ165" s="156">
        <f>IF(VACnom&gt;Vbat, (VGS_S-(C_MOSFET_S_VTH_H_BU+Table7[[#This Row],[I_L]]/C_MOSFET_S_gFS_H_BU))/3.4, (VGS_S-(C_MOSFET_S_VTH_L_BO+Table7[[#This Row],[I_L]]/C_MOSFET_S_gFS_L_BO))/3.4 )</f>
        <v>2.3513970588235296</v>
      </c>
      <c r="BK165" s="156">
        <f>IF(VACnom&gt;Vbat, ((C_MOSFET_S_VTH_H_BU+Table7[[#This Row],[I_L]]/C_MOSFET_S_gFS_H_BU))/1, ((C_MOSFET_S_VTH_L_BO+Table7[[#This Row],[I_L]]/C_MOSFET_S_gFS_L_BO))/1 )</f>
        <v>2.0052500000000002</v>
      </c>
      <c r="BL165" s="156">
        <f>IF(VACnom&gt;Vbat, (C_MOSFET_S_QGD_H_BU+C_MOSFET_S_QGS_H_BU)*10^-9/Table7[[#This Row],[Ion (A) C]], (C_MOSFET_S_QGD_L_BO+C_MOSFET_S_QGS_L_BO)*10^-9/Table7[[#This Row],[Ion (A) C]])/10^-9</f>
        <v>2.7643140811157321</v>
      </c>
      <c r="BM165" s="156">
        <f>IF(VACnom&gt;Vbat, (C_MOSFET_S_QGD_H_BU+C_MOSFET_S_QGS_H_BU)*10^-9/Table7[[#This Row],[Ioff (A) C]], (C_MOSFET_S_QGD_L_BO+C_MOSFET_S_QGS_L_BO)*10^-9/Table7[[#This Row],[Ioff (A) C]])/10^-9</f>
        <v>3.2414910858995136</v>
      </c>
      <c r="BN165" s="156">
        <f xml:space="preserve"> 0.5*VACnom*Table7[[#This Row],[Ivalley (A) C]]*Table7[[#This Row],[ton (ns) C]]*10^-9*Fsw*10^3+0.5*VACnom*Table7[[#This Row],[Ipeak (A) C]]*Table7[[#This Row],[toff (ns) C]]*10^-9*Fsw*10^3/10^-3</f>
        <v>14.194356792607758</v>
      </c>
      <c r="BO165" s="156">
        <f t="shared" si="12"/>
        <v>129.6</v>
      </c>
      <c r="BP165" s="156">
        <f t="shared" ca="1" si="13"/>
        <v>291.59999999999997</v>
      </c>
      <c r="BQ165" s="156">
        <f t="shared" si="14"/>
        <v>237.6</v>
      </c>
      <c r="BR165" s="156">
        <f>IF(VACnom&gt;Vbat, C_MOSFET_S_VSD_L_BU*Table7[[#This Row],[Ivalley (A) C]]*Fsw*10^3*40*10^-9+C_MOSFET_S_VSD_L_BU*Table7[[#This Row],[Ipeak (A) C]]*Fsw*10^3*30*10^-9, C_MOSFET_S_VSD_H_BO*Table7[[#This Row],[Ivalley (A) C]]*Fsw*10^3*40*10^-9+C_MOSFET_S_VSD_H_BO*Table7[[#This Row],[Ipeak (A) C]]*Fsw*10^3*30*10^-9)/10^-3</f>
        <v>24.402857142857147</v>
      </c>
      <c r="BS165" s="156">
        <f t="shared" ca="1" si="15"/>
        <v>291.59999999999997</v>
      </c>
      <c r="BT165" s="156">
        <f>IF(VACnom&lt;Vbat, Table7[[#This Row],[Duty Cycle]]*Table7[[#This Row],[I_L RMS]]^2*C_MOSFET_S_RDSON_H_BU*10^-3, (1-Table7[[#This Row],[Duty Cycle]])*Table7[[#This Row],[I_L RMS]]^2*C_MOSFET_S_RDSON_H_BO*10^-3)/10^-3</f>
        <v>1.664515807215744</v>
      </c>
      <c r="BU165" s="156">
        <f ca="1">IF(VACnom&gt;Vbat, Table7[[#This Row],[PIV (mW) C]]+Table7[[#This Row],[PQoss (mW) C]]+Table7[[#This Row],[Pgate_top (mW) C]], Table7[[#This Row],[PRR (mW) C]]+Table7[[#This Row],[Pdead (mW) C]]+Table7[[#This Row],[Pgate_top (mW) C]])</f>
        <v>553.60285714285715</v>
      </c>
      <c r="BV165" s="156">
        <f ca="1">Table7[[#This Row],[Pcon_top (mW) C]]+Table7[[#This Row],[Psw_top (mW) C]]</f>
        <v>555.26737295007285</v>
      </c>
      <c r="BW165" s="156">
        <f ca="1">IF(VACnom&gt;Vbat, (1-Table7[[#This Row],[Duty Cycle]])*Table7[[#This Row],[I_L RMS]]^2*C_MOSFET_S_RDSON_L_BU*10^-3, Table7[[#This Row],[Duty Cycle]]*Table7[[#This Row],[I_L RMS]]^2*C_MOSFET_S_RDSON_L_BO*10^-3)/10^-3</f>
        <v>1.0366721255466476</v>
      </c>
      <c r="BX165" s="156">
        <f ca="1">IF(VACnom&gt;Vbat, Table7[[#This Row],[PRR (mW) C]]+Table7[[#This Row],[Pdead (mW) C]]+Table7[[#This Row],[Pgate_bottom (mW) C]], Table7[[#This Row],[PIV (mW) C]]+Table7[[#This Row],[PQoss (mW) C]]+Table7[[#This Row],[Pgate_bottom (mW) C]])</f>
        <v>435.39435679260771</v>
      </c>
      <c r="BY165" s="156">
        <f ca="1">Table7[[#This Row],[Pcon_bottom (mW) C]]+Table7[[#This Row],[Psw_bottom (mV) C]]</f>
        <v>436.43102891815437</v>
      </c>
      <c r="BZ165" s="156">
        <f ca="1">Table7[[#This Row],[Pbottom (mW) C]]+Table7[[#This Row],[Ptop (mW) C]]</f>
        <v>991.69840186822717</v>
      </c>
      <c r="CA165" s="159"/>
      <c r="CB165" s="160">
        <f>(RAC_SNS*10^-3*(Table7[[#This Row],[IOUT (A)]]*Vbat/VACnom)^2/10^-3)</f>
        <v>3.1007812500000012</v>
      </c>
      <c r="CC165" s="160">
        <f>(RBAT_SNS*10^-3*Table7[[#This Row],[IOUT (A)]]^2)/10^-3</f>
        <v>1.0125000000000002</v>
      </c>
      <c r="CD165" s="160">
        <f>IF(VACnom&gt;Vbat,(L_DRC*10^-3*(Table7[[#This Row],[IOUT (A)]])^2/10^-3),(L_DRC*10^-3*(Table7[[#This Row],[IOUT (A)]]*Vbat/VACnom)^2/10^-3))</f>
        <v>7.4418750000000022</v>
      </c>
      <c r="CE165" s="166"/>
      <c r="CF165" s="156">
        <f>(Table7[[#This Row],[R_AC (mW)]]+Table7[[#This Row],[R_SR (mW)]]+Table7[[#This Row],[Inductor Loss (mW)]])/10^3</f>
        <v>1.1555156250000004E-2</v>
      </c>
      <c r="CG165" s="156">
        <f ca="1">Table7[[#This Row],[Total TI (mW)]]/10^3</f>
        <v>2.2086117202178044</v>
      </c>
      <c r="CH165" s="156">
        <f ca="1">Table7[[#This Row],[Total Sense Loss]]+Table7[[#This Row],[Total MOSFET Loss]]</f>
        <v>2.2201668764678044</v>
      </c>
      <c r="CI165" s="161">
        <f ca="1">IF(Table7[[#This Row],[POUT (W)]]=0,0,(Table7[[#This Row],[POUT (W)]])/(Table7[[#This Row],[POUT (W)]]+Table7[[#This Row],[Total Power Loss (W)]]))*100</f>
        <v>70.864589812015723</v>
      </c>
      <c r="CJ165" s="167"/>
      <c r="CK165" s="156">
        <f>(Table7[[#This Row],[R_AC (mW)]]+Table7[[#This Row],[R_SR (mW)]]+Table7[[#This Row],[Inductor Loss (mW)]])/10^3</f>
        <v>1.1555156250000004E-2</v>
      </c>
      <c r="CL165" s="156">
        <f ca="1">Table7[[#This Row],[Total (mW) C]]/10^3</f>
        <v>0.99169840186822722</v>
      </c>
      <c r="CM165" s="156">
        <f ca="1">Table7[[#This Row],[Total Sense Loss C]]+Table7[[#This Row],[Total MOSFET Loss C]]</f>
        <v>1.0032535581182271</v>
      </c>
      <c r="CN165" s="161">
        <f ca="1">IF(Table7[[#This Row],[POUT (W)]]=0,0,(Table7[[#This Row],[POUT (W)]])/(Table7[[#This Row],[POUT (W)]]+Table7[[#This Row],[Total Power Loss (W) C]]))*100</f>
        <v>84.332128206194895</v>
      </c>
      <c r="CO165" s="167"/>
      <c r="CP165" s="161">
        <f>IF(MOSFET_S=Custom_MOSFET,Table7[[#This Row],[Total Sense Loss C]],Table7[[#This Row],[Total Sense Loss]])</f>
        <v>1.1555156250000004E-2</v>
      </c>
      <c r="CQ165" s="161">
        <f ca="1">IF(MOSFET_S=Custom_MOSFET,Table7[[#This Row],[Total MOSFET Loss C]],Table7[[#This Row],[Total MOSFET Loss]])</f>
        <v>2.2086117202178044</v>
      </c>
      <c r="CR165" s="161">
        <f ca="1">IF(MOSFET_S=Custom_MOSFET,Table7[[#This Row],[Efficiency C]],Table7[[#This Row],[Efficiency]])</f>
        <v>70.864589812015723</v>
      </c>
      <c r="CS165" s="167"/>
      <c r="CT165" s="161">
        <f>IF(MOSFET_S=Compare_MOSFET, Table7[[#This Row],[Total Sense Loss C]], -100)</f>
        <v>-100</v>
      </c>
      <c r="CU165" s="161">
        <f>IF(MOSFET_S=Compare_MOSFET, Table7[[#This Row],[Total MOSFET Loss C]], -100)</f>
        <v>-100</v>
      </c>
      <c r="CV165" s="161">
        <f>IF(MOSFET_S=Compare_MOSFET, Table7[[#This Row],[Efficiency C]], -100)</f>
        <v>-100</v>
      </c>
      <c r="CW165" s="167"/>
      <c r="CX165" s="161">
        <f ca="1">IF(Save_Sel=CLR_Save,  Table7[[#This Row],[Total Sense Loss P1]], Table7[[#This Row],[Total Sense Loss P1 Saved]])</f>
        <v>1.1555156250000004E-2</v>
      </c>
      <c r="CY165" s="161">
        <f ca="1">IF(Save_Sel=CLR_Save,  Table7[[#This Row],[Total MOSFET Loss P1]], Table7[[#This Row],[Total MOSFET Loss P1 Saved]] )</f>
        <v>1.4962805141198272</v>
      </c>
      <c r="CZ165" s="161">
        <f ca="1">IF(Save_Sel=CLR_Save, Table7[[#This Row],[Efficiency P1]], Table7[[#This Row],[Efficiency P1 Saved]])</f>
        <v>78.172096987809468</v>
      </c>
      <c r="DA165" s="167"/>
      <c r="DB165" s="161">
        <f ca="1">IF(Save_Sel=CLR_Save,  Table7[[#This Row],[Total Sense Loss P2]], Table7[[#This Row],[Total Sense Loss P2 Saved]])</f>
        <v>1.1555156250000004E-2</v>
      </c>
      <c r="DC165" s="161">
        <f ca="1">IF(Save_Sel=CLR_Save,  Table7[[#This Row],[Total MOSFET Loss P2]], Table7[[#This Row],[Total MOSFET Loss P2 Saved]] )</f>
        <v>0.99255313547966961</v>
      </c>
      <c r="DD165" s="161">
        <f ca="1">IF(Save_Sel=CLR_Save, Table7[[#This Row],[Efficiency P2]], Table7[[#This Row],[Efficiency P2 Saved]])</f>
        <v>84.320872696259926</v>
      </c>
      <c r="DE165" s="167"/>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c r="FH165" s="21"/>
      <c r="FI165" s="21"/>
    </row>
    <row r="166" spans="1:165" x14ac:dyDescent="0.25">
      <c r="A166" s="50">
        <v>7</v>
      </c>
      <c r="B166" s="51"/>
      <c r="C166" s="51"/>
      <c r="D166" s="34" t="s">
        <v>15</v>
      </c>
      <c r="E166" s="132">
        <f ca="1">TI_QGD_H_BU</f>
        <v>8.8000000000000007</v>
      </c>
      <c r="F166" s="132">
        <f ca="1">TI_QGD_L_BU</f>
        <v>8.8000000000000007</v>
      </c>
      <c r="G166" s="44" t="s">
        <v>23</v>
      </c>
      <c r="H166" s="31"/>
      <c r="I166" s="50">
        <v>7</v>
      </c>
      <c r="J166" s="31"/>
      <c r="K166" s="51"/>
      <c r="L166" s="51"/>
      <c r="M166" s="34" t="s">
        <v>15</v>
      </c>
      <c r="N166" s="122">
        <f t="shared" ref="N166:N172" si="18">$E123</f>
        <v>2.9</v>
      </c>
      <c r="O166" s="122">
        <f t="shared" ref="O166:O174" si="19">$F123</f>
        <v>2.9</v>
      </c>
      <c r="P166" s="44" t="s">
        <v>23</v>
      </c>
      <c r="Q166" s="31"/>
      <c r="R166" s="31"/>
      <c r="S166" s="32"/>
      <c r="T166" s="20"/>
      <c r="U166" s="21"/>
      <c r="V166" s="21"/>
      <c r="W166" s="21"/>
      <c r="X166" s="21"/>
      <c r="Y166" s="21"/>
      <c r="Z166" s="21"/>
      <c r="AA166" s="21"/>
      <c r="AB166" s="21"/>
      <c r="AC166" s="21"/>
      <c r="AD166" s="21"/>
      <c r="AE166" s="21"/>
      <c r="AF166" s="154">
        <f t="shared" si="17"/>
        <v>10</v>
      </c>
      <c r="AG166" s="154">
        <f t="shared" si="16"/>
        <v>0.5</v>
      </c>
      <c r="AH166" s="155">
        <f t="shared" si="3"/>
        <v>6</v>
      </c>
      <c r="AI166" s="156">
        <f t="shared" si="4"/>
        <v>0.42857142857142855</v>
      </c>
      <c r="AJ166" s="156">
        <f t="shared" si="5"/>
        <v>0.875</v>
      </c>
      <c r="AK166" s="156">
        <f t="shared" si="6"/>
        <v>0.85714285714285721</v>
      </c>
      <c r="AL166" s="156">
        <f t="shared" si="7"/>
        <v>0.90931264689100111</v>
      </c>
      <c r="AM166" s="157"/>
      <c r="AN166" s="156">
        <f>MAX(0,Table7[[#This Row],[I_L]]-0.5*Table7[[#This Row],[I_L pkpk]])</f>
        <v>0.4464285714285714</v>
      </c>
      <c r="AO166" s="156">
        <f>Table7[[#This Row],[I_L]]+0.5*Table7[[#This Row],[I_L pkpk]]</f>
        <v>1.3035714285714286</v>
      </c>
      <c r="AP166" s="156">
        <f ca="1">IF(VACnom&gt;Vbat, (VGS_S-(TI_MOSFET_S_VTH_H_BU+Table7[[#This Row],[I_L]]/TI_MOSFET_S_gFS_H_BU))/3.4, (VGS_S-(TI_MOSFET_S_VTH_L_BO+Table7[[#This Row],[I_L]]/TI_MOSFET_S_gFS_L_BO))/3.4 )</f>
        <v>2.4244909502262444</v>
      </c>
      <c r="AQ166" s="156">
        <f ca="1">IF(VACnom&gt;Vbat, ((TI_MOSFET_S_VTH_H_BU+Table7[[#This Row],[I_L]]/TI_MOSFET_S_gFS_H_BU))/1, ((TI_MOSFET_S_VTH_L_BO+Table7[[#This Row],[I_L]]/TI_MOSFET_S_gFS_L_BO))/1 )</f>
        <v>1.7567307692307692</v>
      </c>
      <c r="AR166" s="156">
        <f ca="1">IF(VACnom&gt;Vbat, (TI_MOSFET_S_QGD_H_BU+TI_MOSFET_S_QGS_H_BU)*10^-9/Table7[[#This Row],[Ion (A)]], (TI_MOSFET_S_QGD_L_BO+TI_MOSFET_S_QGS_L_BO)*10^-9/Table7[[#This Row],[Ion (A)]])/10^-9</f>
        <v>11.878782223259069</v>
      </c>
      <c r="AS166" s="156">
        <f ca="1">IF(VACnom&gt;Vbat, (TI_MOSFET_S_QGD_H_BU+TI_MOSFET_S_QGS_H_BU)*10^-9/Table7[[#This Row],[Ioff (A)]], (TI_MOSFET_S_QGD_L_BO+TI_MOSFET_S_QGS_L_BO)*10^-9/Table7[[#This Row],[Ioff (A)]])/10^-9</f>
        <v>16.39408866995074</v>
      </c>
      <c r="AT166" s="156">
        <f ca="1" xml:space="preserve"> 0.5*VACnom*Table7[[#This Row],[Ivalley (A)]]*Table7[[#This Row],[ton (ns)]]*10^-9*Fsw*10^3+0.5*VACnom*Table7[[#This Row],[Ipeak (A)]]*Table7[[#This Row],[toff (ns)]]*10^-9*Fsw*10^3/10^-3</f>
        <v>76.95420701541336</v>
      </c>
      <c r="AU166" s="156">
        <f t="shared" ca="1" si="8"/>
        <v>262.8</v>
      </c>
      <c r="AV166" s="156">
        <f t="shared" ca="1" si="9"/>
        <v>648</v>
      </c>
      <c r="AW166" s="156">
        <f t="shared" ca="1" si="10"/>
        <v>554.4</v>
      </c>
      <c r="AX166" s="156">
        <f ca="1">IF(VACnom&gt;Vbat, TI_MOSFET_S_VSD_L_BU*Table7[[#This Row],[Ivalley (A)]]*Fsw*10^3*40*10^-9+TI_MOSFET_S_VSD_L_BU*Table7[[#This Row],[Ipeak (A)]]*Fsw*10^3*30*10^-9, TI_MOSFET_S_VSD_H_BO*Table7[[#This Row],[Ivalley (A)]]*Fsw*10^3*40*10^-9+TI_MOSFET_S_VSD_H_BO*Table7[[#This Row],[Ipeak (A)]]*Fsw*10^3*30*10^-9)/10^-3</f>
        <v>24.60857142857143</v>
      </c>
      <c r="AY166" s="156">
        <f t="shared" ca="1" si="11"/>
        <v>648</v>
      </c>
      <c r="AZ166" s="156">
        <f ca="1">IF(VACnom&lt;Vbat, Table7[[#This Row],[Duty Cycle]]*Table7[[#This Row],[I_L RMS]]^2*TI_MOSFET_S_RDSON_H_BU*10^-3, (1-Table7[[#This Row],[Duty Cycle]])*Table7[[#This Row],[I_L RMS]]^2*TI_MOSFET_S_RDSON_H_BO*10^-3)/10^-3</f>
        <v>0.99221938775510199</v>
      </c>
      <c r="BA166" s="156">
        <f ca="1">IF(VACnom&gt;Vbat, Table7[[#This Row],[PIV (mW)]]+Table7[[#This Row],[Pqoss (mW)]]+Table7[[#This Row],[Pgate_top (mW)]], Table7[[#This Row],[PRR (mW)]]+Table7[[#This Row],[Pdead (mW)]]+Table7[[#This Row],[Pgate_top (mW)]])</f>
        <v>1227.0085714285715</v>
      </c>
      <c r="BB166" s="156">
        <f ca="1">Table7[[#This Row],[Pcon_top (mW)]]+Table7[[#This Row],[Psw_top (mW)]]</f>
        <v>1228.0007908163266</v>
      </c>
      <c r="BC166" s="156">
        <f ca="1">IF(VACnom&gt;Vbat, (1-Table7[[#This Row],[Duty Cycle]])*Table7[[#This Row],[I_L RMS]]^2*TI_MOSFET_S_RDSON_L_BU*10^-3, Table7[[#This Row],[Duty Cycle]]*Table7[[#This Row],[I_L RMS]]^2*TI_MOSFET_S_RDSON_L_BO*10^-3)/10^-3</f>
        <v>0.99221938775510199</v>
      </c>
      <c r="BD166" s="156">
        <f ca="1">IF(VACnom&gt;Vbat, Table7[[#This Row],[PRR (mW)]]+Table7[[#This Row],[Pdead (mW)]]+Table7[[#This Row],[Pgate_bottom (mW)]], Table7[[#This Row],[PIV (mW)]]+Table7[[#This Row],[Pqoss (mW)]]+Table7[[#This Row],[Pgate_bottom (mW)]])</f>
        <v>987.75420701541339</v>
      </c>
      <c r="BE166" s="158">
        <f ca="1">Table7[[#This Row],[Pcon_bottom (mW)]]+Table7[[#This Row],[Psw_bottom (mW)]]</f>
        <v>988.74642640316847</v>
      </c>
      <c r="BF166" s="164">
        <f ca="1">Table7[[#This Row],[Pbottom (mW)]]+Table7[[#This Row],[Ptop (mW)]]</f>
        <v>2216.7472172194948</v>
      </c>
      <c r="BG166" s="153"/>
      <c r="BH166" s="156">
        <f>MAX(0,Table7[[#This Row],[I_L]]-0.5*Table7[[#This Row],[I_L pkpk]])</f>
        <v>0.4464285714285714</v>
      </c>
      <c r="BI166" s="156">
        <f>Table7[[#This Row],[I_L]]+0.5*Table7[[#This Row],[I_L pkpk]]</f>
        <v>1.3035714285714286</v>
      </c>
      <c r="BJ166" s="156">
        <f>IF(VACnom&gt;Vbat, (VGS_S-(C_MOSFET_S_VTH_H_BU+Table7[[#This Row],[I_L]]/C_MOSFET_S_gFS_H_BU))/3.4, (VGS_S-(C_MOSFET_S_VTH_L_BO+Table7[[#This Row],[I_L]]/C_MOSFET_S_gFS_L_BO))/3.4 )</f>
        <v>2.3512254901960783</v>
      </c>
      <c r="BK166" s="156">
        <f>IF(VACnom&gt;Vbat, ((C_MOSFET_S_VTH_H_BU+Table7[[#This Row],[I_L]]/C_MOSFET_S_gFS_H_BU))/1, ((C_MOSFET_S_VTH_L_BO+Table7[[#This Row],[I_L]]/C_MOSFET_S_gFS_L_BO))/1 )</f>
        <v>2.0058333333333334</v>
      </c>
      <c r="BL166" s="156">
        <f>IF(VACnom&gt;Vbat, (C_MOSFET_S_QGD_H_BU+C_MOSFET_S_QGS_H_BU)*10^-9/Table7[[#This Row],[Ion (A) C]], (C_MOSFET_S_QGD_L_BO+C_MOSFET_S_QGS_L_BO)*10^-9/Table7[[#This Row],[Ion (A) C]])/10^-9</f>
        <v>2.7645157927655584</v>
      </c>
      <c r="BM166" s="156">
        <f>IF(VACnom&gt;Vbat, (C_MOSFET_S_QGD_H_BU+C_MOSFET_S_QGS_H_BU)*10^-9/Table7[[#This Row],[Ioff (A) C]], (C_MOSFET_S_QGD_L_BO+C_MOSFET_S_QGS_L_BO)*10^-9/Table7[[#This Row],[Ioff (A) C]])/10^-9</f>
        <v>3.2405484004985459</v>
      </c>
      <c r="BN166" s="156">
        <f xml:space="preserve"> 0.5*VACnom*Table7[[#This Row],[Ivalley (A) C]]*Table7[[#This Row],[ton (ns) C]]*10^-9*Fsw*10^3+0.5*VACnom*Table7[[#This Row],[Ipeak (A) C]]*Table7[[#This Row],[toff (ns) C]]*10^-9*Fsw*10^3/10^-3</f>
        <v>15.211873679863691</v>
      </c>
      <c r="BO166" s="156">
        <f t="shared" si="12"/>
        <v>129.6</v>
      </c>
      <c r="BP166" s="156">
        <f t="shared" ca="1" si="13"/>
        <v>291.59999999999997</v>
      </c>
      <c r="BQ166" s="156">
        <f t="shared" si="14"/>
        <v>237.6</v>
      </c>
      <c r="BR166" s="156">
        <f>IF(VACnom&gt;Vbat, C_MOSFET_S_VSD_L_BU*Table7[[#This Row],[Ivalley (A) C]]*Fsw*10^3*40*10^-9+C_MOSFET_S_VSD_L_BU*Table7[[#This Row],[Ipeak (A) C]]*Fsw*10^3*30*10^-9, C_MOSFET_S_VSD_H_BO*Table7[[#This Row],[Ivalley (A) C]]*Fsw*10^3*40*10^-9+C_MOSFET_S_VSD_H_BO*Table7[[#This Row],[Ipeak (A) C]]*Fsw*10^3*30*10^-9)/10^-3</f>
        <v>27.342857142857149</v>
      </c>
      <c r="BS166" s="156">
        <f t="shared" ca="1" si="15"/>
        <v>291.59999999999997</v>
      </c>
      <c r="BT166" s="156">
        <f>IF(VACnom&lt;Vbat, Table7[[#This Row],[Duty Cycle]]*Table7[[#This Row],[I_L RMS]]^2*C_MOSFET_S_RDSON_H_BU*10^-3, (1-Table7[[#This Row],[Duty Cycle]])*Table7[[#This Row],[I_L RMS]]^2*C_MOSFET_S_RDSON_H_BO*10^-3)/10^-3</f>
        <v>2.0198751822157437</v>
      </c>
      <c r="BU166" s="156">
        <f ca="1">IF(VACnom&gt;Vbat, Table7[[#This Row],[PIV (mW) C]]+Table7[[#This Row],[PQoss (mW) C]]+Table7[[#This Row],[Pgate_top (mW) C]], Table7[[#This Row],[PRR (mW) C]]+Table7[[#This Row],[Pdead (mW) C]]+Table7[[#This Row],[Pgate_top (mW) C]])</f>
        <v>556.54285714285709</v>
      </c>
      <c r="BV166" s="156">
        <f ca="1">Table7[[#This Row],[Pcon_top (mW) C]]+Table7[[#This Row],[Psw_top (mW) C]]</f>
        <v>558.56273232507283</v>
      </c>
      <c r="BW166" s="156">
        <f ca="1">IF(VACnom&gt;Vbat, (1-Table7[[#This Row],[Duty Cycle]])*Table7[[#This Row],[I_L RMS]]^2*C_MOSFET_S_RDSON_L_BU*10^-3, Table7[[#This Row],[Duty Cycle]]*Table7[[#This Row],[I_L RMS]]^2*C_MOSFET_S_RDSON_L_BO*10^-3)/10^-3</f>
        <v>1.2579924380466472</v>
      </c>
      <c r="BX166" s="156">
        <f ca="1">IF(VACnom&gt;Vbat, Table7[[#This Row],[PRR (mW) C]]+Table7[[#This Row],[Pdead (mW) C]]+Table7[[#This Row],[Pgate_bottom (mW) C]], Table7[[#This Row],[PIV (mW) C]]+Table7[[#This Row],[PQoss (mW) C]]+Table7[[#This Row],[Pgate_bottom (mW) C]])</f>
        <v>436.41187367986367</v>
      </c>
      <c r="BY166" s="156">
        <f ca="1">Table7[[#This Row],[Pcon_bottom (mW) C]]+Table7[[#This Row],[Psw_bottom (mV) C]]</f>
        <v>437.66986611791032</v>
      </c>
      <c r="BZ166" s="156">
        <f ca="1">Table7[[#This Row],[Pbottom (mW) C]]+Table7[[#This Row],[Ptop (mW) C]]</f>
        <v>996.23259844298309</v>
      </c>
      <c r="CA166" s="159"/>
      <c r="CB166" s="160">
        <f>(RAC_SNS*10^-3*(Table7[[#This Row],[IOUT (A)]]*Vbat/VACnom)^2/10^-3)</f>
        <v>3.828125</v>
      </c>
      <c r="CC166" s="160">
        <f>(RBAT_SNS*10^-3*Table7[[#This Row],[IOUT (A)]]^2)/10^-3</f>
        <v>1.25</v>
      </c>
      <c r="CD166" s="160">
        <f>IF(VACnom&gt;Vbat,(L_DRC*10^-3*(Table7[[#This Row],[IOUT (A)]])^2/10^-3),(L_DRC*10^-3*(Table7[[#This Row],[IOUT (A)]]*Vbat/VACnom)^2/10^-3))</f>
        <v>9.1875</v>
      </c>
      <c r="CE166" s="166"/>
      <c r="CF166" s="156">
        <f>(Table7[[#This Row],[R_AC (mW)]]+Table7[[#This Row],[R_SR (mW)]]+Table7[[#This Row],[Inductor Loss (mW)]])/10^3</f>
        <v>1.4265625000000001E-2</v>
      </c>
      <c r="CG166" s="156">
        <f ca="1">Table7[[#This Row],[Total TI (mW)]]/10^3</f>
        <v>2.2167472172194946</v>
      </c>
      <c r="CH166" s="156">
        <f ca="1">Table7[[#This Row],[Total Sense Loss]]+Table7[[#This Row],[Total MOSFET Loss]]</f>
        <v>2.2310128422194948</v>
      </c>
      <c r="CI166" s="161">
        <f ca="1">IF(Table7[[#This Row],[POUT (W)]]=0,0,(Table7[[#This Row],[POUT (W)]])/(Table7[[#This Row],[POUT (W)]]+Table7[[#This Row],[Total Power Loss (W)]]))*100</f>
        <v>72.89503873963217</v>
      </c>
      <c r="CJ166" s="167"/>
      <c r="CK166" s="156">
        <f>(Table7[[#This Row],[R_AC (mW)]]+Table7[[#This Row],[R_SR (mW)]]+Table7[[#This Row],[Inductor Loss (mW)]])/10^3</f>
        <v>1.4265625000000001E-2</v>
      </c>
      <c r="CL166" s="156">
        <f ca="1">Table7[[#This Row],[Total (mW) C]]/10^3</f>
        <v>0.99623259844298306</v>
      </c>
      <c r="CM166" s="156">
        <f ca="1">Table7[[#This Row],[Total Sense Loss C]]+Table7[[#This Row],[Total MOSFET Loss C]]</f>
        <v>1.0104982234429831</v>
      </c>
      <c r="CN166" s="161">
        <f ca="1">IF(Table7[[#This Row],[POUT (W)]]=0,0,(Table7[[#This Row],[POUT (W)]])/(Table7[[#This Row],[POUT (W)]]+Table7[[#This Row],[Total Power Loss (W) C]]))*100</f>
        <v>85.585928542654855</v>
      </c>
      <c r="CO166" s="167"/>
      <c r="CP166" s="161">
        <f>IF(MOSFET_S=Custom_MOSFET,Table7[[#This Row],[Total Sense Loss C]],Table7[[#This Row],[Total Sense Loss]])</f>
        <v>1.4265625000000001E-2</v>
      </c>
      <c r="CQ166" s="161">
        <f ca="1">IF(MOSFET_S=Custom_MOSFET,Table7[[#This Row],[Total MOSFET Loss C]],Table7[[#This Row],[Total MOSFET Loss]])</f>
        <v>2.2167472172194946</v>
      </c>
      <c r="CR166" s="161">
        <f ca="1">IF(MOSFET_S=Custom_MOSFET,Table7[[#This Row],[Efficiency C]],Table7[[#This Row],[Efficiency]])</f>
        <v>72.89503873963217</v>
      </c>
      <c r="CS166" s="167"/>
      <c r="CT166" s="161">
        <f>IF(MOSFET_S=Compare_MOSFET, Table7[[#This Row],[Total Sense Loss C]], -100)</f>
        <v>-100</v>
      </c>
      <c r="CU166" s="161">
        <f>IF(MOSFET_S=Compare_MOSFET, Table7[[#This Row],[Total MOSFET Loss C]], -100)</f>
        <v>-100</v>
      </c>
      <c r="CV166" s="161">
        <f>IF(MOSFET_S=Compare_MOSFET, Table7[[#This Row],[Efficiency C]], -100)</f>
        <v>-100</v>
      </c>
      <c r="CW166" s="167"/>
      <c r="CX166" s="161">
        <f ca="1">IF(Save_Sel=CLR_Save,  Table7[[#This Row],[Total Sense Loss P1]], Table7[[#This Row],[Total Sense Loss P1 Saved]])</f>
        <v>1.4265625000000001E-2</v>
      </c>
      <c r="CY166" s="161">
        <f ca="1">IF(Save_Sel=CLR_Save,  Table7[[#This Row],[Total MOSFET Loss P1]], Table7[[#This Row],[Total MOSFET Loss P1 Saved]] )</f>
        <v>1.5045170388013294</v>
      </c>
      <c r="CZ166" s="161">
        <f ca="1">IF(Save_Sel=CLR_Save, Table7[[#This Row],[Efficiency P1]], Table7[[#This Row],[Efficiency P1 Saved]])</f>
        <v>79.80015207630079</v>
      </c>
      <c r="DA166" s="167"/>
      <c r="DB166" s="161">
        <f ca="1">IF(Save_Sel=CLR_Save,  Table7[[#This Row],[Total Sense Loss P2]], Table7[[#This Row],[Total Sense Loss P2 Saved]])</f>
        <v>1.4265625000000001E-2</v>
      </c>
      <c r="DC166" s="161">
        <f ca="1">IF(Save_Sel=CLR_Save,  Table7[[#This Row],[Total MOSFET Loss P2]], Table7[[#This Row],[Total MOSFET Loss P2 Saved]] )</f>
        <v>0.99727005163602211</v>
      </c>
      <c r="DD166" s="161">
        <f ca="1">IF(Save_Sel=CLR_Save, Table7[[#This Row],[Efficiency P2]], Table7[[#This Row],[Efficiency P2 Saved]])</f>
        <v>85.573264926730943</v>
      </c>
      <c r="DE166" s="167"/>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c r="FH166" s="21"/>
      <c r="FI166" s="21"/>
    </row>
    <row r="167" spans="1:165" x14ac:dyDescent="0.25">
      <c r="A167" s="50">
        <v>8</v>
      </c>
      <c r="B167" s="51"/>
      <c r="C167" s="51"/>
      <c r="D167" s="34" t="s">
        <v>16</v>
      </c>
      <c r="E167" s="132">
        <f t="shared" ref="E167:E172" ca="1" si="20">$N124</f>
        <v>20</v>
      </c>
      <c r="F167" s="132">
        <f t="shared" ref="F167:F174" ca="1" si="21">$O124</f>
        <v>20</v>
      </c>
      <c r="G167" s="44" t="s">
        <v>23</v>
      </c>
      <c r="H167" s="31"/>
      <c r="I167" s="50">
        <v>8</v>
      </c>
      <c r="J167" s="31"/>
      <c r="K167" s="51"/>
      <c r="L167" s="51"/>
      <c r="M167" s="34" t="s">
        <v>16</v>
      </c>
      <c r="N167" s="122">
        <f t="shared" si="18"/>
        <v>3.3</v>
      </c>
      <c r="O167" s="122">
        <f t="shared" si="19"/>
        <v>3.3</v>
      </c>
      <c r="P167" s="44" t="s">
        <v>23</v>
      </c>
      <c r="Q167" s="31"/>
      <c r="R167" s="31"/>
      <c r="S167" s="32"/>
      <c r="T167" s="20"/>
      <c r="U167" s="21"/>
      <c r="V167" s="21"/>
      <c r="W167" s="21"/>
      <c r="X167" s="21"/>
      <c r="Y167" s="21"/>
      <c r="Z167" s="21"/>
      <c r="AA167" s="21"/>
      <c r="AB167" s="21"/>
      <c r="AC167" s="21"/>
      <c r="AD167" s="21"/>
      <c r="AE167" s="21"/>
      <c r="AF167" s="154">
        <f t="shared" si="17"/>
        <v>11</v>
      </c>
      <c r="AG167" s="154">
        <f t="shared" si="16"/>
        <v>0.55000000000000004</v>
      </c>
      <c r="AH167" s="155">
        <f t="shared" si="3"/>
        <v>6.6000000000000005</v>
      </c>
      <c r="AI167" s="156">
        <f t="shared" si="4"/>
        <v>0.42857142857142855</v>
      </c>
      <c r="AJ167" s="156">
        <f t="shared" si="5"/>
        <v>0.96250000000000013</v>
      </c>
      <c r="AK167" s="156">
        <f t="shared" si="6"/>
        <v>0.85714285714285721</v>
      </c>
      <c r="AL167" s="156">
        <f t="shared" si="7"/>
        <v>0.99379612587085409</v>
      </c>
      <c r="AM167" s="157"/>
      <c r="AN167" s="156">
        <f>MAX(0,Table7[[#This Row],[I_L]]-0.5*Table7[[#This Row],[I_L pkpk]])</f>
        <v>0.53392857142857153</v>
      </c>
      <c r="AO167" s="156">
        <f>Table7[[#This Row],[I_L]]+0.5*Table7[[#This Row],[I_L pkpk]]</f>
        <v>1.3910714285714287</v>
      </c>
      <c r="AP167" s="156">
        <f ca="1">IF(VACnom&gt;Vbat, (VGS_S-(TI_MOSFET_S_VTH_H_BU+Table7[[#This Row],[I_L]]/TI_MOSFET_S_gFS_H_BU))/3.4, (VGS_S-(TI_MOSFET_S_VTH_L_BO+Table7[[#This Row],[I_L]]/TI_MOSFET_S_gFS_L_BO))/3.4 )</f>
        <v>2.4242929864253395</v>
      </c>
      <c r="AQ167" s="156">
        <f ca="1">IF(VACnom&gt;Vbat, ((TI_MOSFET_S_VTH_H_BU+Table7[[#This Row],[I_L]]/TI_MOSFET_S_gFS_H_BU))/1, ((TI_MOSFET_S_VTH_L_BO+Table7[[#This Row],[I_L]]/TI_MOSFET_S_gFS_L_BO))/1 )</f>
        <v>1.7574038461538461</v>
      </c>
      <c r="AR167" s="156">
        <f ca="1">IF(VACnom&gt;Vbat, (TI_MOSFET_S_QGD_H_BU+TI_MOSFET_S_QGS_H_BU)*10^-9/Table7[[#This Row],[Ion (A)]], (TI_MOSFET_S_QGD_L_BO+TI_MOSFET_S_QGS_L_BO)*10^-9/Table7[[#This Row],[Ion (A)]])/10^-9</f>
        <v>11.879752225190439</v>
      </c>
      <c r="AS167" s="156">
        <f ca="1">IF(VACnom&gt;Vbat, (TI_MOSFET_S_QGD_H_BU+TI_MOSFET_S_QGS_H_BU)*10^-9/Table7[[#This Row],[Ioff (A)]], (TI_MOSFET_S_QGD_L_BO+TI_MOSFET_S_QGS_L_BO)*10^-9/Table7[[#This Row],[Ioff (A)]])/10^-9</f>
        <v>16.387809815615256</v>
      </c>
      <c r="AT167" s="156">
        <f ca="1" xml:space="preserve"> 0.5*VACnom*Table7[[#This Row],[Ivalley (A)]]*Table7[[#This Row],[ton (ns)]]*10^-9*Fsw*10^3+0.5*VACnom*Table7[[#This Row],[Ipeak (A)]]*Table7[[#This Row],[toff (ns)]]*10^-9*Fsw*10^3/10^-3</f>
        <v>82.090645021797542</v>
      </c>
      <c r="AU167" s="156">
        <f t="shared" ca="1" si="8"/>
        <v>262.8</v>
      </c>
      <c r="AV167" s="156">
        <f t="shared" ca="1" si="9"/>
        <v>648</v>
      </c>
      <c r="AW167" s="156">
        <f t="shared" ca="1" si="10"/>
        <v>554.4</v>
      </c>
      <c r="AX167" s="156">
        <f ca="1">IF(VACnom&gt;Vbat, TI_MOSFET_S_VSD_L_BU*Table7[[#This Row],[Ivalley (A)]]*Fsw*10^3*40*10^-9+TI_MOSFET_S_VSD_L_BU*Table7[[#This Row],[Ipeak (A)]]*Fsw*10^3*30*10^-9, TI_MOSFET_S_VSD_H_BO*Table7[[#This Row],[Ivalley (A)]]*Fsw*10^3*40*10^-9+TI_MOSFET_S_VSD_H_BO*Table7[[#This Row],[Ipeak (A)]]*Fsw*10^3*30*10^-9)/10^-3</f>
        <v>27.254571428571435</v>
      </c>
      <c r="AY167" s="156">
        <f t="shared" ca="1" si="11"/>
        <v>648</v>
      </c>
      <c r="AZ167" s="156">
        <f ca="1">IF(VACnom&lt;Vbat, Table7[[#This Row],[Duty Cycle]]*Table7[[#This Row],[I_L RMS]]^2*TI_MOSFET_S_RDSON_H_BU*10^-3, (1-Table7[[#This Row],[Duty Cycle]])*Table7[[#This Row],[I_L RMS]]^2*TI_MOSFET_S_RDSON_H_BO*10^-3)/10^-3</f>
        <v>1.185156887755102</v>
      </c>
      <c r="BA167" s="156">
        <f ca="1">IF(VACnom&gt;Vbat, Table7[[#This Row],[PIV (mW)]]+Table7[[#This Row],[Pqoss (mW)]]+Table7[[#This Row],[Pgate_top (mW)]], Table7[[#This Row],[PRR (mW)]]+Table7[[#This Row],[Pdead (mW)]]+Table7[[#This Row],[Pgate_top (mW)]])</f>
        <v>1229.6545714285714</v>
      </c>
      <c r="BB167" s="156">
        <f ca="1">Table7[[#This Row],[Pcon_top (mW)]]+Table7[[#This Row],[Psw_top (mW)]]</f>
        <v>1230.8397283163265</v>
      </c>
      <c r="BC167" s="156">
        <f ca="1">IF(VACnom&gt;Vbat, (1-Table7[[#This Row],[Duty Cycle]])*Table7[[#This Row],[I_L RMS]]^2*TI_MOSFET_S_RDSON_L_BU*10^-3, Table7[[#This Row],[Duty Cycle]]*Table7[[#This Row],[I_L RMS]]^2*TI_MOSFET_S_RDSON_L_BO*10^-3)/10^-3</f>
        <v>1.185156887755102</v>
      </c>
      <c r="BD167" s="156">
        <f ca="1">IF(VACnom&gt;Vbat, Table7[[#This Row],[PRR (mW)]]+Table7[[#This Row],[Pdead (mW)]]+Table7[[#This Row],[Pgate_bottom (mW)]], Table7[[#This Row],[PIV (mW)]]+Table7[[#This Row],[Pqoss (mW)]]+Table7[[#This Row],[Pgate_bottom (mW)]])</f>
        <v>992.89064502179758</v>
      </c>
      <c r="BE167" s="158">
        <f ca="1">Table7[[#This Row],[Pcon_bottom (mW)]]+Table7[[#This Row],[Psw_bottom (mW)]]</f>
        <v>994.07580190955264</v>
      </c>
      <c r="BF167" s="164">
        <f ca="1">Table7[[#This Row],[Pbottom (mW)]]+Table7[[#This Row],[Ptop (mW)]]</f>
        <v>2224.9155302258791</v>
      </c>
      <c r="BG167" s="153"/>
      <c r="BH167" s="156">
        <f>MAX(0,Table7[[#This Row],[I_L]]-0.5*Table7[[#This Row],[I_L pkpk]])</f>
        <v>0.53392857142857153</v>
      </c>
      <c r="BI167" s="156">
        <f>Table7[[#This Row],[I_L]]+0.5*Table7[[#This Row],[I_L pkpk]]</f>
        <v>1.3910714285714287</v>
      </c>
      <c r="BJ167" s="156">
        <f>IF(VACnom&gt;Vbat, (VGS_S-(C_MOSFET_S_VTH_H_BU+Table7[[#This Row],[I_L]]/C_MOSFET_S_gFS_H_BU))/3.4, (VGS_S-(C_MOSFET_S_VTH_L_BO+Table7[[#This Row],[I_L]]/C_MOSFET_S_gFS_L_BO))/3.4 )</f>
        <v>2.3510539215686275</v>
      </c>
      <c r="BK167" s="156">
        <f>IF(VACnom&gt;Vbat, ((C_MOSFET_S_VTH_H_BU+Table7[[#This Row],[I_L]]/C_MOSFET_S_gFS_H_BU))/1, ((C_MOSFET_S_VTH_L_BO+Table7[[#This Row],[I_L]]/C_MOSFET_S_gFS_L_BO))/1 )</f>
        <v>2.0064166666666665</v>
      </c>
      <c r="BL167" s="156">
        <f>IF(VACnom&gt;Vbat, (C_MOSFET_S_QGD_H_BU+C_MOSFET_S_QGS_H_BU)*10^-9/Table7[[#This Row],[Ion (A) C]], (C_MOSFET_S_QGD_L_BO+C_MOSFET_S_QGS_L_BO)*10^-9/Table7[[#This Row],[Ion (A) C]])/10^-9</f>
        <v>2.7647175338552796</v>
      </c>
      <c r="BM167" s="156">
        <f>IF(VACnom&gt;Vbat, (C_MOSFET_S_QGD_H_BU+C_MOSFET_S_QGS_H_BU)*10^-9/Table7[[#This Row],[Ioff (A) C]], (C_MOSFET_S_QGD_L_BO+C_MOSFET_S_QGS_L_BO)*10^-9/Table7[[#This Row],[Ioff (A) C]])/10^-9</f>
        <v>3.2396062632387759</v>
      </c>
      <c r="BN167" s="156">
        <f xml:space="preserve"> 0.5*VACnom*Table7[[#This Row],[Ivalley (A) C]]*Table7[[#This Row],[ton (ns) C]]*10^-9*Fsw*10^3+0.5*VACnom*Table7[[#This Row],[Ipeak (A) C]]*Table7[[#This Row],[toff (ns) C]]*10^-9*Fsw*10^3/10^-3</f>
        <v>16.228799547464757</v>
      </c>
      <c r="BO167" s="156">
        <f t="shared" si="12"/>
        <v>129.6</v>
      </c>
      <c r="BP167" s="156">
        <f t="shared" ca="1" si="13"/>
        <v>291.59999999999997</v>
      </c>
      <c r="BQ167" s="156">
        <f t="shared" si="14"/>
        <v>237.6</v>
      </c>
      <c r="BR167" s="156">
        <f>IF(VACnom&gt;Vbat, C_MOSFET_S_VSD_L_BU*Table7[[#This Row],[Ivalley (A) C]]*Fsw*10^3*40*10^-9+C_MOSFET_S_VSD_L_BU*Table7[[#This Row],[Ipeak (A) C]]*Fsw*10^3*30*10^-9, C_MOSFET_S_VSD_H_BO*Table7[[#This Row],[Ivalley (A) C]]*Fsw*10^3*40*10^-9+C_MOSFET_S_VSD_H_BO*Table7[[#This Row],[Ipeak (A) C]]*Fsw*10^3*30*10^-9)/10^-3</f>
        <v>30.28285714285715</v>
      </c>
      <c r="BS167" s="156">
        <f t="shared" ca="1" si="15"/>
        <v>291.59999999999997</v>
      </c>
      <c r="BT167" s="156">
        <f>IF(VACnom&lt;Vbat, Table7[[#This Row],[Duty Cycle]]*Table7[[#This Row],[I_L RMS]]^2*C_MOSFET_S_RDSON_H_BU*10^-3, (1-Table7[[#This Row],[Duty Cycle]])*Table7[[#This Row],[I_L RMS]]^2*C_MOSFET_S_RDSON_H_BO*10^-3)/10^-3</f>
        <v>2.4126408072157437</v>
      </c>
      <c r="BU167" s="156">
        <f ca="1">IF(VACnom&gt;Vbat, Table7[[#This Row],[PIV (mW) C]]+Table7[[#This Row],[PQoss (mW) C]]+Table7[[#This Row],[Pgate_top (mW) C]], Table7[[#This Row],[PRR (mW) C]]+Table7[[#This Row],[Pdead (mW) C]]+Table7[[#This Row],[Pgate_top (mW) C]])</f>
        <v>559.48285714285703</v>
      </c>
      <c r="BV167" s="156">
        <f ca="1">Table7[[#This Row],[Pcon_top (mW) C]]+Table7[[#This Row],[Psw_top (mW) C]]</f>
        <v>561.89549795007281</v>
      </c>
      <c r="BW167" s="156">
        <f ca="1">IF(VACnom&gt;Vbat, (1-Table7[[#This Row],[Duty Cycle]])*Table7[[#This Row],[I_L RMS]]^2*C_MOSFET_S_RDSON_L_BU*10^-3, Table7[[#This Row],[Duty Cycle]]*Table7[[#This Row],[I_L RMS]]^2*C_MOSFET_S_RDSON_L_BO*10^-3)/10^-3</f>
        <v>1.5026096255466472</v>
      </c>
      <c r="BX167" s="156">
        <f ca="1">IF(VACnom&gt;Vbat, Table7[[#This Row],[PRR (mW) C]]+Table7[[#This Row],[Pdead (mW) C]]+Table7[[#This Row],[Pgate_bottom (mW) C]], Table7[[#This Row],[PIV (mW) C]]+Table7[[#This Row],[PQoss (mW) C]]+Table7[[#This Row],[Pgate_bottom (mW) C]])</f>
        <v>437.42879954746468</v>
      </c>
      <c r="BY167" s="156">
        <f ca="1">Table7[[#This Row],[Pcon_bottom (mW) C]]+Table7[[#This Row],[Psw_bottom (mV) C]]</f>
        <v>438.93140917301133</v>
      </c>
      <c r="BZ167" s="156">
        <f ca="1">Table7[[#This Row],[Pbottom (mW) C]]+Table7[[#This Row],[Ptop (mW) C]]</f>
        <v>1000.8269071230841</v>
      </c>
      <c r="CA167" s="159"/>
      <c r="CB167" s="160">
        <f>(RAC_SNS*10^-3*(Table7[[#This Row],[IOUT (A)]]*Vbat/VACnom)^2/10^-3)</f>
        <v>4.6320312500000007</v>
      </c>
      <c r="CC167" s="160">
        <f>(RBAT_SNS*10^-3*Table7[[#This Row],[IOUT (A)]]^2)/10^-3</f>
        <v>1.5125000000000002</v>
      </c>
      <c r="CD167" s="160">
        <f>IF(VACnom&gt;Vbat,(L_DRC*10^-3*(Table7[[#This Row],[IOUT (A)]])^2/10^-3),(L_DRC*10^-3*(Table7[[#This Row],[IOUT (A)]]*Vbat/VACnom)^2/10^-3))</f>
        <v>11.116875000000002</v>
      </c>
      <c r="CE167" s="166"/>
      <c r="CF167" s="156">
        <f>(Table7[[#This Row],[R_AC (mW)]]+Table7[[#This Row],[R_SR (mW)]]+Table7[[#This Row],[Inductor Loss (mW)]])/10^3</f>
        <v>1.7261406250000003E-2</v>
      </c>
      <c r="CG167" s="156">
        <f ca="1">Table7[[#This Row],[Total TI (mW)]]/10^3</f>
        <v>2.224915530225879</v>
      </c>
      <c r="CH167" s="156">
        <f ca="1">Table7[[#This Row],[Total Sense Loss]]+Table7[[#This Row],[Total MOSFET Loss]]</f>
        <v>2.2421769364758788</v>
      </c>
      <c r="CI167" s="161">
        <f ca="1">IF(Table7[[#This Row],[POUT (W)]]=0,0,(Table7[[#This Row],[POUT (W)]])/(Table7[[#This Row],[POUT (W)]]+Table7[[#This Row],[Total Power Loss (W)]]))*100</f>
        <v>74.642252099407585</v>
      </c>
      <c r="CJ167" s="167"/>
      <c r="CK167" s="156">
        <f>(Table7[[#This Row],[R_AC (mW)]]+Table7[[#This Row],[R_SR (mW)]]+Table7[[#This Row],[Inductor Loss (mW)]])/10^3</f>
        <v>1.7261406250000003E-2</v>
      </c>
      <c r="CL167" s="156">
        <f ca="1">Table7[[#This Row],[Total (mW) C]]/10^3</f>
        <v>1.000826907123084</v>
      </c>
      <c r="CM167" s="156">
        <f ca="1">Table7[[#This Row],[Total Sense Loss C]]+Table7[[#This Row],[Total MOSFET Loss C]]</f>
        <v>1.018088313373084</v>
      </c>
      <c r="CN167" s="161">
        <f ca="1">IF(Table7[[#This Row],[POUT (W)]]=0,0,(Table7[[#This Row],[POUT (W)]])/(Table7[[#This Row],[POUT (W)]]+Table7[[#This Row],[Total Power Loss (W) C]]))*100</f>
        <v>86.63590822928775</v>
      </c>
      <c r="CO167" s="167"/>
      <c r="CP167" s="161">
        <f>IF(MOSFET_S=Custom_MOSFET,Table7[[#This Row],[Total Sense Loss C]],Table7[[#This Row],[Total Sense Loss]])</f>
        <v>1.7261406250000003E-2</v>
      </c>
      <c r="CQ167" s="161">
        <f ca="1">IF(MOSFET_S=Custom_MOSFET,Table7[[#This Row],[Total MOSFET Loss C]],Table7[[#This Row],[Total MOSFET Loss]])</f>
        <v>2.224915530225879</v>
      </c>
      <c r="CR167" s="161">
        <f ca="1">IF(MOSFET_S=Custom_MOSFET,Table7[[#This Row],[Efficiency C]],Table7[[#This Row],[Efficiency]])</f>
        <v>74.642252099407585</v>
      </c>
      <c r="CS167" s="167"/>
      <c r="CT167" s="161">
        <f>IF(MOSFET_S=Compare_MOSFET, Table7[[#This Row],[Total Sense Loss C]], -100)</f>
        <v>-100</v>
      </c>
      <c r="CU167" s="161">
        <f>IF(MOSFET_S=Compare_MOSFET, Table7[[#This Row],[Total MOSFET Loss C]], -100)</f>
        <v>-100</v>
      </c>
      <c r="CV167" s="161">
        <f>IF(MOSFET_S=Compare_MOSFET, Table7[[#This Row],[Efficiency C]], -100)</f>
        <v>-100</v>
      </c>
      <c r="CW167" s="167"/>
      <c r="CX167" s="161">
        <f ca="1">IF(Save_Sel=CLR_Save,  Table7[[#This Row],[Total Sense Loss P1]], Table7[[#This Row],[Total Sense Loss P1 Saved]])</f>
        <v>1.7261406250000003E-2</v>
      </c>
      <c r="CY167" s="161">
        <f ca="1">IF(Save_Sel=CLR_Save,  Table7[[#This Row],[Total MOSFET Loss P1]], Table7[[#This Row],[Total MOSFET Loss P1 Saved]] )</f>
        <v>1.5127962281505936</v>
      </c>
      <c r="CZ167" s="161">
        <f ca="1">IF(Save_Sel=CLR_Save, Table7[[#This Row],[Efficiency P1]], Table7[[#This Row],[Efficiency P1 Saved]])</f>
        <v>81.180236313129157</v>
      </c>
      <c r="DA167" s="167"/>
      <c r="DB167" s="161">
        <f ca="1">IF(Save_Sel=CLR_Save,  Table7[[#This Row],[Total Sense Loss P2]], Table7[[#This Row],[Total Sense Loss P2 Saved]])</f>
        <v>1.7261406250000003E-2</v>
      </c>
      <c r="DC167" s="161">
        <f ca="1">IF(Save_Sel=CLR_Save,  Table7[[#This Row],[Total MOSFET Loss P2]], Table7[[#This Row],[Total MOSFET Loss P2 Saved]] )</f>
        <v>1.0020661123277081</v>
      </c>
      <c r="DD167" s="161">
        <f ca="1">IF(Save_Sel=CLR_Save, Table7[[#This Row],[Efficiency P2]], Table7[[#This Row],[Efficiency P2 Saved]])</f>
        <v>86.621817790450024</v>
      </c>
      <c r="DE167" s="167"/>
      <c r="DF167" s="21"/>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c r="FH167" s="21"/>
      <c r="FI167" s="21"/>
    </row>
    <row r="168" spans="1:165" x14ac:dyDescent="0.25">
      <c r="A168" s="50">
        <v>9</v>
      </c>
      <c r="B168" s="51"/>
      <c r="C168" s="51"/>
      <c r="D168" s="34" t="s">
        <v>61</v>
      </c>
      <c r="E168" s="132">
        <f t="shared" ca="1" si="20"/>
        <v>73</v>
      </c>
      <c r="F168" s="132">
        <f t="shared" ca="1" si="21"/>
        <v>73</v>
      </c>
      <c r="G168" s="44" t="s">
        <v>23</v>
      </c>
      <c r="H168" s="31"/>
      <c r="I168" s="50">
        <v>9</v>
      </c>
      <c r="J168" s="31"/>
      <c r="K168" s="51"/>
      <c r="L168" s="51"/>
      <c r="M168" s="34" t="s">
        <v>61</v>
      </c>
      <c r="N168" s="122">
        <f t="shared" si="18"/>
        <v>36</v>
      </c>
      <c r="O168" s="122">
        <f t="shared" si="19"/>
        <v>36</v>
      </c>
      <c r="P168" s="44" t="s">
        <v>23</v>
      </c>
      <c r="Q168" s="31"/>
      <c r="R168" s="31"/>
      <c r="S168" s="32"/>
      <c r="T168" s="20"/>
      <c r="U168" s="21"/>
      <c r="V168" s="21"/>
      <c r="W168" s="21"/>
      <c r="X168" s="21"/>
      <c r="Y168" s="21"/>
      <c r="Z168" s="21"/>
      <c r="AA168" s="21"/>
      <c r="AB168" s="21"/>
      <c r="AC168" s="21"/>
      <c r="AD168" s="21"/>
      <c r="AE168" s="21"/>
      <c r="AF168" s="154">
        <f t="shared" si="17"/>
        <v>12</v>
      </c>
      <c r="AG168" s="154">
        <f t="shared" si="16"/>
        <v>0.6</v>
      </c>
      <c r="AH168" s="155">
        <f t="shared" si="3"/>
        <v>7.1999999999999993</v>
      </c>
      <c r="AI168" s="156">
        <f t="shared" si="4"/>
        <v>0.42857142857142855</v>
      </c>
      <c r="AJ168" s="156">
        <f t="shared" si="5"/>
        <v>1.05</v>
      </c>
      <c r="AK168" s="156">
        <f t="shared" si="6"/>
        <v>0.85714285714285721</v>
      </c>
      <c r="AL168" s="156">
        <f t="shared" si="7"/>
        <v>1.0787606267360328</v>
      </c>
      <c r="AM168" s="157"/>
      <c r="AN168" s="156">
        <f>MAX(0,Table7[[#This Row],[I_L]]-0.5*Table7[[#This Row],[I_L pkpk]])</f>
        <v>0.62142857142857144</v>
      </c>
      <c r="AO168" s="156">
        <f>Table7[[#This Row],[I_L]]+0.5*Table7[[#This Row],[I_L pkpk]]</f>
        <v>1.4785714285714286</v>
      </c>
      <c r="AP168" s="156">
        <f ca="1">IF(VACnom&gt;Vbat, (VGS_S-(TI_MOSFET_S_VTH_H_BU+Table7[[#This Row],[I_L]]/TI_MOSFET_S_gFS_H_BU))/3.4, (VGS_S-(TI_MOSFET_S_VTH_L_BO+Table7[[#This Row],[I_L]]/TI_MOSFET_S_gFS_L_BO))/3.4 )</f>
        <v>2.4240950226244347</v>
      </c>
      <c r="AQ168" s="156">
        <f ca="1">IF(VACnom&gt;Vbat, ((TI_MOSFET_S_VTH_H_BU+Table7[[#This Row],[I_L]]/TI_MOSFET_S_gFS_H_BU))/1, ((TI_MOSFET_S_VTH_L_BO+Table7[[#This Row],[I_L]]/TI_MOSFET_S_gFS_L_BO))/1 )</f>
        <v>1.7580769230769231</v>
      </c>
      <c r="AR168" s="156">
        <f ca="1">IF(VACnom&gt;Vbat, (TI_MOSFET_S_QGD_H_BU+TI_MOSFET_S_QGS_H_BU)*10^-9/Table7[[#This Row],[Ion (A)]], (TI_MOSFET_S_QGD_L_BO+TI_MOSFET_S_QGS_L_BO)*10^-9/Table7[[#This Row],[Ion (A)]])/10^-9</f>
        <v>11.880722385552289</v>
      </c>
      <c r="AS168" s="156">
        <f ca="1">IF(VACnom&gt;Vbat, (TI_MOSFET_S_QGD_H_BU+TI_MOSFET_S_QGS_H_BU)*10^-9/Table7[[#This Row],[Ioff (A)]], (TI_MOSFET_S_QGD_L_BO+TI_MOSFET_S_QGS_L_BO)*10^-9/Table7[[#This Row],[Ioff (A)]])/10^-9</f>
        <v>16.381535768978342</v>
      </c>
      <c r="AT168" s="156">
        <f ca="1" xml:space="preserve"> 0.5*VACnom*Table7[[#This Row],[Ivalley (A)]]*Table7[[#This Row],[ton (ns)]]*10^-9*Fsw*10^3+0.5*VACnom*Table7[[#This Row],[Ipeak (A)]]*Table7[[#This Row],[toff (ns)]]*10^-9*Fsw*10^3/10^-3</f>
        <v>87.223153552098694</v>
      </c>
      <c r="AU168" s="156">
        <f t="shared" ca="1" si="8"/>
        <v>262.8</v>
      </c>
      <c r="AV168" s="156">
        <f t="shared" ca="1" si="9"/>
        <v>648</v>
      </c>
      <c r="AW168" s="156">
        <f t="shared" ca="1" si="10"/>
        <v>554.4</v>
      </c>
      <c r="AX168" s="156">
        <f ca="1">IF(VACnom&gt;Vbat, TI_MOSFET_S_VSD_L_BU*Table7[[#This Row],[Ivalley (A)]]*Fsw*10^3*40*10^-9+TI_MOSFET_S_VSD_L_BU*Table7[[#This Row],[Ipeak (A)]]*Fsw*10^3*30*10^-9, TI_MOSFET_S_VSD_H_BO*Table7[[#This Row],[Ivalley (A)]]*Fsw*10^3*40*10^-9+TI_MOSFET_S_VSD_H_BO*Table7[[#This Row],[Ipeak (A)]]*Fsw*10^3*30*10^-9)/10^-3</f>
        <v>29.900571428571432</v>
      </c>
      <c r="AY168" s="156">
        <f t="shared" ca="1" si="11"/>
        <v>648</v>
      </c>
      <c r="AZ168" s="156">
        <f ca="1">IF(VACnom&lt;Vbat, Table7[[#This Row],[Duty Cycle]]*Table7[[#This Row],[I_L RMS]]^2*TI_MOSFET_S_RDSON_H_BU*10^-3, (1-Table7[[#This Row],[Duty Cycle]])*Table7[[#This Row],[I_L RMS]]^2*TI_MOSFET_S_RDSON_H_BO*10^-3)/10^-3</f>
        <v>1.3964693877551018</v>
      </c>
      <c r="BA168" s="156">
        <f ca="1">IF(VACnom&gt;Vbat, Table7[[#This Row],[PIV (mW)]]+Table7[[#This Row],[Pqoss (mW)]]+Table7[[#This Row],[Pgate_top (mW)]], Table7[[#This Row],[PRR (mW)]]+Table7[[#This Row],[Pdead (mW)]]+Table7[[#This Row],[Pgate_top (mW)]])</f>
        <v>1232.3005714285714</v>
      </c>
      <c r="BB168" s="156">
        <f ca="1">Table7[[#This Row],[Pcon_top (mW)]]+Table7[[#This Row],[Psw_top (mW)]]</f>
        <v>1233.6970408163265</v>
      </c>
      <c r="BC168" s="156">
        <f ca="1">IF(VACnom&gt;Vbat, (1-Table7[[#This Row],[Duty Cycle]])*Table7[[#This Row],[I_L RMS]]^2*TI_MOSFET_S_RDSON_L_BU*10^-3, Table7[[#This Row],[Duty Cycle]]*Table7[[#This Row],[I_L RMS]]^2*TI_MOSFET_S_RDSON_L_BO*10^-3)/10^-3</f>
        <v>1.3964693877551018</v>
      </c>
      <c r="BD168" s="156">
        <f ca="1">IF(VACnom&gt;Vbat, Table7[[#This Row],[PRR (mW)]]+Table7[[#This Row],[Pdead (mW)]]+Table7[[#This Row],[Pgate_bottom (mW)]], Table7[[#This Row],[PIV (mW)]]+Table7[[#This Row],[Pqoss (mW)]]+Table7[[#This Row],[Pgate_bottom (mW)]])</f>
        <v>998.02315355209873</v>
      </c>
      <c r="BE168" s="158">
        <f ca="1">Table7[[#This Row],[Pcon_bottom (mW)]]+Table7[[#This Row],[Psw_bottom (mW)]]</f>
        <v>999.41962293985387</v>
      </c>
      <c r="BF168" s="164">
        <f ca="1">Table7[[#This Row],[Pbottom (mW)]]+Table7[[#This Row],[Ptop (mW)]]</f>
        <v>2233.1166637561805</v>
      </c>
      <c r="BG168" s="153"/>
      <c r="BH168" s="156">
        <f>MAX(0,Table7[[#This Row],[I_L]]-0.5*Table7[[#This Row],[I_L pkpk]])</f>
        <v>0.62142857142857144</v>
      </c>
      <c r="BI168" s="156">
        <f>Table7[[#This Row],[I_L]]+0.5*Table7[[#This Row],[I_L pkpk]]</f>
        <v>1.4785714285714286</v>
      </c>
      <c r="BJ168" s="156">
        <f>IF(VACnom&gt;Vbat, (VGS_S-(C_MOSFET_S_VTH_H_BU+Table7[[#This Row],[I_L]]/C_MOSFET_S_gFS_H_BU))/3.4, (VGS_S-(C_MOSFET_S_VTH_L_BO+Table7[[#This Row],[I_L]]/C_MOSFET_S_gFS_L_BO))/3.4 )</f>
        <v>2.3508823529411766</v>
      </c>
      <c r="BK168" s="156">
        <f>IF(VACnom&gt;Vbat, ((C_MOSFET_S_VTH_H_BU+Table7[[#This Row],[I_L]]/C_MOSFET_S_gFS_H_BU))/1, ((C_MOSFET_S_VTH_L_BO+Table7[[#This Row],[I_L]]/C_MOSFET_S_gFS_L_BO))/1 )</f>
        <v>2.0070000000000001</v>
      </c>
      <c r="BL168" s="156">
        <f>IF(VACnom&gt;Vbat, (C_MOSFET_S_QGD_H_BU+C_MOSFET_S_QGS_H_BU)*10^-9/Table7[[#This Row],[Ion (A) C]], (C_MOSFET_S_QGD_L_BO+C_MOSFET_S_QGS_L_BO)*10^-9/Table7[[#This Row],[Ion (A) C]])/10^-9</f>
        <v>2.7649193043913423</v>
      </c>
      <c r="BM168" s="156">
        <f>IF(VACnom&gt;Vbat, (C_MOSFET_S_QGD_H_BU+C_MOSFET_S_QGS_H_BU)*10^-9/Table7[[#This Row],[Ioff (A) C]], (C_MOSFET_S_QGD_L_BO+C_MOSFET_S_QGS_L_BO)*10^-9/Table7[[#This Row],[Ioff (A) C]])/10^-9</f>
        <v>3.2386646736422517</v>
      </c>
      <c r="BN168" s="156">
        <f xml:space="preserve"> 0.5*VACnom*Table7[[#This Row],[Ivalley (A) C]]*Table7[[#This Row],[ton (ns) C]]*10^-9*Fsw*10^3+0.5*VACnom*Table7[[#This Row],[Ipeak (A) C]]*Table7[[#This Row],[toff (ns) C]]*10^-9*Fsw*10^3/10^-3</f>
        <v>17.245134910888158</v>
      </c>
      <c r="BO168" s="156">
        <f t="shared" si="12"/>
        <v>129.6</v>
      </c>
      <c r="BP168" s="156">
        <f t="shared" ca="1" si="13"/>
        <v>291.59999999999997</v>
      </c>
      <c r="BQ168" s="156">
        <f t="shared" si="14"/>
        <v>237.6</v>
      </c>
      <c r="BR168" s="156">
        <f>IF(VACnom&gt;Vbat, C_MOSFET_S_VSD_L_BU*Table7[[#This Row],[Ivalley (A) C]]*Fsw*10^3*40*10^-9+C_MOSFET_S_VSD_L_BU*Table7[[#This Row],[Ipeak (A) C]]*Fsw*10^3*30*10^-9, C_MOSFET_S_VSD_H_BO*Table7[[#This Row],[Ivalley (A) C]]*Fsw*10^3*40*10^-9+C_MOSFET_S_VSD_H_BO*Table7[[#This Row],[Ipeak (A) C]]*Fsw*10^3*30*10^-9)/10^-3</f>
        <v>33.222857142857151</v>
      </c>
      <c r="BS168" s="156">
        <f t="shared" ca="1" si="15"/>
        <v>291.59999999999997</v>
      </c>
      <c r="BT168" s="156">
        <f>IF(VACnom&lt;Vbat, Table7[[#This Row],[Duty Cycle]]*Table7[[#This Row],[I_L RMS]]^2*C_MOSFET_S_RDSON_H_BU*10^-3, (1-Table7[[#This Row],[Duty Cycle]])*Table7[[#This Row],[I_L RMS]]^2*C_MOSFET_S_RDSON_H_BO*10^-3)/10^-3</f>
        <v>2.8428126822157429</v>
      </c>
      <c r="BU168" s="156">
        <f ca="1">IF(VACnom&gt;Vbat, Table7[[#This Row],[PIV (mW) C]]+Table7[[#This Row],[PQoss (mW) C]]+Table7[[#This Row],[Pgate_top (mW) C]], Table7[[#This Row],[PRR (mW) C]]+Table7[[#This Row],[Pdead (mW) C]]+Table7[[#This Row],[Pgate_top (mW) C]])</f>
        <v>562.42285714285708</v>
      </c>
      <c r="BV168" s="156">
        <f ca="1">Table7[[#This Row],[Pcon_top (mW) C]]+Table7[[#This Row],[Psw_top (mW) C]]</f>
        <v>565.26566982507279</v>
      </c>
      <c r="BW168" s="156">
        <f ca="1">IF(VACnom&gt;Vbat, (1-Table7[[#This Row],[Duty Cycle]])*Table7[[#This Row],[I_L RMS]]^2*C_MOSFET_S_RDSON_L_BU*10^-3, Table7[[#This Row],[Duty Cycle]]*Table7[[#This Row],[I_L RMS]]^2*C_MOSFET_S_RDSON_L_BO*10^-3)/10^-3</f>
        <v>1.7705236880466468</v>
      </c>
      <c r="BX168" s="156">
        <f ca="1">IF(VACnom&gt;Vbat, Table7[[#This Row],[PRR (mW) C]]+Table7[[#This Row],[Pdead (mW) C]]+Table7[[#This Row],[Pgate_bottom (mW) C]], Table7[[#This Row],[PIV (mW) C]]+Table7[[#This Row],[PQoss (mW) C]]+Table7[[#This Row],[Pgate_bottom (mW) C]])</f>
        <v>438.4451349108881</v>
      </c>
      <c r="BY168" s="156">
        <f ca="1">Table7[[#This Row],[Pcon_bottom (mW) C]]+Table7[[#This Row],[Psw_bottom (mV) C]]</f>
        <v>440.21565859893474</v>
      </c>
      <c r="BZ168" s="156">
        <f ca="1">Table7[[#This Row],[Pbottom (mW) C]]+Table7[[#This Row],[Ptop (mW) C]]</f>
        <v>1005.4813284240075</v>
      </c>
      <c r="CA168" s="159"/>
      <c r="CB168" s="160">
        <f>(RAC_SNS*10^-3*(Table7[[#This Row],[IOUT (A)]]*Vbat/VACnom)^2/10^-3)</f>
        <v>5.5125000000000002</v>
      </c>
      <c r="CC168" s="160">
        <f>(RBAT_SNS*10^-3*Table7[[#This Row],[IOUT (A)]]^2)/10^-3</f>
        <v>1.7999999999999998</v>
      </c>
      <c r="CD168" s="160">
        <f>IF(VACnom&gt;Vbat,(L_DRC*10^-3*(Table7[[#This Row],[IOUT (A)]])^2/10^-3),(L_DRC*10^-3*(Table7[[#This Row],[IOUT (A)]]*Vbat/VACnom)^2/10^-3))</f>
        <v>13.23</v>
      </c>
      <c r="CE168" s="166"/>
      <c r="CF168" s="156">
        <f>(Table7[[#This Row],[R_AC (mW)]]+Table7[[#This Row],[R_SR (mW)]]+Table7[[#This Row],[Inductor Loss (mW)]])/10^3</f>
        <v>2.0542500000000002E-2</v>
      </c>
      <c r="CG168" s="156">
        <f ca="1">Table7[[#This Row],[Total TI (mW)]]/10^3</f>
        <v>2.2331166637561806</v>
      </c>
      <c r="CH168" s="156">
        <f ca="1">Table7[[#This Row],[Total Sense Loss]]+Table7[[#This Row],[Total MOSFET Loss]]</f>
        <v>2.2536591637561805</v>
      </c>
      <c r="CI168" s="161">
        <f ca="1">IF(Table7[[#This Row],[POUT (W)]]=0,0,(Table7[[#This Row],[POUT (W)]])/(Table7[[#This Row],[POUT (W)]]+Table7[[#This Row],[Total Power Loss (W)]]))*100</f>
        <v>76.160985659432797</v>
      </c>
      <c r="CJ168" s="167"/>
      <c r="CK168" s="156">
        <f>(Table7[[#This Row],[R_AC (mW)]]+Table7[[#This Row],[R_SR (mW)]]+Table7[[#This Row],[Inductor Loss (mW)]])/10^3</f>
        <v>2.0542500000000002E-2</v>
      </c>
      <c r="CL168" s="156">
        <f ca="1">Table7[[#This Row],[Total (mW) C]]/10^3</f>
        <v>1.0054813284240076</v>
      </c>
      <c r="CM168" s="156">
        <f ca="1">Table7[[#This Row],[Total Sense Loss C]]+Table7[[#This Row],[Total MOSFET Loss C]]</f>
        <v>1.0260238284240075</v>
      </c>
      <c r="CN168" s="161">
        <f ca="1">IF(Table7[[#This Row],[POUT (W)]]=0,0,(Table7[[#This Row],[POUT (W)]])/(Table7[[#This Row],[POUT (W)]]+Table7[[#This Row],[Total Power Loss (W) C]]))*100</f>
        <v>87.527098756039237</v>
      </c>
      <c r="CO168" s="167"/>
      <c r="CP168" s="161">
        <f>IF(MOSFET_S=Custom_MOSFET,Table7[[#This Row],[Total Sense Loss C]],Table7[[#This Row],[Total Sense Loss]])</f>
        <v>2.0542500000000002E-2</v>
      </c>
      <c r="CQ168" s="161">
        <f ca="1">IF(MOSFET_S=Custom_MOSFET,Table7[[#This Row],[Total MOSFET Loss C]],Table7[[#This Row],[Total MOSFET Loss]])</f>
        <v>2.2331166637561806</v>
      </c>
      <c r="CR168" s="161">
        <f ca="1">IF(MOSFET_S=Custom_MOSFET,Table7[[#This Row],[Efficiency C]],Table7[[#This Row],[Efficiency]])</f>
        <v>76.160985659432797</v>
      </c>
      <c r="CS168" s="167"/>
      <c r="CT168" s="161">
        <f>IF(MOSFET_S=Compare_MOSFET, Table7[[#This Row],[Total Sense Loss C]], -100)</f>
        <v>-100</v>
      </c>
      <c r="CU168" s="161">
        <f>IF(MOSFET_S=Compare_MOSFET, Table7[[#This Row],[Total MOSFET Loss C]], -100)</f>
        <v>-100</v>
      </c>
      <c r="CV168" s="161">
        <f>IF(MOSFET_S=Compare_MOSFET, Table7[[#This Row],[Efficiency C]], -100)</f>
        <v>-100</v>
      </c>
      <c r="CW168" s="167"/>
      <c r="CX168" s="161">
        <f ca="1">IF(Save_Sel=CLR_Save,  Table7[[#This Row],[Total Sense Loss P1]], Table7[[#This Row],[Total Sense Loss P1 Saved]])</f>
        <v>2.0542500000000002E-2</v>
      </c>
      <c r="CY168" s="161">
        <f ca="1">IF(Save_Sel=CLR_Save,  Table7[[#This Row],[Total MOSFET Loss P1]], Table7[[#This Row],[Total MOSFET Loss P1 Saved]] )</f>
        <v>1.5211180866907628</v>
      </c>
      <c r="CZ168" s="161">
        <f ca="1">IF(Save_Sel=CLR_Save, Table7[[#This Row],[Efficiency P1]], Table7[[#This Row],[Efficiency P1 Saved]])</f>
        <v>82.364213625063982</v>
      </c>
      <c r="DA168" s="167"/>
      <c r="DB168" s="161">
        <f ca="1">IF(Save_Sel=CLR_Save,  Table7[[#This Row],[Total Sense Loss P2]], Table7[[#This Row],[Total Sense Loss P2 Saved]])</f>
        <v>2.0542500000000002E-2</v>
      </c>
      <c r="DC168" s="161">
        <f ca="1">IF(Save_Sel=CLR_Save,  Table7[[#This Row],[Total MOSFET Loss P2]], Table7[[#This Row],[Total MOSFET Loss P2 Saved]] )</f>
        <v>1.0069413180710949</v>
      </c>
      <c r="DD168" s="161">
        <f ca="1">IF(Save_Sel=CLR_Save, Table7[[#This Row],[Efficiency P2]], Table7[[#This Row],[Efficiency P2 Saved]])</f>
        <v>87.511566831474056</v>
      </c>
      <c r="DE168" s="167"/>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c r="FH168" s="21"/>
      <c r="FI168" s="21"/>
    </row>
    <row r="169" spans="1:165" x14ac:dyDescent="0.25">
      <c r="A169" s="50">
        <v>10</v>
      </c>
      <c r="B169" s="51"/>
      <c r="C169" s="51"/>
      <c r="D169" s="34" t="s">
        <v>17</v>
      </c>
      <c r="E169" s="132">
        <f t="shared" ca="1" si="20"/>
        <v>0.95</v>
      </c>
      <c r="F169" s="132">
        <f t="shared" ca="1" si="21"/>
        <v>0.95</v>
      </c>
      <c r="G169" s="127" t="s">
        <v>24</v>
      </c>
      <c r="H169" s="31"/>
      <c r="I169" s="50">
        <v>10</v>
      </c>
      <c r="J169" s="31"/>
      <c r="K169" s="51"/>
      <c r="L169" s="51"/>
      <c r="M169" s="34" t="s">
        <v>17</v>
      </c>
      <c r="N169" s="122">
        <f t="shared" si="18"/>
        <v>1.5</v>
      </c>
      <c r="O169" s="122">
        <f t="shared" si="19"/>
        <v>1.5</v>
      </c>
      <c r="P169" s="127" t="s">
        <v>24</v>
      </c>
      <c r="Q169" s="31"/>
      <c r="R169" s="31"/>
      <c r="S169" s="32"/>
      <c r="T169" s="20"/>
      <c r="U169" s="21"/>
      <c r="V169" s="21"/>
      <c r="W169" s="21"/>
      <c r="X169" s="21"/>
      <c r="Y169" s="21"/>
      <c r="Z169" s="21"/>
      <c r="AA169" s="21"/>
      <c r="AB169" s="21"/>
      <c r="AC169" s="21"/>
      <c r="AD169" s="21"/>
      <c r="AE169" s="21"/>
      <c r="AF169" s="154">
        <f t="shared" si="17"/>
        <v>13</v>
      </c>
      <c r="AG169" s="154">
        <f t="shared" si="16"/>
        <v>0.65</v>
      </c>
      <c r="AH169" s="155">
        <f t="shared" si="3"/>
        <v>7.8000000000000007</v>
      </c>
      <c r="AI169" s="156">
        <f t="shared" si="4"/>
        <v>0.42857142857142855</v>
      </c>
      <c r="AJ169" s="156">
        <f t="shared" si="5"/>
        <v>1.1375000000000002</v>
      </c>
      <c r="AK169" s="156">
        <f t="shared" si="6"/>
        <v>0.85714285714285721</v>
      </c>
      <c r="AL169" s="156">
        <f t="shared" si="7"/>
        <v>1.1641008288786323</v>
      </c>
      <c r="AM169" s="157"/>
      <c r="AN169" s="156">
        <f>MAX(0,Table7[[#This Row],[I_L]]-0.5*Table7[[#This Row],[I_L pkpk]])</f>
        <v>0.70892857142857157</v>
      </c>
      <c r="AO169" s="156">
        <f>Table7[[#This Row],[I_L]]+0.5*Table7[[#This Row],[I_L pkpk]]</f>
        <v>1.5660714285714288</v>
      </c>
      <c r="AP169" s="156">
        <f ca="1">IF(VACnom&gt;Vbat, (VGS_S-(TI_MOSFET_S_VTH_H_BU+Table7[[#This Row],[I_L]]/TI_MOSFET_S_gFS_H_BU))/3.4, (VGS_S-(TI_MOSFET_S_VTH_L_BO+Table7[[#This Row],[I_L]]/TI_MOSFET_S_gFS_L_BO))/3.4 )</f>
        <v>2.4238970588235298</v>
      </c>
      <c r="AQ169" s="156">
        <f ca="1">IF(VACnom&gt;Vbat, ((TI_MOSFET_S_VTH_H_BU+Table7[[#This Row],[I_L]]/TI_MOSFET_S_gFS_H_BU))/1, ((TI_MOSFET_S_VTH_L_BO+Table7[[#This Row],[I_L]]/TI_MOSFET_S_gFS_L_BO))/1 )</f>
        <v>1.75875</v>
      </c>
      <c r="AR169" s="156">
        <f ca="1">IF(VACnom&gt;Vbat, (TI_MOSFET_S_QGD_H_BU+TI_MOSFET_S_QGS_H_BU)*10^-9/Table7[[#This Row],[Ion (A)]], (TI_MOSFET_S_QGD_L_BO+TI_MOSFET_S_QGS_L_BO)*10^-9/Table7[[#This Row],[Ion (A)]])/10^-9</f>
        <v>11.881692704383436</v>
      </c>
      <c r="AS169" s="156">
        <f ca="1">IF(VACnom&gt;Vbat, (TI_MOSFET_S_QGD_H_BU+TI_MOSFET_S_QGS_H_BU)*10^-9/Table7[[#This Row],[Ioff (A)]], (TI_MOSFET_S_QGD_L_BO+TI_MOSFET_S_QGS_L_BO)*10^-9/Table7[[#This Row],[Ioff (A)]])/10^-9</f>
        <v>16.375266524520256</v>
      </c>
      <c r="AT169" s="156">
        <f ca="1" xml:space="preserve"> 0.5*VACnom*Table7[[#This Row],[Ivalley (A)]]*Table7[[#This Row],[ton (ns)]]*10^-9*Fsw*10^3+0.5*VACnom*Table7[[#This Row],[Ipeak (A)]]*Table7[[#This Row],[toff (ns)]]*10^-9*Fsw*10^3/10^-3</f>
        <v>92.351737118622253</v>
      </c>
      <c r="AU169" s="156">
        <f t="shared" ca="1" si="8"/>
        <v>262.8</v>
      </c>
      <c r="AV169" s="156">
        <f t="shared" ca="1" si="9"/>
        <v>648</v>
      </c>
      <c r="AW169" s="156">
        <f t="shared" ca="1" si="10"/>
        <v>554.4</v>
      </c>
      <c r="AX169" s="156">
        <f ca="1">IF(VACnom&gt;Vbat, TI_MOSFET_S_VSD_L_BU*Table7[[#This Row],[Ivalley (A)]]*Fsw*10^3*40*10^-9+TI_MOSFET_S_VSD_L_BU*Table7[[#This Row],[Ipeak (A)]]*Fsw*10^3*30*10^-9, TI_MOSFET_S_VSD_H_BO*Table7[[#This Row],[Ivalley (A)]]*Fsw*10^3*40*10^-9+TI_MOSFET_S_VSD_H_BO*Table7[[#This Row],[Ipeak (A)]]*Fsw*10^3*30*10^-9)/10^-3</f>
        <v>32.54657142857144</v>
      </c>
      <c r="AY169" s="156">
        <f t="shared" ca="1" si="11"/>
        <v>648</v>
      </c>
      <c r="AZ169" s="156">
        <f ca="1">IF(VACnom&lt;Vbat, Table7[[#This Row],[Duty Cycle]]*Table7[[#This Row],[I_L RMS]]^2*TI_MOSFET_S_RDSON_H_BU*10^-3, (1-Table7[[#This Row],[Duty Cycle]])*Table7[[#This Row],[I_L RMS]]^2*TI_MOSFET_S_RDSON_H_BO*10^-3)/10^-3</f>
        <v>1.6261568877551023</v>
      </c>
      <c r="BA169" s="156">
        <f ca="1">IF(VACnom&gt;Vbat, Table7[[#This Row],[PIV (mW)]]+Table7[[#This Row],[Pqoss (mW)]]+Table7[[#This Row],[Pgate_top (mW)]], Table7[[#This Row],[PRR (mW)]]+Table7[[#This Row],[Pdead (mW)]]+Table7[[#This Row],[Pgate_top (mW)]])</f>
        <v>1234.9465714285714</v>
      </c>
      <c r="BB169" s="156">
        <f ca="1">Table7[[#This Row],[Pcon_top (mW)]]+Table7[[#This Row],[Psw_top (mW)]]</f>
        <v>1236.5727283163264</v>
      </c>
      <c r="BC169" s="156">
        <f ca="1">IF(VACnom&gt;Vbat, (1-Table7[[#This Row],[Duty Cycle]])*Table7[[#This Row],[I_L RMS]]^2*TI_MOSFET_S_RDSON_L_BU*10^-3, Table7[[#This Row],[Duty Cycle]]*Table7[[#This Row],[I_L RMS]]^2*TI_MOSFET_S_RDSON_L_BO*10^-3)/10^-3</f>
        <v>1.6261568877551023</v>
      </c>
      <c r="BD169" s="156">
        <f ca="1">IF(VACnom&gt;Vbat, Table7[[#This Row],[PRR (mW)]]+Table7[[#This Row],[Pdead (mW)]]+Table7[[#This Row],[Pgate_bottom (mW)]], Table7[[#This Row],[PIV (mW)]]+Table7[[#This Row],[Pqoss (mW)]]+Table7[[#This Row],[Pgate_bottom (mW)]])</f>
        <v>1003.1517371186222</v>
      </c>
      <c r="BE169" s="158">
        <f ca="1">Table7[[#This Row],[Pcon_bottom (mW)]]+Table7[[#This Row],[Psw_bottom (mW)]]</f>
        <v>1004.7778940063773</v>
      </c>
      <c r="BF169" s="164">
        <f ca="1">Table7[[#This Row],[Pbottom (mW)]]+Table7[[#This Row],[Ptop (mW)]]</f>
        <v>2241.3506223227037</v>
      </c>
      <c r="BG169" s="153"/>
      <c r="BH169" s="156">
        <f>MAX(0,Table7[[#This Row],[I_L]]-0.5*Table7[[#This Row],[I_L pkpk]])</f>
        <v>0.70892857142857157</v>
      </c>
      <c r="BI169" s="156">
        <f>Table7[[#This Row],[I_L]]+0.5*Table7[[#This Row],[I_L pkpk]]</f>
        <v>1.5660714285714288</v>
      </c>
      <c r="BJ169" s="156">
        <f>IF(VACnom&gt;Vbat, (VGS_S-(C_MOSFET_S_VTH_H_BU+Table7[[#This Row],[I_L]]/C_MOSFET_S_gFS_H_BU))/3.4, (VGS_S-(C_MOSFET_S_VTH_L_BO+Table7[[#This Row],[I_L]]/C_MOSFET_S_gFS_L_BO))/3.4 )</f>
        <v>2.3507107843137258</v>
      </c>
      <c r="BK169" s="156">
        <f>IF(VACnom&gt;Vbat, ((C_MOSFET_S_VTH_H_BU+Table7[[#This Row],[I_L]]/C_MOSFET_S_gFS_H_BU))/1, ((C_MOSFET_S_VTH_L_BO+Table7[[#This Row],[I_L]]/C_MOSFET_S_gFS_L_BO))/1 )</f>
        <v>2.0075833333333333</v>
      </c>
      <c r="BL169" s="156">
        <f>IF(VACnom&gt;Vbat, (C_MOSFET_S_QGD_H_BU+C_MOSFET_S_QGS_H_BU)*10^-9/Table7[[#This Row],[Ion (A) C]], (C_MOSFET_S_QGD_L_BO+C_MOSFET_S_QGS_L_BO)*10^-9/Table7[[#This Row],[Ion (A) C]])/10^-9</f>
        <v>2.7651211043801931</v>
      </c>
      <c r="BM169" s="156">
        <f>IF(VACnom&gt;Vbat, (C_MOSFET_S_QGD_H_BU+C_MOSFET_S_QGS_H_BU)*10^-9/Table7[[#This Row],[Ioff (A) C]], (C_MOSFET_S_QGD_L_BO+C_MOSFET_S_QGS_L_BO)*10^-9/Table7[[#This Row],[Ioff (A) C]])/10^-9</f>
        <v>3.2377236312315802</v>
      </c>
      <c r="BN169" s="156">
        <f xml:space="preserve"> 0.5*VACnom*Table7[[#This Row],[Ivalley (A) C]]*Table7[[#This Row],[ton (ns) C]]*10^-9*Fsw*10^3+0.5*VACnom*Table7[[#This Row],[Ipeak (A) C]]*Table7[[#This Row],[toff (ns) C]]*10^-9*Fsw*10^3/10^-3</f>
        <v>18.260880285012014</v>
      </c>
      <c r="BO169" s="156">
        <f t="shared" si="12"/>
        <v>129.6</v>
      </c>
      <c r="BP169" s="156">
        <f t="shared" ca="1" si="13"/>
        <v>291.59999999999997</v>
      </c>
      <c r="BQ169" s="156">
        <f t="shared" si="14"/>
        <v>237.6</v>
      </c>
      <c r="BR169" s="156">
        <f>IF(VACnom&gt;Vbat, C_MOSFET_S_VSD_L_BU*Table7[[#This Row],[Ivalley (A) C]]*Fsw*10^3*40*10^-9+C_MOSFET_S_VSD_L_BU*Table7[[#This Row],[Ipeak (A) C]]*Fsw*10^3*30*10^-9, C_MOSFET_S_VSD_H_BO*Table7[[#This Row],[Ivalley (A) C]]*Fsw*10^3*40*10^-9+C_MOSFET_S_VSD_H_BO*Table7[[#This Row],[Ipeak (A) C]]*Fsw*10^3*30*10^-9)/10^-3</f>
        <v>36.162857142857156</v>
      </c>
      <c r="BS169" s="156">
        <f t="shared" ca="1" si="15"/>
        <v>291.59999999999997</v>
      </c>
      <c r="BT169" s="156">
        <f>IF(VACnom&lt;Vbat, Table7[[#This Row],[Duty Cycle]]*Table7[[#This Row],[I_L RMS]]^2*C_MOSFET_S_RDSON_H_BU*10^-3, (1-Table7[[#This Row],[Duty Cycle]])*Table7[[#This Row],[I_L RMS]]^2*C_MOSFET_S_RDSON_H_BO*10^-3)/10^-3</f>
        <v>3.3103908072157444</v>
      </c>
      <c r="BU169" s="156">
        <f ca="1">IF(VACnom&gt;Vbat, Table7[[#This Row],[PIV (mW) C]]+Table7[[#This Row],[PQoss (mW) C]]+Table7[[#This Row],[Pgate_top (mW) C]], Table7[[#This Row],[PRR (mW) C]]+Table7[[#This Row],[Pdead (mW) C]]+Table7[[#This Row],[Pgate_top (mW) C]])</f>
        <v>565.36285714285714</v>
      </c>
      <c r="BV169" s="156">
        <f ca="1">Table7[[#This Row],[Pcon_top (mW) C]]+Table7[[#This Row],[Psw_top (mW) C]]</f>
        <v>568.67324795007289</v>
      </c>
      <c r="BW169" s="156">
        <f ca="1">IF(VACnom&gt;Vbat, (1-Table7[[#This Row],[Duty Cycle]])*Table7[[#This Row],[I_L RMS]]^2*C_MOSFET_S_RDSON_L_BU*10^-3, Table7[[#This Row],[Duty Cycle]]*Table7[[#This Row],[I_L RMS]]^2*C_MOSFET_S_RDSON_L_BO*10^-3)/10^-3</f>
        <v>2.0617346255466478</v>
      </c>
      <c r="BX169" s="156">
        <f ca="1">IF(VACnom&gt;Vbat, Table7[[#This Row],[PRR (mW) C]]+Table7[[#This Row],[Pdead (mW) C]]+Table7[[#This Row],[Pgate_bottom (mW) C]], Table7[[#This Row],[PIV (mW) C]]+Table7[[#This Row],[PQoss (mW) C]]+Table7[[#This Row],[Pgate_bottom (mW) C]])</f>
        <v>439.46088028501197</v>
      </c>
      <c r="BY169" s="156">
        <f ca="1">Table7[[#This Row],[Pcon_bottom (mW) C]]+Table7[[#This Row],[Psw_bottom (mV) C]]</f>
        <v>441.52261491055862</v>
      </c>
      <c r="BZ169" s="156">
        <f ca="1">Table7[[#This Row],[Pbottom (mW) C]]+Table7[[#This Row],[Ptop (mW) C]]</f>
        <v>1010.1958628606315</v>
      </c>
      <c r="CA169" s="159"/>
      <c r="CB169" s="160">
        <f>(RAC_SNS*10^-3*(Table7[[#This Row],[IOUT (A)]]*Vbat/VACnom)^2/10^-3)</f>
        <v>6.4695312499999993</v>
      </c>
      <c r="CC169" s="160">
        <f>(RBAT_SNS*10^-3*Table7[[#This Row],[IOUT (A)]]^2)/10^-3</f>
        <v>2.1125000000000003</v>
      </c>
      <c r="CD169" s="160">
        <f>IF(VACnom&gt;Vbat,(L_DRC*10^-3*(Table7[[#This Row],[IOUT (A)]])^2/10^-3),(L_DRC*10^-3*(Table7[[#This Row],[IOUT (A)]]*Vbat/VACnom)^2/10^-3))</f>
        <v>15.526874999999997</v>
      </c>
      <c r="CE169" s="166"/>
      <c r="CF169" s="156">
        <f>(Table7[[#This Row],[R_AC (mW)]]+Table7[[#This Row],[R_SR (mW)]]+Table7[[#This Row],[Inductor Loss (mW)]])/10^3</f>
        <v>2.4108906249999996E-2</v>
      </c>
      <c r="CG169" s="156">
        <f ca="1">Table7[[#This Row],[Total TI (mW)]]/10^3</f>
        <v>2.2413506223227038</v>
      </c>
      <c r="CH169" s="156">
        <f ca="1">Table7[[#This Row],[Total Sense Loss]]+Table7[[#This Row],[Total MOSFET Loss]]</f>
        <v>2.2654595285727037</v>
      </c>
      <c r="CI169" s="161">
        <f ca="1">IF(Table7[[#This Row],[POUT (W)]]=0,0,(Table7[[#This Row],[POUT (W)]])/(Table7[[#This Row],[POUT (W)]]+Table7[[#This Row],[Total Power Loss (W)]]))*100</f>
        <v>77.492736202040561</v>
      </c>
      <c r="CJ169" s="167"/>
      <c r="CK169" s="156">
        <f>(Table7[[#This Row],[R_AC (mW)]]+Table7[[#This Row],[R_SR (mW)]]+Table7[[#This Row],[Inductor Loss (mW)]])/10^3</f>
        <v>2.4108906249999996E-2</v>
      </c>
      <c r="CL169" s="156">
        <f ca="1">Table7[[#This Row],[Total (mW) C]]/10^3</f>
        <v>1.0101958628606313</v>
      </c>
      <c r="CM169" s="156">
        <f ca="1">Table7[[#This Row],[Total Sense Loss C]]+Table7[[#This Row],[Total MOSFET Loss C]]</f>
        <v>1.0343047691106313</v>
      </c>
      <c r="CN169" s="161">
        <f ca="1">IF(Table7[[#This Row],[POUT (W)]]=0,0,(Table7[[#This Row],[POUT (W)]])/(Table7[[#This Row],[POUT (W)]]+Table7[[#This Row],[Total Power Loss (W) C]]))*100</f>
        <v>88.292176960805051</v>
      </c>
      <c r="CO169" s="167"/>
      <c r="CP169" s="161">
        <f>IF(MOSFET_S=Custom_MOSFET,Table7[[#This Row],[Total Sense Loss C]],Table7[[#This Row],[Total Sense Loss]])</f>
        <v>2.4108906249999996E-2</v>
      </c>
      <c r="CQ169" s="161">
        <f ca="1">IF(MOSFET_S=Custom_MOSFET,Table7[[#This Row],[Total MOSFET Loss C]],Table7[[#This Row],[Total MOSFET Loss]])</f>
        <v>2.2413506223227038</v>
      </c>
      <c r="CR169" s="161">
        <f ca="1">IF(MOSFET_S=Custom_MOSFET,Table7[[#This Row],[Efficiency C]],Table7[[#This Row],[Efficiency]])</f>
        <v>77.492736202040561</v>
      </c>
      <c r="CS169" s="167"/>
      <c r="CT169" s="161">
        <f>IF(MOSFET_S=Compare_MOSFET, Table7[[#This Row],[Total Sense Loss C]], -100)</f>
        <v>-100</v>
      </c>
      <c r="CU169" s="161">
        <f>IF(MOSFET_S=Compare_MOSFET, Table7[[#This Row],[Total MOSFET Loss C]], -100)</f>
        <v>-100</v>
      </c>
      <c r="CV169" s="161">
        <f>IF(MOSFET_S=Compare_MOSFET, Table7[[#This Row],[Efficiency C]], -100)</f>
        <v>-100</v>
      </c>
      <c r="CW169" s="167"/>
      <c r="CX169" s="161">
        <f ca="1">IF(Save_Sel=CLR_Save,  Table7[[#This Row],[Total Sense Loss P1]], Table7[[#This Row],[Total Sense Loss P1 Saved]])</f>
        <v>2.4108906249999996E-2</v>
      </c>
      <c r="CY169" s="161">
        <f ca="1">IF(Save_Sel=CLR_Save,  Table7[[#This Row],[Total MOSFET Loss P1]], Table7[[#This Row],[Total MOSFET Loss P1 Saved]] )</f>
        <v>1.5294826189380639</v>
      </c>
      <c r="CZ169" s="161">
        <f ca="1">IF(Save_Sel=CLR_Save, Table7[[#This Row],[Efficiency P1]], Table7[[#This Row],[Efficiency P1 Saved]])</f>
        <v>83.390427933436754</v>
      </c>
      <c r="DA169" s="167"/>
      <c r="DB169" s="161">
        <f ca="1">IF(Save_Sel=CLR_Save,  Table7[[#This Row],[Total Sense Loss P2]], Table7[[#This Row],[Total Sense Loss P2 Saved]])</f>
        <v>2.4108906249999996E-2</v>
      </c>
      <c r="DC169" s="161">
        <f ca="1">IF(Save_Sel=CLR_Save,  Table7[[#This Row],[Total MOSFET Loss P2]], Table7[[#This Row],[Total MOSFET Loss P2 Saved]] )</f>
        <v>1.011895669381951</v>
      </c>
      <c r="DD169" s="161">
        <f ca="1">IF(Save_Sel=CLR_Save, Table7[[#This Row],[Efficiency P2]], Table7[[#This Row],[Efficiency P2 Saved]])</f>
        <v>88.275191951698872</v>
      </c>
      <c r="DE169" s="167"/>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c r="FH169" s="21"/>
      <c r="FI169" s="21"/>
    </row>
    <row r="170" spans="1:165" x14ac:dyDescent="0.25">
      <c r="A170" s="50">
        <v>11</v>
      </c>
      <c r="B170" s="51"/>
      <c r="C170" s="51"/>
      <c r="D170" s="34" t="s">
        <v>18</v>
      </c>
      <c r="E170" s="132">
        <f t="shared" ca="1" si="20"/>
        <v>130</v>
      </c>
      <c r="F170" s="132">
        <f t="shared" ca="1" si="21"/>
        <v>130</v>
      </c>
      <c r="G170" s="44" t="s">
        <v>25</v>
      </c>
      <c r="H170" s="31"/>
      <c r="I170" s="50">
        <v>11</v>
      </c>
      <c r="J170" s="31"/>
      <c r="K170" s="51"/>
      <c r="L170" s="51"/>
      <c r="M170" s="34" t="s">
        <v>18</v>
      </c>
      <c r="N170" s="122">
        <f t="shared" si="18"/>
        <v>60</v>
      </c>
      <c r="O170" s="122">
        <f t="shared" si="19"/>
        <v>60</v>
      </c>
      <c r="P170" s="44" t="s">
        <v>25</v>
      </c>
      <c r="Q170" s="31"/>
      <c r="R170" s="31"/>
      <c r="S170" s="32"/>
      <c r="T170" s="20"/>
      <c r="U170" s="21"/>
      <c r="V170" s="21"/>
      <c r="W170" s="21"/>
      <c r="X170" s="21"/>
      <c r="Y170" s="21"/>
      <c r="Z170" s="21"/>
      <c r="AA170" s="21"/>
      <c r="AB170" s="21"/>
      <c r="AC170" s="21"/>
      <c r="AD170" s="21"/>
      <c r="AE170" s="21"/>
      <c r="AF170" s="154">
        <f>AF169+1</f>
        <v>14</v>
      </c>
      <c r="AG170" s="154">
        <f t="shared" si="16"/>
        <v>0.7</v>
      </c>
      <c r="AH170" s="155">
        <f t="shared" si="3"/>
        <v>8.3999999999999986</v>
      </c>
      <c r="AI170" s="156">
        <f t="shared" si="4"/>
        <v>0.42857142857142855</v>
      </c>
      <c r="AJ170" s="156">
        <f t="shared" si="5"/>
        <v>1.2250000000000001</v>
      </c>
      <c r="AK170" s="156">
        <f t="shared" si="6"/>
        <v>0.85714285714285721</v>
      </c>
      <c r="AL170" s="156">
        <f t="shared" si="7"/>
        <v>1.2497397688302627</v>
      </c>
      <c r="AM170" s="157"/>
      <c r="AN170" s="156">
        <f>MAX(0,Table7[[#This Row],[I_L]]-0.5*Table7[[#This Row],[I_L pkpk]])</f>
        <v>0.79642857142857149</v>
      </c>
      <c r="AO170" s="156">
        <f>Table7[[#This Row],[I_L]]+0.5*Table7[[#This Row],[I_L pkpk]]</f>
        <v>1.6535714285714287</v>
      </c>
      <c r="AP170" s="156">
        <f ca="1">IF(VACnom&gt;Vbat, (VGS_S-(TI_MOSFET_S_VTH_H_BU+Table7[[#This Row],[I_L]]/TI_MOSFET_S_gFS_H_BU))/3.4, (VGS_S-(TI_MOSFET_S_VTH_L_BO+Table7[[#This Row],[I_L]]/TI_MOSFET_S_gFS_L_BO))/3.4 )</f>
        <v>2.4236990950226245</v>
      </c>
      <c r="AQ170" s="156">
        <f ca="1">IF(VACnom&gt;Vbat, ((TI_MOSFET_S_VTH_H_BU+Table7[[#This Row],[I_L]]/TI_MOSFET_S_gFS_H_BU))/1, ((TI_MOSFET_S_VTH_L_BO+Table7[[#This Row],[I_L]]/TI_MOSFET_S_gFS_L_BO))/1 )</f>
        <v>1.759423076923077</v>
      </c>
      <c r="AR170" s="156">
        <f ca="1">IF(VACnom&gt;Vbat, (TI_MOSFET_S_QGD_H_BU+TI_MOSFET_S_QGS_H_BU)*10^-9/Table7[[#This Row],[Ion (A)]], (TI_MOSFET_S_QGD_L_BO+TI_MOSFET_S_QGS_L_BO)*10^-9/Table7[[#This Row],[Ion (A)]])/10^-9</f>
        <v>11.882663181722714</v>
      </c>
      <c r="AS170" s="156">
        <f ca="1">IF(VACnom&gt;Vbat, (TI_MOSFET_S_QGD_H_BU+TI_MOSFET_S_QGS_H_BU)*10^-9/Table7[[#This Row],[Ioff (A)]], (TI_MOSFET_S_QGD_L_BO+TI_MOSFET_S_QGS_L_BO)*10^-9/Table7[[#This Row],[Ioff (A)]])/10^-9</f>
        <v>16.369002076729696</v>
      </c>
      <c r="AT170" s="156">
        <f ca="1" xml:space="preserve"> 0.5*VACnom*Table7[[#This Row],[Ivalley (A)]]*Table7[[#This Row],[ton (ns)]]*10^-9*Fsw*10^3+0.5*VACnom*Table7[[#This Row],[Ipeak (A)]]*Table7[[#This Row],[toff (ns)]]*10^-9*Fsw*10^3/10^-3</f>
        <v>97.476400226769087</v>
      </c>
      <c r="AU170" s="156">
        <f t="shared" ca="1" si="8"/>
        <v>262.8</v>
      </c>
      <c r="AV170" s="156">
        <f t="shared" ca="1" si="9"/>
        <v>648</v>
      </c>
      <c r="AW170" s="156">
        <f t="shared" ca="1" si="10"/>
        <v>554.4</v>
      </c>
      <c r="AX170" s="156">
        <f ca="1">IF(VACnom&gt;Vbat, TI_MOSFET_S_VSD_L_BU*Table7[[#This Row],[Ivalley (A)]]*Fsw*10^3*40*10^-9+TI_MOSFET_S_VSD_L_BU*Table7[[#This Row],[Ipeak (A)]]*Fsw*10^3*30*10^-9, TI_MOSFET_S_VSD_H_BO*Table7[[#This Row],[Ivalley (A)]]*Fsw*10^3*40*10^-9+TI_MOSFET_S_VSD_H_BO*Table7[[#This Row],[Ipeak (A)]]*Fsw*10^3*30*10^-9)/10^-3</f>
        <v>35.192571428571434</v>
      </c>
      <c r="AY170" s="156">
        <f t="shared" ca="1" si="11"/>
        <v>648</v>
      </c>
      <c r="AZ170" s="156">
        <f ca="1">IF(VACnom&lt;Vbat, Table7[[#This Row],[Duty Cycle]]*Table7[[#This Row],[I_L RMS]]^2*TI_MOSFET_S_RDSON_H_BU*10^-3, (1-Table7[[#This Row],[Duty Cycle]])*Table7[[#This Row],[I_L RMS]]^2*TI_MOSFET_S_RDSON_H_BO*10^-3)/10^-3</f>
        <v>1.8742193877551021</v>
      </c>
      <c r="BA170" s="156">
        <f ca="1">IF(VACnom&gt;Vbat, Table7[[#This Row],[PIV (mW)]]+Table7[[#This Row],[Pqoss (mW)]]+Table7[[#This Row],[Pgate_top (mW)]], Table7[[#This Row],[PRR (mW)]]+Table7[[#This Row],[Pdead (mW)]]+Table7[[#This Row],[Pgate_top (mW)]])</f>
        <v>1237.5925714285713</v>
      </c>
      <c r="BB170" s="156">
        <f ca="1">Table7[[#This Row],[Pcon_top (mW)]]+Table7[[#This Row],[Psw_top (mW)]]</f>
        <v>1239.4667908163265</v>
      </c>
      <c r="BC170" s="156">
        <f ca="1">IF(VACnom&gt;Vbat, (1-Table7[[#This Row],[Duty Cycle]])*Table7[[#This Row],[I_L RMS]]^2*TI_MOSFET_S_RDSON_L_BU*10^-3, Table7[[#This Row],[Duty Cycle]]*Table7[[#This Row],[I_L RMS]]^2*TI_MOSFET_S_RDSON_L_BO*10^-3)/10^-3</f>
        <v>1.8742193877551021</v>
      </c>
      <c r="BD170" s="156">
        <f ca="1">IF(VACnom&gt;Vbat, Table7[[#This Row],[PRR (mW)]]+Table7[[#This Row],[Pdead (mW)]]+Table7[[#This Row],[Pgate_bottom (mW)]], Table7[[#This Row],[PIV (mW)]]+Table7[[#This Row],[Pqoss (mW)]]+Table7[[#This Row],[Pgate_bottom (mW)]])</f>
        <v>1008.2764002267691</v>
      </c>
      <c r="BE170" s="158">
        <f ca="1">Table7[[#This Row],[Pcon_bottom (mW)]]+Table7[[#This Row],[Psw_bottom (mW)]]</f>
        <v>1010.1506196145242</v>
      </c>
      <c r="BF170" s="164">
        <f ca="1">Table7[[#This Row],[Pbottom (mW)]]+Table7[[#This Row],[Ptop (mW)]]</f>
        <v>2249.6174104308507</v>
      </c>
      <c r="BG170" s="153"/>
      <c r="BH170" s="156">
        <f>MAX(0,Table7[[#This Row],[I_L]]-0.5*Table7[[#This Row],[I_L pkpk]])</f>
        <v>0.79642857142857149</v>
      </c>
      <c r="BI170" s="156">
        <f>Table7[[#This Row],[I_L]]+0.5*Table7[[#This Row],[I_L pkpk]]</f>
        <v>1.6535714285714287</v>
      </c>
      <c r="BJ170" s="156">
        <f>IF(VACnom&gt;Vbat, (VGS_S-(C_MOSFET_S_VTH_H_BU+Table7[[#This Row],[I_L]]/C_MOSFET_S_gFS_H_BU))/3.4, (VGS_S-(C_MOSFET_S_VTH_L_BO+Table7[[#This Row],[I_L]]/C_MOSFET_S_gFS_L_BO))/3.4 )</f>
        <v>2.3505392156862746</v>
      </c>
      <c r="BK170" s="156">
        <f>IF(VACnom&gt;Vbat, ((C_MOSFET_S_VTH_H_BU+Table7[[#This Row],[I_L]]/C_MOSFET_S_gFS_H_BU))/1, ((C_MOSFET_S_VTH_L_BO+Table7[[#This Row],[I_L]]/C_MOSFET_S_gFS_L_BO))/1 )</f>
        <v>2.0081666666666669</v>
      </c>
      <c r="BL170" s="156">
        <f>IF(VACnom&gt;Vbat, (C_MOSFET_S_QGD_H_BU+C_MOSFET_S_QGS_H_BU)*10^-9/Table7[[#This Row],[Ion (A) C]], (C_MOSFET_S_QGD_L_BO+C_MOSFET_S_QGS_L_BO)*10^-9/Table7[[#This Row],[Ion (A) C]])/10^-9</f>
        <v>2.765322933828283</v>
      </c>
      <c r="BM170" s="156">
        <f>IF(VACnom&gt;Vbat, (C_MOSFET_S_QGD_H_BU+C_MOSFET_S_QGS_H_BU)*10^-9/Table7[[#This Row],[Ioff (A) C]], (C_MOSFET_S_QGD_L_BO+C_MOSFET_S_QGS_L_BO)*10^-9/Table7[[#This Row],[Ioff (A) C]])/10^-9</f>
        <v>3.2367831355299193</v>
      </c>
      <c r="BN170" s="156">
        <f xml:space="preserve"> 0.5*VACnom*Table7[[#This Row],[Ivalley (A) C]]*Table7[[#This Row],[ton (ns) C]]*10^-9*Fsw*10^3+0.5*VACnom*Table7[[#This Row],[Ipeak (A) C]]*Table7[[#This Row],[toff (ns) C]]*10^-9*Fsw*10^3/10^-3</f>
        <v>19.276036184116244</v>
      </c>
      <c r="BO170" s="156">
        <f t="shared" si="12"/>
        <v>129.6</v>
      </c>
      <c r="BP170" s="156">
        <f t="shared" ca="1" si="13"/>
        <v>291.59999999999997</v>
      </c>
      <c r="BQ170" s="156">
        <f t="shared" si="14"/>
        <v>237.6</v>
      </c>
      <c r="BR170" s="156">
        <f>IF(VACnom&gt;Vbat, C_MOSFET_S_VSD_L_BU*Table7[[#This Row],[Ivalley (A) C]]*Fsw*10^3*40*10^-9+C_MOSFET_S_VSD_L_BU*Table7[[#This Row],[Ipeak (A) C]]*Fsw*10^3*30*10^-9, C_MOSFET_S_VSD_H_BO*Table7[[#This Row],[Ivalley (A) C]]*Fsw*10^3*40*10^-9+C_MOSFET_S_VSD_H_BO*Table7[[#This Row],[Ipeak (A) C]]*Fsw*10^3*30*10^-9)/10^-3</f>
        <v>39.102857142857147</v>
      </c>
      <c r="BS170" s="156">
        <f t="shared" ca="1" si="15"/>
        <v>291.59999999999997</v>
      </c>
      <c r="BT170" s="156">
        <f>IF(VACnom&lt;Vbat, Table7[[#This Row],[Duty Cycle]]*Table7[[#This Row],[I_L RMS]]^2*C_MOSFET_S_RDSON_H_BU*10^-3, (1-Table7[[#This Row],[Duty Cycle]])*Table7[[#This Row],[I_L RMS]]^2*C_MOSFET_S_RDSON_H_BO*10^-3)/10^-3</f>
        <v>3.8153751822157438</v>
      </c>
      <c r="BU170" s="156">
        <f ca="1">IF(VACnom&gt;Vbat, Table7[[#This Row],[PIV (mW) C]]+Table7[[#This Row],[PQoss (mW) C]]+Table7[[#This Row],[Pgate_top (mW) C]], Table7[[#This Row],[PRR (mW) C]]+Table7[[#This Row],[Pdead (mW) C]]+Table7[[#This Row],[Pgate_top (mW) C]])</f>
        <v>568.30285714285719</v>
      </c>
      <c r="BV170" s="156">
        <f ca="1">Table7[[#This Row],[Pcon_top (mW) C]]+Table7[[#This Row],[Psw_top (mW) C]]</f>
        <v>572.11823232507288</v>
      </c>
      <c r="BW170" s="156">
        <f ca="1">IF(VACnom&gt;Vbat, (1-Table7[[#This Row],[Duty Cycle]])*Table7[[#This Row],[I_L RMS]]^2*C_MOSFET_S_RDSON_L_BU*10^-3, Table7[[#This Row],[Duty Cycle]]*Table7[[#This Row],[I_L RMS]]^2*C_MOSFET_S_RDSON_L_BO*10^-3)/10^-3</f>
        <v>2.3762424380466474</v>
      </c>
      <c r="BX170" s="156">
        <f ca="1">IF(VACnom&gt;Vbat, Table7[[#This Row],[PRR (mW) C]]+Table7[[#This Row],[Pdead (mW) C]]+Table7[[#This Row],[Pgate_bottom (mW) C]], Table7[[#This Row],[PIV (mW) C]]+Table7[[#This Row],[PQoss (mW) C]]+Table7[[#This Row],[Pgate_bottom (mW) C]])</f>
        <v>440.4760361841162</v>
      </c>
      <c r="BY170" s="156">
        <f ca="1">Table7[[#This Row],[Pcon_bottom (mW) C]]+Table7[[#This Row],[Psw_bottom (mV) C]]</f>
        <v>442.85227862216283</v>
      </c>
      <c r="BZ170" s="156">
        <f ca="1">Table7[[#This Row],[Pbottom (mW) C]]+Table7[[#This Row],[Ptop (mW) C]]</f>
        <v>1014.9705109472357</v>
      </c>
      <c r="CA170" s="159"/>
      <c r="CB170" s="160">
        <f>(RAC_SNS*10^-3*(Table7[[#This Row],[IOUT (A)]]*Vbat/VACnom)^2/10^-3)</f>
        <v>7.503124999999998</v>
      </c>
      <c r="CC170" s="160">
        <f>(RBAT_SNS*10^-3*Table7[[#This Row],[IOUT (A)]]^2)/10^-3</f>
        <v>2.4499999999999997</v>
      </c>
      <c r="CD170" s="160">
        <f>IF(VACnom&gt;Vbat,(L_DRC*10^-3*(Table7[[#This Row],[IOUT (A)]])^2/10^-3),(L_DRC*10^-3*(Table7[[#This Row],[IOUT (A)]]*Vbat/VACnom)^2/10^-3))</f>
        <v>18.007499999999997</v>
      </c>
      <c r="CE170" s="166"/>
      <c r="CF170" s="156">
        <f>(Table7[[#This Row],[R_AC (mW)]]+Table7[[#This Row],[R_SR (mW)]]+Table7[[#This Row],[Inductor Loss (mW)]])/10^3</f>
        <v>2.7960624999999992E-2</v>
      </c>
      <c r="CG170" s="156">
        <f ca="1">Table7[[#This Row],[Total TI (mW)]]/10^3</f>
        <v>2.2496174104308508</v>
      </c>
      <c r="CH170" s="156">
        <f ca="1">Table7[[#This Row],[Total Sense Loss]]+Table7[[#This Row],[Total MOSFET Loss]]</f>
        <v>2.2775780354308508</v>
      </c>
      <c r="CI170" s="161">
        <f ca="1">IF(Table7[[#This Row],[POUT (W)]]=0,0,(Table7[[#This Row],[POUT (W)]])/(Table7[[#This Row],[POUT (W)]]+Table7[[#This Row],[Total Power Loss (W)]]))*100</f>
        <v>78.669525730710816</v>
      </c>
      <c r="CJ170" s="167"/>
      <c r="CK170" s="156">
        <f>(Table7[[#This Row],[R_AC (mW)]]+Table7[[#This Row],[R_SR (mW)]]+Table7[[#This Row],[Inductor Loss (mW)]])/10^3</f>
        <v>2.7960624999999992E-2</v>
      </c>
      <c r="CL170" s="156">
        <f ca="1">Table7[[#This Row],[Total (mW) C]]/10^3</f>
        <v>1.0149705109472356</v>
      </c>
      <c r="CM170" s="156">
        <f ca="1">Table7[[#This Row],[Total Sense Loss C]]+Table7[[#This Row],[Total MOSFET Loss C]]</f>
        <v>1.0429311359472355</v>
      </c>
      <c r="CN170" s="161">
        <f ca="1">IF(Table7[[#This Row],[POUT (W)]]=0,0,(Table7[[#This Row],[POUT (W)]])/(Table7[[#This Row],[POUT (W)]]+Table7[[#This Row],[Total Power Loss (W) C]]))*100</f>
        <v>88.955430036156699</v>
      </c>
      <c r="CO170" s="167"/>
      <c r="CP170" s="161">
        <f>IF(MOSFET_S=Custom_MOSFET,Table7[[#This Row],[Total Sense Loss C]],Table7[[#This Row],[Total Sense Loss]])</f>
        <v>2.7960624999999992E-2</v>
      </c>
      <c r="CQ170" s="161">
        <f ca="1">IF(MOSFET_S=Custom_MOSFET,Table7[[#This Row],[Total MOSFET Loss C]],Table7[[#This Row],[Total MOSFET Loss]])</f>
        <v>2.2496174104308508</v>
      </c>
      <c r="CR170" s="161">
        <f ca="1">IF(MOSFET_S=Custom_MOSFET,Table7[[#This Row],[Efficiency C]],Table7[[#This Row],[Efficiency]])</f>
        <v>78.669525730710816</v>
      </c>
      <c r="CS170" s="167"/>
      <c r="CT170" s="161">
        <f>IF(MOSFET_S=Compare_MOSFET, Table7[[#This Row],[Total Sense Loss C]], -100)</f>
        <v>-100</v>
      </c>
      <c r="CU170" s="161">
        <f>IF(MOSFET_S=Compare_MOSFET, Table7[[#This Row],[Total MOSFET Loss C]], -100)</f>
        <v>-100</v>
      </c>
      <c r="CV170" s="161">
        <f>IF(MOSFET_S=Compare_MOSFET, Table7[[#This Row],[Efficiency C]], -100)</f>
        <v>-100</v>
      </c>
      <c r="CW170" s="167"/>
      <c r="CX170" s="161">
        <f ca="1">IF(Save_Sel=CLR_Save,  Table7[[#This Row],[Total Sense Loss P1]], Table7[[#This Row],[Total Sense Loss P1 Saved]])</f>
        <v>2.7960624999999992E-2</v>
      </c>
      <c r="CY170" s="161">
        <f ca="1">IF(Save_Sel=CLR_Save,  Table7[[#This Row],[Total MOSFET Loss P1]], Table7[[#This Row],[Total MOSFET Loss P1 Saved]] )</f>
        <v>1.5378898294018255</v>
      </c>
      <c r="CZ170" s="161">
        <f ca="1">IF(Save_Sel=CLR_Save, Table7[[#This Row],[Efficiency P1]], Table7[[#This Row],[Efficiency P1 Saved]])</f>
        <v>84.287839140610387</v>
      </c>
      <c r="DA170" s="167"/>
      <c r="DB170" s="161">
        <f ca="1">IF(Save_Sel=CLR_Save,  Table7[[#This Row],[Total Sense Loss P2]], Table7[[#This Row],[Total Sense Loss P2 Saved]])</f>
        <v>2.7960624999999992E-2</v>
      </c>
      <c r="DC170" s="161">
        <f ca="1">IF(Save_Sel=CLR_Save,  Table7[[#This Row],[Total MOSFET Loss P2]], Table7[[#This Row],[Total MOSFET Loss P2 Saved]] )</f>
        <v>1.0169291667754476</v>
      </c>
      <c r="DD170" s="161">
        <f ca="1">IF(Save_Sel=CLR_Save, Table7[[#This Row],[Efficiency P2]], Table7[[#This Row],[Efficiency P2 Saved]])</f>
        <v>88.936982698460582</v>
      </c>
      <c r="DE170" s="167"/>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c r="FH170" s="21"/>
      <c r="FI170" s="21"/>
    </row>
    <row r="171" spans="1:165" x14ac:dyDescent="0.25">
      <c r="A171" s="50">
        <v>12</v>
      </c>
      <c r="B171" s="51"/>
      <c r="C171" s="51"/>
      <c r="D171" s="34" t="s">
        <v>19</v>
      </c>
      <c r="E171" s="132">
        <f t="shared" ca="1" si="20"/>
        <v>1.75</v>
      </c>
      <c r="F171" s="132">
        <f t="shared" ca="1" si="21"/>
        <v>1.75</v>
      </c>
      <c r="G171" s="44" t="s">
        <v>1</v>
      </c>
      <c r="H171" s="31"/>
      <c r="I171" s="50">
        <v>12</v>
      </c>
      <c r="J171" s="31"/>
      <c r="K171" s="51"/>
      <c r="L171" s="51"/>
      <c r="M171" s="34" t="s">
        <v>19</v>
      </c>
      <c r="N171" s="122">
        <f t="shared" si="18"/>
        <v>4</v>
      </c>
      <c r="O171" s="122">
        <f t="shared" si="19"/>
        <v>4</v>
      </c>
      <c r="P171" s="44" t="s">
        <v>1</v>
      </c>
      <c r="Q171" s="31"/>
      <c r="R171" s="31"/>
      <c r="S171" s="32"/>
      <c r="T171" s="20"/>
      <c r="U171" s="21"/>
      <c r="V171" s="21"/>
      <c r="W171" s="21"/>
      <c r="X171" s="21"/>
      <c r="Y171" s="21"/>
      <c r="Z171" s="21"/>
      <c r="AA171" s="21"/>
      <c r="AB171" s="21"/>
      <c r="AC171" s="21"/>
      <c r="AD171" s="21"/>
      <c r="AE171" s="21"/>
      <c r="AF171" s="154">
        <f t="shared" si="17"/>
        <v>15</v>
      </c>
      <c r="AG171" s="154">
        <f t="shared" si="16"/>
        <v>0.75</v>
      </c>
      <c r="AH171" s="155">
        <f t="shared" si="3"/>
        <v>9</v>
      </c>
      <c r="AI171" s="156">
        <f t="shared" si="4"/>
        <v>0.42857142857142855</v>
      </c>
      <c r="AJ171" s="156">
        <f t="shared" si="5"/>
        <v>1.3125</v>
      </c>
      <c r="AK171" s="156">
        <f t="shared" si="6"/>
        <v>0.85714285714285721</v>
      </c>
      <c r="AL171" s="156">
        <f t="shared" si="7"/>
        <v>1.3356199833021063</v>
      </c>
      <c r="AM171" s="157"/>
      <c r="AN171" s="156">
        <f>MAX(0,Table7[[#This Row],[I_L]]-0.5*Table7[[#This Row],[I_L pkpk]])</f>
        <v>0.8839285714285714</v>
      </c>
      <c r="AO171" s="156">
        <f>Table7[[#This Row],[I_L]]+0.5*Table7[[#This Row],[I_L pkpk]]</f>
        <v>1.7410714285714286</v>
      </c>
      <c r="AP171" s="156">
        <f ca="1">IF(VACnom&gt;Vbat, (VGS_S-(TI_MOSFET_S_VTH_H_BU+Table7[[#This Row],[I_L]]/TI_MOSFET_S_gFS_H_BU))/3.4, (VGS_S-(TI_MOSFET_S_VTH_L_BO+Table7[[#This Row],[I_L]]/TI_MOSFET_S_gFS_L_BO))/3.4 )</f>
        <v>2.4235011312217192</v>
      </c>
      <c r="AQ171" s="156">
        <f ca="1">IF(VACnom&gt;Vbat, ((TI_MOSFET_S_VTH_H_BU+Table7[[#This Row],[I_L]]/TI_MOSFET_S_gFS_H_BU))/1, ((TI_MOSFET_S_VTH_L_BO+Table7[[#This Row],[I_L]]/TI_MOSFET_S_gFS_L_BO))/1 )</f>
        <v>1.7600961538461539</v>
      </c>
      <c r="AR171" s="156">
        <f ca="1">IF(VACnom&gt;Vbat, (TI_MOSFET_S_QGD_H_BU+TI_MOSFET_S_QGS_H_BU)*10^-9/Table7[[#This Row],[Ion (A)]], (TI_MOSFET_S_QGD_L_BO+TI_MOSFET_S_QGS_L_BO)*10^-9/Table7[[#This Row],[Ion (A)]])/10^-9</f>
        <v>11.883633817608963</v>
      </c>
      <c r="AS171" s="156">
        <f ca="1">IF(VACnom&gt;Vbat, (TI_MOSFET_S_QGD_H_BU+TI_MOSFET_S_QGS_H_BU)*10^-9/Table7[[#This Row],[Ioff (A)]], (TI_MOSFET_S_QGD_L_BO+TI_MOSFET_S_QGS_L_BO)*10^-9/Table7[[#This Row],[Ioff (A)]])/10^-9</f>
        <v>16.362742420103796</v>
      </c>
      <c r="AT171" s="156">
        <f ca="1" xml:space="preserve"> 0.5*VACnom*Table7[[#This Row],[Ivalley (A)]]*Table7[[#This Row],[ton (ns)]]*10^-9*Fsw*10^3+0.5*VACnom*Table7[[#This Row],[Ipeak (A)]]*Table7[[#This Row],[toff (ns)]]*10^-9*Fsw*10^3/10^-3</f>
        <v>102.59714737504875</v>
      </c>
      <c r="AU171" s="156">
        <f t="shared" ca="1" si="8"/>
        <v>262.8</v>
      </c>
      <c r="AV171" s="156">
        <f t="shared" ca="1" si="9"/>
        <v>648</v>
      </c>
      <c r="AW171" s="156">
        <f t="shared" ca="1" si="10"/>
        <v>554.4</v>
      </c>
      <c r="AX171" s="156">
        <f ca="1">IF(VACnom&gt;Vbat, TI_MOSFET_S_VSD_L_BU*Table7[[#This Row],[Ivalley (A)]]*Fsw*10^3*40*10^-9+TI_MOSFET_S_VSD_L_BU*Table7[[#This Row],[Ipeak (A)]]*Fsw*10^3*30*10^-9, TI_MOSFET_S_VSD_H_BO*Table7[[#This Row],[Ivalley (A)]]*Fsw*10^3*40*10^-9+TI_MOSFET_S_VSD_H_BO*Table7[[#This Row],[Ipeak (A)]]*Fsw*10^3*30*10^-9)/10^-3</f>
        <v>37.838571428571427</v>
      </c>
      <c r="AY171" s="156">
        <f t="shared" ca="1" si="11"/>
        <v>648</v>
      </c>
      <c r="AZ171" s="156">
        <f ca="1">IF(VACnom&lt;Vbat, Table7[[#This Row],[Duty Cycle]]*Table7[[#This Row],[I_L RMS]]^2*TI_MOSFET_S_RDSON_H_BU*10^-3, (1-Table7[[#This Row],[Duty Cycle]])*Table7[[#This Row],[I_L RMS]]^2*TI_MOSFET_S_RDSON_H_BO*10^-3)/10^-3</f>
        <v>2.1406568877551022</v>
      </c>
      <c r="BA171" s="156">
        <f ca="1">IF(VACnom&gt;Vbat, Table7[[#This Row],[PIV (mW)]]+Table7[[#This Row],[Pqoss (mW)]]+Table7[[#This Row],[Pgate_top (mW)]], Table7[[#This Row],[PRR (mW)]]+Table7[[#This Row],[Pdead (mW)]]+Table7[[#This Row],[Pgate_top (mW)]])</f>
        <v>1240.2385714285715</v>
      </c>
      <c r="BB171" s="156">
        <f ca="1">Table7[[#This Row],[Pcon_top (mW)]]+Table7[[#This Row],[Psw_top (mW)]]</f>
        <v>1242.3792283163266</v>
      </c>
      <c r="BC171" s="156">
        <f ca="1">IF(VACnom&gt;Vbat, (1-Table7[[#This Row],[Duty Cycle]])*Table7[[#This Row],[I_L RMS]]^2*TI_MOSFET_S_RDSON_L_BU*10^-3, Table7[[#This Row],[Duty Cycle]]*Table7[[#This Row],[I_L RMS]]^2*TI_MOSFET_S_RDSON_L_BO*10^-3)/10^-3</f>
        <v>2.1406568877551022</v>
      </c>
      <c r="BD171" s="156">
        <f ca="1">IF(VACnom&gt;Vbat, Table7[[#This Row],[PRR (mW)]]+Table7[[#This Row],[Pdead (mW)]]+Table7[[#This Row],[Pgate_bottom (mW)]], Table7[[#This Row],[PIV (mW)]]+Table7[[#This Row],[Pqoss (mW)]]+Table7[[#This Row],[Pgate_bottom (mW)]])</f>
        <v>1013.3971473750487</v>
      </c>
      <c r="BE171" s="158">
        <f ca="1">Table7[[#This Row],[Pcon_bottom (mW)]]+Table7[[#This Row],[Psw_bottom (mW)]]</f>
        <v>1015.5378042628038</v>
      </c>
      <c r="BF171" s="164">
        <f ca="1">Table7[[#This Row],[Pbottom (mW)]]+Table7[[#This Row],[Ptop (mW)]]</f>
        <v>2257.9170325791301</v>
      </c>
      <c r="BG171" s="153"/>
      <c r="BH171" s="156">
        <f>MAX(0,Table7[[#This Row],[I_L]]-0.5*Table7[[#This Row],[I_L pkpk]])</f>
        <v>0.8839285714285714</v>
      </c>
      <c r="BI171" s="156">
        <f>Table7[[#This Row],[I_L]]+0.5*Table7[[#This Row],[I_L pkpk]]</f>
        <v>1.7410714285714286</v>
      </c>
      <c r="BJ171" s="156">
        <f>IF(VACnom&gt;Vbat, (VGS_S-(C_MOSFET_S_VTH_H_BU+Table7[[#This Row],[I_L]]/C_MOSFET_S_gFS_H_BU))/3.4, (VGS_S-(C_MOSFET_S_VTH_L_BO+Table7[[#This Row],[I_L]]/C_MOSFET_S_gFS_L_BO))/3.4 )</f>
        <v>2.3503676470588237</v>
      </c>
      <c r="BK171" s="156">
        <f>IF(VACnom&gt;Vbat, ((C_MOSFET_S_VTH_H_BU+Table7[[#This Row],[I_L]]/C_MOSFET_S_gFS_H_BU))/1, ((C_MOSFET_S_VTH_L_BO+Table7[[#This Row],[I_L]]/C_MOSFET_S_gFS_L_BO))/1 )</f>
        <v>2.00875</v>
      </c>
      <c r="BL171" s="156">
        <f>IF(VACnom&gt;Vbat, (C_MOSFET_S_QGD_H_BU+C_MOSFET_S_QGS_H_BU)*10^-9/Table7[[#This Row],[Ion (A) C]], (C_MOSFET_S_QGD_L_BO+C_MOSFET_S_QGS_L_BO)*10^-9/Table7[[#This Row],[Ion (A) C]])/10^-9</f>
        <v>2.765524792742061</v>
      </c>
      <c r="BM171" s="156">
        <f>IF(VACnom&gt;Vbat, (C_MOSFET_S_QGD_H_BU+C_MOSFET_S_QGS_H_BU)*10^-9/Table7[[#This Row],[Ioff (A) C]], (C_MOSFET_S_QGD_L_BO+C_MOSFET_S_QGS_L_BO)*10^-9/Table7[[#This Row],[Ioff (A) C]])/10^-9</f>
        <v>3.2358431860609831</v>
      </c>
      <c r="BN171" s="156">
        <f xml:space="preserve"> 0.5*VACnom*Table7[[#This Row],[Ivalley (A) C]]*Table7[[#This Row],[ton (ns) C]]*10^-9*Fsw*10^3+0.5*VACnom*Table7[[#This Row],[Ipeak (A) C]]*Table7[[#This Row],[toff (ns) C]]*10^-9*Fsw*10^3/10^-3</f>
        <v>20.290603121883425</v>
      </c>
      <c r="BO171" s="156">
        <f t="shared" si="12"/>
        <v>129.6</v>
      </c>
      <c r="BP171" s="156">
        <f t="shared" ca="1" si="13"/>
        <v>291.59999999999997</v>
      </c>
      <c r="BQ171" s="156">
        <f t="shared" si="14"/>
        <v>237.6</v>
      </c>
      <c r="BR171" s="156">
        <f>IF(VACnom&gt;Vbat, C_MOSFET_S_VSD_L_BU*Table7[[#This Row],[Ivalley (A) C]]*Fsw*10^3*40*10^-9+C_MOSFET_S_VSD_L_BU*Table7[[#This Row],[Ipeak (A) C]]*Fsw*10^3*30*10^-9, C_MOSFET_S_VSD_H_BO*Table7[[#This Row],[Ivalley (A) C]]*Fsw*10^3*40*10^-9+C_MOSFET_S_VSD_H_BO*Table7[[#This Row],[Ipeak (A) C]]*Fsw*10^3*30*10^-9)/10^-3</f>
        <v>42.042857142857152</v>
      </c>
      <c r="BS171" s="156">
        <f t="shared" ca="1" si="15"/>
        <v>291.59999999999997</v>
      </c>
      <c r="BT171" s="156">
        <f>IF(VACnom&lt;Vbat, Table7[[#This Row],[Duty Cycle]]*Table7[[#This Row],[I_L RMS]]^2*C_MOSFET_S_RDSON_H_BU*10^-3, (1-Table7[[#This Row],[Duty Cycle]])*Table7[[#This Row],[I_L RMS]]^2*C_MOSFET_S_RDSON_H_BO*10^-3)/10^-3</f>
        <v>4.3577658072157446</v>
      </c>
      <c r="BU171" s="156">
        <f ca="1">IF(VACnom&gt;Vbat, Table7[[#This Row],[PIV (mW) C]]+Table7[[#This Row],[PQoss (mW) C]]+Table7[[#This Row],[Pgate_top (mW) C]], Table7[[#This Row],[PRR (mW) C]]+Table7[[#This Row],[Pdead (mW) C]]+Table7[[#This Row],[Pgate_top (mW) C]])</f>
        <v>571.24285714285713</v>
      </c>
      <c r="BV171" s="156">
        <f ca="1">Table7[[#This Row],[Pcon_top (mW) C]]+Table7[[#This Row],[Psw_top (mW) C]]</f>
        <v>575.60062295007288</v>
      </c>
      <c r="BW171" s="156">
        <f ca="1">IF(VACnom&gt;Vbat, (1-Table7[[#This Row],[Duty Cycle]])*Table7[[#This Row],[I_L RMS]]^2*C_MOSFET_S_RDSON_L_BU*10^-3, Table7[[#This Row],[Duty Cycle]]*Table7[[#This Row],[I_L RMS]]^2*C_MOSFET_S_RDSON_L_BO*10^-3)/10^-3</f>
        <v>2.7140471255466476</v>
      </c>
      <c r="BX171" s="156">
        <f ca="1">IF(VACnom&gt;Vbat, Table7[[#This Row],[PRR (mW) C]]+Table7[[#This Row],[Pdead (mW) C]]+Table7[[#This Row],[Pgate_bottom (mW) C]], Table7[[#This Row],[PIV (mW) C]]+Table7[[#This Row],[PQoss (mW) C]]+Table7[[#This Row],[Pgate_bottom (mW) C]])</f>
        <v>441.4906031218834</v>
      </c>
      <c r="BY171" s="156">
        <f ca="1">Table7[[#This Row],[Pcon_bottom (mW) C]]+Table7[[#This Row],[Psw_bottom (mV) C]]</f>
        <v>444.20465024743004</v>
      </c>
      <c r="BZ171" s="156">
        <f ca="1">Table7[[#This Row],[Pbottom (mW) C]]+Table7[[#This Row],[Ptop (mW) C]]</f>
        <v>1019.8052731975029</v>
      </c>
      <c r="CA171" s="159"/>
      <c r="CB171" s="160">
        <f>(RAC_SNS*10^-3*(Table7[[#This Row],[IOUT (A)]]*Vbat/VACnom)^2/10^-3)</f>
        <v>8.61328125</v>
      </c>
      <c r="CC171" s="160">
        <f>(RBAT_SNS*10^-3*Table7[[#This Row],[IOUT (A)]]^2)/10^-3</f>
        <v>2.8125</v>
      </c>
      <c r="CD171" s="160">
        <f>IF(VACnom&gt;Vbat,(L_DRC*10^-3*(Table7[[#This Row],[IOUT (A)]])^2/10^-3),(L_DRC*10^-3*(Table7[[#This Row],[IOUT (A)]]*Vbat/VACnom)^2/10^-3))</f>
        <v>20.671875</v>
      </c>
      <c r="CE171" s="166"/>
      <c r="CF171" s="156">
        <f>(Table7[[#This Row],[R_AC (mW)]]+Table7[[#This Row],[R_SR (mW)]]+Table7[[#This Row],[Inductor Loss (mW)]])/10^3</f>
        <v>3.2097656250000002E-2</v>
      </c>
      <c r="CG171" s="156">
        <f ca="1">Table7[[#This Row],[Total TI (mW)]]/10^3</f>
        <v>2.25791703257913</v>
      </c>
      <c r="CH171" s="156">
        <f ca="1">Table7[[#This Row],[Total Sense Loss]]+Table7[[#This Row],[Total MOSFET Loss]]</f>
        <v>2.29001468882913</v>
      </c>
      <c r="CI171" s="161">
        <f ca="1">IF(Table7[[#This Row],[POUT (W)]]=0,0,(Table7[[#This Row],[POUT (W)]])/(Table7[[#This Row],[POUT (W)]]+Table7[[#This Row],[Total Power Loss (W)]]))*100</f>
        <v>79.716459615460224</v>
      </c>
      <c r="CJ171" s="167"/>
      <c r="CK171" s="156">
        <f>(Table7[[#This Row],[R_AC (mW)]]+Table7[[#This Row],[R_SR (mW)]]+Table7[[#This Row],[Inductor Loss (mW)]])/10^3</f>
        <v>3.2097656250000002E-2</v>
      </c>
      <c r="CL171" s="156">
        <f ca="1">Table7[[#This Row],[Total (mW) C]]/10^3</f>
        <v>1.0198052731975029</v>
      </c>
      <c r="CM171" s="156">
        <f ca="1">Table7[[#This Row],[Total Sense Loss C]]+Table7[[#This Row],[Total MOSFET Loss C]]</f>
        <v>1.0519029294475029</v>
      </c>
      <c r="CN171" s="161">
        <f ca="1">IF(Table7[[#This Row],[POUT (W)]]=0,0,(Table7[[#This Row],[POUT (W)]])/(Table7[[#This Row],[POUT (W)]]+Table7[[#This Row],[Total Power Loss (W) C]]))*100</f>
        <v>89.535285638643558</v>
      </c>
      <c r="CO171" s="167"/>
      <c r="CP171" s="161">
        <f>IF(MOSFET_S=Custom_MOSFET,Table7[[#This Row],[Total Sense Loss C]],Table7[[#This Row],[Total Sense Loss]])</f>
        <v>3.2097656250000002E-2</v>
      </c>
      <c r="CQ171" s="161">
        <f ca="1">IF(MOSFET_S=Custom_MOSFET,Table7[[#This Row],[Total MOSFET Loss C]],Table7[[#This Row],[Total MOSFET Loss]])</f>
        <v>2.25791703257913</v>
      </c>
      <c r="CR171" s="161">
        <f ca="1">IF(MOSFET_S=Custom_MOSFET,Table7[[#This Row],[Efficiency C]],Table7[[#This Row],[Efficiency]])</f>
        <v>79.716459615460224</v>
      </c>
      <c r="CS171" s="167"/>
      <c r="CT171" s="161">
        <f>IF(MOSFET_S=Compare_MOSFET, Table7[[#This Row],[Total Sense Loss C]], -100)</f>
        <v>-100</v>
      </c>
      <c r="CU171" s="161">
        <f>IF(MOSFET_S=Compare_MOSFET, Table7[[#This Row],[Total MOSFET Loss C]], -100)</f>
        <v>-100</v>
      </c>
      <c r="CV171" s="161">
        <f>IF(MOSFET_S=Compare_MOSFET, Table7[[#This Row],[Efficiency C]], -100)</f>
        <v>-100</v>
      </c>
      <c r="CW171" s="167"/>
      <c r="CX171" s="161">
        <f ca="1">IF(Save_Sel=CLR_Save,  Table7[[#This Row],[Total Sense Loss P1]], Table7[[#This Row],[Total Sense Loss P1 Saved]])</f>
        <v>3.2097656250000002E-2</v>
      </c>
      <c r="CY171" s="161">
        <f ca="1">IF(Save_Sel=CLR_Save,  Table7[[#This Row],[Total MOSFET Loss P1]], Table7[[#This Row],[Total MOSFET Loss P1 Saved]] )</f>
        <v>1.5463397225844857</v>
      </c>
      <c r="CZ171" s="161">
        <f ca="1">IF(Save_Sel=CLR_Save, Table7[[#This Row],[Efficiency P1]], Table7[[#This Row],[Efficiency P1 Saved]])</f>
        <v>85.078728338529004</v>
      </c>
      <c r="DA171" s="167"/>
      <c r="DB171" s="161">
        <f ca="1">IF(Save_Sel=CLR_Save,  Table7[[#This Row],[Total Sense Loss P2]], Table7[[#This Row],[Total Sense Loss P2 Saved]])</f>
        <v>3.2097656250000002E-2</v>
      </c>
      <c r="DC171" s="161">
        <f ca="1">IF(Save_Sel=CLR_Save,  Table7[[#This Row],[Total MOSFET Loss P2]], Table7[[#This Row],[Total MOSFET Loss P2 Saved]] )</f>
        <v>1.02204181076616</v>
      </c>
      <c r="DD171" s="161">
        <f ca="1">IF(Save_Sel=CLR_Save, Table7[[#This Row],[Efficiency P2]], Table7[[#This Row],[Efficiency P2 Saved]])</f>
        <v>89.515368565610274</v>
      </c>
      <c r="DE171" s="167"/>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c r="FH171" s="21"/>
      <c r="FI171" s="21"/>
    </row>
    <row r="172" spans="1:165" x14ac:dyDescent="0.25">
      <c r="A172" s="50">
        <v>13</v>
      </c>
      <c r="B172" s="51"/>
      <c r="C172" s="51"/>
      <c r="D172" s="34" t="s">
        <v>137</v>
      </c>
      <c r="E172" s="132">
        <f t="shared" ca="1" si="20"/>
        <v>0.72</v>
      </c>
      <c r="F172" s="132">
        <f t="shared" ca="1" si="21"/>
        <v>0.72</v>
      </c>
      <c r="G172" s="44" t="s">
        <v>1</v>
      </c>
      <c r="H172" s="31"/>
      <c r="I172" s="50">
        <v>13</v>
      </c>
      <c r="J172" s="31"/>
      <c r="K172" s="51"/>
      <c r="L172" s="51"/>
      <c r="M172" s="34" t="s">
        <v>137</v>
      </c>
      <c r="N172" s="122">
        <f t="shared" si="18"/>
        <v>0.8</v>
      </c>
      <c r="O172" s="122">
        <f t="shared" si="19"/>
        <v>0.8</v>
      </c>
      <c r="P172" s="44" t="s">
        <v>1</v>
      </c>
      <c r="Q172" s="31"/>
      <c r="R172" s="31"/>
      <c r="S172" s="32"/>
      <c r="T172" s="20"/>
      <c r="U172" s="21"/>
      <c r="V172" s="21"/>
      <c r="W172" s="21"/>
      <c r="X172" s="21"/>
      <c r="Y172" s="21"/>
      <c r="Z172" s="21"/>
      <c r="AA172" s="21"/>
      <c r="AB172" s="21"/>
      <c r="AC172" s="21"/>
      <c r="AD172" s="21"/>
      <c r="AE172" s="21"/>
      <c r="AF172" s="154">
        <f t="shared" si="17"/>
        <v>16</v>
      </c>
      <c r="AG172" s="154">
        <f t="shared" si="16"/>
        <v>0.8</v>
      </c>
      <c r="AH172" s="155">
        <f t="shared" si="3"/>
        <v>9.6000000000000014</v>
      </c>
      <c r="AI172" s="156">
        <f t="shared" si="4"/>
        <v>0.42857142857142855</v>
      </c>
      <c r="AJ172" s="156">
        <f t="shared" si="5"/>
        <v>1.4000000000000001</v>
      </c>
      <c r="AK172" s="156">
        <f t="shared" si="6"/>
        <v>0.85714285714285721</v>
      </c>
      <c r="AL172" s="156">
        <f t="shared" si="7"/>
        <v>1.4216977490999692</v>
      </c>
      <c r="AM172" s="157"/>
      <c r="AN172" s="156">
        <f>MAX(0,Table7[[#This Row],[I_L]]-0.5*Table7[[#This Row],[I_L pkpk]])</f>
        <v>0.97142857142857153</v>
      </c>
      <c r="AO172" s="156">
        <f>Table7[[#This Row],[I_L]]+0.5*Table7[[#This Row],[I_L pkpk]]</f>
        <v>1.8285714285714287</v>
      </c>
      <c r="AP172" s="156">
        <f ca="1">IF(VACnom&gt;Vbat, (VGS_S-(TI_MOSFET_S_VTH_H_BU+Table7[[#This Row],[I_L]]/TI_MOSFET_S_gFS_H_BU))/3.4, (VGS_S-(TI_MOSFET_S_VTH_L_BO+Table7[[#This Row],[I_L]]/TI_MOSFET_S_gFS_L_BO))/3.4 )</f>
        <v>2.4233031674208143</v>
      </c>
      <c r="AQ172" s="156">
        <f ca="1">IF(VACnom&gt;Vbat, ((TI_MOSFET_S_VTH_H_BU+Table7[[#This Row],[I_L]]/TI_MOSFET_S_gFS_H_BU))/1, ((TI_MOSFET_S_VTH_L_BO+Table7[[#This Row],[I_L]]/TI_MOSFET_S_gFS_L_BO))/1 )</f>
        <v>1.7607692307692309</v>
      </c>
      <c r="AR172" s="156">
        <f ca="1">IF(VACnom&gt;Vbat, (TI_MOSFET_S_QGD_H_BU+TI_MOSFET_S_QGS_H_BU)*10^-9/Table7[[#This Row],[Ion (A)]], (TI_MOSFET_S_QGD_L_BO+TI_MOSFET_S_QGS_L_BO)*10^-9/Table7[[#This Row],[Ion (A)]])/10^-9</f>
        <v>11.88460461208104</v>
      </c>
      <c r="AS172" s="156">
        <f ca="1">IF(VACnom&gt;Vbat, (TI_MOSFET_S_QGD_H_BU+TI_MOSFET_S_QGS_H_BU)*10^-9/Table7[[#This Row],[Ioff (A)]], (TI_MOSFET_S_QGD_L_BO+TI_MOSFET_S_QGS_L_BO)*10^-9/Table7[[#This Row],[Ioff (A)]])/10^-9</f>
        <v>16.356487549148099</v>
      </c>
      <c r="AT172" s="156">
        <f ca="1" xml:space="preserve"> 0.5*VACnom*Table7[[#This Row],[Ivalley (A)]]*Table7[[#This Row],[ton (ns)]]*10^-9*Fsw*10^3+0.5*VACnom*Table7[[#This Row],[Ipeak (A)]]*Table7[[#This Row],[toff (ns)]]*10^-9*Fsw*10^3/10^-3</f>
        <v>107.71398305509258</v>
      </c>
      <c r="AU172" s="156">
        <f t="shared" ca="1" si="8"/>
        <v>262.8</v>
      </c>
      <c r="AV172" s="156">
        <f t="shared" ca="1" si="9"/>
        <v>648</v>
      </c>
      <c r="AW172" s="156">
        <f t="shared" ca="1" si="10"/>
        <v>554.4</v>
      </c>
      <c r="AX172" s="156">
        <f ca="1">IF(VACnom&gt;Vbat, TI_MOSFET_S_VSD_L_BU*Table7[[#This Row],[Ivalley (A)]]*Fsw*10^3*40*10^-9+TI_MOSFET_S_VSD_L_BU*Table7[[#This Row],[Ipeak (A)]]*Fsw*10^3*30*10^-9, TI_MOSFET_S_VSD_H_BO*Table7[[#This Row],[Ivalley (A)]]*Fsw*10^3*40*10^-9+TI_MOSFET_S_VSD_H_BO*Table7[[#This Row],[Ipeak (A)]]*Fsw*10^3*30*10^-9)/10^-3</f>
        <v>40.484571428571435</v>
      </c>
      <c r="AY172" s="156">
        <f t="shared" ca="1" si="11"/>
        <v>648</v>
      </c>
      <c r="AZ172" s="156">
        <f ca="1">IF(VACnom&lt;Vbat, Table7[[#This Row],[Duty Cycle]]*Table7[[#This Row],[I_L RMS]]^2*TI_MOSFET_S_RDSON_H_BU*10^-3, (1-Table7[[#This Row],[Duty Cycle]])*Table7[[#This Row],[I_L RMS]]^2*TI_MOSFET_S_RDSON_H_BO*10^-3)/10^-3</f>
        <v>2.4254693877551028</v>
      </c>
      <c r="BA172" s="156">
        <f ca="1">IF(VACnom&gt;Vbat, Table7[[#This Row],[PIV (mW)]]+Table7[[#This Row],[Pqoss (mW)]]+Table7[[#This Row],[Pgate_top (mW)]], Table7[[#This Row],[PRR (mW)]]+Table7[[#This Row],[Pdead (mW)]]+Table7[[#This Row],[Pgate_top (mW)]])</f>
        <v>1242.8845714285715</v>
      </c>
      <c r="BB172" s="156">
        <f ca="1">Table7[[#This Row],[Pcon_top (mW)]]+Table7[[#This Row],[Psw_top (mW)]]</f>
        <v>1245.3100408163266</v>
      </c>
      <c r="BC172" s="156">
        <f ca="1">IF(VACnom&gt;Vbat, (1-Table7[[#This Row],[Duty Cycle]])*Table7[[#This Row],[I_L RMS]]^2*TI_MOSFET_S_RDSON_L_BU*10^-3, Table7[[#This Row],[Duty Cycle]]*Table7[[#This Row],[I_L RMS]]^2*TI_MOSFET_S_RDSON_L_BO*10^-3)/10^-3</f>
        <v>2.4254693877551028</v>
      </c>
      <c r="BD172" s="156">
        <f ca="1">IF(VACnom&gt;Vbat, Table7[[#This Row],[PRR (mW)]]+Table7[[#This Row],[Pdead (mW)]]+Table7[[#This Row],[Pgate_bottom (mW)]], Table7[[#This Row],[PIV (mW)]]+Table7[[#This Row],[Pqoss (mW)]]+Table7[[#This Row],[Pgate_bottom (mW)]])</f>
        <v>1018.5139830550926</v>
      </c>
      <c r="BE172" s="158">
        <f ca="1">Table7[[#This Row],[Pcon_bottom (mW)]]+Table7[[#This Row],[Psw_bottom (mW)]]</f>
        <v>1020.9394524428477</v>
      </c>
      <c r="BF172" s="164">
        <f ca="1">Table7[[#This Row],[Pbottom (mW)]]+Table7[[#This Row],[Ptop (mW)]]</f>
        <v>2266.2494932591744</v>
      </c>
      <c r="BG172" s="153"/>
      <c r="BH172" s="156">
        <f>MAX(0,Table7[[#This Row],[I_L]]-0.5*Table7[[#This Row],[I_L pkpk]])</f>
        <v>0.97142857142857153</v>
      </c>
      <c r="BI172" s="156">
        <f>Table7[[#This Row],[I_L]]+0.5*Table7[[#This Row],[I_L pkpk]]</f>
        <v>1.8285714285714287</v>
      </c>
      <c r="BJ172" s="156">
        <f>IF(VACnom&gt;Vbat, (VGS_S-(C_MOSFET_S_VTH_H_BU+Table7[[#This Row],[I_L]]/C_MOSFET_S_gFS_H_BU))/3.4, (VGS_S-(C_MOSFET_S_VTH_L_BO+Table7[[#This Row],[I_L]]/C_MOSFET_S_gFS_L_BO))/3.4 )</f>
        <v>2.3501960784313725</v>
      </c>
      <c r="BK172" s="156">
        <f>IF(VACnom&gt;Vbat, ((C_MOSFET_S_VTH_H_BU+Table7[[#This Row],[I_L]]/C_MOSFET_S_gFS_H_BU))/1, ((C_MOSFET_S_VTH_L_BO+Table7[[#This Row],[I_L]]/C_MOSFET_S_gFS_L_BO))/1 )</f>
        <v>2.0093333333333332</v>
      </c>
      <c r="BL172" s="156">
        <f>IF(VACnom&gt;Vbat, (C_MOSFET_S_QGD_H_BU+C_MOSFET_S_QGS_H_BU)*10^-9/Table7[[#This Row],[Ion (A) C]], (C_MOSFET_S_QGD_L_BO+C_MOSFET_S_QGS_L_BO)*10^-9/Table7[[#This Row],[Ion (A) C]])/10^-9</f>
        <v>2.7657266811279828</v>
      </c>
      <c r="BM172" s="156">
        <f>IF(VACnom&gt;Vbat, (C_MOSFET_S_QGD_H_BU+C_MOSFET_S_QGS_H_BU)*10^-9/Table7[[#This Row],[Ioff (A) C]], (C_MOSFET_S_QGD_L_BO+C_MOSFET_S_QGS_L_BO)*10^-9/Table7[[#This Row],[Ioff (A) C]])/10^-9</f>
        <v>3.2349037823490381</v>
      </c>
      <c r="BN172" s="156">
        <f xml:space="preserve"> 0.5*VACnom*Table7[[#This Row],[Ivalley (A) C]]*Table7[[#This Row],[ton (ns) C]]*10^-9*Fsw*10^3+0.5*VACnom*Table7[[#This Row],[Ipeak (A) C]]*Table7[[#This Row],[toff (ns) C]]*10^-9*Fsw*10^3/10^-3</f>
        <v>21.304581611399676</v>
      </c>
      <c r="BO172" s="156">
        <f t="shared" si="12"/>
        <v>129.6</v>
      </c>
      <c r="BP172" s="156">
        <f t="shared" ca="1" si="13"/>
        <v>291.59999999999997</v>
      </c>
      <c r="BQ172" s="156">
        <f t="shared" si="14"/>
        <v>237.6</v>
      </c>
      <c r="BR172" s="156">
        <f>IF(VACnom&gt;Vbat, C_MOSFET_S_VSD_L_BU*Table7[[#This Row],[Ivalley (A) C]]*Fsw*10^3*40*10^-9+C_MOSFET_S_VSD_L_BU*Table7[[#This Row],[Ipeak (A) C]]*Fsw*10^3*30*10^-9, C_MOSFET_S_VSD_H_BO*Table7[[#This Row],[Ivalley (A) C]]*Fsw*10^3*40*10^-9+C_MOSFET_S_VSD_H_BO*Table7[[#This Row],[Ipeak (A) C]]*Fsw*10^3*30*10^-9)/10^-3</f>
        <v>44.982857142857156</v>
      </c>
      <c r="BS172" s="156">
        <f t="shared" ca="1" si="15"/>
        <v>291.59999999999997</v>
      </c>
      <c r="BT172" s="156">
        <f>IF(VACnom&lt;Vbat, Table7[[#This Row],[Duty Cycle]]*Table7[[#This Row],[I_L RMS]]^2*C_MOSFET_S_RDSON_H_BU*10^-3, (1-Table7[[#This Row],[Duty Cycle]])*Table7[[#This Row],[I_L RMS]]^2*C_MOSFET_S_RDSON_H_BO*10^-3)/10^-3</f>
        <v>4.937562682215745</v>
      </c>
      <c r="BU172" s="156">
        <f ca="1">IF(VACnom&gt;Vbat, Table7[[#This Row],[PIV (mW) C]]+Table7[[#This Row],[PQoss (mW) C]]+Table7[[#This Row],[Pgate_top (mW) C]], Table7[[#This Row],[PRR (mW) C]]+Table7[[#This Row],[Pdead (mW) C]]+Table7[[#This Row],[Pgate_top (mW) C]])</f>
        <v>574.18285714285707</v>
      </c>
      <c r="BV172" s="156">
        <f ca="1">Table7[[#This Row],[Pcon_top (mW) C]]+Table7[[#This Row],[Psw_top (mW) C]]</f>
        <v>579.12041982507287</v>
      </c>
      <c r="BW172" s="156">
        <f ca="1">IF(VACnom&gt;Vbat, (1-Table7[[#This Row],[Duty Cycle]])*Table7[[#This Row],[I_L RMS]]^2*C_MOSFET_S_RDSON_L_BU*10^-3, Table7[[#This Row],[Duty Cycle]]*Table7[[#This Row],[I_L RMS]]^2*C_MOSFET_S_RDSON_L_BO*10^-3)/10^-3</f>
        <v>3.0751486880466481</v>
      </c>
      <c r="BX172" s="156">
        <f ca="1">IF(VACnom&gt;Vbat, Table7[[#This Row],[PRR (mW) C]]+Table7[[#This Row],[Pdead (mW) C]]+Table7[[#This Row],[Pgate_bottom (mW) C]], Table7[[#This Row],[PIV (mW) C]]+Table7[[#This Row],[PQoss (mW) C]]+Table7[[#This Row],[Pgate_bottom (mW) C]])</f>
        <v>442.50458161139966</v>
      </c>
      <c r="BY172" s="156">
        <f ca="1">Table7[[#This Row],[Pcon_bottom (mW) C]]+Table7[[#This Row],[Psw_bottom (mV) C]]</f>
        <v>445.57973029944628</v>
      </c>
      <c r="BZ172" s="156">
        <f ca="1">Table7[[#This Row],[Pbottom (mW) C]]+Table7[[#This Row],[Ptop (mW) C]]</f>
        <v>1024.700150124519</v>
      </c>
      <c r="CA172" s="159"/>
      <c r="CB172" s="160">
        <f>(RAC_SNS*10^-3*(Table7[[#This Row],[IOUT (A)]]*Vbat/VACnom)^2/10^-3)</f>
        <v>9.8000000000000007</v>
      </c>
      <c r="CC172" s="160">
        <f>(RBAT_SNS*10^-3*Table7[[#This Row],[IOUT (A)]]^2)/10^-3</f>
        <v>3.2000000000000006</v>
      </c>
      <c r="CD172" s="160">
        <f>IF(VACnom&gt;Vbat,(L_DRC*10^-3*(Table7[[#This Row],[IOUT (A)]])^2/10^-3),(L_DRC*10^-3*(Table7[[#This Row],[IOUT (A)]]*Vbat/VACnom)^2/10^-3))</f>
        <v>23.520000000000007</v>
      </c>
      <c r="CE172" s="166"/>
      <c r="CF172" s="156">
        <f>(Table7[[#This Row],[R_AC (mW)]]+Table7[[#This Row],[R_SR (mW)]]+Table7[[#This Row],[Inductor Loss (mW)]])/10^3</f>
        <v>3.6520000000000011E-2</v>
      </c>
      <c r="CG172" s="156">
        <f ca="1">Table7[[#This Row],[Total TI (mW)]]/10^3</f>
        <v>2.2662494932591746</v>
      </c>
      <c r="CH172" s="156">
        <f ca="1">Table7[[#This Row],[Total Sense Loss]]+Table7[[#This Row],[Total MOSFET Loss]]</f>
        <v>2.3027694932591745</v>
      </c>
      <c r="CI172" s="161">
        <f ca="1">IF(Table7[[#This Row],[POUT (W)]]=0,0,(Table7[[#This Row],[POUT (W)]])/(Table7[[#This Row],[POUT (W)]]+Table7[[#This Row],[Total Power Loss (W)]]))*100</f>
        <v>80.653498376463673</v>
      </c>
      <c r="CJ172" s="167"/>
      <c r="CK172" s="156">
        <f>(Table7[[#This Row],[R_AC (mW)]]+Table7[[#This Row],[R_SR (mW)]]+Table7[[#This Row],[Inductor Loss (mW)]])/10^3</f>
        <v>3.6520000000000011E-2</v>
      </c>
      <c r="CL172" s="156">
        <f ca="1">Table7[[#This Row],[Total (mW) C]]/10^3</f>
        <v>1.024700150124519</v>
      </c>
      <c r="CM172" s="156">
        <f ca="1">Table7[[#This Row],[Total Sense Loss C]]+Table7[[#This Row],[Total MOSFET Loss C]]</f>
        <v>1.0612201501245191</v>
      </c>
      <c r="CN172" s="161">
        <f ca="1">IF(Table7[[#This Row],[POUT (W)]]=0,0,(Table7[[#This Row],[POUT (W)]])/(Table7[[#This Row],[POUT (W)]]+Table7[[#This Row],[Total Power Loss (W) C]]))*100</f>
        <v>90.045978460428614</v>
      </c>
      <c r="CO172" s="167"/>
      <c r="CP172" s="161">
        <f>IF(MOSFET_S=Custom_MOSFET,Table7[[#This Row],[Total Sense Loss C]],Table7[[#This Row],[Total Sense Loss]])</f>
        <v>3.6520000000000011E-2</v>
      </c>
      <c r="CQ172" s="161">
        <f ca="1">IF(MOSFET_S=Custom_MOSFET,Table7[[#This Row],[Total MOSFET Loss C]],Table7[[#This Row],[Total MOSFET Loss]])</f>
        <v>2.2662494932591746</v>
      </c>
      <c r="CR172" s="161">
        <f ca="1">IF(MOSFET_S=Custom_MOSFET,Table7[[#This Row],[Efficiency C]],Table7[[#This Row],[Efficiency]])</f>
        <v>80.653498376463673</v>
      </c>
      <c r="CS172" s="167"/>
      <c r="CT172" s="161">
        <f>IF(MOSFET_S=Compare_MOSFET, Table7[[#This Row],[Total Sense Loss C]], -100)</f>
        <v>-100</v>
      </c>
      <c r="CU172" s="161">
        <f>IF(MOSFET_S=Compare_MOSFET, Table7[[#This Row],[Total MOSFET Loss C]], -100)</f>
        <v>-100</v>
      </c>
      <c r="CV172" s="161">
        <f>IF(MOSFET_S=Compare_MOSFET, Table7[[#This Row],[Efficiency C]], -100)</f>
        <v>-100</v>
      </c>
      <c r="CW172" s="167"/>
      <c r="CX172" s="161">
        <f ca="1">IF(Save_Sel=CLR_Save,  Table7[[#This Row],[Total Sense Loss P1]], Table7[[#This Row],[Total Sense Loss P1 Saved]])</f>
        <v>3.6520000000000011E-2</v>
      </c>
      <c r="CY172" s="161">
        <f ca="1">IF(Save_Sel=CLR_Save,  Table7[[#This Row],[Total MOSFET Loss P1]], Table7[[#This Row],[Total MOSFET Loss P1 Saved]] )</f>
        <v>1.5548323029816116</v>
      </c>
      <c r="CZ172" s="161">
        <f ca="1">IF(Save_Sel=CLR_Save, Table7[[#This Row],[Efficiency P1]], Table7[[#This Row],[Efficiency P1 Saved]])</f>
        <v>85.780518208173632</v>
      </c>
      <c r="DA172" s="167"/>
      <c r="DB172" s="161">
        <f ca="1">IF(Save_Sel=CLR_Save,  Table7[[#This Row],[Total Sense Loss P2]], Table7[[#This Row],[Total Sense Loss P2 Saved]])</f>
        <v>3.6520000000000011E-2</v>
      </c>
      <c r="DC172" s="161">
        <f ca="1">IF(Save_Sel=CLR_Save,  Table7[[#This Row],[Total MOSFET Loss P2]], Table7[[#This Row],[Total MOSFET Loss P2 Saved]] )</f>
        <v>1.0272336018680668</v>
      </c>
      <c r="DD172" s="161">
        <f ca="1">IF(Save_Sel=CLR_Save, Table7[[#This Row],[Efficiency P2]], Table7[[#This Row],[Efficiency P2 Saved]])</f>
        <v>90.024585698588169</v>
      </c>
      <c r="DE172" s="167"/>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c r="FH172" s="21"/>
      <c r="FI172" s="21"/>
    </row>
    <row r="173" spans="1:165" x14ac:dyDescent="0.25">
      <c r="A173" s="50">
        <v>14</v>
      </c>
      <c r="B173" s="51"/>
      <c r="C173" s="51"/>
      <c r="D173" s="34" t="s">
        <v>138</v>
      </c>
      <c r="E173" s="41"/>
      <c r="F173" s="132">
        <f t="shared" ca="1" si="21"/>
        <v>77</v>
      </c>
      <c r="G173" s="44" t="s">
        <v>23</v>
      </c>
      <c r="H173" s="31"/>
      <c r="I173" s="50">
        <v>14</v>
      </c>
      <c r="J173" s="31"/>
      <c r="K173" s="51"/>
      <c r="L173" s="51"/>
      <c r="M173" s="34" t="s">
        <v>138</v>
      </c>
      <c r="N173" s="51"/>
      <c r="O173" s="122">
        <f t="shared" si="19"/>
        <v>63</v>
      </c>
      <c r="P173" s="44" t="s">
        <v>23</v>
      </c>
      <c r="Q173" s="31"/>
      <c r="R173" s="31"/>
      <c r="S173" s="32"/>
      <c r="T173" s="20"/>
      <c r="U173" s="21"/>
      <c r="V173" s="21"/>
      <c r="W173" s="21"/>
      <c r="X173" s="21"/>
      <c r="Y173" s="21"/>
      <c r="Z173" s="21"/>
      <c r="AA173" s="21"/>
      <c r="AB173" s="21"/>
      <c r="AC173" s="21"/>
      <c r="AD173" s="21"/>
      <c r="AE173" s="21"/>
      <c r="AF173" s="154">
        <f t="shared" si="17"/>
        <v>17</v>
      </c>
      <c r="AG173" s="154">
        <f t="shared" si="16"/>
        <v>0.85</v>
      </c>
      <c r="AH173" s="155">
        <f t="shared" si="3"/>
        <v>10.199999999999999</v>
      </c>
      <c r="AI173" s="156">
        <f t="shared" si="4"/>
        <v>0.42857142857142855</v>
      </c>
      <c r="AJ173" s="156">
        <f t="shared" si="5"/>
        <v>1.4875</v>
      </c>
      <c r="AK173" s="156">
        <f t="shared" si="6"/>
        <v>0.85714285714285721</v>
      </c>
      <c r="AL173" s="156">
        <f t="shared" si="7"/>
        <v>1.5079392361086432</v>
      </c>
      <c r="AM173" s="157"/>
      <c r="AN173" s="156">
        <f>MAX(0,Table7[[#This Row],[I_L]]-0.5*Table7[[#This Row],[I_L pkpk]])</f>
        <v>1.0589285714285714</v>
      </c>
      <c r="AO173" s="156">
        <f>Table7[[#This Row],[I_L]]+0.5*Table7[[#This Row],[I_L pkpk]]</f>
        <v>1.9160714285714286</v>
      </c>
      <c r="AP173" s="156">
        <f ca="1">IF(VACnom&gt;Vbat, (VGS_S-(TI_MOSFET_S_VTH_H_BU+Table7[[#This Row],[I_L]]/TI_MOSFET_S_gFS_H_BU))/3.4, (VGS_S-(TI_MOSFET_S_VTH_L_BO+Table7[[#This Row],[I_L]]/TI_MOSFET_S_gFS_L_BO))/3.4 )</f>
        <v>2.4231052036199094</v>
      </c>
      <c r="AQ173" s="156">
        <f ca="1">IF(VACnom&gt;Vbat, ((TI_MOSFET_S_VTH_H_BU+Table7[[#This Row],[I_L]]/TI_MOSFET_S_gFS_H_BU))/1, ((TI_MOSFET_S_VTH_L_BO+Table7[[#This Row],[I_L]]/TI_MOSFET_S_gFS_L_BO))/1 )</f>
        <v>1.7614423076923076</v>
      </c>
      <c r="AR173" s="156">
        <f ca="1">IF(VACnom&gt;Vbat, (TI_MOSFET_S_QGD_H_BU+TI_MOSFET_S_QGS_H_BU)*10^-9/Table7[[#This Row],[Ion (A)]], (TI_MOSFET_S_QGD_L_BO+TI_MOSFET_S_QGS_L_BO)*10^-9/Table7[[#This Row],[Ion (A)]])/10^-9</f>
        <v>11.885575565177811</v>
      </c>
      <c r="AS173" s="156">
        <f ca="1">IF(VACnom&gt;Vbat, (TI_MOSFET_S_QGD_H_BU+TI_MOSFET_S_QGS_H_BU)*10^-9/Table7[[#This Row],[Ioff (A)]], (TI_MOSFET_S_QGD_L_BO+TI_MOSFET_S_QGS_L_BO)*10^-9/Table7[[#This Row],[Ioff (A)]])/10^-9</f>
        <v>16.350237458376551</v>
      </c>
      <c r="AT173" s="156">
        <f ca="1" xml:space="preserve"> 0.5*VACnom*Table7[[#This Row],[Ivalley (A)]]*Table7[[#This Row],[ton (ns)]]*10^-9*Fsw*10^3+0.5*VACnom*Table7[[#This Row],[Ipeak (A)]]*Table7[[#This Row],[toff (ns)]]*10^-9*Fsw*10^3/10^-3</f>
        <v>112.82691175166694</v>
      </c>
      <c r="AU173" s="156">
        <f t="shared" ca="1" si="8"/>
        <v>262.8</v>
      </c>
      <c r="AV173" s="156">
        <f t="shared" ca="1" si="9"/>
        <v>648</v>
      </c>
      <c r="AW173" s="156">
        <f t="shared" ca="1" si="10"/>
        <v>554.4</v>
      </c>
      <c r="AX173" s="156">
        <f ca="1">IF(VACnom&gt;Vbat, TI_MOSFET_S_VSD_L_BU*Table7[[#This Row],[Ivalley (A)]]*Fsw*10^3*40*10^-9+TI_MOSFET_S_VSD_L_BU*Table7[[#This Row],[Ipeak (A)]]*Fsw*10^3*30*10^-9, TI_MOSFET_S_VSD_H_BO*Table7[[#This Row],[Ivalley (A)]]*Fsw*10^3*40*10^-9+TI_MOSFET_S_VSD_H_BO*Table7[[#This Row],[Ipeak (A)]]*Fsw*10^3*30*10^-9)/10^-3</f>
        <v>43.130571428571436</v>
      </c>
      <c r="AY173" s="156">
        <f t="shared" ca="1" si="11"/>
        <v>648</v>
      </c>
      <c r="AZ173" s="156">
        <f ca="1">IF(VACnom&lt;Vbat, Table7[[#This Row],[Duty Cycle]]*Table7[[#This Row],[I_L RMS]]^2*TI_MOSFET_S_RDSON_H_BU*10^-3, (1-Table7[[#This Row],[Duty Cycle]])*Table7[[#This Row],[I_L RMS]]^2*TI_MOSFET_S_RDSON_H_BO*10^-3)/10^-3</f>
        <v>2.7286568877551018</v>
      </c>
      <c r="BA173" s="156">
        <f ca="1">IF(VACnom&gt;Vbat, Table7[[#This Row],[PIV (mW)]]+Table7[[#This Row],[Pqoss (mW)]]+Table7[[#This Row],[Pgate_top (mW)]], Table7[[#This Row],[PRR (mW)]]+Table7[[#This Row],[Pdead (mW)]]+Table7[[#This Row],[Pgate_top (mW)]])</f>
        <v>1245.5305714285714</v>
      </c>
      <c r="BB173" s="156">
        <f ca="1">Table7[[#This Row],[Pcon_top (mW)]]+Table7[[#This Row],[Psw_top (mW)]]</f>
        <v>1248.2592283163265</v>
      </c>
      <c r="BC173" s="156">
        <f ca="1">IF(VACnom&gt;Vbat, (1-Table7[[#This Row],[Duty Cycle]])*Table7[[#This Row],[I_L RMS]]^2*TI_MOSFET_S_RDSON_L_BU*10^-3, Table7[[#This Row],[Duty Cycle]]*Table7[[#This Row],[I_L RMS]]^2*TI_MOSFET_S_RDSON_L_BO*10^-3)/10^-3</f>
        <v>2.7286568877551018</v>
      </c>
      <c r="BD173" s="156">
        <f ca="1">IF(VACnom&gt;Vbat, Table7[[#This Row],[PRR (mW)]]+Table7[[#This Row],[Pdead (mW)]]+Table7[[#This Row],[Pgate_bottom (mW)]], Table7[[#This Row],[PIV (mW)]]+Table7[[#This Row],[Pqoss (mW)]]+Table7[[#This Row],[Pgate_bottom (mW)]])</f>
        <v>1023.626911751667</v>
      </c>
      <c r="BE173" s="158">
        <f ca="1">Table7[[#This Row],[Pcon_bottom (mW)]]+Table7[[#This Row],[Psw_bottom (mW)]]</f>
        <v>1026.355568639422</v>
      </c>
      <c r="BF173" s="164">
        <f ca="1">Table7[[#This Row],[Pbottom (mW)]]+Table7[[#This Row],[Ptop (mW)]]</f>
        <v>2274.6147969557487</v>
      </c>
      <c r="BG173" s="153"/>
      <c r="BH173" s="156">
        <f>MAX(0,Table7[[#This Row],[I_L]]-0.5*Table7[[#This Row],[I_L pkpk]])</f>
        <v>1.0589285714285714</v>
      </c>
      <c r="BI173" s="156">
        <f>Table7[[#This Row],[I_L]]+0.5*Table7[[#This Row],[I_L pkpk]]</f>
        <v>1.9160714285714286</v>
      </c>
      <c r="BJ173" s="156">
        <f>IF(VACnom&gt;Vbat, (VGS_S-(C_MOSFET_S_VTH_H_BU+Table7[[#This Row],[I_L]]/C_MOSFET_S_gFS_H_BU))/3.4, (VGS_S-(C_MOSFET_S_VTH_L_BO+Table7[[#This Row],[I_L]]/C_MOSFET_S_gFS_L_BO))/3.4 )</f>
        <v>2.3500245098039216</v>
      </c>
      <c r="BK173" s="156">
        <f>IF(VACnom&gt;Vbat, ((C_MOSFET_S_VTH_H_BU+Table7[[#This Row],[I_L]]/C_MOSFET_S_gFS_H_BU))/1, ((C_MOSFET_S_VTH_L_BO+Table7[[#This Row],[I_L]]/C_MOSFET_S_gFS_L_BO))/1 )</f>
        <v>2.0099166666666668</v>
      </c>
      <c r="BL173" s="156">
        <f>IF(VACnom&gt;Vbat, (C_MOSFET_S_QGD_H_BU+C_MOSFET_S_QGS_H_BU)*10^-9/Table7[[#This Row],[Ion (A) C]], (C_MOSFET_S_QGD_L_BO+C_MOSFET_S_QGS_L_BO)*10^-9/Table7[[#This Row],[Ion (A) C]])/10^-9</f>
        <v>2.7659285989925011</v>
      </c>
      <c r="BM173" s="156">
        <f>IF(VACnom&gt;Vbat, (C_MOSFET_S_QGD_H_BU+C_MOSFET_S_QGS_H_BU)*10^-9/Table7[[#This Row],[Ioff (A) C]], (C_MOSFET_S_QGD_L_BO+C_MOSFET_S_QGS_L_BO)*10^-9/Table7[[#This Row],[Ioff (A) C]])/10^-9</f>
        <v>3.2339649239189017</v>
      </c>
      <c r="BN173" s="156">
        <f xml:space="preserve"> 0.5*VACnom*Table7[[#This Row],[Ivalley (A) C]]*Table7[[#This Row],[ton (ns) C]]*10^-9*Fsw*10^3+0.5*VACnom*Table7[[#This Row],[Ipeak (A) C]]*Table7[[#This Row],[toff (ns) C]]*10^-9*Fsw*10^3/10^-3</f>
        <v>22.317972165155471</v>
      </c>
      <c r="BO173" s="156">
        <f t="shared" si="12"/>
        <v>129.6</v>
      </c>
      <c r="BP173" s="156">
        <f t="shared" ca="1" si="13"/>
        <v>291.59999999999997</v>
      </c>
      <c r="BQ173" s="156">
        <f t="shared" si="14"/>
        <v>237.6</v>
      </c>
      <c r="BR173" s="156">
        <f>IF(VACnom&gt;Vbat, C_MOSFET_S_VSD_L_BU*Table7[[#This Row],[Ivalley (A) C]]*Fsw*10^3*40*10^-9+C_MOSFET_S_VSD_L_BU*Table7[[#This Row],[Ipeak (A) C]]*Fsw*10^3*30*10^-9, C_MOSFET_S_VSD_H_BO*Table7[[#This Row],[Ivalley (A) C]]*Fsw*10^3*40*10^-9+C_MOSFET_S_VSD_H_BO*Table7[[#This Row],[Ipeak (A) C]]*Fsw*10^3*30*10^-9)/10^-3</f>
        <v>47.922857142857154</v>
      </c>
      <c r="BS173" s="156">
        <f t="shared" ca="1" si="15"/>
        <v>291.59999999999997</v>
      </c>
      <c r="BT173" s="156">
        <f>IF(VACnom&lt;Vbat, Table7[[#This Row],[Duty Cycle]]*Table7[[#This Row],[I_L RMS]]^2*C_MOSFET_S_RDSON_H_BU*10^-3, (1-Table7[[#This Row],[Duty Cycle]])*Table7[[#This Row],[I_L RMS]]^2*C_MOSFET_S_RDSON_H_BO*10^-3)/10^-3</f>
        <v>5.5547658072157438</v>
      </c>
      <c r="BU173" s="156">
        <f ca="1">IF(VACnom&gt;Vbat, Table7[[#This Row],[PIV (mW) C]]+Table7[[#This Row],[PQoss (mW) C]]+Table7[[#This Row],[Pgate_top (mW) C]], Table7[[#This Row],[PRR (mW) C]]+Table7[[#This Row],[Pdead (mW) C]]+Table7[[#This Row],[Pgate_top (mW) C]])</f>
        <v>577.12285714285713</v>
      </c>
      <c r="BV173" s="156">
        <f ca="1">Table7[[#This Row],[Pcon_top (mW) C]]+Table7[[#This Row],[Psw_top (mW) C]]</f>
        <v>582.67762295007287</v>
      </c>
      <c r="BW173" s="156">
        <f ca="1">IF(VACnom&gt;Vbat, (1-Table7[[#This Row],[Duty Cycle]])*Table7[[#This Row],[I_L RMS]]^2*C_MOSFET_S_RDSON_L_BU*10^-3, Table7[[#This Row],[Duty Cycle]]*Table7[[#This Row],[I_L RMS]]^2*C_MOSFET_S_RDSON_L_BO*10^-3)/10^-3</f>
        <v>3.459547125546647</v>
      </c>
      <c r="BX173" s="156">
        <f ca="1">IF(VACnom&gt;Vbat, Table7[[#This Row],[PRR (mW) C]]+Table7[[#This Row],[Pdead (mW) C]]+Table7[[#This Row],[Pgate_bottom (mW) C]], Table7[[#This Row],[PIV (mW) C]]+Table7[[#This Row],[PQoss (mW) C]]+Table7[[#This Row],[Pgate_bottom (mW) C]])</f>
        <v>443.51797216515547</v>
      </c>
      <c r="BY173" s="156">
        <f ca="1">Table7[[#This Row],[Pcon_bottom (mW) C]]+Table7[[#This Row],[Psw_bottom (mV) C]]</f>
        <v>446.97751929070211</v>
      </c>
      <c r="BZ173" s="156">
        <f ca="1">Table7[[#This Row],[Pbottom (mW) C]]+Table7[[#This Row],[Ptop (mW) C]]</f>
        <v>1029.6551422407749</v>
      </c>
      <c r="CA173" s="159"/>
      <c r="CB173" s="160">
        <f>(RAC_SNS*10^-3*(Table7[[#This Row],[IOUT (A)]]*Vbat/VACnom)^2/10^-3)</f>
        <v>11.063281249999998</v>
      </c>
      <c r="CC173" s="160">
        <f>(RBAT_SNS*10^-3*Table7[[#This Row],[IOUT (A)]]^2)/10^-3</f>
        <v>3.6124999999999998</v>
      </c>
      <c r="CD173" s="160">
        <f>IF(VACnom&gt;Vbat,(L_DRC*10^-3*(Table7[[#This Row],[IOUT (A)]])^2/10^-3),(L_DRC*10^-3*(Table7[[#This Row],[IOUT (A)]]*Vbat/VACnom)^2/10^-3))</f>
        <v>26.551874999999992</v>
      </c>
      <c r="CE173" s="166"/>
      <c r="CF173" s="156">
        <f>(Table7[[#This Row],[R_AC (mW)]]+Table7[[#This Row],[R_SR (mW)]]+Table7[[#This Row],[Inductor Loss (mW)]])/10^3</f>
        <v>4.1227656249999987E-2</v>
      </c>
      <c r="CG173" s="156">
        <f ca="1">Table7[[#This Row],[Total TI (mW)]]/10^3</f>
        <v>2.2746147969557486</v>
      </c>
      <c r="CH173" s="156">
        <f ca="1">Table7[[#This Row],[Total Sense Loss]]+Table7[[#This Row],[Total MOSFET Loss]]</f>
        <v>2.3158424532057484</v>
      </c>
      <c r="CI173" s="161">
        <f ca="1">IF(Table7[[#This Row],[POUT (W)]]=0,0,(Table7[[#This Row],[POUT (W)]])/(Table7[[#This Row],[POUT (W)]]+Table7[[#This Row],[Total Power Loss (W)]]))*100</f>
        <v>81.496711373091955</v>
      </c>
      <c r="CJ173" s="167"/>
      <c r="CK173" s="156">
        <f>(Table7[[#This Row],[R_AC (mW)]]+Table7[[#This Row],[R_SR (mW)]]+Table7[[#This Row],[Inductor Loss (mW)]])/10^3</f>
        <v>4.1227656249999987E-2</v>
      </c>
      <c r="CL173" s="156">
        <f ca="1">Table7[[#This Row],[Total (mW) C]]/10^3</f>
        <v>1.0296551422407749</v>
      </c>
      <c r="CM173" s="156">
        <f ca="1">Table7[[#This Row],[Total Sense Loss C]]+Table7[[#This Row],[Total MOSFET Loss C]]</f>
        <v>1.0708827984907749</v>
      </c>
      <c r="CN173" s="161">
        <f ca="1">IF(Table7[[#This Row],[POUT (W)]]=0,0,(Table7[[#This Row],[POUT (W)]])/(Table7[[#This Row],[POUT (W)]]+Table7[[#This Row],[Total Power Loss (W) C]]))*100</f>
        <v>90.498678607196851</v>
      </c>
      <c r="CO173" s="167"/>
      <c r="CP173" s="161">
        <f>IF(MOSFET_S=Custom_MOSFET,Table7[[#This Row],[Total Sense Loss C]],Table7[[#This Row],[Total Sense Loss]])</f>
        <v>4.1227656249999987E-2</v>
      </c>
      <c r="CQ173" s="161">
        <f ca="1">IF(MOSFET_S=Custom_MOSFET,Table7[[#This Row],[Total MOSFET Loss C]],Table7[[#This Row],[Total MOSFET Loss]])</f>
        <v>2.2746147969557486</v>
      </c>
      <c r="CR173" s="161">
        <f ca="1">IF(MOSFET_S=Custom_MOSFET,Table7[[#This Row],[Efficiency C]],Table7[[#This Row],[Efficiency]])</f>
        <v>81.496711373091955</v>
      </c>
      <c r="CS173" s="167"/>
      <c r="CT173" s="161">
        <f>IF(MOSFET_S=Compare_MOSFET, Table7[[#This Row],[Total Sense Loss C]], -100)</f>
        <v>-100</v>
      </c>
      <c r="CU173" s="161">
        <f>IF(MOSFET_S=Compare_MOSFET, Table7[[#This Row],[Total MOSFET Loss C]], -100)</f>
        <v>-100</v>
      </c>
      <c r="CV173" s="161">
        <f>IF(MOSFET_S=Compare_MOSFET, Table7[[#This Row],[Efficiency C]], -100)</f>
        <v>-100</v>
      </c>
      <c r="CW173" s="167"/>
      <c r="CX173" s="161">
        <f ca="1">IF(Save_Sel=CLR_Save,  Table7[[#This Row],[Total Sense Loss P1]], Table7[[#This Row],[Total Sense Loss P1 Saved]])</f>
        <v>4.1227656249999987E-2</v>
      </c>
      <c r="CY173" s="161">
        <f ca="1">IF(Save_Sel=CLR_Save,  Table7[[#This Row],[Total MOSFET Loss P1]], Table7[[#This Row],[Total MOSFET Loss P1 Saved]] )</f>
        <v>1.5633675750819072</v>
      </c>
      <c r="CZ173" s="161">
        <f ca="1">IF(Save_Sel=CLR_Save, Table7[[#This Row],[Efficiency P1]], Table7[[#This Row],[Efficiency P1 Saved]])</f>
        <v>86.407028789322908</v>
      </c>
      <c r="DA173" s="167"/>
      <c r="DB173" s="161">
        <f ca="1">IF(Save_Sel=CLR_Save,  Table7[[#This Row],[Total Sense Loss P2]], Table7[[#This Row],[Total Sense Loss P2 Saved]])</f>
        <v>4.1227656249999987E-2</v>
      </c>
      <c r="DC173" s="161">
        <f ca="1">IF(Save_Sel=CLR_Save,  Table7[[#This Row],[Total MOSFET Loss P2]], Table7[[#This Row],[Total MOSFET Loss P2 Saved]] )</f>
        <v>1.032504540594553</v>
      </c>
      <c r="DD173" s="161">
        <f ca="1">IF(Save_Sel=CLR_Save, Table7[[#This Row],[Efficiency P2]], Table7[[#This Row],[Efficiency P2 Saved]])</f>
        <v>90.475805366876784</v>
      </c>
      <c r="DE173" s="167"/>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row>
    <row r="174" spans="1:165" ht="15.75" thickBot="1" x14ac:dyDescent="0.3">
      <c r="A174" s="48">
        <v>15</v>
      </c>
      <c r="B174" s="49"/>
      <c r="C174" s="49"/>
      <c r="D174" s="37" t="s">
        <v>21</v>
      </c>
      <c r="E174" s="133">
        <f ca="1">$N131</f>
        <v>15</v>
      </c>
      <c r="F174" s="133">
        <f t="shared" ca="1" si="21"/>
        <v>15</v>
      </c>
      <c r="G174" s="47" t="s">
        <v>26</v>
      </c>
      <c r="H174" s="31"/>
      <c r="I174" s="48">
        <v>15</v>
      </c>
      <c r="J174" s="119"/>
      <c r="K174" s="49"/>
      <c r="L174" s="49"/>
      <c r="M174" s="37" t="s">
        <v>21</v>
      </c>
      <c r="N174" s="128">
        <f>$E131</f>
        <v>50</v>
      </c>
      <c r="O174" s="128">
        <f t="shared" si="19"/>
        <v>50</v>
      </c>
      <c r="P174" s="47" t="s">
        <v>26</v>
      </c>
      <c r="Q174" s="31"/>
      <c r="R174" s="31"/>
      <c r="S174" s="32"/>
      <c r="T174" s="20"/>
      <c r="U174" s="21"/>
      <c r="V174" s="21"/>
      <c r="W174" s="21"/>
      <c r="X174" s="21"/>
      <c r="Y174" s="21"/>
      <c r="Z174" s="21"/>
      <c r="AA174" s="21"/>
      <c r="AB174" s="21"/>
      <c r="AC174" s="21"/>
      <c r="AD174" s="21"/>
      <c r="AE174" s="21"/>
      <c r="AF174" s="154">
        <f t="shared" si="17"/>
        <v>18</v>
      </c>
      <c r="AG174" s="154">
        <f t="shared" si="16"/>
        <v>0.9</v>
      </c>
      <c r="AH174" s="155">
        <f t="shared" si="3"/>
        <v>10.8</v>
      </c>
      <c r="AI174" s="156">
        <f t="shared" si="4"/>
        <v>0.42857142857142855</v>
      </c>
      <c r="AJ174" s="156">
        <f t="shared" si="5"/>
        <v>1.5750000000000002</v>
      </c>
      <c r="AK174" s="156">
        <f t="shared" si="6"/>
        <v>0.85714285714285721</v>
      </c>
      <c r="AL174" s="156">
        <f t="shared" si="7"/>
        <v>1.5943178760196848</v>
      </c>
      <c r="AM174" s="157"/>
      <c r="AN174" s="156">
        <f>MAX(0,Table7[[#This Row],[I_L]]-0.5*Table7[[#This Row],[I_L pkpk]])</f>
        <v>1.1464285714285716</v>
      </c>
      <c r="AO174" s="156">
        <f>Table7[[#This Row],[I_L]]+0.5*Table7[[#This Row],[I_L pkpk]]</f>
        <v>2.003571428571429</v>
      </c>
      <c r="AP174" s="156">
        <f ca="1">IF(VACnom&gt;Vbat, (VGS_S-(TI_MOSFET_S_VTH_H_BU+Table7[[#This Row],[I_L]]/TI_MOSFET_S_gFS_H_BU))/3.4, (VGS_S-(TI_MOSFET_S_VTH_L_BO+Table7[[#This Row],[I_L]]/TI_MOSFET_S_gFS_L_BO))/3.4 )</f>
        <v>2.4229072398190046</v>
      </c>
      <c r="AQ174" s="156">
        <f ca="1">IF(VACnom&gt;Vbat, ((TI_MOSFET_S_VTH_H_BU+Table7[[#This Row],[I_L]]/TI_MOSFET_S_gFS_H_BU))/1, ((TI_MOSFET_S_VTH_L_BO+Table7[[#This Row],[I_L]]/TI_MOSFET_S_gFS_L_BO))/1 )</f>
        <v>1.7621153846153845</v>
      </c>
      <c r="AR174" s="156">
        <f ca="1">IF(VACnom&gt;Vbat, (TI_MOSFET_S_QGD_H_BU+TI_MOSFET_S_QGS_H_BU)*10^-9/Table7[[#This Row],[Ion (A)]], (TI_MOSFET_S_QGD_L_BO+TI_MOSFET_S_QGS_L_BO)*10^-9/Table7[[#This Row],[Ion (A)]])/10^-9</f>
        <v>11.886546676938162</v>
      </c>
      <c r="AS174" s="156">
        <f ca="1">IF(VACnom&gt;Vbat, (TI_MOSFET_S_QGD_H_BU+TI_MOSFET_S_QGS_H_BU)*10^-9/Table7[[#This Row],[Ioff (A)]], (TI_MOSFET_S_QGD_L_BO+TI_MOSFET_S_QGS_L_BO)*10^-9/Table7[[#This Row],[Ioff (A)]])/10^-9</f>
        <v>16.343992142311471</v>
      </c>
      <c r="AT174" s="156">
        <f ca="1" xml:space="preserve"> 0.5*VACnom*Table7[[#This Row],[Ivalley (A)]]*Table7[[#This Row],[ton (ns)]]*10^-9*Fsw*10^3+0.5*VACnom*Table7[[#This Row],[Ipeak (A)]]*Table7[[#This Row],[toff (ns)]]*10^-9*Fsw*10^3/10^-3</f>
        <v>117.93593794268618</v>
      </c>
      <c r="AU174" s="156">
        <f t="shared" ca="1" si="8"/>
        <v>262.8</v>
      </c>
      <c r="AV174" s="156">
        <f t="shared" ca="1" si="9"/>
        <v>648</v>
      </c>
      <c r="AW174" s="156">
        <f t="shared" ca="1" si="10"/>
        <v>554.4</v>
      </c>
      <c r="AX174" s="156">
        <f ca="1">IF(VACnom&gt;Vbat, TI_MOSFET_S_VSD_L_BU*Table7[[#This Row],[Ivalley (A)]]*Fsw*10^3*40*10^-9+TI_MOSFET_S_VSD_L_BU*Table7[[#This Row],[Ipeak (A)]]*Fsw*10^3*30*10^-9, TI_MOSFET_S_VSD_H_BO*Table7[[#This Row],[Ivalley (A)]]*Fsw*10^3*40*10^-9+TI_MOSFET_S_VSD_H_BO*Table7[[#This Row],[Ipeak (A)]]*Fsw*10^3*30*10^-9)/10^-3</f>
        <v>45.776571428571437</v>
      </c>
      <c r="AY174" s="156">
        <f t="shared" ca="1" si="11"/>
        <v>648</v>
      </c>
      <c r="AZ174" s="156">
        <f ca="1">IF(VACnom&lt;Vbat, Table7[[#This Row],[Duty Cycle]]*Table7[[#This Row],[I_L RMS]]^2*TI_MOSFET_S_RDSON_H_BU*10^-3, (1-Table7[[#This Row],[Duty Cycle]])*Table7[[#This Row],[I_L RMS]]^2*TI_MOSFET_S_RDSON_H_BO*10^-3)/10^-3</f>
        <v>3.050219387755102</v>
      </c>
      <c r="BA174" s="156">
        <f ca="1">IF(VACnom&gt;Vbat, Table7[[#This Row],[PIV (mW)]]+Table7[[#This Row],[Pqoss (mW)]]+Table7[[#This Row],[Pgate_top (mW)]], Table7[[#This Row],[PRR (mW)]]+Table7[[#This Row],[Pdead (mW)]]+Table7[[#This Row],[Pgate_top (mW)]])</f>
        <v>1248.1765714285714</v>
      </c>
      <c r="BB174" s="156">
        <f ca="1">Table7[[#This Row],[Pcon_top (mW)]]+Table7[[#This Row],[Psw_top (mW)]]</f>
        <v>1251.2267908163265</v>
      </c>
      <c r="BC174" s="156">
        <f ca="1">IF(VACnom&gt;Vbat, (1-Table7[[#This Row],[Duty Cycle]])*Table7[[#This Row],[I_L RMS]]^2*TI_MOSFET_S_RDSON_L_BU*10^-3, Table7[[#This Row],[Duty Cycle]]*Table7[[#This Row],[I_L RMS]]^2*TI_MOSFET_S_RDSON_L_BO*10^-3)/10^-3</f>
        <v>3.050219387755102</v>
      </c>
      <c r="BD174" s="156">
        <f ca="1">IF(VACnom&gt;Vbat, Table7[[#This Row],[PRR (mW)]]+Table7[[#This Row],[Pdead (mW)]]+Table7[[#This Row],[Pgate_bottom (mW)]], Table7[[#This Row],[PIV (mW)]]+Table7[[#This Row],[Pqoss (mW)]]+Table7[[#This Row],[Pgate_bottom (mW)]])</f>
        <v>1028.7359379426862</v>
      </c>
      <c r="BE174" s="158">
        <f ca="1">Table7[[#This Row],[Pcon_bottom (mW)]]+Table7[[#This Row],[Psw_bottom (mW)]]</f>
        <v>1031.7861573304413</v>
      </c>
      <c r="BF174" s="164">
        <f ca="1">Table7[[#This Row],[Pbottom (mW)]]+Table7[[#This Row],[Ptop (mW)]]</f>
        <v>2283.0129481467675</v>
      </c>
      <c r="BG174" s="153"/>
      <c r="BH174" s="156">
        <f>MAX(0,Table7[[#This Row],[I_L]]-0.5*Table7[[#This Row],[I_L pkpk]])</f>
        <v>1.1464285714285716</v>
      </c>
      <c r="BI174" s="156">
        <f>Table7[[#This Row],[I_L]]+0.5*Table7[[#This Row],[I_L pkpk]]</f>
        <v>2.003571428571429</v>
      </c>
      <c r="BJ174" s="156">
        <f>IF(VACnom&gt;Vbat, (VGS_S-(C_MOSFET_S_VTH_H_BU+Table7[[#This Row],[I_L]]/C_MOSFET_S_gFS_H_BU))/3.4, (VGS_S-(C_MOSFET_S_VTH_L_BO+Table7[[#This Row],[I_L]]/C_MOSFET_S_gFS_L_BO))/3.4 )</f>
        <v>2.3498529411764704</v>
      </c>
      <c r="BK174" s="156">
        <f>IF(VACnom&gt;Vbat, ((C_MOSFET_S_VTH_H_BU+Table7[[#This Row],[I_L]]/C_MOSFET_S_gFS_H_BU))/1, ((C_MOSFET_S_VTH_L_BO+Table7[[#This Row],[I_L]]/C_MOSFET_S_gFS_L_BO))/1 )</f>
        <v>2.0105</v>
      </c>
      <c r="BL174" s="156">
        <f>IF(VACnom&gt;Vbat, (C_MOSFET_S_QGD_H_BU+C_MOSFET_S_QGS_H_BU)*10^-9/Table7[[#This Row],[Ion (A) C]], (C_MOSFET_S_QGD_L_BO+C_MOSFET_S_QGS_L_BO)*10^-9/Table7[[#This Row],[Ion (A) C]])/10^-9</f>
        <v>2.7661305463420738</v>
      </c>
      <c r="BM174" s="156">
        <f>IF(VACnom&gt;Vbat, (C_MOSFET_S_QGD_H_BU+C_MOSFET_S_QGS_H_BU)*10^-9/Table7[[#This Row],[Ioff (A) C]], (C_MOSFET_S_QGD_L_BO+C_MOSFET_S_QGS_L_BO)*10^-9/Table7[[#This Row],[Ioff (A) C]])/10^-9</f>
        <v>3.2330266102959464</v>
      </c>
      <c r="BN174" s="156">
        <f xml:space="preserve"> 0.5*VACnom*Table7[[#This Row],[Ivalley (A) C]]*Table7[[#This Row],[ton (ns) C]]*10^-9*Fsw*10^3+0.5*VACnom*Table7[[#This Row],[Ipeak (A) C]]*Table7[[#This Row],[toff (ns) C]]*10^-9*Fsw*10^3/10^-3</f>
        <v>23.330775295046596</v>
      </c>
      <c r="BO174" s="156">
        <f t="shared" si="12"/>
        <v>129.6</v>
      </c>
      <c r="BP174" s="156">
        <f t="shared" ca="1" si="13"/>
        <v>291.59999999999997</v>
      </c>
      <c r="BQ174" s="156">
        <f t="shared" si="14"/>
        <v>237.6</v>
      </c>
      <c r="BR174" s="156">
        <f>IF(VACnom&gt;Vbat, C_MOSFET_S_VSD_L_BU*Table7[[#This Row],[Ivalley (A) C]]*Fsw*10^3*40*10^-9+C_MOSFET_S_VSD_L_BU*Table7[[#This Row],[Ipeak (A) C]]*Fsw*10^3*30*10^-9, C_MOSFET_S_VSD_H_BO*Table7[[#This Row],[Ivalley (A) C]]*Fsw*10^3*40*10^-9+C_MOSFET_S_VSD_H_BO*Table7[[#This Row],[Ipeak (A) C]]*Fsw*10^3*30*10^-9)/10^-3</f>
        <v>50.862857142857152</v>
      </c>
      <c r="BS174" s="156">
        <f t="shared" ca="1" si="15"/>
        <v>291.59999999999997</v>
      </c>
      <c r="BT174" s="156">
        <f>IF(VACnom&lt;Vbat, Table7[[#This Row],[Duty Cycle]]*Table7[[#This Row],[I_L RMS]]^2*C_MOSFET_S_RDSON_H_BU*10^-3, (1-Table7[[#This Row],[Duty Cycle]])*Table7[[#This Row],[I_L RMS]]^2*C_MOSFET_S_RDSON_H_BO*10^-3)/10^-3</f>
        <v>6.2093751822157444</v>
      </c>
      <c r="BU174" s="156">
        <f ca="1">IF(VACnom&gt;Vbat, Table7[[#This Row],[PIV (mW) C]]+Table7[[#This Row],[PQoss (mW) C]]+Table7[[#This Row],[Pgate_top (mW) C]], Table7[[#This Row],[PRR (mW) C]]+Table7[[#This Row],[Pdead (mW) C]]+Table7[[#This Row],[Pgate_top (mW) C]])</f>
        <v>580.06285714285718</v>
      </c>
      <c r="BV174" s="156">
        <f ca="1">Table7[[#This Row],[Pcon_top (mW) C]]+Table7[[#This Row],[Psw_top (mW) C]]</f>
        <v>586.27223232507288</v>
      </c>
      <c r="BW174" s="156">
        <f ca="1">IF(VACnom&gt;Vbat, (1-Table7[[#This Row],[Duty Cycle]])*Table7[[#This Row],[I_L RMS]]^2*C_MOSFET_S_RDSON_L_BU*10^-3, Table7[[#This Row],[Duty Cycle]]*Table7[[#This Row],[I_L RMS]]^2*C_MOSFET_S_RDSON_L_BO*10^-3)/10^-3</f>
        <v>3.8672424380466475</v>
      </c>
      <c r="BX174" s="156">
        <f ca="1">IF(VACnom&gt;Vbat, Table7[[#This Row],[PRR (mW) C]]+Table7[[#This Row],[Pdead (mW) C]]+Table7[[#This Row],[Pgate_bottom (mW) C]], Table7[[#This Row],[PIV (mW) C]]+Table7[[#This Row],[PQoss (mW) C]]+Table7[[#This Row],[Pgate_bottom (mW) C]])</f>
        <v>444.53077529504657</v>
      </c>
      <c r="BY174" s="156">
        <f ca="1">Table7[[#This Row],[Pcon_bottom (mW) C]]+Table7[[#This Row],[Psw_bottom (mV) C]]</f>
        <v>448.39801773309324</v>
      </c>
      <c r="BZ174" s="156">
        <f ca="1">Table7[[#This Row],[Pbottom (mW) C]]+Table7[[#This Row],[Ptop (mW) C]]</f>
        <v>1034.6702500581662</v>
      </c>
      <c r="CA174" s="159"/>
      <c r="CB174" s="160">
        <f>(RAC_SNS*10^-3*(Table7[[#This Row],[IOUT (A)]]*Vbat/VACnom)^2/10^-3)</f>
        <v>12.403125000000005</v>
      </c>
      <c r="CC174" s="160">
        <f>(RBAT_SNS*10^-3*Table7[[#This Row],[IOUT (A)]]^2)/10^-3</f>
        <v>4.0500000000000007</v>
      </c>
      <c r="CD174" s="160">
        <f>IF(VACnom&gt;Vbat,(L_DRC*10^-3*(Table7[[#This Row],[IOUT (A)]])^2/10^-3),(L_DRC*10^-3*(Table7[[#This Row],[IOUT (A)]]*Vbat/VACnom)^2/10^-3))</f>
        <v>29.767500000000009</v>
      </c>
      <c r="CE174" s="166"/>
      <c r="CF174" s="156">
        <f>(Table7[[#This Row],[R_AC (mW)]]+Table7[[#This Row],[R_SR (mW)]]+Table7[[#This Row],[Inductor Loss (mW)]])/10^3</f>
        <v>4.6220625000000015E-2</v>
      </c>
      <c r="CG174" s="156">
        <f ca="1">Table7[[#This Row],[Total TI (mW)]]/10^3</f>
        <v>2.2830129481467676</v>
      </c>
      <c r="CH174" s="156">
        <f ca="1">Table7[[#This Row],[Total Sense Loss]]+Table7[[#This Row],[Total MOSFET Loss]]</f>
        <v>2.3292335731467677</v>
      </c>
      <c r="CI174" s="161">
        <f ca="1">IF(Table7[[#This Row],[POUT (W)]]=0,0,(Table7[[#This Row],[POUT (W)]])/(Table7[[#This Row],[POUT (W)]]+Table7[[#This Row],[Total Power Loss (W)]]))*100</f>
        <v>82.259180932611713</v>
      </c>
      <c r="CJ174" s="167"/>
      <c r="CK174" s="156">
        <f>(Table7[[#This Row],[R_AC (mW)]]+Table7[[#This Row],[R_SR (mW)]]+Table7[[#This Row],[Inductor Loss (mW)]])/10^3</f>
        <v>4.6220625000000015E-2</v>
      </c>
      <c r="CL174" s="156">
        <f ca="1">Table7[[#This Row],[Total (mW) C]]/10^3</f>
        <v>1.0346702500581662</v>
      </c>
      <c r="CM174" s="156">
        <f ca="1">Table7[[#This Row],[Total Sense Loss C]]+Table7[[#This Row],[Total MOSFET Loss C]]</f>
        <v>1.0808908750581661</v>
      </c>
      <c r="CN174" s="161">
        <f ca="1">IF(Table7[[#This Row],[POUT (W)]]=0,0,(Table7[[#This Row],[POUT (W)]])/(Table7[[#This Row],[POUT (W)]]+Table7[[#This Row],[Total Power Loss (W) C]]))*100</f>
        <v>90.90227419454456</v>
      </c>
      <c r="CO174" s="167"/>
      <c r="CP174" s="161">
        <f>IF(MOSFET_S=Custom_MOSFET,Table7[[#This Row],[Total Sense Loss C]],Table7[[#This Row],[Total Sense Loss]])</f>
        <v>4.6220625000000015E-2</v>
      </c>
      <c r="CQ174" s="161">
        <f ca="1">IF(MOSFET_S=Custom_MOSFET,Table7[[#This Row],[Total MOSFET Loss C]],Table7[[#This Row],[Total MOSFET Loss]])</f>
        <v>2.2830129481467676</v>
      </c>
      <c r="CR174" s="161">
        <f ca="1">IF(MOSFET_S=Custom_MOSFET,Table7[[#This Row],[Efficiency C]],Table7[[#This Row],[Efficiency]])</f>
        <v>82.259180932611713</v>
      </c>
      <c r="CS174" s="167"/>
      <c r="CT174" s="161">
        <f>IF(MOSFET_S=Compare_MOSFET, Table7[[#This Row],[Total Sense Loss C]], -100)</f>
        <v>-100</v>
      </c>
      <c r="CU174" s="161">
        <f>IF(MOSFET_S=Compare_MOSFET, Table7[[#This Row],[Total MOSFET Loss C]], -100)</f>
        <v>-100</v>
      </c>
      <c r="CV174" s="161">
        <f>IF(MOSFET_S=Compare_MOSFET, Table7[[#This Row],[Efficiency C]], -100)</f>
        <v>-100</v>
      </c>
      <c r="CW174" s="167"/>
      <c r="CX174" s="161">
        <f ca="1">IF(Save_Sel=CLR_Save,  Table7[[#This Row],[Total Sense Loss P1]], Table7[[#This Row],[Total Sense Loss P1 Saved]])</f>
        <v>4.6220625000000015E-2</v>
      </c>
      <c r="CY174" s="161">
        <f ca="1">IF(Save_Sel=CLR_Save,  Table7[[#This Row],[Total MOSFET Loss P1]], Table7[[#This Row],[Total MOSFET Loss P1 Saved]] )</f>
        <v>1.5719455433672296</v>
      </c>
      <c r="CZ174" s="161">
        <f ca="1">IF(Save_Sel=CLR_Save, Table7[[#This Row],[Efficiency P1]], Table7[[#This Row],[Efficiency P1 Saved]])</f>
        <v>86.969362896035477</v>
      </c>
      <c r="DA174" s="167"/>
      <c r="DB174" s="161">
        <f ca="1">IF(Save_Sel=CLR_Save,  Table7[[#This Row],[Total Sense Loss P2]], Table7[[#This Row],[Total Sense Loss P2 Saved]])</f>
        <v>4.6220625000000015E-2</v>
      </c>
      <c r="DC174" s="161">
        <f ca="1">IF(Save_Sel=CLR_Save,  Table7[[#This Row],[Total MOSFET Loss P2]], Table7[[#This Row],[Total MOSFET Loss P2 Saved]] )</f>
        <v>1.0378546274584088</v>
      </c>
      <c r="DD174" s="161">
        <f ca="1">IF(Save_Sel=CLR_Save, Table7[[#This Row],[Efficiency P2]], Table7[[#This Row],[Efficiency P2 Saved]])</f>
        <v>90.877916628522271</v>
      </c>
      <c r="DE174" s="167"/>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row>
    <row r="175" spans="1:165" ht="15.75" thickBot="1" x14ac:dyDescent="0.3">
      <c r="A175" s="50"/>
      <c r="B175" s="51"/>
      <c r="C175" s="51"/>
      <c r="D175" s="34"/>
      <c r="E175" s="134"/>
      <c r="F175" s="130"/>
      <c r="G175" s="51"/>
      <c r="H175" s="31"/>
      <c r="I175" s="31"/>
      <c r="J175" s="51"/>
      <c r="K175" s="51"/>
      <c r="L175" s="51"/>
      <c r="M175" s="34"/>
      <c r="N175" s="134"/>
      <c r="O175" s="130"/>
      <c r="P175" s="51"/>
      <c r="Q175" s="31"/>
      <c r="R175" s="31"/>
      <c r="S175" s="32"/>
      <c r="T175" s="20"/>
      <c r="U175" s="21"/>
      <c r="V175" s="21"/>
      <c r="W175" s="21"/>
      <c r="X175" s="21"/>
      <c r="Y175" s="21"/>
      <c r="Z175" s="21"/>
      <c r="AA175" s="21"/>
      <c r="AB175" s="21"/>
      <c r="AC175" s="21"/>
      <c r="AD175" s="21"/>
      <c r="AE175" s="21"/>
      <c r="AF175" s="154">
        <f t="shared" si="17"/>
        <v>19</v>
      </c>
      <c r="AG175" s="154">
        <f t="shared" si="16"/>
        <v>0.95</v>
      </c>
      <c r="AH175" s="155">
        <f t="shared" si="3"/>
        <v>11.399999999999999</v>
      </c>
      <c r="AI175" s="156">
        <f t="shared" si="4"/>
        <v>0.42857142857142855</v>
      </c>
      <c r="AJ175" s="156">
        <f t="shared" si="5"/>
        <v>1.6625000000000001</v>
      </c>
      <c r="AK175" s="156">
        <f t="shared" si="6"/>
        <v>0.85714285714285721</v>
      </c>
      <c r="AL175" s="156">
        <f t="shared" si="7"/>
        <v>1.6808125236908245</v>
      </c>
      <c r="AM175" s="157"/>
      <c r="AN175" s="156">
        <f>MAX(0,Table7[[#This Row],[I_L]]-0.5*Table7[[#This Row],[I_L pkpk]])</f>
        <v>1.2339285714285715</v>
      </c>
      <c r="AO175" s="156">
        <f>Table7[[#This Row],[I_L]]+0.5*Table7[[#This Row],[I_L pkpk]]</f>
        <v>2.0910714285714285</v>
      </c>
      <c r="AP175" s="156">
        <f ca="1">IF(VACnom&gt;Vbat, (VGS_S-(TI_MOSFET_S_VTH_H_BU+Table7[[#This Row],[I_L]]/TI_MOSFET_S_gFS_H_BU))/3.4, (VGS_S-(TI_MOSFET_S_VTH_L_BO+Table7[[#This Row],[I_L]]/TI_MOSFET_S_gFS_L_BO))/3.4 )</f>
        <v>2.4227092760180997</v>
      </c>
      <c r="AQ175" s="156">
        <f ca="1">IF(VACnom&gt;Vbat, ((TI_MOSFET_S_VTH_H_BU+Table7[[#This Row],[I_L]]/TI_MOSFET_S_gFS_H_BU))/1, ((TI_MOSFET_S_VTH_L_BO+Table7[[#This Row],[I_L]]/TI_MOSFET_S_gFS_L_BO))/1 )</f>
        <v>1.7627884615384615</v>
      </c>
      <c r="AR175" s="156">
        <f ca="1">IF(VACnom&gt;Vbat, (TI_MOSFET_S_QGD_H_BU+TI_MOSFET_S_QGS_H_BU)*10^-9/Table7[[#This Row],[Ion (A)]], (TI_MOSFET_S_QGD_L_BO+TI_MOSFET_S_QGS_L_BO)*10^-9/Table7[[#This Row],[Ion (A)]])/10^-9</f>
        <v>11.887517947400983</v>
      </c>
      <c r="AS175" s="156">
        <f ca="1">IF(VACnom&gt;Vbat, (TI_MOSFET_S_QGD_H_BU+TI_MOSFET_S_QGS_H_BU)*10^-9/Table7[[#This Row],[Ioff (A)]], (TI_MOSFET_S_QGD_L_BO+TI_MOSFET_S_QGS_L_BO)*10^-9/Table7[[#This Row],[Ioff (A)]])/10^-9</f>
        <v>16.337751595483557</v>
      </c>
      <c r="AT175" s="156">
        <f ca="1" xml:space="preserve"> 0.5*VACnom*Table7[[#This Row],[Ivalley (A)]]*Table7[[#This Row],[ton (ns)]]*10^-9*Fsw*10^3+0.5*VACnom*Table7[[#This Row],[Ipeak (A)]]*Table7[[#This Row],[toff (ns)]]*10^-9*Fsw*10^3/10^-3</f>
        <v>123.04106609922577</v>
      </c>
      <c r="AU175" s="156">
        <f t="shared" ca="1" si="8"/>
        <v>262.8</v>
      </c>
      <c r="AV175" s="156">
        <f t="shared" ca="1" si="9"/>
        <v>648</v>
      </c>
      <c r="AW175" s="156">
        <f t="shared" ca="1" si="10"/>
        <v>554.4</v>
      </c>
      <c r="AX175" s="156">
        <f ca="1">IF(VACnom&gt;Vbat, TI_MOSFET_S_VSD_L_BU*Table7[[#This Row],[Ivalley (A)]]*Fsw*10^3*40*10^-9+TI_MOSFET_S_VSD_L_BU*Table7[[#This Row],[Ipeak (A)]]*Fsw*10^3*30*10^-9, TI_MOSFET_S_VSD_H_BO*Table7[[#This Row],[Ivalley (A)]]*Fsw*10^3*40*10^-9+TI_MOSFET_S_VSD_H_BO*Table7[[#This Row],[Ipeak (A)]]*Fsw*10^3*30*10^-9)/10^-3</f>
        <v>48.422571428571423</v>
      </c>
      <c r="AY175" s="156">
        <f t="shared" ca="1" si="11"/>
        <v>648</v>
      </c>
      <c r="AZ175" s="156">
        <f ca="1">IF(VACnom&lt;Vbat, Table7[[#This Row],[Duty Cycle]]*Table7[[#This Row],[I_L RMS]]^2*TI_MOSFET_S_RDSON_H_BU*10^-3, (1-Table7[[#This Row],[Duty Cycle]])*Table7[[#This Row],[I_L RMS]]^2*TI_MOSFET_S_RDSON_H_BO*10^-3)/10^-3</f>
        <v>3.390156887755102</v>
      </c>
      <c r="BA175" s="156">
        <f ca="1">IF(VACnom&gt;Vbat, Table7[[#This Row],[PIV (mW)]]+Table7[[#This Row],[Pqoss (mW)]]+Table7[[#This Row],[Pgate_top (mW)]], Table7[[#This Row],[PRR (mW)]]+Table7[[#This Row],[Pdead (mW)]]+Table7[[#This Row],[Pgate_top (mW)]])</f>
        <v>1250.8225714285713</v>
      </c>
      <c r="BB175" s="156">
        <f ca="1">Table7[[#This Row],[Pcon_top (mW)]]+Table7[[#This Row],[Psw_top (mW)]]</f>
        <v>1254.2127283163265</v>
      </c>
      <c r="BC175" s="156">
        <f ca="1">IF(VACnom&gt;Vbat, (1-Table7[[#This Row],[Duty Cycle]])*Table7[[#This Row],[I_L RMS]]^2*TI_MOSFET_S_RDSON_L_BU*10^-3, Table7[[#This Row],[Duty Cycle]]*Table7[[#This Row],[I_L RMS]]^2*TI_MOSFET_S_RDSON_L_BO*10^-3)/10^-3</f>
        <v>3.390156887755102</v>
      </c>
      <c r="BD175" s="156">
        <f ca="1">IF(VACnom&gt;Vbat, Table7[[#This Row],[PRR (mW)]]+Table7[[#This Row],[Pdead (mW)]]+Table7[[#This Row],[Pgate_bottom (mW)]], Table7[[#This Row],[PIV (mW)]]+Table7[[#This Row],[Pqoss (mW)]]+Table7[[#This Row],[Pgate_bottom (mW)]])</f>
        <v>1033.8410660992258</v>
      </c>
      <c r="BE175" s="158">
        <f ca="1">Table7[[#This Row],[Pcon_bottom (mW)]]+Table7[[#This Row],[Psw_bottom (mW)]]</f>
        <v>1037.231222986981</v>
      </c>
      <c r="BF175" s="164">
        <f ca="1">Table7[[#This Row],[Pbottom (mW)]]+Table7[[#This Row],[Ptop (mW)]]</f>
        <v>2291.4439513033076</v>
      </c>
      <c r="BG175" s="153"/>
      <c r="BH175" s="156">
        <f>MAX(0,Table7[[#This Row],[I_L]]-0.5*Table7[[#This Row],[I_L pkpk]])</f>
        <v>1.2339285714285715</v>
      </c>
      <c r="BI175" s="156">
        <f>Table7[[#This Row],[I_L]]+0.5*Table7[[#This Row],[I_L pkpk]]</f>
        <v>2.0910714285714285</v>
      </c>
      <c r="BJ175" s="156">
        <f>IF(VACnom&gt;Vbat, (VGS_S-(C_MOSFET_S_VTH_H_BU+Table7[[#This Row],[I_L]]/C_MOSFET_S_gFS_H_BU))/3.4, (VGS_S-(C_MOSFET_S_VTH_L_BO+Table7[[#This Row],[I_L]]/C_MOSFET_S_gFS_L_BO))/3.4 )</f>
        <v>2.3496813725490195</v>
      </c>
      <c r="BK175" s="156">
        <f>IF(VACnom&gt;Vbat, ((C_MOSFET_S_VTH_H_BU+Table7[[#This Row],[I_L]]/C_MOSFET_S_gFS_H_BU))/1, ((C_MOSFET_S_VTH_L_BO+Table7[[#This Row],[I_L]]/C_MOSFET_S_gFS_L_BO))/1 )</f>
        <v>2.0110833333333336</v>
      </c>
      <c r="BL175" s="156">
        <f>IF(VACnom&gt;Vbat, (C_MOSFET_S_QGD_H_BU+C_MOSFET_S_QGS_H_BU)*10^-9/Table7[[#This Row],[Ion (A) C]], (C_MOSFET_S_QGD_L_BO+C_MOSFET_S_QGS_L_BO)*10^-9/Table7[[#This Row],[Ion (A) C]])/10^-9</f>
        <v>2.7663325231831601</v>
      </c>
      <c r="BM175" s="156">
        <f>IF(VACnom&gt;Vbat, (C_MOSFET_S_QGD_H_BU+C_MOSFET_S_QGS_H_BU)*10^-9/Table7[[#This Row],[Ioff (A) C]], (C_MOSFET_S_QGD_L_BO+C_MOSFET_S_QGS_L_BO)*10^-9/Table7[[#This Row],[Ioff (A) C]])/10^-9</f>
        <v>3.2320888410060911</v>
      </c>
      <c r="BN175" s="156">
        <f xml:space="preserve"> 0.5*VACnom*Table7[[#This Row],[Ivalley (A) C]]*Table7[[#This Row],[ton (ns) C]]*10^-9*Fsw*10^3+0.5*VACnom*Table7[[#This Row],[Ipeak (A) C]]*Table7[[#This Row],[toff (ns) C]]*10^-9*Fsw*10^3/10^-3</f>
        <v>24.342991512374905</v>
      </c>
      <c r="BO175" s="156">
        <f t="shared" si="12"/>
        <v>129.6</v>
      </c>
      <c r="BP175" s="156">
        <f t="shared" ca="1" si="13"/>
        <v>291.59999999999997</v>
      </c>
      <c r="BQ175" s="156">
        <f t="shared" si="14"/>
        <v>237.6</v>
      </c>
      <c r="BR175" s="156">
        <f>IF(VACnom&gt;Vbat, C_MOSFET_S_VSD_L_BU*Table7[[#This Row],[Ivalley (A) C]]*Fsw*10^3*40*10^-9+C_MOSFET_S_VSD_L_BU*Table7[[#This Row],[Ipeak (A) C]]*Fsw*10^3*30*10^-9, C_MOSFET_S_VSD_H_BO*Table7[[#This Row],[Ivalley (A) C]]*Fsw*10^3*40*10^-9+C_MOSFET_S_VSD_H_BO*Table7[[#This Row],[Ipeak (A) C]]*Fsw*10^3*30*10^-9)/10^-3</f>
        <v>53.80285714285715</v>
      </c>
      <c r="BS175" s="156">
        <f t="shared" ca="1" si="15"/>
        <v>291.59999999999997</v>
      </c>
      <c r="BT175" s="156">
        <f>IF(VACnom&lt;Vbat, Table7[[#This Row],[Duty Cycle]]*Table7[[#This Row],[I_L RMS]]^2*C_MOSFET_S_RDSON_H_BU*10^-3, (1-Table7[[#This Row],[Duty Cycle]])*Table7[[#This Row],[I_L RMS]]^2*C_MOSFET_S_RDSON_H_BO*10^-3)/10^-3</f>
        <v>6.9013908072157442</v>
      </c>
      <c r="BU175" s="156">
        <f ca="1">IF(VACnom&gt;Vbat, Table7[[#This Row],[PIV (mW) C]]+Table7[[#This Row],[PQoss (mW) C]]+Table7[[#This Row],[Pgate_top (mW) C]], Table7[[#This Row],[PRR (mW) C]]+Table7[[#This Row],[Pdead (mW) C]]+Table7[[#This Row],[Pgate_top (mW) C]])</f>
        <v>583.00285714285712</v>
      </c>
      <c r="BV175" s="156">
        <f ca="1">Table7[[#This Row],[Pcon_top (mW) C]]+Table7[[#This Row],[Psw_top (mW) C]]</f>
        <v>589.90424795007289</v>
      </c>
      <c r="BW175" s="156">
        <f ca="1">IF(VACnom&gt;Vbat, (1-Table7[[#This Row],[Duty Cycle]])*Table7[[#This Row],[I_L RMS]]^2*C_MOSFET_S_RDSON_L_BU*10^-3, Table7[[#This Row],[Duty Cycle]]*Table7[[#This Row],[I_L RMS]]^2*C_MOSFET_S_RDSON_L_BO*10^-3)/10^-3</f>
        <v>4.2982346255466473</v>
      </c>
      <c r="BX175" s="156">
        <f ca="1">IF(VACnom&gt;Vbat, Table7[[#This Row],[PRR (mW) C]]+Table7[[#This Row],[Pdead (mW) C]]+Table7[[#This Row],[Pgate_bottom (mW) C]], Table7[[#This Row],[PIV (mW) C]]+Table7[[#This Row],[PQoss (mW) C]]+Table7[[#This Row],[Pgate_bottom (mW) C]])</f>
        <v>445.5429915123749</v>
      </c>
      <c r="BY175" s="156">
        <f ca="1">Table7[[#This Row],[Pcon_bottom (mW) C]]+Table7[[#This Row],[Psw_bottom (mV) C]]</f>
        <v>449.84122613792152</v>
      </c>
      <c r="BZ175" s="156">
        <f ca="1">Table7[[#This Row],[Pbottom (mW) C]]+Table7[[#This Row],[Ptop (mW) C]]</f>
        <v>1039.7454740879944</v>
      </c>
      <c r="CA175" s="159"/>
      <c r="CB175" s="160">
        <f>(RAC_SNS*10^-3*(Table7[[#This Row],[IOUT (A)]]*Vbat/VACnom)^2/10^-3)</f>
        <v>13.819531249999997</v>
      </c>
      <c r="CC175" s="160">
        <f>(RBAT_SNS*10^-3*Table7[[#This Row],[IOUT (A)]]^2)/10^-3</f>
        <v>4.5125000000000002</v>
      </c>
      <c r="CD175" s="160">
        <f>IF(VACnom&gt;Vbat,(L_DRC*10^-3*(Table7[[#This Row],[IOUT (A)]])^2/10^-3),(L_DRC*10^-3*(Table7[[#This Row],[IOUT (A)]]*Vbat/VACnom)^2/10^-3))</f>
        <v>33.16687499999999</v>
      </c>
      <c r="CE175" s="166"/>
      <c r="CF175" s="156">
        <f>(Table7[[#This Row],[R_AC (mW)]]+Table7[[#This Row],[R_SR (mW)]]+Table7[[#This Row],[Inductor Loss (mW)]])/10^3</f>
        <v>5.149890624999999E-2</v>
      </c>
      <c r="CG175" s="156">
        <f ca="1">Table7[[#This Row],[Total TI (mW)]]/10^3</f>
        <v>2.2914439513033078</v>
      </c>
      <c r="CH175" s="156">
        <f ca="1">Table7[[#This Row],[Total Sense Loss]]+Table7[[#This Row],[Total MOSFET Loss]]</f>
        <v>2.3429428575533078</v>
      </c>
      <c r="CI175" s="161">
        <f ca="1">IF(Table7[[#This Row],[POUT (W)]]=0,0,(Table7[[#This Row],[POUT (W)]])/(Table7[[#This Row],[POUT (W)]]+Table7[[#This Row],[Total Power Loss (W)]]))*100</f>
        <v>82.951665579649898</v>
      </c>
      <c r="CJ175" s="167"/>
      <c r="CK175" s="156">
        <f>(Table7[[#This Row],[R_AC (mW)]]+Table7[[#This Row],[R_SR (mW)]]+Table7[[#This Row],[Inductor Loss (mW)]])/10^3</f>
        <v>5.149890624999999E-2</v>
      </c>
      <c r="CL175" s="156">
        <f ca="1">Table7[[#This Row],[Total (mW) C]]/10^3</f>
        <v>1.0397454740879943</v>
      </c>
      <c r="CM175" s="156">
        <f ca="1">Table7[[#This Row],[Total Sense Loss C]]+Table7[[#This Row],[Total MOSFET Loss C]]</f>
        <v>1.0912443803379943</v>
      </c>
      <c r="CN175" s="161">
        <f ca="1">IF(Table7[[#This Row],[POUT (W)]]=0,0,(Table7[[#This Row],[POUT (W)]])/(Table7[[#This Row],[POUT (W)]]+Table7[[#This Row],[Total Power Loss (W) C]]))*100</f>
        <v>91.263925777837784</v>
      </c>
      <c r="CO175" s="167"/>
      <c r="CP175" s="161">
        <f>IF(MOSFET_S=Custom_MOSFET,Table7[[#This Row],[Total Sense Loss C]],Table7[[#This Row],[Total Sense Loss]])</f>
        <v>5.149890624999999E-2</v>
      </c>
      <c r="CQ175" s="161">
        <f ca="1">IF(MOSFET_S=Custom_MOSFET,Table7[[#This Row],[Total MOSFET Loss C]],Table7[[#This Row],[Total MOSFET Loss]])</f>
        <v>2.2914439513033078</v>
      </c>
      <c r="CR175" s="161">
        <f ca="1">IF(MOSFET_S=Custom_MOSFET,Table7[[#This Row],[Efficiency C]],Table7[[#This Row],[Efficiency]])</f>
        <v>82.951665579649898</v>
      </c>
      <c r="CS175" s="167"/>
      <c r="CT175" s="161">
        <f>IF(MOSFET_S=Compare_MOSFET, Table7[[#This Row],[Total Sense Loss C]], -100)</f>
        <v>-100</v>
      </c>
      <c r="CU175" s="161">
        <f>IF(MOSFET_S=Compare_MOSFET, Table7[[#This Row],[Total MOSFET Loss C]], -100)</f>
        <v>-100</v>
      </c>
      <c r="CV175" s="161">
        <f>IF(MOSFET_S=Compare_MOSFET, Table7[[#This Row],[Efficiency C]], -100)</f>
        <v>-100</v>
      </c>
      <c r="CW175" s="167"/>
      <c r="CX175" s="161">
        <f ca="1">IF(Save_Sel=CLR_Save,  Table7[[#This Row],[Total Sense Loss P1]], Table7[[#This Row],[Total Sense Loss P1 Saved]])</f>
        <v>5.149890624999999E-2</v>
      </c>
      <c r="CY175" s="161">
        <f ca="1">IF(Save_Sel=CLR_Save,  Table7[[#This Row],[Total MOSFET Loss P1]], Table7[[#This Row],[Total MOSFET Loss P1 Saved]] )</f>
        <v>1.5805662123126005</v>
      </c>
      <c r="CZ175" s="161">
        <f ca="1">IF(Save_Sel=CLR_Save, Table7[[#This Row],[Efficiency P1]], Table7[[#This Row],[Efficiency P1 Saved]])</f>
        <v>87.476542637606059</v>
      </c>
      <c r="DA175" s="167"/>
      <c r="DB175" s="161">
        <f ca="1">IF(Save_Sel=CLR_Save,  Table7[[#This Row],[Total Sense Loss P2]], Table7[[#This Row],[Total Sense Loss P2 Saved]])</f>
        <v>5.149890624999999E-2</v>
      </c>
      <c r="DC175" s="161">
        <f ca="1">IF(Save_Sel=CLR_Save,  Table7[[#This Row],[Total MOSFET Loss P2]], Table7[[#This Row],[Total MOSFET Loss P2 Saved]] )</f>
        <v>1.0432838629718322</v>
      </c>
      <c r="DD175" s="161">
        <f ca="1">IF(Save_Sel=CLR_Save, Table7[[#This Row],[Efficiency P2]], Table7[[#This Row],[Efficiency P2 Saved]])</f>
        <v>91.238080809867384</v>
      </c>
      <c r="DE175" s="167"/>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c r="FH175" s="21"/>
      <c r="FI175" s="21"/>
    </row>
    <row r="176" spans="1:165" x14ac:dyDescent="0.25">
      <c r="A176" s="56"/>
      <c r="B176" s="65"/>
      <c r="C176" s="52"/>
      <c r="D176" s="66" t="s">
        <v>27</v>
      </c>
      <c r="E176" s="67"/>
      <c r="F176" s="52"/>
      <c r="G176" s="40"/>
      <c r="H176" s="31"/>
      <c r="I176" s="117"/>
      <c r="J176" s="52"/>
      <c r="K176" s="65"/>
      <c r="L176" s="52"/>
      <c r="M176" s="66" t="s">
        <v>27</v>
      </c>
      <c r="N176" s="67"/>
      <c r="O176" s="52"/>
      <c r="P176" s="40"/>
      <c r="Q176" s="31"/>
      <c r="R176" s="31"/>
      <c r="S176" s="32"/>
      <c r="T176" s="20"/>
      <c r="U176" s="21"/>
      <c r="V176" s="21"/>
      <c r="W176" s="21"/>
      <c r="X176" s="21"/>
      <c r="Y176" s="21"/>
      <c r="Z176" s="21"/>
      <c r="AA176" s="21"/>
      <c r="AB176" s="21"/>
      <c r="AC176" s="21"/>
      <c r="AD176" s="21"/>
      <c r="AE176" s="21"/>
      <c r="AF176" s="154">
        <f>AF175+1</f>
        <v>20</v>
      </c>
      <c r="AG176" s="154">
        <f t="shared" si="16"/>
        <v>1</v>
      </c>
      <c r="AH176" s="155">
        <f t="shared" si="3"/>
        <v>12</v>
      </c>
      <c r="AI176" s="156">
        <f t="shared" si="4"/>
        <v>0.42857142857142855</v>
      </c>
      <c r="AJ176" s="156">
        <f t="shared" si="5"/>
        <v>1.75</v>
      </c>
      <c r="AK176" s="156">
        <f t="shared" si="6"/>
        <v>0.85714285714285721</v>
      </c>
      <c r="AL176" s="156">
        <f t="shared" si="7"/>
        <v>1.7674061473798031</v>
      </c>
      <c r="AM176" s="157"/>
      <c r="AN176" s="156">
        <f>MAX(0,Table7[[#This Row],[I_L]]-0.5*Table7[[#This Row],[I_L pkpk]])</f>
        <v>1.3214285714285714</v>
      </c>
      <c r="AO176" s="156">
        <f>Table7[[#This Row],[I_L]]+0.5*Table7[[#This Row],[I_L pkpk]]</f>
        <v>2.1785714285714288</v>
      </c>
      <c r="AP176" s="156">
        <f ca="1">IF(VACnom&gt;Vbat, (VGS_S-(TI_MOSFET_S_VTH_H_BU+Table7[[#This Row],[I_L]]/TI_MOSFET_S_gFS_H_BU))/3.4, (VGS_S-(TI_MOSFET_S_VTH_L_BO+Table7[[#This Row],[I_L]]/TI_MOSFET_S_gFS_L_BO))/3.4 )</f>
        <v>2.4225113122171948</v>
      </c>
      <c r="AQ176" s="156">
        <f ca="1">IF(VACnom&gt;Vbat, ((TI_MOSFET_S_VTH_H_BU+Table7[[#This Row],[I_L]]/TI_MOSFET_S_gFS_H_BU))/1, ((TI_MOSFET_S_VTH_L_BO+Table7[[#This Row],[I_L]]/TI_MOSFET_S_gFS_L_BO))/1 )</f>
        <v>1.7634615384615384</v>
      </c>
      <c r="AR176" s="156">
        <f ca="1">IF(VACnom&gt;Vbat, (TI_MOSFET_S_QGD_H_BU+TI_MOSFET_S_QGS_H_BU)*10^-9/Table7[[#This Row],[Ion (A)]], (TI_MOSFET_S_QGD_L_BO+TI_MOSFET_S_QGS_L_BO)*10^-9/Table7[[#This Row],[Ion (A)]])/10^-9</f>
        <v>11.888489376605182</v>
      </c>
      <c r="AS176" s="156">
        <f ca="1">IF(VACnom&gt;Vbat, (TI_MOSFET_S_QGD_H_BU+TI_MOSFET_S_QGS_H_BU)*10^-9/Table7[[#This Row],[Ioff (A)]], (TI_MOSFET_S_QGD_L_BO+TI_MOSFET_S_QGS_L_BO)*10^-9/Table7[[#This Row],[Ioff (A)]])/10^-9</f>
        <v>16.331515812431842</v>
      </c>
      <c r="AT176" s="156">
        <f ca="1" xml:space="preserve"> 0.5*VACnom*Table7[[#This Row],[Ivalley (A)]]*Table7[[#This Row],[ton (ns)]]*10^-9*Fsw*10^3+0.5*VACnom*Table7[[#This Row],[Ipeak (A)]]*Table7[[#This Row],[toff (ns)]]*10^-9*Fsw*10^3/10^-3</f>
        <v>128.14230068553562</v>
      </c>
      <c r="AU176" s="156">
        <f t="shared" ca="1" si="8"/>
        <v>262.8</v>
      </c>
      <c r="AV176" s="156">
        <f t="shared" ca="1" si="9"/>
        <v>648</v>
      </c>
      <c r="AW176" s="156">
        <f t="shared" ca="1" si="10"/>
        <v>554.4</v>
      </c>
      <c r="AX176" s="156">
        <f ca="1">IF(VACnom&gt;Vbat, TI_MOSFET_S_VSD_L_BU*Table7[[#This Row],[Ivalley (A)]]*Fsw*10^3*40*10^-9+TI_MOSFET_S_VSD_L_BU*Table7[[#This Row],[Ipeak (A)]]*Fsw*10^3*30*10^-9, TI_MOSFET_S_VSD_H_BO*Table7[[#This Row],[Ivalley (A)]]*Fsw*10^3*40*10^-9+TI_MOSFET_S_VSD_H_BO*Table7[[#This Row],[Ipeak (A)]]*Fsw*10^3*30*10^-9)/10^-3</f>
        <v>51.068571428571431</v>
      </c>
      <c r="AY176" s="156">
        <f t="shared" ca="1" si="11"/>
        <v>648</v>
      </c>
      <c r="AZ176" s="156">
        <f ca="1">IF(VACnom&lt;Vbat, Table7[[#This Row],[Duty Cycle]]*Table7[[#This Row],[I_L RMS]]^2*TI_MOSFET_S_RDSON_H_BU*10^-3, (1-Table7[[#This Row],[Duty Cycle]])*Table7[[#This Row],[I_L RMS]]^2*TI_MOSFET_S_RDSON_H_BO*10^-3)/10^-3</f>
        <v>3.748469387755101</v>
      </c>
      <c r="BA176" s="156">
        <f ca="1">IF(VACnom&gt;Vbat, Table7[[#This Row],[PIV (mW)]]+Table7[[#This Row],[Pqoss (mW)]]+Table7[[#This Row],[Pgate_top (mW)]], Table7[[#This Row],[PRR (mW)]]+Table7[[#This Row],[Pdead (mW)]]+Table7[[#This Row],[Pgate_top (mW)]])</f>
        <v>1253.4685714285715</v>
      </c>
      <c r="BB176" s="156">
        <f ca="1">Table7[[#This Row],[Pcon_top (mW)]]+Table7[[#This Row],[Psw_top (mW)]]</f>
        <v>1257.2170408163265</v>
      </c>
      <c r="BC176" s="156">
        <f ca="1">IF(VACnom&gt;Vbat, (1-Table7[[#This Row],[Duty Cycle]])*Table7[[#This Row],[I_L RMS]]^2*TI_MOSFET_S_RDSON_L_BU*10^-3, Table7[[#This Row],[Duty Cycle]]*Table7[[#This Row],[I_L RMS]]^2*TI_MOSFET_S_RDSON_L_BO*10^-3)/10^-3</f>
        <v>3.748469387755101</v>
      </c>
      <c r="BD176" s="156">
        <f ca="1">IF(VACnom&gt;Vbat, Table7[[#This Row],[PRR (mW)]]+Table7[[#This Row],[Pdead (mW)]]+Table7[[#This Row],[Pgate_bottom (mW)]], Table7[[#This Row],[PIV (mW)]]+Table7[[#This Row],[Pqoss (mW)]]+Table7[[#This Row],[Pgate_bottom (mW)]])</f>
        <v>1038.9423006855357</v>
      </c>
      <c r="BE176" s="158">
        <f ca="1">Table7[[#This Row],[Pcon_bottom (mW)]]+Table7[[#This Row],[Psw_bottom (mW)]]</f>
        <v>1042.6907700732907</v>
      </c>
      <c r="BF176" s="164">
        <f ca="1">Table7[[#This Row],[Pbottom (mW)]]+Table7[[#This Row],[Ptop (mW)]]</f>
        <v>2299.9078108896174</v>
      </c>
      <c r="BG176" s="153"/>
      <c r="BH176" s="156">
        <f>MAX(0,Table7[[#This Row],[I_L]]-0.5*Table7[[#This Row],[I_L pkpk]])</f>
        <v>1.3214285714285714</v>
      </c>
      <c r="BI176" s="156">
        <f>Table7[[#This Row],[I_L]]+0.5*Table7[[#This Row],[I_L pkpk]]</f>
        <v>2.1785714285714288</v>
      </c>
      <c r="BJ176" s="156">
        <f>IF(VACnom&gt;Vbat, (VGS_S-(C_MOSFET_S_VTH_H_BU+Table7[[#This Row],[I_L]]/C_MOSFET_S_gFS_H_BU))/3.4, (VGS_S-(C_MOSFET_S_VTH_L_BO+Table7[[#This Row],[I_L]]/C_MOSFET_S_gFS_L_BO))/3.4 )</f>
        <v>2.3495098039215687</v>
      </c>
      <c r="BK176" s="156">
        <f>IF(VACnom&gt;Vbat, ((C_MOSFET_S_VTH_H_BU+Table7[[#This Row],[I_L]]/C_MOSFET_S_gFS_H_BU))/1, ((C_MOSFET_S_VTH_L_BO+Table7[[#This Row],[I_L]]/C_MOSFET_S_gFS_L_BO))/1 )</f>
        <v>2.0116666666666667</v>
      </c>
      <c r="BL176" s="156">
        <f>IF(VACnom&gt;Vbat, (C_MOSFET_S_QGD_H_BU+C_MOSFET_S_QGS_H_BU)*10^-9/Table7[[#This Row],[Ion (A) C]], (C_MOSFET_S_QGD_L_BO+C_MOSFET_S_QGS_L_BO)*10^-9/Table7[[#This Row],[Ion (A) C]])/10^-9</f>
        <v>2.7665345295222195</v>
      </c>
      <c r="BM176" s="156">
        <f>IF(VACnom&gt;Vbat, (C_MOSFET_S_QGD_H_BU+C_MOSFET_S_QGS_H_BU)*10^-9/Table7[[#This Row],[Ioff (A) C]], (C_MOSFET_S_QGD_L_BO+C_MOSFET_S_QGS_L_BO)*10^-9/Table7[[#This Row],[Ioff (A) C]])/10^-9</f>
        <v>3.2311516155758073</v>
      </c>
      <c r="BN176" s="156">
        <f xml:space="preserve"> 0.5*VACnom*Table7[[#This Row],[Ivalley (A) C]]*Table7[[#This Row],[ton (ns) C]]*10^-9*Fsw*10^3+0.5*VACnom*Table7[[#This Row],[Ipeak (A) C]]*Table7[[#This Row],[toff (ns) C]]*10^-9*Fsw*10^3/10^-3</f>
        <v>25.35462132784928</v>
      </c>
      <c r="BO176" s="156">
        <f t="shared" si="12"/>
        <v>129.6</v>
      </c>
      <c r="BP176" s="156">
        <f t="shared" ca="1" si="13"/>
        <v>291.59999999999997</v>
      </c>
      <c r="BQ176" s="156">
        <f t="shared" si="14"/>
        <v>237.6</v>
      </c>
      <c r="BR176" s="156">
        <f>IF(VACnom&gt;Vbat, C_MOSFET_S_VSD_L_BU*Table7[[#This Row],[Ivalley (A) C]]*Fsw*10^3*40*10^-9+C_MOSFET_S_VSD_L_BU*Table7[[#This Row],[Ipeak (A) C]]*Fsw*10^3*30*10^-9, C_MOSFET_S_VSD_H_BO*Table7[[#This Row],[Ivalley (A) C]]*Fsw*10^3*40*10^-9+C_MOSFET_S_VSD_H_BO*Table7[[#This Row],[Ipeak (A) C]]*Fsw*10^3*30*10^-9)/10^-3</f>
        <v>56.742857142857147</v>
      </c>
      <c r="BS176" s="156">
        <f t="shared" ca="1" si="15"/>
        <v>291.59999999999997</v>
      </c>
      <c r="BT176" s="156">
        <f>IF(VACnom&lt;Vbat, Table7[[#This Row],[Duty Cycle]]*Table7[[#This Row],[I_L RMS]]^2*C_MOSFET_S_RDSON_H_BU*10^-3, (1-Table7[[#This Row],[Duty Cycle]])*Table7[[#This Row],[I_L RMS]]^2*C_MOSFET_S_RDSON_H_BO*10^-3)/10^-3</f>
        <v>7.6308126822157423</v>
      </c>
      <c r="BU176" s="156">
        <f ca="1">IF(VACnom&gt;Vbat, Table7[[#This Row],[PIV (mW) C]]+Table7[[#This Row],[PQoss (mW) C]]+Table7[[#This Row],[Pgate_top (mW) C]], Table7[[#This Row],[PRR (mW) C]]+Table7[[#This Row],[Pdead (mW) C]]+Table7[[#This Row],[Pgate_top (mW) C]])</f>
        <v>585.94285714285706</v>
      </c>
      <c r="BV176" s="156">
        <f ca="1">Table7[[#This Row],[Pcon_top (mW) C]]+Table7[[#This Row],[Psw_top (mW) C]]</f>
        <v>593.57366982507278</v>
      </c>
      <c r="BW176" s="156">
        <f ca="1">IF(VACnom&gt;Vbat, (1-Table7[[#This Row],[Duty Cycle]])*Table7[[#This Row],[I_L RMS]]^2*C_MOSFET_S_RDSON_L_BU*10^-3, Table7[[#This Row],[Duty Cycle]]*Table7[[#This Row],[I_L RMS]]^2*C_MOSFET_S_RDSON_L_BO*10^-3)/10^-3</f>
        <v>4.7525236880466464</v>
      </c>
      <c r="BX176" s="156">
        <f ca="1">IF(VACnom&gt;Vbat, Table7[[#This Row],[PRR (mW) C]]+Table7[[#This Row],[Pdead (mW) C]]+Table7[[#This Row],[Pgate_bottom (mW) C]], Table7[[#This Row],[PIV (mW) C]]+Table7[[#This Row],[PQoss (mW) C]]+Table7[[#This Row],[Pgate_bottom (mW) C]])</f>
        <v>446.55462132784925</v>
      </c>
      <c r="BY176" s="156">
        <f ca="1">Table7[[#This Row],[Pcon_bottom (mW) C]]+Table7[[#This Row],[Psw_bottom (mV) C]]</f>
        <v>451.30714501589591</v>
      </c>
      <c r="BZ176" s="156">
        <f ca="1">Table7[[#This Row],[Pbottom (mW) C]]+Table7[[#This Row],[Ptop (mW) C]]</f>
        <v>1044.8808148409687</v>
      </c>
      <c r="CA176" s="159"/>
      <c r="CB176" s="160">
        <f>(RAC_SNS*10^-3*(Table7[[#This Row],[IOUT (A)]]*Vbat/VACnom)^2/10^-3)</f>
        <v>15.3125</v>
      </c>
      <c r="CC176" s="160">
        <f>(RBAT_SNS*10^-3*Table7[[#This Row],[IOUT (A)]]^2)/10^-3</f>
        <v>5</v>
      </c>
      <c r="CD176" s="160">
        <f>IF(VACnom&gt;Vbat,(L_DRC*10^-3*(Table7[[#This Row],[IOUT (A)]])^2/10^-3),(L_DRC*10^-3*(Table7[[#This Row],[IOUT (A)]]*Vbat/VACnom)^2/10^-3))</f>
        <v>36.75</v>
      </c>
      <c r="CE176" s="166"/>
      <c r="CF176" s="156">
        <f>(Table7[[#This Row],[R_AC (mW)]]+Table7[[#This Row],[R_SR (mW)]]+Table7[[#This Row],[Inductor Loss (mW)]])/10^3</f>
        <v>5.7062500000000002E-2</v>
      </c>
      <c r="CG176" s="156">
        <f ca="1">Table7[[#This Row],[Total TI (mW)]]/10^3</f>
        <v>2.2999078108896174</v>
      </c>
      <c r="CH176" s="156">
        <f ca="1">Table7[[#This Row],[Total Sense Loss]]+Table7[[#This Row],[Total MOSFET Loss]]</f>
        <v>2.3569703108896172</v>
      </c>
      <c r="CI176" s="161">
        <f ca="1">IF(Table7[[#This Row],[POUT (W)]]=0,0,(Table7[[#This Row],[POUT (W)]])/(Table7[[#This Row],[POUT (W)]]+Table7[[#This Row],[Total Power Loss (W)]]))*100</f>
        <v>83.583094066149329</v>
      </c>
      <c r="CJ176" s="167"/>
      <c r="CK176" s="156">
        <f>(Table7[[#This Row],[R_AC (mW)]]+Table7[[#This Row],[R_SR (mW)]]+Table7[[#This Row],[Inductor Loss (mW)]])/10^3</f>
        <v>5.7062500000000002E-2</v>
      </c>
      <c r="CL176" s="156">
        <f ca="1">Table7[[#This Row],[Total (mW) C]]/10^3</f>
        <v>1.0448808148409687</v>
      </c>
      <c r="CM176" s="156">
        <f ca="1">Table7[[#This Row],[Total Sense Loss C]]+Table7[[#This Row],[Total MOSFET Loss C]]</f>
        <v>1.1019433148409687</v>
      </c>
      <c r="CN176" s="161">
        <f ca="1">IF(Table7[[#This Row],[POUT (W)]]=0,0,(Table7[[#This Row],[POUT (W)]])/(Table7[[#This Row],[POUT (W)]]+Table7[[#This Row],[Total Power Loss (W) C]]))*100</f>
        <v>91.589466628261434</v>
      </c>
      <c r="CO176" s="167"/>
      <c r="CP176" s="161">
        <f>IF(MOSFET_S=Custom_MOSFET,Table7[[#This Row],[Total Sense Loss C]],Table7[[#This Row],[Total Sense Loss]])</f>
        <v>5.7062500000000002E-2</v>
      </c>
      <c r="CQ176" s="161">
        <f ca="1">IF(MOSFET_S=Custom_MOSFET,Table7[[#This Row],[Total MOSFET Loss C]],Table7[[#This Row],[Total MOSFET Loss]])</f>
        <v>2.2999078108896174</v>
      </c>
      <c r="CR176" s="161">
        <f ca="1">IF(MOSFET_S=Custom_MOSFET,Table7[[#This Row],[Efficiency C]],Table7[[#This Row],[Efficiency]])</f>
        <v>83.583094066149329</v>
      </c>
      <c r="CS176" s="167"/>
      <c r="CT176" s="161">
        <f>IF(MOSFET_S=Compare_MOSFET, Table7[[#This Row],[Total Sense Loss C]], -100)</f>
        <v>-100</v>
      </c>
      <c r="CU176" s="161">
        <f>IF(MOSFET_S=Compare_MOSFET, Table7[[#This Row],[Total MOSFET Loss C]], -100)</f>
        <v>-100</v>
      </c>
      <c r="CV176" s="161">
        <f>IF(MOSFET_S=Compare_MOSFET, Table7[[#This Row],[Efficiency C]], -100)</f>
        <v>-100</v>
      </c>
      <c r="CW176" s="167"/>
      <c r="CX176" s="161">
        <f ca="1">IF(Save_Sel=CLR_Save,  Table7[[#This Row],[Total Sense Loss P1]], Table7[[#This Row],[Total Sense Loss P1 Saved]])</f>
        <v>5.7062500000000002E-2</v>
      </c>
      <c r="CY176" s="161">
        <f ca="1">IF(Save_Sel=CLR_Save,  Table7[[#This Row],[Total MOSFET Loss P1]], Table7[[#This Row],[Total MOSFET Loss P1 Saved]] )</f>
        <v>1.5892295863862196</v>
      </c>
      <c r="CZ176" s="161">
        <f ca="1">IF(Save_Sel=CLR_Save, Table7[[#This Row],[Efficiency P1]], Table7[[#This Row],[Efficiency P1 Saved]])</f>
        <v>87.93597501823524</v>
      </c>
      <c r="DA176" s="167"/>
      <c r="DB176" s="161">
        <f ca="1">IF(Save_Sel=CLR_Save,  Table7[[#This Row],[Total Sense Loss P2]], Table7[[#This Row],[Total Sense Loss P2 Saved]])</f>
        <v>5.7062500000000002E-2</v>
      </c>
      <c r="DC176" s="161">
        <f ca="1">IF(Save_Sel=CLR_Save,  Table7[[#This Row],[Total MOSFET Loss P2]], Table7[[#This Row],[Total MOSFET Loss P2 Saved]] )</f>
        <v>1.0487922476464282</v>
      </c>
      <c r="DD176" s="161">
        <f ca="1">IF(Save_Sel=CLR_Save, Table7[[#This Row],[Efficiency P2]], Table7[[#This Row],[Efficiency P2 Saved]])</f>
        <v>91.562131818643721</v>
      </c>
      <c r="DE176" s="167"/>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row>
    <row r="177" spans="1:165" x14ac:dyDescent="0.25">
      <c r="A177" s="50"/>
      <c r="B177" s="51"/>
      <c r="C177" s="51"/>
      <c r="D177" s="41"/>
      <c r="E177" s="51" t="s">
        <v>13</v>
      </c>
      <c r="F177" s="51" t="s">
        <v>14</v>
      </c>
      <c r="G177" s="44"/>
      <c r="H177" s="31"/>
      <c r="I177" s="118"/>
      <c r="J177" s="51"/>
      <c r="K177" s="51"/>
      <c r="L177" s="51"/>
      <c r="M177" s="41"/>
      <c r="N177" s="51" t="s">
        <v>13</v>
      </c>
      <c r="O177" s="51" t="s">
        <v>14</v>
      </c>
      <c r="P177" s="44"/>
      <c r="Q177" s="31"/>
      <c r="R177" s="31"/>
      <c r="S177" s="32"/>
      <c r="T177" s="20"/>
      <c r="U177" s="21"/>
      <c r="V177" s="21"/>
      <c r="W177" s="21"/>
      <c r="X177" s="21"/>
      <c r="Y177" s="21"/>
      <c r="Z177" s="21"/>
      <c r="AA177" s="21"/>
      <c r="AB177" s="21"/>
      <c r="AC177" s="21"/>
      <c r="AD177" s="21"/>
      <c r="AE177" s="21"/>
      <c r="AF177" s="154">
        <f t="shared" si="17"/>
        <v>21</v>
      </c>
      <c r="AG177" s="154">
        <f t="shared" si="16"/>
        <v>1.05</v>
      </c>
      <c r="AH177" s="155">
        <f t="shared" si="3"/>
        <v>12.600000000000001</v>
      </c>
      <c r="AI177" s="156">
        <f t="shared" si="4"/>
        <v>0.42857142857142855</v>
      </c>
      <c r="AJ177" s="156">
        <f t="shared" si="5"/>
        <v>1.8375000000000001</v>
      </c>
      <c r="AK177" s="156">
        <f t="shared" si="6"/>
        <v>0.85714285714285721</v>
      </c>
      <c r="AL177" s="156">
        <f t="shared" si="7"/>
        <v>1.8540848793396485</v>
      </c>
      <c r="AM177" s="157"/>
      <c r="AN177" s="156">
        <f>MAX(0,Table7[[#This Row],[I_L]]-0.5*Table7[[#This Row],[I_L pkpk]])</f>
        <v>1.4089285714285715</v>
      </c>
      <c r="AO177" s="156">
        <f>Table7[[#This Row],[I_L]]+0.5*Table7[[#This Row],[I_L pkpk]]</f>
        <v>2.2660714285714287</v>
      </c>
      <c r="AP177" s="156">
        <f ca="1">IF(VACnom&gt;Vbat, (VGS_S-(TI_MOSFET_S_VTH_H_BU+Table7[[#This Row],[I_L]]/TI_MOSFET_S_gFS_H_BU))/3.4, (VGS_S-(TI_MOSFET_S_VTH_L_BO+Table7[[#This Row],[I_L]]/TI_MOSFET_S_gFS_L_BO))/3.4 )</f>
        <v>2.42231334841629</v>
      </c>
      <c r="AQ177" s="156">
        <f ca="1">IF(VACnom&gt;Vbat, ((TI_MOSFET_S_VTH_H_BU+Table7[[#This Row],[I_L]]/TI_MOSFET_S_gFS_H_BU))/1, ((TI_MOSFET_S_VTH_L_BO+Table7[[#This Row],[I_L]]/TI_MOSFET_S_gFS_L_BO))/1 )</f>
        <v>1.7641346153846154</v>
      </c>
      <c r="AR177" s="156">
        <f ca="1">IF(VACnom&gt;Vbat, (TI_MOSFET_S_QGD_H_BU+TI_MOSFET_S_QGS_H_BU)*10^-9/Table7[[#This Row],[Ion (A)]], (TI_MOSFET_S_QGD_L_BO+TI_MOSFET_S_QGS_L_BO)*10^-9/Table7[[#This Row],[Ion (A)]])/10^-9</f>
        <v>11.889460964589681</v>
      </c>
      <c r="AS177" s="156">
        <f ca="1">IF(VACnom&gt;Vbat, (TI_MOSFET_S_QGD_H_BU+TI_MOSFET_S_QGS_H_BU)*10^-9/Table7[[#This Row],[Ioff (A)]], (TI_MOSFET_S_QGD_L_BO+TI_MOSFET_S_QGS_L_BO)*10^-9/Table7[[#This Row],[Ioff (A)]])/10^-9</f>
        <v>16.325284787703712</v>
      </c>
      <c r="AT177" s="156">
        <f ca="1" xml:space="preserve"> 0.5*VACnom*Table7[[#This Row],[Ivalley (A)]]*Table7[[#This Row],[ton (ns)]]*10^-9*Fsw*10^3+0.5*VACnom*Table7[[#This Row],[Ipeak (A)]]*Table7[[#This Row],[toff (ns)]]*10^-9*Fsw*10^3/10^-3</f>
        <v>133.2396461590526</v>
      </c>
      <c r="AU177" s="156">
        <f t="shared" ca="1" si="8"/>
        <v>262.8</v>
      </c>
      <c r="AV177" s="156">
        <f t="shared" ca="1" si="9"/>
        <v>648</v>
      </c>
      <c r="AW177" s="156">
        <f t="shared" ca="1" si="10"/>
        <v>554.4</v>
      </c>
      <c r="AX177" s="156">
        <f ca="1">IF(VACnom&gt;Vbat, TI_MOSFET_S_VSD_L_BU*Table7[[#This Row],[Ivalley (A)]]*Fsw*10^3*40*10^-9+TI_MOSFET_S_VSD_L_BU*Table7[[#This Row],[Ipeak (A)]]*Fsw*10^3*30*10^-9, TI_MOSFET_S_VSD_H_BO*Table7[[#This Row],[Ivalley (A)]]*Fsw*10^3*40*10^-9+TI_MOSFET_S_VSD_H_BO*Table7[[#This Row],[Ipeak (A)]]*Fsw*10^3*30*10^-9)/10^-3</f>
        <v>53.714571428571432</v>
      </c>
      <c r="AY177" s="156">
        <f t="shared" ca="1" si="11"/>
        <v>648</v>
      </c>
      <c r="AZ177" s="156">
        <f ca="1">IF(VACnom&lt;Vbat, Table7[[#This Row],[Duty Cycle]]*Table7[[#This Row],[I_L RMS]]^2*TI_MOSFET_S_RDSON_H_BU*10^-3, (1-Table7[[#This Row],[Duty Cycle]])*Table7[[#This Row],[I_L RMS]]^2*TI_MOSFET_S_RDSON_H_BO*10^-3)/10^-3</f>
        <v>4.1251568877551019</v>
      </c>
      <c r="BA177" s="156">
        <f ca="1">IF(VACnom&gt;Vbat, Table7[[#This Row],[PIV (mW)]]+Table7[[#This Row],[Pqoss (mW)]]+Table7[[#This Row],[Pgate_top (mW)]], Table7[[#This Row],[PRR (mW)]]+Table7[[#This Row],[Pdead (mW)]]+Table7[[#This Row],[Pgate_top (mW)]])</f>
        <v>1256.1145714285713</v>
      </c>
      <c r="BB177" s="156">
        <f ca="1">Table7[[#This Row],[Pcon_top (mW)]]+Table7[[#This Row],[Psw_top (mW)]]</f>
        <v>1260.2397283163264</v>
      </c>
      <c r="BC177" s="156">
        <f ca="1">IF(VACnom&gt;Vbat, (1-Table7[[#This Row],[Duty Cycle]])*Table7[[#This Row],[I_L RMS]]^2*TI_MOSFET_S_RDSON_L_BU*10^-3, Table7[[#This Row],[Duty Cycle]]*Table7[[#This Row],[I_L RMS]]^2*TI_MOSFET_S_RDSON_L_BO*10^-3)/10^-3</f>
        <v>4.1251568877551019</v>
      </c>
      <c r="BD177" s="156">
        <f ca="1">IF(VACnom&gt;Vbat, Table7[[#This Row],[PRR (mW)]]+Table7[[#This Row],[Pdead (mW)]]+Table7[[#This Row],[Pgate_bottom (mW)]], Table7[[#This Row],[PIV (mW)]]+Table7[[#This Row],[Pqoss (mW)]]+Table7[[#This Row],[Pgate_bottom (mW)]])</f>
        <v>1044.0396461590526</v>
      </c>
      <c r="BE177" s="158">
        <f ca="1">Table7[[#This Row],[Pcon_bottom (mW)]]+Table7[[#This Row],[Psw_bottom (mW)]]</f>
        <v>1048.1648030468077</v>
      </c>
      <c r="BF177" s="164">
        <f ca="1">Table7[[#This Row],[Pbottom (mW)]]+Table7[[#This Row],[Ptop (mW)]]</f>
        <v>2308.4045313631341</v>
      </c>
      <c r="BG177" s="153"/>
      <c r="BH177" s="156">
        <f>MAX(0,Table7[[#This Row],[I_L]]-0.5*Table7[[#This Row],[I_L pkpk]])</f>
        <v>1.4089285714285715</v>
      </c>
      <c r="BI177" s="156">
        <f>Table7[[#This Row],[I_L]]+0.5*Table7[[#This Row],[I_L pkpk]]</f>
        <v>2.2660714285714287</v>
      </c>
      <c r="BJ177" s="156">
        <f>IF(VACnom&gt;Vbat, (VGS_S-(C_MOSFET_S_VTH_H_BU+Table7[[#This Row],[I_L]]/C_MOSFET_S_gFS_H_BU))/3.4, (VGS_S-(C_MOSFET_S_VTH_L_BO+Table7[[#This Row],[I_L]]/C_MOSFET_S_gFS_L_BO))/3.4 )</f>
        <v>2.3493382352941179</v>
      </c>
      <c r="BK177" s="156">
        <f>IF(VACnom&gt;Vbat, ((C_MOSFET_S_VTH_H_BU+Table7[[#This Row],[I_L]]/C_MOSFET_S_gFS_H_BU))/1, ((C_MOSFET_S_VTH_L_BO+Table7[[#This Row],[I_L]]/C_MOSFET_S_gFS_L_BO))/1 )</f>
        <v>2.0122499999999999</v>
      </c>
      <c r="BL177" s="156">
        <f>IF(VACnom&gt;Vbat, (C_MOSFET_S_QGD_H_BU+C_MOSFET_S_QGS_H_BU)*10^-9/Table7[[#This Row],[Ion (A) C]], (C_MOSFET_S_QGD_L_BO+C_MOSFET_S_QGS_L_BO)*10^-9/Table7[[#This Row],[Ion (A) C]])/10^-9</f>
        <v>2.7667365653657159</v>
      </c>
      <c r="BM177" s="156">
        <f>IF(VACnom&gt;Vbat, (C_MOSFET_S_QGD_H_BU+C_MOSFET_S_QGS_H_BU)*10^-9/Table7[[#This Row],[Ioff (A) C]], (C_MOSFET_S_QGD_L_BO+C_MOSFET_S_QGS_L_BO)*10^-9/Table7[[#This Row],[Ioff (A) C]])/10^-9</f>
        <v>3.2302149335321162</v>
      </c>
      <c r="BN177" s="156">
        <f xml:space="preserve"> 0.5*VACnom*Table7[[#This Row],[Ivalley (A) C]]*Table7[[#This Row],[ton (ns) C]]*10^-9*Fsw*10^3+0.5*VACnom*Table7[[#This Row],[Ipeak (A) C]]*Table7[[#This Row],[toff (ns) C]]*10^-9*Fsw*10^3/10^-3</f>
        <v>26.365665251586403</v>
      </c>
      <c r="BO177" s="156">
        <f t="shared" si="12"/>
        <v>129.6</v>
      </c>
      <c r="BP177" s="156">
        <f t="shared" ca="1" si="13"/>
        <v>291.59999999999997</v>
      </c>
      <c r="BQ177" s="156">
        <f t="shared" si="14"/>
        <v>237.6</v>
      </c>
      <c r="BR177" s="156">
        <f>IF(VACnom&gt;Vbat, C_MOSFET_S_VSD_L_BU*Table7[[#This Row],[Ivalley (A) C]]*Fsw*10^3*40*10^-9+C_MOSFET_S_VSD_L_BU*Table7[[#This Row],[Ipeak (A) C]]*Fsw*10^3*30*10^-9, C_MOSFET_S_VSD_H_BO*Table7[[#This Row],[Ivalley (A) C]]*Fsw*10^3*40*10^-9+C_MOSFET_S_VSD_H_BO*Table7[[#This Row],[Ipeak (A) C]]*Fsw*10^3*30*10^-9)/10^-3</f>
        <v>59.682857142857159</v>
      </c>
      <c r="BS177" s="156">
        <f t="shared" ca="1" si="15"/>
        <v>291.59999999999997</v>
      </c>
      <c r="BT177" s="156">
        <f>IF(VACnom&lt;Vbat, Table7[[#This Row],[Duty Cycle]]*Table7[[#This Row],[I_L RMS]]^2*C_MOSFET_S_RDSON_H_BU*10^-3, (1-Table7[[#This Row],[Duty Cycle]])*Table7[[#This Row],[I_L RMS]]^2*C_MOSFET_S_RDSON_H_BO*10^-3)/10^-3</f>
        <v>8.397640807215744</v>
      </c>
      <c r="BU177" s="156">
        <f ca="1">IF(VACnom&gt;Vbat, Table7[[#This Row],[PIV (mW) C]]+Table7[[#This Row],[PQoss (mW) C]]+Table7[[#This Row],[Pgate_top (mW) C]], Table7[[#This Row],[PRR (mW) C]]+Table7[[#This Row],[Pdead (mW) C]]+Table7[[#This Row],[Pgate_top (mW) C]])</f>
        <v>588.88285714285712</v>
      </c>
      <c r="BV177" s="156">
        <f ca="1">Table7[[#This Row],[Pcon_top (mW) C]]+Table7[[#This Row],[Psw_top (mW) C]]</f>
        <v>597.28049795007291</v>
      </c>
      <c r="BW177" s="156">
        <f ca="1">IF(VACnom&gt;Vbat, (1-Table7[[#This Row],[Duty Cycle]])*Table7[[#This Row],[I_L RMS]]^2*C_MOSFET_S_RDSON_L_BU*10^-3, Table7[[#This Row],[Duty Cycle]]*Table7[[#This Row],[I_L RMS]]^2*C_MOSFET_S_RDSON_L_BO*10^-3)/10^-3</f>
        <v>5.230109625546647</v>
      </c>
      <c r="BX177" s="156">
        <f ca="1">IF(VACnom&gt;Vbat, Table7[[#This Row],[PRR (mW) C]]+Table7[[#This Row],[Pdead (mW) C]]+Table7[[#This Row],[Pgate_bottom (mW) C]], Table7[[#This Row],[PIV (mW) C]]+Table7[[#This Row],[PQoss (mW) C]]+Table7[[#This Row],[Pgate_bottom (mW) C]])</f>
        <v>447.56566525158632</v>
      </c>
      <c r="BY177" s="156">
        <f ca="1">Table7[[#This Row],[Pcon_bottom (mW) C]]+Table7[[#This Row],[Psw_bottom (mV) C]]</f>
        <v>452.795774877133</v>
      </c>
      <c r="BZ177" s="156">
        <f ca="1">Table7[[#This Row],[Pbottom (mW) C]]+Table7[[#This Row],[Ptop (mW) C]]</f>
        <v>1050.0762728272059</v>
      </c>
      <c r="CA177" s="159"/>
      <c r="CB177" s="160">
        <f>(RAC_SNS*10^-3*(Table7[[#This Row],[IOUT (A)]]*Vbat/VACnom)^2/10^-3)</f>
        <v>16.882031250000001</v>
      </c>
      <c r="CC177" s="160">
        <f>(RBAT_SNS*10^-3*Table7[[#This Row],[IOUT (A)]]^2)/10^-3</f>
        <v>5.5125000000000002</v>
      </c>
      <c r="CD177" s="160">
        <f>IF(VACnom&gt;Vbat,(L_DRC*10^-3*(Table7[[#This Row],[IOUT (A)]])^2/10^-3),(L_DRC*10^-3*(Table7[[#This Row],[IOUT (A)]]*Vbat/VACnom)^2/10^-3))</f>
        <v>40.516875000000006</v>
      </c>
      <c r="CE177" s="166"/>
      <c r="CF177" s="156">
        <f>(Table7[[#This Row],[R_AC (mW)]]+Table7[[#This Row],[R_SR (mW)]]+Table7[[#This Row],[Inductor Loss (mW)]])/10^3</f>
        <v>6.291140625000001E-2</v>
      </c>
      <c r="CG177" s="156">
        <f ca="1">Table7[[#This Row],[Total TI (mW)]]/10^3</f>
        <v>2.3084045313631343</v>
      </c>
      <c r="CH177" s="156">
        <f ca="1">Table7[[#This Row],[Total Sense Loss]]+Table7[[#This Row],[Total MOSFET Loss]]</f>
        <v>2.3713159376131343</v>
      </c>
      <c r="CI177" s="161">
        <f ca="1">IF(Table7[[#This Row],[POUT (W)]]=0,0,(Table7[[#This Row],[POUT (W)]])/(Table7[[#This Row],[POUT (W)]]+Table7[[#This Row],[Total Power Loss (W)]]))*100</f>
        <v>84.160938507378859</v>
      </c>
      <c r="CJ177" s="167"/>
      <c r="CK177" s="156">
        <f>(Table7[[#This Row],[R_AC (mW)]]+Table7[[#This Row],[R_SR (mW)]]+Table7[[#This Row],[Inductor Loss (mW)]])/10^3</f>
        <v>6.291140625000001E-2</v>
      </c>
      <c r="CL177" s="156">
        <f ca="1">Table7[[#This Row],[Total (mW) C]]/10^3</f>
        <v>1.0500762728272059</v>
      </c>
      <c r="CM177" s="156">
        <f ca="1">Table7[[#This Row],[Total Sense Loss C]]+Table7[[#This Row],[Total MOSFET Loss C]]</f>
        <v>1.112987679077206</v>
      </c>
      <c r="CN177" s="161">
        <f ca="1">IF(Table7[[#This Row],[POUT (W)]]=0,0,(Table7[[#This Row],[POUT (W)]])/(Table7[[#This Row],[POUT (W)]]+Table7[[#This Row],[Total Power Loss (W) C]]))*100</f>
        <v>91.883696644930538</v>
      </c>
      <c r="CO177" s="167"/>
      <c r="CP177" s="161">
        <f>IF(MOSFET_S=Custom_MOSFET,Table7[[#This Row],[Total Sense Loss C]],Table7[[#This Row],[Total Sense Loss]])</f>
        <v>6.291140625000001E-2</v>
      </c>
      <c r="CQ177" s="161">
        <f ca="1">IF(MOSFET_S=Custom_MOSFET,Table7[[#This Row],[Total MOSFET Loss C]],Table7[[#This Row],[Total MOSFET Loss]])</f>
        <v>2.3084045313631343</v>
      </c>
      <c r="CR177" s="161">
        <f ca="1">IF(MOSFET_S=Custom_MOSFET,Table7[[#This Row],[Efficiency C]],Table7[[#This Row],[Efficiency]])</f>
        <v>84.160938507378859</v>
      </c>
      <c r="CS177" s="167"/>
      <c r="CT177" s="161">
        <f>IF(MOSFET_S=Compare_MOSFET, Table7[[#This Row],[Total Sense Loss C]], -100)</f>
        <v>-100</v>
      </c>
      <c r="CU177" s="161">
        <f>IF(MOSFET_S=Compare_MOSFET, Table7[[#This Row],[Total MOSFET Loss C]], -100)</f>
        <v>-100</v>
      </c>
      <c r="CV177" s="161">
        <f>IF(MOSFET_S=Compare_MOSFET, Table7[[#This Row],[Efficiency C]], -100)</f>
        <v>-100</v>
      </c>
      <c r="CW177" s="167"/>
      <c r="CX177" s="161">
        <f ca="1">IF(Save_Sel=CLR_Save,  Table7[[#This Row],[Total Sense Loss P1]], Table7[[#This Row],[Total Sense Loss P1 Saved]])</f>
        <v>6.291140625000001E-2</v>
      </c>
      <c r="CY177" s="161">
        <f ca="1">IF(Save_Sel=CLR_Save,  Table7[[#This Row],[Total MOSFET Loss P1]], Table7[[#This Row],[Total MOSFET Loss P1 Saved]] )</f>
        <v>1.5979356700494787</v>
      </c>
      <c r="CZ177" s="161">
        <f ca="1">IF(Save_Sel=CLR_Save, Table7[[#This Row],[Efficiency P1]], Table7[[#This Row],[Efficiency P1 Saved]])</f>
        <v>88.353797867591695</v>
      </c>
      <c r="DA177" s="167"/>
      <c r="DB177" s="161">
        <f ca="1">IF(Save_Sel=CLR_Save,  Table7[[#This Row],[Total Sense Loss P2]], Table7[[#This Row],[Total Sense Loss P2 Saved]])</f>
        <v>6.291140625000001E-2</v>
      </c>
      <c r="DC177" s="161">
        <f ca="1">IF(Save_Sel=CLR_Save,  Table7[[#This Row],[Total MOSFET Loss P2]], Table7[[#This Row],[Total MOSFET Loss P2 Saved]] )</f>
        <v>1.0543797819932113</v>
      </c>
      <c r="DD177" s="161">
        <f ca="1">IF(Save_Sel=CLR_Save, Table7[[#This Row],[Efficiency P2]], Table7[[#This Row],[Efficiency P2 Saved]])</f>
        <v>91.854870083965139</v>
      </c>
      <c r="DE177" s="167"/>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c r="FH177" s="21"/>
      <c r="FI177" s="21"/>
    </row>
    <row r="178" spans="1:165" x14ac:dyDescent="0.25">
      <c r="A178" s="50">
        <v>1</v>
      </c>
      <c r="B178" s="51"/>
      <c r="C178" s="51"/>
      <c r="D178" s="34" t="s">
        <v>130</v>
      </c>
      <c r="E178" s="132">
        <f ca="1">IF( VGS_S=Vgs_4P5,TI_RDS_4P5_H_BO, IF(VGS_S=Vgs_10, TI_RDS_10_H_BO, IF( AND(VGS_S=Vgs_C, ISNUMBER(TI_RDS_C_H_BO)), TI_RDS_C_H_BO, "ERROR" )))</f>
        <v>2.8</v>
      </c>
      <c r="F178" s="132">
        <f ca="1">IF( VGS_S=Vgs_4P5,TI_RDS_4P5_L_BO, IF(VGS_S=Vgs_10, TI_RDS_10_L_BO, IF( AND(VGS_S=Vgs_C, ISNUMBER(TI_RDS_C_L_BO)), TI_RDS_C_L_BO, "ERROR" )))</f>
        <v>2.8</v>
      </c>
      <c r="G178" s="44" t="s">
        <v>22</v>
      </c>
      <c r="H178" s="31"/>
      <c r="I178" s="50">
        <v>1</v>
      </c>
      <c r="J178" s="31"/>
      <c r="K178" s="51"/>
      <c r="L178" s="51"/>
      <c r="M178" s="34" t="s">
        <v>130</v>
      </c>
      <c r="N178" s="122">
        <f ca="1">IF(MOSFET_S=TI_MOSFET, $N135, IF(MOSFET_S=Custom_MOSFET,$E135, IF(MOSFET_S=Compare_MOSFET,$N135, 0) ))</f>
        <v>3.55</v>
      </c>
      <c r="O178" s="122">
        <f ca="1">IF(MOSFET_S=TI_MOSFET, $O135, IF(MOSFET_S=Custom_MOSFET,$F135, IF(MOSFET_S=Compare_MOSFET,$O135, 0) ))</f>
        <v>3.55</v>
      </c>
      <c r="P178" s="44" t="s">
        <v>22</v>
      </c>
      <c r="Q178" s="31"/>
      <c r="R178" s="31"/>
      <c r="S178" s="32"/>
      <c r="T178" s="20"/>
      <c r="U178" s="21"/>
      <c r="V178" s="21"/>
      <c r="W178" s="21"/>
      <c r="X178" s="21"/>
      <c r="Y178" s="21"/>
      <c r="Z178" s="21"/>
      <c r="AA178" s="21"/>
      <c r="AB178" s="21"/>
      <c r="AC178" s="21"/>
      <c r="AD178" s="21"/>
      <c r="AE178" s="21"/>
      <c r="AF178" s="154">
        <f t="shared" si="17"/>
        <v>22</v>
      </c>
      <c r="AG178" s="154">
        <f t="shared" si="16"/>
        <v>1.1000000000000001</v>
      </c>
      <c r="AH178" s="155">
        <f t="shared" si="3"/>
        <v>13.200000000000001</v>
      </c>
      <c r="AI178" s="156">
        <f t="shared" si="4"/>
        <v>0.42857142857142855</v>
      </c>
      <c r="AJ178" s="156">
        <f t="shared" si="5"/>
        <v>1.9250000000000003</v>
      </c>
      <c r="AK178" s="156">
        <f t="shared" si="6"/>
        <v>0.85714285714285721</v>
      </c>
      <c r="AL178" s="156">
        <f t="shared" si="7"/>
        <v>1.9408373166744086</v>
      </c>
      <c r="AM178" s="157"/>
      <c r="AN178" s="156">
        <f>MAX(0,Table7[[#This Row],[I_L]]-0.5*Table7[[#This Row],[I_L pkpk]])</f>
        <v>1.4964285714285717</v>
      </c>
      <c r="AO178" s="156">
        <f>Table7[[#This Row],[I_L]]+0.5*Table7[[#This Row],[I_L pkpk]]</f>
        <v>2.3535714285714286</v>
      </c>
      <c r="AP178" s="156">
        <f ca="1">IF(VACnom&gt;Vbat, (VGS_S-(TI_MOSFET_S_VTH_H_BU+Table7[[#This Row],[I_L]]/TI_MOSFET_S_gFS_H_BU))/3.4, (VGS_S-(TI_MOSFET_S_VTH_L_BO+Table7[[#This Row],[I_L]]/TI_MOSFET_S_gFS_L_BO))/3.4 )</f>
        <v>2.4221153846153851</v>
      </c>
      <c r="AQ178" s="156">
        <f ca="1">IF(VACnom&gt;Vbat, ((TI_MOSFET_S_VTH_H_BU+Table7[[#This Row],[I_L]]/TI_MOSFET_S_gFS_H_BU))/1, ((TI_MOSFET_S_VTH_L_BO+Table7[[#This Row],[I_L]]/TI_MOSFET_S_gFS_L_BO))/1 )</f>
        <v>1.7648076923076923</v>
      </c>
      <c r="AR178" s="156">
        <f ca="1">IF(VACnom&gt;Vbat, (TI_MOSFET_S_QGD_H_BU+TI_MOSFET_S_QGS_H_BU)*10^-9/Table7[[#This Row],[Ion (A)]], (TI_MOSFET_S_QGD_L_BO+TI_MOSFET_S_QGS_L_BO)*10^-9/Table7[[#This Row],[Ion (A)]])/10^-9</f>
        <v>11.890432711393409</v>
      </c>
      <c r="AS178" s="156">
        <f ca="1">IF(VACnom&gt;Vbat, (TI_MOSFET_S_QGD_H_BU+TI_MOSFET_S_QGS_H_BU)*10^-9/Table7[[#This Row],[Ioff (A)]], (TI_MOSFET_S_QGD_L_BO+TI_MOSFET_S_QGS_L_BO)*10^-9/Table7[[#This Row],[Ioff (A)]])/10^-9</f>
        <v>16.319058515854856</v>
      </c>
      <c r="AT178" s="156">
        <f ca="1" xml:space="preserve"> 0.5*VACnom*Table7[[#This Row],[Ivalley (A)]]*Table7[[#This Row],[ton (ns)]]*10^-9*Fsw*10^3+0.5*VACnom*Table7[[#This Row],[Ipeak (A)]]*Table7[[#This Row],[toff (ns)]]*10^-9*Fsw*10^3/10^-3</f>
        <v>138.33310697041404</v>
      </c>
      <c r="AU178" s="156">
        <f t="shared" ca="1" si="8"/>
        <v>262.8</v>
      </c>
      <c r="AV178" s="156">
        <f t="shared" ca="1" si="9"/>
        <v>648</v>
      </c>
      <c r="AW178" s="156">
        <f t="shared" ca="1" si="10"/>
        <v>554.4</v>
      </c>
      <c r="AX178" s="156">
        <f ca="1">IF(VACnom&gt;Vbat, TI_MOSFET_S_VSD_L_BU*Table7[[#This Row],[Ivalley (A)]]*Fsw*10^3*40*10^-9+TI_MOSFET_S_VSD_L_BU*Table7[[#This Row],[Ipeak (A)]]*Fsw*10^3*30*10^-9, TI_MOSFET_S_VSD_H_BO*Table7[[#This Row],[Ivalley (A)]]*Fsw*10^3*40*10^-9+TI_MOSFET_S_VSD_H_BO*Table7[[#This Row],[Ipeak (A)]]*Fsw*10^3*30*10^-9)/10^-3</f>
        <v>56.36057142857144</v>
      </c>
      <c r="AY178" s="156">
        <f t="shared" ca="1" si="11"/>
        <v>648</v>
      </c>
      <c r="AZ178" s="156">
        <f ca="1">IF(VACnom&lt;Vbat, Table7[[#This Row],[Duty Cycle]]*Table7[[#This Row],[I_L RMS]]^2*TI_MOSFET_S_RDSON_H_BU*10^-3, (1-Table7[[#This Row],[Duty Cycle]])*Table7[[#This Row],[I_L RMS]]^2*TI_MOSFET_S_RDSON_H_BO*10^-3)/10^-3</f>
        <v>4.5202193877551018</v>
      </c>
      <c r="BA178" s="156">
        <f ca="1">IF(VACnom&gt;Vbat, Table7[[#This Row],[PIV (mW)]]+Table7[[#This Row],[Pqoss (mW)]]+Table7[[#This Row],[Pgate_top (mW)]], Table7[[#This Row],[PRR (mW)]]+Table7[[#This Row],[Pdead (mW)]]+Table7[[#This Row],[Pgate_top (mW)]])</f>
        <v>1258.7605714285714</v>
      </c>
      <c r="BB178" s="156">
        <f ca="1">Table7[[#This Row],[Pcon_top (mW)]]+Table7[[#This Row],[Psw_top (mW)]]</f>
        <v>1263.2807908163265</v>
      </c>
      <c r="BC178" s="156">
        <f ca="1">IF(VACnom&gt;Vbat, (1-Table7[[#This Row],[Duty Cycle]])*Table7[[#This Row],[I_L RMS]]^2*TI_MOSFET_S_RDSON_L_BU*10^-3, Table7[[#This Row],[Duty Cycle]]*Table7[[#This Row],[I_L RMS]]^2*TI_MOSFET_S_RDSON_L_BO*10^-3)/10^-3</f>
        <v>4.5202193877551018</v>
      </c>
      <c r="BD178" s="156">
        <f ca="1">IF(VACnom&gt;Vbat, Table7[[#This Row],[PRR (mW)]]+Table7[[#This Row],[Pdead (mW)]]+Table7[[#This Row],[Pgate_bottom (mW)]], Table7[[#This Row],[PIV (mW)]]+Table7[[#This Row],[Pqoss (mW)]]+Table7[[#This Row],[Pgate_bottom (mW)]])</f>
        <v>1049.133106970414</v>
      </c>
      <c r="BE178" s="158">
        <f ca="1">Table7[[#This Row],[Pcon_bottom (mW)]]+Table7[[#This Row],[Psw_bottom (mW)]]</f>
        <v>1053.6533263581691</v>
      </c>
      <c r="BF178" s="164">
        <f ca="1">Table7[[#This Row],[Pbottom (mW)]]+Table7[[#This Row],[Ptop (mW)]]</f>
        <v>2316.9341171744954</v>
      </c>
      <c r="BG178" s="153"/>
      <c r="BH178" s="156">
        <f>MAX(0,Table7[[#This Row],[I_L]]-0.5*Table7[[#This Row],[I_L pkpk]])</f>
        <v>1.4964285714285717</v>
      </c>
      <c r="BI178" s="156">
        <f>Table7[[#This Row],[I_L]]+0.5*Table7[[#This Row],[I_L pkpk]]</f>
        <v>2.3535714285714286</v>
      </c>
      <c r="BJ178" s="156">
        <f>IF(VACnom&gt;Vbat, (VGS_S-(C_MOSFET_S_VTH_H_BU+Table7[[#This Row],[I_L]]/C_MOSFET_S_gFS_H_BU))/3.4, (VGS_S-(C_MOSFET_S_VTH_L_BO+Table7[[#This Row],[I_L]]/C_MOSFET_S_gFS_L_BO))/3.4 )</f>
        <v>2.3491666666666666</v>
      </c>
      <c r="BK178" s="156">
        <f>IF(VACnom&gt;Vbat, ((C_MOSFET_S_VTH_H_BU+Table7[[#This Row],[I_L]]/C_MOSFET_S_gFS_H_BU))/1, ((C_MOSFET_S_VTH_L_BO+Table7[[#This Row],[I_L]]/C_MOSFET_S_gFS_L_BO))/1 )</f>
        <v>2.0128333333333335</v>
      </c>
      <c r="BL178" s="156">
        <f>IF(VACnom&gt;Vbat, (C_MOSFET_S_QGD_H_BU+C_MOSFET_S_QGS_H_BU)*10^-9/Table7[[#This Row],[Ion (A) C]], (C_MOSFET_S_QGD_L_BO+C_MOSFET_S_QGS_L_BO)*10^-9/Table7[[#This Row],[Ion (A) C]])/10^-9</f>
        <v>2.7669386307201131</v>
      </c>
      <c r="BM178" s="156">
        <f>IF(VACnom&gt;Vbat, (C_MOSFET_S_QGD_H_BU+C_MOSFET_S_QGS_H_BU)*10^-9/Table7[[#This Row],[Ioff (A) C]], (C_MOSFET_S_QGD_L_BO+C_MOSFET_S_QGS_L_BO)*10^-9/Table7[[#This Row],[Ioff (A) C]])/10^-9</f>
        <v>3.2292787944025831</v>
      </c>
      <c r="BN178" s="156">
        <f xml:space="preserve"> 0.5*VACnom*Table7[[#This Row],[Ivalley (A) C]]*Table7[[#This Row],[ton (ns) C]]*10^-9*Fsw*10^3+0.5*VACnom*Table7[[#This Row],[Ipeak (A) C]]*Table7[[#This Row],[toff (ns) C]]*10^-9*Fsw*10^3/10^-3</f>
        <v>27.37612379311167</v>
      </c>
      <c r="BO178" s="156">
        <f t="shared" si="12"/>
        <v>129.6</v>
      </c>
      <c r="BP178" s="156">
        <f t="shared" ca="1" si="13"/>
        <v>291.59999999999997</v>
      </c>
      <c r="BQ178" s="156">
        <f t="shared" si="14"/>
        <v>237.6</v>
      </c>
      <c r="BR178" s="156">
        <f>IF(VACnom&gt;Vbat, C_MOSFET_S_VSD_L_BU*Table7[[#This Row],[Ivalley (A) C]]*Fsw*10^3*40*10^-9+C_MOSFET_S_VSD_L_BU*Table7[[#This Row],[Ipeak (A) C]]*Fsw*10^3*30*10^-9, C_MOSFET_S_VSD_H_BO*Table7[[#This Row],[Ivalley (A) C]]*Fsw*10^3*40*10^-9+C_MOSFET_S_VSD_H_BO*Table7[[#This Row],[Ipeak (A) C]]*Fsw*10^3*30*10^-9)/10^-3</f>
        <v>62.622857142857143</v>
      </c>
      <c r="BS178" s="156">
        <f t="shared" ca="1" si="15"/>
        <v>291.59999999999997</v>
      </c>
      <c r="BT178" s="156">
        <f>IF(VACnom&lt;Vbat, Table7[[#This Row],[Duty Cycle]]*Table7[[#This Row],[I_L RMS]]^2*C_MOSFET_S_RDSON_H_BU*10^-3, (1-Table7[[#This Row],[Duty Cycle]])*Table7[[#This Row],[I_L RMS]]^2*C_MOSFET_S_RDSON_H_BO*10^-3)/10^-3</f>
        <v>9.2018751822157441</v>
      </c>
      <c r="BU178" s="156">
        <f ca="1">IF(VACnom&gt;Vbat, Table7[[#This Row],[PIV (mW) C]]+Table7[[#This Row],[PQoss (mW) C]]+Table7[[#This Row],[Pgate_top (mW) C]], Table7[[#This Row],[PRR (mW) C]]+Table7[[#This Row],[Pdead (mW) C]]+Table7[[#This Row],[Pgate_top (mW) C]])</f>
        <v>591.82285714285717</v>
      </c>
      <c r="BV178" s="156">
        <f ca="1">Table7[[#This Row],[Pcon_top (mW) C]]+Table7[[#This Row],[Psw_top (mW) C]]</f>
        <v>601.02473232507293</v>
      </c>
      <c r="BW178" s="156">
        <f ca="1">IF(VACnom&gt;Vbat, (1-Table7[[#This Row],[Duty Cycle]])*Table7[[#This Row],[I_L RMS]]^2*C_MOSFET_S_RDSON_L_BU*10^-3, Table7[[#This Row],[Duty Cycle]]*Table7[[#This Row],[I_L RMS]]^2*C_MOSFET_S_RDSON_L_BO*10^-3)/10^-3</f>
        <v>5.7309924380466466</v>
      </c>
      <c r="BX178" s="156">
        <f ca="1">IF(VACnom&gt;Vbat, Table7[[#This Row],[PRR (mW) C]]+Table7[[#This Row],[Pdead (mW) C]]+Table7[[#This Row],[Pgate_bottom (mW) C]], Table7[[#This Row],[PIV (mW) C]]+Table7[[#This Row],[PQoss (mW) C]]+Table7[[#This Row],[Pgate_bottom (mW) C]])</f>
        <v>448.57612379311161</v>
      </c>
      <c r="BY178" s="156">
        <f ca="1">Table7[[#This Row],[Pcon_bottom (mW) C]]+Table7[[#This Row],[Psw_bottom (mV) C]]</f>
        <v>454.30711623115826</v>
      </c>
      <c r="BZ178" s="156">
        <f ca="1">Table7[[#This Row],[Pbottom (mW) C]]+Table7[[#This Row],[Ptop (mW) C]]</f>
        <v>1055.3318485562313</v>
      </c>
      <c r="CA178" s="159"/>
      <c r="CB178" s="160">
        <f>(RAC_SNS*10^-3*(Table7[[#This Row],[IOUT (A)]]*Vbat/VACnom)^2/10^-3)</f>
        <v>18.528125000000003</v>
      </c>
      <c r="CC178" s="160">
        <f>(RBAT_SNS*10^-3*Table7[[#This Row],[IOUT (A)]]^2)/10^-3</f>
        <v>6.0500000000000007</v>
      </c>
      <c r="CD178" s="160">
        <f>IF(VACnom&gt;Vbat,(L_DRC*10^-3*(Table7[[#This Row],[IOUT (A)]])^2/10^-3),(L_DRC*10^-3*(Table7[[#This Row],[IOUT (A)]]*Vbat/VACnom)^2/10^-3))</f>
        <v>44.467500000000008</v>
      </c>
      <c r="CE178" s="166"/>
      <c r="CF178" s="156">
        <f>(Table7[[#This Row],[R_AC (mW)]]+Table7[[#This Row],[R_SR (mW)]]+Table7[[#This Row],[Inductor Loss (mW)]])/10^3</f>
        <v>6.9045625000000013E-2</v>
      </c>
      <c r="CG178" s="156">
        <f ca="1">Table7[[#This Row],[Total TI (mW)]]/10^3</f>
        <v>2.3169341171744953</v>
      </c>
      <c r="CH178" s="156">
        <f ca="1">Table7[[#This Row],[Total Sense Loss]]+Table7[[#This Row],[Total MOSFET Loss]]</f>
        <v>2.3859797421744955</v>
      </c>
      <c r="CI178" s="161">
        <f ca="1">IF(Table7[[#This Row],[POUT (W)]]=0,0,(Table7[[#This Row],[POUT (W)]])/(Table7[[#This Row],[POUT (W)]]+Table7[[#This Row],[Total Power Loss (W)]]))*100</f>
        <v>84.691499786065975</v>
      </c>
      <c r="CJ178" s="167"/>
      <c r="CK178" s="156">
        <f>(Table7[[#This Row],[R_AC (mW)]]+Table7[[#This Row],[R_SR (mW)]]+Table7[[#This Row],[Inductor Loss (mW)]])/10^3</f>
        <v>6.9045625000000013E-2</v>
      </c>
      <c r="CL178" s="156">
        <f ca="1">Table7[[#This Row],[Total (mW) C]]/10^3</f>
        <v>1.0553318485562313</v>
      </c>
      <c r="CM178" s="156">
        <f ca="1">Table7[[#This Row],[Total Sense Loss C]]+Table7[[#This Row],[Total MOSFET Loss C]]</f>
        <v>1.1243774735562313</v>
      </c>
      <c r="CN178" s="161">
        <f ca="1">IF(Table7[[#This Row],[POUT (W)]]=0,0,(Table7[[#This Row],[POUT (W)]])/(Table7[[#This Row],[POUT (W)]]+Table7[[#This Row],[Total Power Loss (W) C]]))*100</f>
        <v>92.150601478968923</v>
      </c>
      <c r="CO178" s="167"/>
      <c r="CP178" s="161">
        <f>IF(MOSFET_S=Custom_MOSFET,Table7[[#This Row],[Total Sense Loss C]],Table7[[#This Row],[Total Sense Loss]])</f>
        <v>6.9045625000000013E-2</v>
      </c>
      <c r="CQ178" s="161">
        <f ca="1">IF(MOSFET_S=Custom_MOSFET,Table7[[#This Row],[Total MOSFET Loss C]],Table7[[#This Row],[Total MOSFET Loss]])</f>
        <v>2.3169341171744953</v>
      </c>
      <c r="CR178" s="161">
        <f ca="1">IF(MOSFET_S=Custom_MOSFET,Table7[[#This Row],[Efficiency C]],Table7[[#This Row],[Efficiency]])</f>
        <v>84.691499786065975</v>
      </c>
      <c r="CS178" s="167"/>
      <c r="CT178" s="161">
        <f>IF(MOSFET_S=Compare_MOSFET, Table7[[#This Row],[Total Sense Loss C]], -100)</f>
        <v>-100</v>
      </c>
      <c r="CU178" s="161">
        <f>IF(MOSFET_S=Compare_MOSFET, Table7[[#This Row],[Total MOSFET Loss C]], -100)</f>
        <v>-100</v>
      </c>
      <c r="CV178" s="161">
        <f>IF(MOSFET_S=Compare_MOSFET, Table7[[#This Row],[Efficiency C]], -100)</f>
        <v>-100</v>
      </c>
      <c r="CW178" s="167"/>
      <c r="CX178" s="161">
        <f ca="1">IF(Save_Sel=CLR_Save,  Table7[[#This Row],[Total Sense Loss P1]], Table7[[#This Row],[Total Sense Loss P1 Saved]])</f>
        <v>6.9045625000000013E-2</v>
      </c>
      <c r="CY178" s="161">
        <f ca="1">IF(Save_Sel=CLR_Save,  Table7[[#This Row],[Total MOSFET Loss P1]], Table7[[#This Row],[Total MOSFET Loss P1 Saved]] )</f>
        <v>1.6066844677569725</v>
      </c>
      <c r="CZ178" s="161">
        <f ca="1">IF(Save_Sel=CLR_Save, Table7[[#This Row],[Efficiency P1]], Table7[[#This Row],[Efficiency P1 Saved]])</f>
        <v>88.735140512041895</v>
      </c>
      <c r="DA178" s="167"/>
      <c r="DB178" s="161">
        <f ca="1">IF(Save_Sel=CLR_Save,  Table7[[#This Row],[Total Sense Loss P2]], Table7[[#This Row],[Total Sense Loss P2 Saved]])</f>
        <v>6.9045625000000013E-2</v>
      </c>
      <c r="DC178" s="161">
        <f ca="1">IF(Save_Sel=CLR_Save,  Table7[[#This Row],[Total MOSFET Loss P2]], Table7[[#This Row],[Total MOSFET Loss P2 Saved]] )</f>
        <v>1.060046466522605</v>
      </c>
      <c r="DD178" s="161">
        <f ca="1">IF(Save_Sel=CLR_Save, Table7[[#This Row],[Efficiency P2]], Table7[[#This Row],[Efficiency P2 Saved]])</f>
        <v>92.120281701653667</v>
      </c>
      <c r="DE178" s="167"/>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c r="FH178" s="21"/>
      <c r="FI178" s="21"/>
    </row>
    <row r="179" spans="1:165" x14ac:dyDescent="0.25">
      <c r="A179" s="50">
        <v>4</v>
      </c>
      <c r="B179" s="51"/>
      <c r="C179" s="51"/>
      <c r="D179" s="34" t="s">
        <v>134</v>
      </c>
      <c r="E179" s="132">
        <f ca="1">IF( VGS_S=Vgs_4P5,TI_QG_4P5_H_BO, IF(VGS_S=Vgs_10, TI_QG_10_H_BO, IF( AND(VGS_S=Vgs_C, ISNUMBER(TI_QG_C_H_BO)), TI_QG_C_H_BO, "ERROR" )))</f>
        <v>90</v>
      </c>
      <c r="F179" s="132">
        <f ca="1">IF( VGS_S=Vgs_4P5,TI_QG_4P5_L_BO, IF(VGS_S=Vgs_10, TI_QG_10_L_BO, IF( AND(VGS_S=Vgs_C, ISNUMBER(TI_QG_C_L_BO)), TI_QG_C_L_BO, "ERROR" )))</f>
        <v>90</v>
      </c>
      <c r="G179" s="44" t="s">
        <v>23</v>
      </c>
      <c r="H179" s="31"/>
      <c r="I179" s="50">
        <v>4</v>
      </c>
      <c r="J179" s="31"/>
      <c r="K179" s="51"/>
      <c r="L179" s="51"/>
      <c r="M179" s="34" t="s">
        <v>134</v>
      </c>
      <c r="N179" s="122">
        <f ca="1">IF(MOSFET_S=TI_MOSFET, $N138, IF(MOSFET_S=Custom_MOSFET,$E138, IF(MOSFET_S=Compare_MOSFET,$N138, 0) ))</f>
        <v>40.5</v>
      </c>
      <c r="O179" s="122">
        <f ca="1">IF(MOSFET_S=TI_MOSFET, $O138, IF(MOSFET_S=Custom_MOSFET,$F138, IF(MOSFET_S=Compare_MOSFET,$O138, 0) ))</f>
        <v>40.5</v>
      </c>
      <c r="P179" s="44" t="s">
        <v>23</v>
      </c>
      <c r="Q179" s="31"/>
      <c r="R179" s="31"/>
      <c r="S179" s="32"/>
      <c r="T179" s="20"/>
      <c r="U179" s="21"/>
      <c r="V179" s="21"/>
      <c r="W179" s="21"/>
      <c r="X179" s="21"/>
      <c r="Y179" s="21"/>
      <c r="Z179" s="21"/>
      <c r="AA179" s="21"/>
      <c r="AB179" s="21"/>
      <c r="AC179" s="21"/>
      <c r="AD179" s="21"/>
      <c r="AE179" s="21"/>
      <c r="AF179" s="154">
        <f t="shared" si="17"/>
        <v>23</v>
      </c>
      <c r="AG179" s="154">
        <f t="shared" si="16"/>
        <v>1.1499999999999999</v>
      </c>
      <c r="AH179" s="155">
        <f t="shared" si="3"/>
        <v>13.799999999999999</v>
      </c>
      <c r="AI179" s="156">
        <f t="shared" si="4"/>
        <v>0.42857142857142855</v>
      </c>
      <c r="AJ179" s="156">
        <f t="shared" si="5"/>
        <v>2.0125000000000002</v>
      </c>
      <c r="AK179" s="156">
        <f t="shared" si="6"/>
        <v>0.85714285714285721</v>
      </c>
      <c r="AL179" s="156">
        <f t="shared" si="7"/>
        <v>2.0276539990333458</v>
      </c>
      <c r="AM179" s="157"/>
      <c r="AN179" s="156">
        <f>MAX(0,Table7[[#This Row],[I_L]]-0.5*Table7[[#This Row],[I_L pkpk]])</f>
        <v>1.5839285714285716</v>
      </c>
      <c r="AO179" s="156">
        <f>Table7[[#This Row],[I_L]]+0.5*Table7[[#This Row],[I_L pkpk]]</f>
        <v>2.441071428571429</v>
      </c>
      <c r="AP179" s="156">
        <f ca="1">IF(VACnom&gt;Vbat, (VGS_S-(TI_MOSFET_S_VTH_H_BU+Table7[[#This Row],[I_L]]/TI_MOSFET_S_gFS_H_BU))/3.4, (VGS_S-(TI_MOSFET_S_VTH_L_BO+Table7[[#This Row],[I_L]]/TI_MOSFET_S_gFS_L_BO))/3.4 )</f>
        <v>2.4219174208144794</v>
      </c>
      <c r="AQ179" s="156">
        <f ca="1">IF(VACnom&gt;Vbat, ((TI_MOSFET_S_VTH_H_BU+Table7[[#This Row],[I_L]]/TI_MOSFET_S_gFS_H_BU))/1, ((TI_MOSFET_S_VTH_L_BO+Table7[[#This Row],[I_L]]/TI_MOSFET_S_gFS_L_BO))/1 )</f>
        <v>1.7654807692307692</v>
      </c>
      <c r="AR179" s="156">
        <f ca="1">IF(VACnom&gt;Vbat, (TI_MOSFET_S_QGD_H_BU+TI_MOSFET_S_QGS_H_BU)*10^-9/Table7[[#This Row],[Ion (A)]], (TI_MOSFET_S_QGD_L_BO+TI_MOSFET_S_QGS_L_BO)*10^-9/Table7[[#This Row],[Ion (A)]])/10^-9</f>
        <v>11.891404617055315</v>
      </c>
      <c r="AS179" s="156">
        <f ca="1">IF(VACnom&gt;Vbat, (TI_MOSFET_S_QGD_H_BU+TI_MOSFET_S_QGS_H_BU)*10^-9/Table7[[#This Row],[Ioff (A)]], (TI_MOSFET_S_QGD_L_BO+TI_MOSFET_S_QGS_L_BO)*10^-9/Table7[[#This Row],[Ioff (A)]])/10^-9</f>
        <v>16.312836991449267</v>
      </c>
      <c r="AT179" s="156">
        <f ca="1" xml:space="preserve"> 0.5*VACnom*Table7[[#This Row],[Ivalley (A)]]*Table7[[#This Row],[ton (ns)]]*10^-9*Fsw*10^3+0.5*VACnom*Table7[[#This Row],[Ipeak (A)]]*Table7[[#This Row],[toff (ns)]]*10^-9*Fsw*10^3/10^-3</f>
        <v>143.42268756347025</v>
      </c>
      <c r="AU179" s="156">
        <f t="shared" ca="1" si="8"/>
        <v>262.8</v>
      </c>
      <c r="AV179" s="156">
        <f t="shared" ca="1" si="9"/>
        <v>648</v>
      </c>
      <c r="AW179" s="156">
        <f t="shared" ca="1" si="10"/>
        <v>554.4</v>
      </c>
      <c r="AX179" s="156">
        <f ca="1">IF(VACnom&gt;Vbat, TI_MOSFET_S_VSD_L_BU*Table7[[#This Row],[Ivalley (A)]]*Fsw*10^3*40*10^-9+TI_MOSFET_S_VSD_L_BU*Table7[[#This Row],[Ipeak (A)]]*Fsw*10^3*30*10^-9, TI_MOSFET_S_VSD_H_BO*Table7[[#This Row],[Ivalley (A)]]*Fsw*10^3*40*10^-9+TI_MOSFET_S_VSD_H_BO*Table7[[#This Row],[Ipeak (A)]]*Fsw*10^3*30*10^-9)/10^-3</f>
        <v>59.006571428571434</v>
      </c>
      <c r="AY179" s="156">
        <f t="shared" ca="1" si="11"/>
        <v>648</v>
      </c>
      <c r="AZ179" s="156">
        <f ca="1">IF(VACnom&lt;Vbat, Table7[[#This Row],[Duty Cycle]]*Table7[[#This Row],[I_L RMS]]^2*TI_MOSFET_S_RDSON_H_BU*10^-3, (1-Table7[[#This Row],[Duty Cycle]])*Table7[[#This Row],[I_L RMS]]^2*TI_MOSFET_S_RDSON_H_BO*10^-3)/10^-3</f>
        <v>4.9336568877551024</v>
      </c>
      <c r="BA179" s="156">
        <f ca="1">IF(VACnom&gt;Vbat, Table7[[#This Row],[PIV (mW)]]+Table7[[#This Row],[Pqoss (mW)]]+Table7[[#This Row],[Pgate_top (mW)]], Table7[[#This Row],[PRR (mW)]]+Table7[[#This Row],[Pdead (mW)]]+Table7[[#This Row],[Pgate_top (mW)]])</f>
        <v>1261.4065714285714</v>
      </c>
      <c r="BB179" s="156">
        <f ca="1">Table7[[#This Row],[Pcon_top (mW)]]+Table7[[#This Row],[Psw_top (mW)]]</f>
        <v>1266.3402283163266</v>
      </c>
      <c r="BC179" s="156">
        <f ca="1">IF(VACnom&gt;Vbat, (1-Table7[[#This Row],[Duty Cycle]])*Table7[[#This Row],[I_L RMS]]^2*TI_MOSFET_S_RDSON_L_BU*10^-3, Table7[[#This Row],[Duty Cycle]]*Table7[[#This Row],[I_L RMS]]^2*TI_MOSFET_S_RDSON_L_BO*10^-3)/10^-3</f>
        <v>4.9336568877551024</v>
      </c>
      <c r="BD179" s="156">
        <f ca="1">IF(VACnom&gt;Vbat, Table7[[#This Row],[PRR (mW)]]+Table7[[#This Row],[Pdead (mW)]]+Table7[[#This Row],[Pgate_bottom (mW)]], Table7[[#This Row],[PIV (mW)]]+Table7[[#This Row],[Pqoss (mW)]]+Table7[[#This Row],[Pgate_bottom (mW)]])</f>
        <v>1054.2226875634701</v>
      </c>
      <c r="BE179" s="158">
        <f ca="1">Table7[[#This Row],[Pcon_bottom (mW)]]+Table7[[#This Row],[Psw_bottom (mW)]]</f>
        <v>1059.1563444512253</v>
      </c>
      <c r="BF179" s="164">
        <f ca="1">Table7[[#This Row],[Pbottom (mW)]]+Table7[[#This Row],[Ptop (mW)]]</f>
        <v>2325.4965727675517</v>
      </c>
      <c r="BG179" s="153"/>
      <c r="BH179" s="156">
        <f>MAX(0,Table7[[#This Row],[I_L]]-0.5*Table7[[#This Row],[I_L pkpk]])</f>
        <v>1.5839285714285716</v>
      </c>
      <c r="BI179" s="156">
        <f>Table7[[#This Row],[I_L]]+0.5*Table7[[#This Row],[I_L pkpk]]</f>
        <v>2.441071428571429</v>
      </c>
      <c r="BJ179" s="156">
        <f>IF(VACnom&gt;Vbat, (VGS_S-(C_MOSFET_S_VTH_H_BU+Table7[[#This Row],[I_L]]/C_MOSFET_S_gFS_H_BU))/3.4, (VGS_S-(C_MOSFET_S_VTH_L_BO+Table7[[#This Row],[I_L]]/C_MOSFET_S_gFS_L_BO))/3.4 )</f>
        <v>2.3489950980392158</v>
      </c>
      <c r="BK179" s="156">
        <f>IF(VACnom&gt;Vbat, ((C_MOSFET_S_VTH_H_BU+Table7[[#This Row],[I_L]]/C_MOSFET_S_gFS_H_BU))/1, ((C_MOSFET_S_VTH_L_BO+Table7[[#This Row],[I_L]]/C_MOSFET_S_gFS_L_BO))/1 )</f>
        <v>2.0134166666666666</v>
      </c>
      <c r="BL179" s="156">
        <f>IF(VACnom&gt;Vbat, (C_MOSFET_S_QGD_H_BU+C_MOSFET_S_QGS_H_BU)*10^-9/Table7[[#This Row],[Ion (A) C]], (C_MOSFET_S_QGD_L_BO+C_MOSFET_S_QGS_L_BO)*10^-9/Table7[[#This Row],[Ion (A) C]])/10^-9</f>
        <v>2.7671407255918781</v>
      </c>
      <c r="BM179" s="156">
        <f>IF(VACnom&gt;Vbat, (C_MOSFET_S_QGD_H_BU+C_MOSFET_S_QGS_H_BU)*10^-9/Table7[[#This Row],[Ioff (A) C]], (C_MOSFET_S_QGD_L_BO+C_MOSFET_S_QGS_L_BO)*10^-9/Table7[[#This Row],[Ioff (A) C]])/10^-9</f>
        <v>3.2283431977153265</v>
      </c>
      <c r="BN179" s="156">
        <f xml:space="preserve"> 0.5*VACnom*Table7[[#This Row],[Ivalley (A) C]]*Table7[[#This Row],[ton (ns) C]]*10^-9*Fsw*10^3+0.5*VACnom*Table7[[#This Row],[Ipeak (A) C]]*Table7[[#This Row],[toff (ns) C]]*10^-9*Fsw*10^3/10^-3</f>
        <v>28.385997461360052</v>
      </c>
      <c r="BO179" s="156">
        <f t="shared" si="12"/>
        <v>129.6</v>
      </c>
      <c r="BP179" s="156">
        <f t="shared" ca="1" si="13"/>
        <v>291.59999999999997</v>
      </c>
      <c r="BQ179" s="156">
        <f t="shared" si="14"/>
        <v>237.6</v>
      </c>
      <c r="BR179" s="156">
        <f>IF(VACnom&gt;Vbat, C_MOSFET_S_VSD_L_BU*Table7[[#This Row],[Ivalley (A) C]]*Fsw*10^3*40*10^-9+C_MOSFET_S_VSD_L_BU*Table7[[#This Row],[Ipeak (A) C]]*Fsw*10^3*30*10^-9, C_MOSFET_S_VSD_H_BO*Table7[[#This Row],[Ivalley (A) C]]*Fsw*10^3*40*10^-9+C_MOSFET_S_VSD_H_BO*Table7[[#This Row],[Ipeak (A) C]]*Fsw*10^3*30*10^-9)/10^-3</f>
        <v>65.562857142857155</v>
      </c>
      <c r="BS179" s="156">
        <f t="shared" ca="1" si="15"/>
        <v>291.59999999999997</v>
      </c>
      <c r="BT179" s="156">
        <f>IF(VACnom&lt;Vbat, Table7[[#This Row],[Duty Cycle]]*Table7[[#This Row],[I_L RMS]]^2*C_MOSFET_S_RDSON_H_BU*10^-3, (1-Table7[[#This Row],[Duty Cycle]])*Table7[[#This Row],[I_L RMS]]^2*C_MOSFET_S_RDSON_H_BO*10^-3)/10^-3</f>
        <v>10.043515807215746</v>
      </c>
      <c r="BU179" s="156">
        <f ca="1">IF(VACnom&gt;Vbat, Table7[[#This Row],[PIV (mW) C]]+Table7[[#This Row],[PQoss (mW) C]]+Table7[[#This Row],[Pgate_top (mW) C]], Table7[[#This Row],[PRR (mW) C]]+Table7[[#This Row],[Pdead (mW) C]]+Table7[[#This Row],[Pgate_top (mW) C]])</f>
        <v>594.76285714285711</v>
      </c>
      <c r="BV179" s="156">
        <f ca="1">Table7[[#This Row],[Pcon_top (mW) C]]+Table7[[#This Row],[Psw_top (mW) C]]</f>
        <v>604.80637295007284</v>
      </c>
      <c r="BW179" s="156">
        <f ca="1">IF(VACnom&gt;Vbat, (1-Table7[[#This Row],[Duty Cycle]])*Table7[[#This Row],[I_L RMS]]^2*C_MOSFET_S_RDSON_L_BU*10^-3, Table7[[#This Row],[Duty Cycle]]*Table7[[#This Row],[I_L RMS]]^2*C_MOSFET_S_RDSON_L_BO*10^-3)/10^-3</f>
        <v>6.2551721255466477</v>
      </c>
      <c r="BX179" s="156">
        <f ca="1">IF(VACnom&gt;Vbat, Table7[[#This Row],[PRR (mW) C]]+Table7[[#This Row],[Pdead (mW) C]]+Table7[[#This Row],[Pgate_bottom (mW) C]], Table7[[#This Row],[PIV (mW) C]]+Table7[[#This Row],[PQoss (mW) C]]+Table7[[#This Row],[Pgate_bottom (mW) C]])</f>
        <v>449.58599746136002</v>
      </c>
      <c r="BY179" s="156">
        <f ca="1">Table7[[#This Row],[Pcon_bottom (mW) C]]+Table7[[#This Row],[Psw_bottom (mV) C]]</f>
        <v>455.84116958690669</v>
      </c>
      <c r="BZ179" s="156">
        <f ca="1">Table7[[#This Row],[Pbottom (mW) C]]+Table7[[#This Row],[Ptop (mW) C]]</f>
        <v>1060.6475425369795</v>
      </c>
      <c r="CA179" s="159"/>
      <c r="CB179" s="160">
        <f>(RAC_SNS*10^-3*(Table7[[#This Row],[IOUT (A)]]*Vbat/VACnom)^2/10^-3)</f>
        <v>20.250781249999996</v>
      </c>
      <c r="CC179" s="160">
        <f>(RBAT_SNS*10^-3*Table7[[#This Row],[IOUT (A)]]^2)/10^-3</f>
        <v>6.6124999999999989</v>
      </c>
      <c r="CD179" s="160">
        <f>IF(VACnom&gt;Vbat,(L_DRC*10^-3*(Table7[[#This Row],[IOUT (A)]])^2/10^-3),(L_DRC*10^-3*(Table7[[#This Row],[IOUT (A)]]*Vbat/VACnom)^2/10^-3))</f>
        <v>48.601874999999986</v>
      </c>
      <c r="CE179" s="166"/>
      <c r="CF179" s="156">
        <f>(Table7[[#This Row],[R_AC (mW)]]+Table7[[#This Row],[R_SR (mW)]]+Table7[[#This Row],[Inductor Loss (mW)]])/10^3</f>
        <v>7.5465156249999985E-2</v>
      </c>
      <c r="CG179" s="156">
        <f ca="1">Table7[[#This Row],[Total TI (mW)]]/10^3</f>
        <v>2.3254965727675518</v>
      </c>
      <c r="CH179" s="156">
        <f ca="1">Table7[[#This Row],[Total Sense Loss]]+Table7[[#This Row],[Total MOSFET Loss]]</f>
        <v>2.4009617290175518</v>
      </c>
      <c r="CI179" s="161">
        <f ca="1">IF(Table7[[#This Row],[POUT (W)]]=0,0,(Table7[[#This Row],[POUT (W)]])/(Table7[[#This Row],[POUT (W)]]+Table7[[#This Row],[Total Power Loss (W)]]))*100</f>
        <v>85.180128382642934</v>
      </c>
      <c r="CJ179" s="167"/>
      <c r="CK179" s="156">
        <f>(Table7[[#This Row],[R_AC (mW)]]+Table7[[#This Row],[R_SR (mW)]]+Table7[[#This Row],[Inductor Loss (mW)]])/10^3</f>
        <v>7.5465156249999985E-2</v>
      </c>
      <c r="CL179" s="156">
        <f ca="1">Table7[[#This Row],[Total (mW) C]]/10^3</f>
        <v>1.0606475425369795</v>
      </c>
      <c r="CM179" s="156">
        <f ca="1">Table7[[#This Row],[Total Sense Loss C]]+Table7[[#This Row],[Total MOSFET Loss C]]</f>
        <v>1.1361126987869794</v>
      </c>
      <c r="CN179" s="161">
        <f ca="1">IF(Table7[[#This Row],[POUT (W)]]=0,0,(Table7[[#This Row],[POUT (W)]])/(Table7[[#This Row],[POUT (W)]]+Table7[[#This Row],[Total Power Loss (W) C]]))*100</f>
        <v>92.393518168356835</v>
      </c>
      <c r="CO179" s="167"/>
      <c r="CP179" s="161">
        <f>IF(MOSFET_S=Custom_MOSFET,Table7[[#This Row],[Total Sense Loss C]],Table7[[#This Row],[Total Sense Loss]])</f>
        <v>7.5465156249999985E-2</v>
      </c>
      <c r="CQ179" s="161">
        <f ca="1">IF(MOSFET_S=Custom_MOSFET,Table7[[#This Row],[Total MOSFET Loss C]],Table7[[#This Row],[Total MOSFET Loss]])</f>
        <v>2.3254965727675518</v>
      </c>
      <c r="CR179" s="161">
        <f ca="1">IF(MOSFET_S=Custom_MOSFET,Table7[[#This Row],[Efficiency C]],Table7[[#This Row],[Efficiency]])</f>
        <v>85.180128382642934</v>
      </c>
      <c r="CS179" s="167"/>
      <c r="CT179" s="161">
        <f>IF(MOSFET_S=Compare_MOSFET, Table7[[#This Row],[Total Sense Loss C]], -100)</f>
        <v>-100</v>
      </c>
      <c r="CU179" s="161">
        <f>IF(MOSFET_S=Compare_MOSFET, Table7[[#This Row],[Total MOSFET Loss C]], -100)</f>
        <v>-100</v>
      </c>
      <c r="CV179" s="161">
        <f>IF(MOSFET_S=Compare_MOSFET, Table7[[#This Row],[Efficiency C]], -100)</f>
        <v>-100</v>
      </c>
      <c r="CW179" s="167"/>
      <c r="CX179" s="161">
        <f ca="1">IF(Save_Sel=CLR_Save,  Table7[[#This Row],[Total Sense Loss P1]], Table7[[#This Row],[Total Sense Loss P1 Saved]])</f>
        <v>7.5465156249999985E-2</v>
      </c>
      <c r="CY179" s="161">
        <f ca="1">IF(Save_Sel=CLR_Save,  Table7[[#This Row],[Total MOSFET Loss P1]], Table7[[#This Row],[Total MOSFET Loss P1 Saved]] )</f>
        <v>1.6154759839565143</v>
      </c>
      <c r="CZ179" s="161">
        <f ca="1">IF(Save_Sel=CLR_Save, Table7[[#This Row],[Efficiency P1]], Table7[[#This Row],[Efficiency P1 Saved]])</f>
        <v>89.084322734803365</v>
      </c>
      <c r="DA179" s="167"/>
      <c r="DB179" s="161">
        <f ca="1">IF(Save_Sel=CLR_Save,  Table7[[#This Row],[Total Sense Loss P2]], Table7[[#This Row],[Total Sense Loss P2 Saved]])</f>
        <v>7.5465156249999985E-2</v>
      </c>
      <c r="DC179" s="161">
        <f ca="1">IF(Save_Sel=CLR_Save,  Table7[[#This Row],[Total MOSFET Loss P2]], Table7[[#This Row],[Total MOSFET Loss P2 Saved]] )</f>
        <v>1.0657923017444435</v>
      </c>
      <c r="DD179" s="161">
        <f ca="1">IF(Save_Sel=CLR_Save, Table7[[#This Row],[Efficiency P2]], Table7[[#This Row],[Efficiency P2 Saved]])</f>
        <v>92.361704085463003</v>
      </c>
      <c r="DE179" s="167"/>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c r="FH179" s="21"/>
      <c r="FI179" s="21"/>
    </row>
    <row r="180" spans="1:165" x14ac:dyDescent="0.25">
      <c r="A180" s="50">
        <v>7</v>
      </c>
      <c r="B180" s="51"/>
      <c r="C180" s="51"/>
      <c r="D180" s="34" t="s">
        <v>15</v>
      </c>
      <c r="E180" s="122">
        <f t="shared" ref="E180:E188" ca="1" si="22">$N141</f>
        <v>8.8000000000000007</v>
      </c>
      <c r="F180" s="122">
        <f t="shared" ref="F180:F186" ca="1" si="23">$O141</f>
        <v>8.8000000000000007</v>
      </c>
      <c r="G180" s="44" t="s">
        <v>23</v>
      </c>
      <c r="H180" s="31"/>
      <c r="I180" s="50">
        <v>7</v>
      </c>
      <c r="J180" s="31"/>
      <c r="K180" s="51"/>
      <c r="L180" s="51"/>
      <c r="M180" s="34" t="s">
        <v>15</v>
      </c>
      <c r="N180" s="122">
        <f t="shared" ref="N180:N188" si="24">$E141</f>
        <v>2.5</v>
      </c>
      <c r="O180" s="122">
        <f t="shared" ref="O180:O186" si="25">$F141</f>
        <v>2.5</v>
      </c>
      <c r="P180" s="44" t="s">
        <v>23</v>
      </c>
      <c r="Q180" s="31"/>
      <c r="R180" s="31"/>
      <c r="S180" s="32"/>
      <c r="T180" s="20"/>
      <c r="U180" s="21"/>
      <c r="V180" s="21"/>
      <c r="W180" s="21"/>
      <c r="X180" s="21"/>
      <c r="Y180" s="21"/>
      <c r="Z180" s="21"/>
      <c r="AA180" s="21"/>
      <c r="AB180" s="21"/>
      <c r="AC180" s="21"/>
      <c r="AD180" s="21"/>
      <c r="AE180" s="21"/>
      <c r="AF180" s="154">
        <f t="shared" si="17"/>
        <v>24</v>
      </c>
      <c r="AG180" s="154">
        <f t="shared" si="16"/>
        <v>1.2</v>
      </c>
      <c r="AH180" s="155">
        <f t="shared" si="3"/>
        <v>14.399999999999999</v>
      </c>
      <c r="AI180" s="156">
        <f t="shared" si="4"/>
        <v>0.42857142857142855</v>
      </c>
      <c r="AJ180" s="156">
        <f t="shared" si="5"/>
        <v>2.1</v>
      </c>
      <c r="AK180" s="156">
        <f t="shared" si="6"/>
        <v>0.85714285714285721</v>
      </c>
      <c r="AL180" s="156">
        <f t="shared" si="7"/>
        <v>2.1145270132575558</v>
      </c>
      <c r="AM180" s="157"/>
      <c r="AN180" s="156">
        <f>MAX(0,Table7[[#This Row],[I_L]]-0.5*Table7[[#This Row],[I_L pkpk]])</f>
        <v>1.6714285714285715</v>
      </c>
      <c r="AO180" s="156">
        <f>Table7[[#This Row],[I_L]]+0.5*Table7[[#This Row],[I_L pkpk]]</f>
        <v>2.5285714285714285</v>
      </c>
      <c r="AP180" s="156">
        <f ca="1">IF(VACnom&gt;Vbat, (VGS_S-(TI_MOSFET_S_VTH_H_BU+Table7[[#This Row],[I_L]]/TI_MOSFET_S_gFS_H_BU))/3.4, (VGS_S-(TI_MOSFET_S_VTH_L_BO+Table7[[#This Row],[I_L]]/TI_MOSFET_S_gFS_L_BO))/3.4 )</f>
        <v>2.4217194570135745</v>
      </c>
      <c r="AQ180" s="156">
        <f ca="1">IF(VACnom&gt;Vbat, ((TI_MOSFET_S_VTH_H_BU+Table7[[#This Row],[I_L]]/TI_MOSFET_S_gFS_H_BU))/1, ((TI_MOSFET_S_VTH_L_BO+Table7[[#This Row],[I_L]]/TI_MOSFET_S_gFS_L_BO))/1 )</f>
        <v>1.7661538461538462</v>
      </c>
      <c r="AR180" s="156">
        <f ca="1">IF(VACnom&gt;Vbat, (TI_MOSFET_S_QGD_H_BU+TI_MOSFET_S_QGS_H_BU)*10^-9/Table7[[#This Row],[Ion (A)]], (TI_MOSFET_S_QGD_L_BO+TI_MOSFET_S_QGS_L_BO)*10^-9/Table7[[#This Row],[Ion (A)]])/10^-9</f>
        <v>11.892376681614351</v>
      </c>
      <c r="AS180" s="156">
        <f ca="1">IF(VACnom&gt;Vbat, (TI_MOSFET_S_QGD_H_BU+TI_MOSFET_S_QGS_H_BU)*10^-9/Table7[[#This Row],[Ioff (A)]], (TI_MOSFET_S_QGD_L_BO+TI_MOSFET_S_QGS_L_BO)*10^-9/Table7[[#This Row],[Ioff (A)]])/10^-9</f>
        <v>16.306620209059233</v>
      </c>
      <c r="AT180" s="156">
        <f ca="1" xml:space="preserve"> 0.5*VACnom*Table7[[#This Row],[Ivalley (A)]]*Table7[[#This Row],[ton (ns)]]*10^-9*Fsw*10^3+0.5*VACnom*Table7[[#This Row],[Ipeak (A)]]*Table7[[#This Row],[toff (ns)]]*10^-9*Fsw*10^3/10^-3</f>
        <v>148.50839237529769</v>
      </c>
      <c r="AU180" s="156">
        <f t="shared" ca="1" si="8"/>
        <v>262.8</v>
      </c>
      <c r="AV180" s="156">
        <f t="shared" ca="1" si="9"/>
        <v>648</v>
      </c>
      <c r="AW180" s="156">
        <f t="shared" ca="1" si="10"/>
        <v>554.4</v>
      </c>
      <c r="AX180" s="156">
        <f ca="1">IF(VACnom&gt;Vbat, TI_MOSFET_S_VSD_L_BU*Table7[[#This Row],[Ivalley (A)]]*Fsw*10^3*40*10^-9+TI_MOSFET_S_VSD_L_BU*Table7[[#This Row],[Ipeak (A)]]*Fsw*10^3*30*10^-9, TI_MOSFET_S_VSD_H_BO*Table7[[#This Row],[Ivalley (A)]]*Fsw*10^3*40*10^-9+TI_MOSFET_S_VSD_H_BO*Table7[[#This Row],[Ipeak (A)]]*Fsw*10^3*30*10^-9)/10^-3</f>
        <v>61.652571428571427</v>
      </c>
      <c r="AY180" s="156">
        <f t="shared" ca="1" si="11"/>
        <v>648</v>
      </c>
      <c r="AZ180" s="156">
        <f ca="1">IF(VACnom&lt;Vbat, Table7[[#This Row],[Duty Cycle]]*Table7[[#This Row],[I_L RMS]]^2*TI_MOSFET_S_RDSON_H_BU*10^-3, (1-Table7[[#This Row],[Duty Cycle]])*Table7[[#This Row],[I_L RMS]]^2*TI_MOSFET_S_RDSON_H_BO*10^-3)/10^-3</f>
        <v>5.3654693877551036</v>
      </c>
      <c r="BA180" s="156">
        <f ca="1">IF(VACnom&gt;Vbat, Table7[[#This Row],[PIV (mW)]]+Table7[[#This Row],[Pqoss (mW)]]+Table7[[#This Row],[Pgate_top (mW)]], Table7[[#This Row],[PRR (mW)]]+Table7[[#This Row],[Pdead (mW)]]+Table7[[#This Row],[Pgate_top (mW)]])</f>
        <v>1264.0525714285714</v>
      </c>
      <c r="BB180" s="156">
        <f ca="1">Table7[[#This Row],[Pcon_top (mW)]]+Table7[[#This Row],[Psw_top (mW)]]</f>
        <v>1269.4180408163265</v>
      </c>
      <c r="BC180" s="156">
        <f ca="1">IF(VACnom&gt;Vbat, (1-Table7[[#This Row],[Duty Cycle]])*Table7[[#This Row],[I_L RMS]]^2*TI_MOSFET_S_RDSON_L_BU*10^-3, Table7[[#This Row],[Duty Cycle]]*Table7[[#This Row],[I_L RMS]]^2*TI_MOSFET_S_RDSON_L_BO*10^-3)/10^-3</f>
        <v>5.3654693877551036</v>
      </c>
      <c r="BD180" s="156">
        <f ca="1">IF(VACnom&gt;Vbat, Table7[[#This Row],[PRR (mW)]]+Table7[[#This Row],[Pdead (mW)]]+Table7[[#This Row],[Pgate_bottom (mW)]], Table7[[#This Row],[PIV (mW)]]+Table7[[#This Row],[Pqoss (mW)]]+Table7[[#This Row],[Pgate_bottom (mW)]])</f>
        <v>1059.3083923752977</v>
      </c>
      <c r="BE180" s="158">
        <f ca="1">Table7[[#This Row],[Pcon_bottom (mW)]]+Table7[[#This Row],[Psw_bottom (mW)]]</f>
        <v>1064.6738617630529</v>
      </c>
      <c r="BF180" s="164">
        <f ca="1">Table7[[#This Row],[Pbottom (mW)]]+Table7[[#This Row],[Ptop (mW)]]</f>
        <v>2334.0919025793792</v>
      </c>
      <c r="BG180" s="153"/>
      <c r="BH180" s="156">
        <f>MAX(0,Table7[[#This Row],[I_L]]-0.5*Table7[[#This Row],[I_L pkpk]])</f>
        <v>1.6714285714285715</v>
      </c>
      <c r="BI180" s="156">
        <f>Table7[[#This Row],[I_L]]+0.5*Table7[[#This Row],[I_L pkpk]]</f>
        <v>2.5285714285714285</v>
      </c>
      <c r="BJ180" s="156">
        <f>IF(VACnom&gt;Vbat, (VGS_S-(C_MOSFET_S_VTH_H_BU+Table7[[#This Row],[I_L]]/C_MOSFET_S_gFS_H_BU))/3.4, (VGS_S-(C_MOSFET_S_VTH_L_BO+Table7[[#This Row],[I_L]]/C_MOSFET_S_gFS_L_BO))/3.4 )</f>
        <v>2.348823529411765</v>
      </c>
      <c r="BK180" s="156">
        <f>IF(VACnom&gt;Vbat, ((C_MOSFET_S_VTH_H_BU+Table7[[#This Row],[I_L]]/C_MOSFET_S_gFS_H_BU))/1, ((C_MOSFET_S_VTH_L_BO+Table7[[#This Row],[I_L]]/C_MOSFET_S_gFS_L_BO))/1 )</f>
        <v>2.0139999999999998</v>
      </c>
      <c r="BL180" s="156">
        <f>IF(VACnom&gt;Vbat, (C_MOSFET_S_QGD_H_BU+C_MOSFET_S_QGS_H_BU)*10^-9/Table7[[#This Row],[Ion (A) C]], (C_MOSFET_S_QGD_L_BO+C_MOSFET_S_QGS_L_BO)*10^-9/Table7[[#This Row],[Ion (A) C]])/10^-9</f>
        <v>2.7673428499874779</v>
      </c>
      <c r="BM180" s="156">
        <f>IF(VACnom&gt;Vbat, (C_MOSFET_S_QGD_H_BU+C_MOSFET_S_QGS_H_BU)*10^-9/Table7[[#This Row],[Ioff (A) C]], (C_MOSFET_S_QGD_L_BO+C_MOSFET_S_QGS_L_BO)*10^-9/Table7[[#This Row],[Ioff (A) C]])/10^-9</f>
        <v>3.2274081429990074</v>
      </c>
      <c r="BN180" s="156">
        <f xml:space="preserve"> 0.5*VACnom*Table7[[#This Row],[Ivalley (A) C]]*Table7[[#This Row],[ton (ns) C]]*10^-9*Fsw*10^3+0.5*VACnom*Table7[[#This Row],[Ipeak (A) C]]*Table7[[#This Row],[toff (ns) C]]*10^-9*Fsw*10^3/10^-3</f>
        <v>29.395286764676886</v>
      </c>
      <c r="BO180" s="156">
        <f t="shared" si="12"/>
        <v>129.6</v>
      </c>
      <c r="BP180" s="156">
        <f t="shared" ca="1" si="13"/>
        <v>291.59999999999997</v>
      </c>
      <c r="BQ180" s="156">
        <f t="shared" si="14"/>
        <v>237.6</v>
      </c>
      <c r="BR180" s="156">
        <f>IF(VACnom&gt;Vbat, C_MOSFET_S_VSD_L_BU*Table7[[#This Row],[Ivalley (A) C]]*Fsw*10^3*40*10^-9+C_MOSFET_S_VSD_L_BU*Table7[[#This Row],[Ipeak (A) C]]*Fsw*10^3*30*10^-9, C_MOSFET_S_VSD_H_BO*Table7[[#This Row],[Ivalley (A) C]]*Fsw*10^3*40*10^-9+C_MOSFET_S_VSD_H_BO*Table7[[#This Row],[Ipeak (A) C]]*Fsw*10^3*30*10^-9)/10^-3</f>
        <v>68.502857142857138</v>
      </c>
      <c r="BS180" s="156">
        <f t="shared" ca="1" si="15"/>
        <v>291.59999999999997</v>
      </c>
      <c r="BT180" s="156">
        <f>IF(VACnom&lt;Vbat, Table7[[#This Row],[Duty Cycle]]*Table7[[#This Row],[I_L RMS]]^2*C_MOSFET_S_RDSON_H_BU*10^-3, (1-Table7[[#This Row],[Duty Cycle]])*Table7[[#This Row],[I_L RMS]]^2*C_MOSFET_S_RDSON_H_BO*10^-3)/10^-3</f>
        <v>10.922562682215746</v>
      </c>
      <c r="BU180" s="156">
        <f ca="1">IF(VACnom&gt;Vbat, Table7[[#This Row],[PIV (mW) C]]+Table7[[#This Row],[PQoss (mW) C]]+Table7[[#This Row],[Pgate_top (mW) C]], Table7[[#This Row],[PRR (mW) C]]+Table7[[#This Row],[Pdead (mW) C]]+Table7[[#This Row],[Pgate_top (mW) C]])</f>
        <v>597.70285714285706</v>
      </c>
      <c r="BV180" s="156">
        <f ca="1">Table7[[#This Row],[Pcon_top (mW) C]]+Table7[[#This Row],[Psw_top (mW) C]]</f>
        <v>608.62541982507275</v>
      </c>
      <c r="BW180" s="156">
        <f ca="1">IF(VACnom&gt;Vbat, (1-Table7[[#This Row],[Duty Cycle]])*Table7[[#This Row],[I_L RMS]]^2*C_MOSFET_S_RDSON_L_BU*10^-3, Table7[[#This Row],[Duty Cycle]]*Table7[[#This Row],[I_L RMS]]^2*C_MOSFET_S_RDSON_L_BO*10^-3)/10^-3</f>
        <v>6.8026486880466486</v>
      </c>
      <c r="BX180" s="156">
        <f ca="1">IF(VACnom&gt;Vbat, Table7[[#This Row],[PRR (mW) C]]+Table7[[#This Row],[Pdead (mW) C]]+Table7[[#This Row],[Pgate_bottom (mW) C]], Table7[[#This Row],[PIV (mW) C]]+Table7[[#This Row],[PQoss (mW) C]]+Table7[[#This Row],[Pgate_bottom (mW) C]])</f>
        <v>450.59528676467687</v>
      </c>
      <c r="BY180" s="156">
        <f ca="1">Table7[[#This Row],[Pcon_bottom (mW) C]]+Table7[[#This Row],[Psw_bottom (mV) C]]</f>
        <v>457.39793545272352</v>
      </c>
      <c r="BZ180" s="156">
        <f ca="1">Table7[[#This Row],[Pbottom (mW) C]]+Table7[[#This Row],[Ptop (mW) C]]</f>
        <v>1066.0233552777963</v>
      </c>
      <c r="CA180" s="159"/>
      <c r="CB180" s="160">
        <f>(RAC_SNS*10^-3*(Table7[[#This Row],[IOUT (A)]]*Vbat/VACnom)^2/10^-3)</f>
        <v>22.05</v>
      </c>
      <c r="CC180" s="160">
        <f>(RBAT_SNS*10^-3*Table7[[#This Row],[IOUT (A)]]^2)/10^-3</f>
        <v>7.1999999999999993</v>
      </c>
      <c r="CD180" s="160">
        <f>IF(VACnom&gt;Vbat,(L_DRC*10^-3*(Table7[[#This Row],[IOUT (A)]])^2/10^-3),(L_DRC*10^-3*(Table7[[#This Row],[IOUT (A)]]*Vbat/VACnom)^2/10^-3))</f>
        <v>52.92</v>
      </c>
      <c r="CE180" s="166"/>
      <c r="CF180" s="156">
        <f>(Table7[[#This Row],[R_AC (mW)]]+Table7[[#This Row],[R_SR (mW)]]+Table7[[#This Row],[Inductor Loss (mW)]])/10^3</f>
        <v>8.2170000000000007E-2</v>
      </c>
      <c r="CG180" s="156">
        <f ca="1">Table7[[#This Row],[Total TI (mW)]]/10^3</f>
        <v>2.3340919025793792</v>
      </c>
      <c r="CH180" s="156">
        <f ca="1">Table7[[#This Row],[Total Sense Loss]]+Table7[[#This Row],[Total MOSFET Loss]]</f>
        <v>2.4162619025793792</v>
      </c>
      <c r="CI180" s="161">
        <f ca="1">IF(Table7[[#This Row],[POUT (W)]]=0,0,(Table7[[#This Row],[POUT (W)]])/(Table7[[#This Row],[POUT (W)]]+Table7[[#This Row],[Total Power Loss (W)]]))*100</f>
        <v>85.631397057340322</v>
      </c>
      <c r="CJ180" s="167"/>
      <c r="CK180" s="156">
        <f>(Table7[[#This Row],[R_AC (mW)]]+Table7[[#This Row],[R_SR (mW)]]+Table7[[#This Row],[Inductor Loss (mW)]])/10^3</f>
        <v>8.2170000000000007E-2</v>
      </c>
      <c r="CL180" s="156">
        <f ca="1">Table7[[#This Row],[Total (mW) C]]/10^3</f>
        <v>1.0660233552777962</v>
      </c>
      <c r="CM180" s="156">
        <f ca="1">Table7[[#This Row],[Total Sense Loss C]]+Table7[[#This Row],[Total MOSFET Loss C]]</f>
        <v>1.1481933552777963</v>
      </c>
      <c r="CN180" s="161">
        <f ca="1">IF(Table7[[#This Row],[POUT (W)]]=0,0,(Table7[[#This Row],[POUT (W)]])/(Table7[[#This Row],[POUT (W)]]+Table7[[#This Row],[Total Power Loss (W) C]]))*100</f>
        <v>92.615261921166919</v>
      </c>
      <c r="CO180" s="167"/>
      <c r="CP180" s="161">
        <f>IF(MOSFET_S=Custom_MOSFET,Table7[[#This Row],[Total Sense Loss C]],Table7[[#This Row],[Total Sense Loss]])</f>
        <v>8.2170000000000007E-2</v>
      </c>
      <c r="CQ180" s="161">
        <f ca="1">IF(MOSFET_S=Custom_MOSFET,Table7[[#This Row],[Total MOSFET Loss C]],Table7[[#This Row],[Total MOSFET Loss]])</f>
        <v>2.3340919025793792</v>
      </c>
      <c r="CR180" s="161">
        <f ca="1">IF(MOSFET_S=Custom_MOSFET,Table7[[#This Row],[Efficiency C]],Table7[[#This Row],[Efficiency]])</f>
        <v>85.631397057340322</v>
      </c>
      <c r="CS180" s="167"/>
      <c r="CT180" s="161">
        <f>IF(MOSFET_S=Compare_MOSFET, Table7[[#This Row],[Total Sense Loss C]], -100)</f>
        <v>-100</v>
      </c>
      <c r="CU180" s="161">
        <f>IF(MOSFET_S=Compare_MOSFET, Table7[[#This Row],[Total MOSFET Loss C]], -100)</f>
        <v>-100</v>
      </c>
      <c r="CV180" s="161">
        <f>IF(MOSFET_S=Compare_MOSFET, Table7[[#This Row],[Efficiency C]], -100)</f>
        <v>-100</v>
      </c>
      <c r="CW180" s="167"/>
      <c r="CX180" s="161">
        <f ca="1">IF(Save_Sel=CLR_Save,  Table7[[#This Row],[Total Sense Loss P1]], Table7[[#This Row],[Total Sense Loss P1 Saved]])</f>
        <v>8.2170000000000007E-2</v>
      </c>
      <c r="CY180" s="161">
        <f ca="1">IF(Save_Sel=CLR_Save,  Table7[[#This Row],[Total MOSFET Loss P1]], Table7[[#This Row],[Total MOSFET Loss P1 Saved]] )</f>
        <v>1.6243102230891464</v>
      </c>
      <c r="CZ180" s="161">
        <f ca="1">IF(Save_Sel=CLR_Save, Table7[[#This Row],[Efficiency P1]], Table7[[#This Row],[Efficiency P1 Saved]])</f>
        <v>89.405008422368695</v>
      </c>
      <c r="DA180" s="167"/>
      <c r="DB180" s="161">
        <f ca="1">IF(Save_Sel=CLR_Save,  Table7[[#This Row],[Total Sense Loss P2]], Table7[[#This Row],[Total Sense Loss P2 Saved]])</f>
        <v>8.2170000000000007E-2</v>
      </c>
      <c r="DC180" s="161">
        <f ca="1">IF(Save_Sel=CLR_Save,  Table7[[#This Row],[Total MOSFET Loss P2]], Table7[[#This Row],[Total MOSFET Loss P2 Saved]] )</f>
        <v>1.0716172881679717</v>
      </c>
      <c r="DD180" s="161">
        <f ca="1">IF(Save_Sel=CLR_Save, Table7[[#This Row],[Efficiency P2]], Table7[[#This Row],[Efficiency P2 Saved]])</f>
        <v>92.581952763069623</v>
      </c>
      <c r="DE180" s="167"/>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c r="FH180" s="21"/>
      <c r="FI180" s="21"/>
    </row>
    <row r="181" spans="1:165" x14ac:dyDescent="0.25">
      <c r="A181" s="50">
        <v>8</v>
      </c>
      <c r="B181" s="51"/>
      <c r="C181" s="51"/>
      <c r="D181" s="34" t="s">
        <v>16</v>
      </c>
      <c r="E181" s="122">
        <f t="shared" ca="1" si="22"/>
        <v>20</v>
      </c>
      <c r="F181" s="122">
        <f t="shared" ca="1" si="23"/>
        <v>20</v>
      </c>
      <c r="G181" s="44" t="s">
        <v>23</v>
      </c>
      <c r="H181" s="31"/>
      <c r="I181" s="50">
        <v>8</v>
      </c>
      <c r="J181" s="31"/>
      <c r="K181" s="51"/>
      <c r="L181" s="51"/>
      <c r="M181" s="34" t="s">
        <v>16</v>
      </c>
      <c r="N181" s="122">
        <f t="shared" si="24"/>
        <v>4</v>
      </c>
      <c r="O181" s="122">
        <f t="shared" si="25"/>
        <v>4</v>
      </c>
      <c r="P181" s="44" t="s">
        <v>23</v>
      </c>
      <c r="Q181" s="31"/>
      <c r="R181" s="31"/>
      <c r="S181" s="32"/>
      <c r="T181" s="20"/>
      <c r="U181" s="21"/>
      <c r="V181" s="21"/>
      <c r="W181" s="21"/>
      <c r="X181" s="21"/>
      <c r="Y181" s="21"/>
      <c r="Z181" s="21"/>
      <c r="AA181" s="21"/>
      <c r="AB181" s="21"/>
      <c r="AC181" s="21"/>
      <c r="AD181" s="21"/>
      <c r="AE181" s="21"/>
      <c r="AF181" s="154">
        <f t="shared" si="17"/>
        <v>25</v>
      </c>
      <c r="AG181" s="154">
        <f t="shared" si="16"/>
        <v>1.25</v>
      </c>
      <c r="AH181" s="155">
        <f t="shared" si="3"/>
        <v>15</v>
      </c>
      <c r="AI181" s="156">
        <f t="shared" si="4"/>
        <v>0.42857142857142855</v>
      </c>
      <c r="AJ181" s="156">
        <f t="shared" si="5"/>
        <v>2.1875</v>
      </c>
      <c r="AK181" s="156">
        <f t="shared" si="6"/>
        <v>0.85714285714285721</v>
      </c>
      <c r="AL181" s="156">
        <f t="shared" si="7"/>
        <v>2.201449690498495</v>
      </c>
      <c r="AM181" s="157"/>
      <c r="AN181" s="156">
        <f>MAX(0,Table7[[#This Row],[I_L]]-0.5*Table7[[#This Row],[I_L pkpk]])</f>
        <v>1.7589285714285714</v>
      </c>
      <c r="AO181" s="156">
        <f>Table7[[#This Row],[I_L]]+0.5*Table7[[#This Row],[I_L pkpk]]</f>
        <v>2.6160714285714288</v>
      </c>
      <c r="AP181" s="156">
        <f ca="1">IF(VACnom&gt;Vbat, (VGS_S-(TI_MOSFET_S_VTH_H_BU+Table7[[#This Row],[I_L]]/TI_MOSFET_S_gFS_H_BU))/3.4, (VGS_S-(TI_MOSFET_S_VTH_L_BO+Table7[[#This Row],[I_L]]/TI_MOSFET_S_gFS_L_BO))/3.4 )</f>
        <v>2.4215214932126696</v>
      </c>
      <c r="AQ181" s="156">
        <f ca="1">IF(VACnom&gt;Vbat, ((TI_MOSFET_S_VTH_H_BU+Table7[[#This Row],[I_L]]/TI_MOSFET_S_gFS_H_BU))/1, ((TI_MOSFET_S_VTH_L_BO+Table7[[#This Row],[I_L]]/TI_MOSFET_S_gFS_L_BO))/1 )</f>
        <v>1.7668269230769231</v>
      </c>
      <c r="AR181" s="156">
        <f ca="1">IF(VACnom&gt;Vbat, (TI_MOSFET_S_QGD_H_BU+TI_MOSFET_S_QGS_H_BU)*10^-9/Table7[[#This Row],[Ion (A)]], (TI_MOSFET_S_QGD_L_BO+TI_MOSFET_S_QGS_L_BO)*10^-9/Table7[[#This Row],[Ion (A)]])/10^-9</f>
        <v>11.893348905109491</v>
      </c>
      <c r="AS181" s="156">
        <f ca="1">IF(VACnom&gt;Vbat, (TI_MOSFET_S_QGD_H_BU+TI_MOSFET_S_QGS_H_BU)*10^-9/Table7[[#This Row],[Ioff (A)]], (TI_MOSFET_S_QGD_L_BO+TI_MOSFET_S_QGS_L_BO)*10^-9/Table7[[#This Row],[Ioff (A)]])/10^-9</f>
        <v>16.300408163265306</v>
      </c>
      <c r="AT181" s="156">
        <f ca="1" xml:space="preserve"> 0.5*VACnom*Table7[[#This Row],[Ivalley (A)]]*Table7[[#This Row],[ton (ns)]]*10^-9*Fsw*10^3+0.5*VACnom*Table7[[#This Row],[Ipeak (A)]]*Table7[[#This Row],[toff (ns)]]*10^-9*Fsw*10^3/10^-3</f>
        <v>153.59022583621206</v>
      </c>
      <c r="AU181" s="156">
        <f t="shared" ca="1" si="8"/>
        <v>262.8</v>
      </c>
      <c r="AV181" s="156">
        <f t="shared" ca="1" si="9"/>
        <v>648</v>
      </c>
      <c r="AW181" s="156">
        <f t="shared" ca="1" si="10"/>
        <v>554.4</v>
      </c>
      <c r="AX181" s="156">
        <f ca="1">IF(VACnom&gt;Vbat, TI_MOSFET_S_VSD_L_BU*Table7[[#This Row],[Ivalley (A)]]*Fsw*10^3*40*10^-9+TI_MOSFET_S_VSD_L_BU*Table7[[#This Row],[Ipeak (A)]]*Fsw*10^3*30*10^-9, TI_MOSFET_S_VSD_H_BO*Table7[[#This Row],[Ivalley (A)]]*Fsw*10^3*40*10^-9+TI_MOSFET_S_VSD_H_BO*Table7[[#This Row],[Ipeak (A)]]*Fsw*10^3*30*10^-9)/10^-3</f>
        <v>64.298571428571421</v>
      </c>
      <c r="AY181" s="156">
        <f t="shared" ca="1" si="11"/>
        <v>648</v>
      </c>
      <c r="AZ181" s="156">
        <f ca="1">IF(VACnom&lt;Vbat, Table7[[#This Row],[Duty Cycle]]*Table7[[#This Row],[I_L RMS]]^2*TI_MOSFET_S_RDSON_H_BU*10^-3, (1-Table7[[#This Row],[Duty Cycle]])*Table7[[#This Row],[I_L RMS]]^2*TI_MOSFET_S_RDSON_H_BO*10^-3)/10^-3</f>
        <v>5.8156568877551029</v>
      </c>
      <c r="BA181" s="156">
        <f ca="1">IF(VACnom&gt;Vbat, Table7[[#This Row],[PIV (mW)]]+Table7[[#This Row],[Pqoss (mW)]]+Table7[[#This Row],[Pgate_top (mW)]], Table7[[#This Row],[PRR (mW)]]+Table7[[#This Row],[Pdead (mW)]]+Table7[[#This Row],[Pgate_top (mW)]])</f>
        <v>1266.6985714285715</v>
      </c>
      <c r="BB181" s="156">
        <f ca="1">Table7[[#This Row],[Pcon_top (mW)]]+Table7[[#This Row],[Psw_top (mW)]]</f>
        <v>1272.5142283163266</v>
      </c>
      <c r="BC181" s="156">
        <f ca="1">IF(VACnom&gt;Vbat, (1-Table7[[#This Row],[Duty Cycle]])*Table7[[#This Row],[I_L RMS]]^2*TI_MOSFET_S_RDSON_L_BU*10^-3, Table7[[#This Row],[Duty Cycle]]*Table7[[#This Row],[I_L RMS]]^2*TI_MOSFET_S_RDSON_L_BO*10^-3)/10^-3</f>
        <v>5.8156568877551029</v>
      </c>
      <c r="BD181" s="156">
        <f ca="1">IF(VACnom&gt;Vbat, Table7[[#This Row],[PRR (mW)]]+Table7[[#This Row],[Pdead (mW)]]+Table7[[#This Row],[Pgate_bottom (mW)]], Table7[[#This Row],[PIV (mW)]]+Table7[[#This Row],[Pqoss (mW)]]+Table7[[#This Row],[Pgate_bottom (mW)]])</f>
        <v>1064.390225836212</v>
      </c>
      <c r="BE181" s="158">
        <f ca="1">Table7[[#This Row],[Pcon_bottom (mW)]]+Table7[[#This Row],[Psw_bottom (mW)]]</f>
        <v>1070.2058827239671</v>
      </c>
      <c r="BF181" s="164">
        <f ca="1">Table7[[#This Row],[Pbottom (mW)]]+Table7[[#This Row],[Ptop (mW)]]</f>
        <v>2342.7201110402939</v>
      </c>
      <c r="BG181" s="153"/>
      <c r="BH181" s="156">
        <f>MAX(0,Table7[[#This Row],[I_L]]-0.5*Table7[[#This Row],[I_L pkpk]])</f>
        <v>1.7589285714285714</v>
      </c>
      <c r="BI181" s="156">
        <f>Table7[[#This Row],[I_L]]+0.5*Table7[[#This Row],[I_L pkpk]]</f>
        <v>2.6160714285714288</v>
      </c>
      <c r="BJ181" s="156">
        <f>IF(VACnom&gt;Vbat, (VGS_S-(C_MOSFET_S_VTH_H_BU+Table7[[#This Row],[I_L]]/C_MOSFET_S_gFS_H_BU))/3.4, (VGS_S-(C_MOSFET_S_VTH_L_BO+Table7[[#This Row],[I_L]]/C_MOSFET_S_gFS_L_BO))/3.4 )</f>
        <v>2.3486519607843137</v>
      </c>
      <c r="BK181" s="156">
        <f>IF(VACnom&gt;Vbat, ((C_MOSFET_S_VTH_H_BU+Table7[[#This Row],[I_L]]/C_MOSFET_S_gFS_H_BU))/1, ((C_MOSFET_S_VTH_L_BO+Table7[[#This Row],[I_L]]/C_MOSFET_S_gFS_L_BO))/1 )</f>
        <v>2.0145833333333334</v>
      </c>
      <c r="BL181" s="156">
        <f>IF(VACnom&gt;Vbat, (C_MOSFET_S_QGD_H_BU+C_MOSFET_S_QGS_H_BU)*10^-9/Table7[[#This Row],[Ion (A) C]], (C_MOSFET_S_QGD_L_BO+C_MOSFET_S_QGS_L_BO)*10^-9/Table7[[#This Row],[Ion (A) C]])/10^-9</f>
        <v>2.767545003913384</v>
      </c>
      <c r="BM181" s="156">
        <f>IF(VACnom&gt;Vbat, (C_MOSFET_S_QGD_H_BU+C_MOSFET_S_QGS_H_BU)*10^-9/Table7[[#This Row],[Ioff (A) C]], (C_MOSFET_S_QGD_L_BO+C_MOSFET_S_QGS_L_BO)*10^-9/Table7[[#This Row],[Ioff (A) C]])/10^-9</f>
        <v>3.2264736297828334</v>
      </c>
      <c r="BN181" s="156">
        <f xml:space="preserve"> 0.5*VACnom*Table7[[#This Row],[Ivalley (A) C]]*Table7[[#This Row],[ton (ns) C]]*10^-9*Fsw*10^3+0.5*VACnom*Table7[[#This Row],[Ipeak (A) C]]*Table7[[#This Row],[toff (ns) C]]*10^-9*Fsw*10^3/10^-3</f>
        <v>30.403992210818824</v>
      </c>
      <c r="BO181" s="156">
        <f t="shared" si="12"/>
        <v>129.6</v>
      </c>
      <c r="BP181" s="156">
        <f t="shared" ca="1" si="13"/>
        <v>291.59999999999997</v>
      </c>
      <c r="BQ181" s="156">
        <f t="shared" si="14"/>
        <v>237.6</v>
      </c>
      <c r="BR181" s="156">
        <f>IF(VACnom&gt;Vbat, C_MOSFET_S_VSD_L_BU*Table7[[#This Row],[Ivalley (A) C]]*Fsw*10^3*40*10^-9+C_MOSFET_S_VSD_L_BU*Table7[[#This Row],[Ipeak (A) C]]*Fsw*10^3*30*10^-9, C_MOSFET_S_VSD_H_BO*Table7[[#This Row],[Ivalley (A) C]]*Fsw*10^3*40*10^-9+C_MOSFET_S_VSD_H_BO*Table7[[#This Row],[Ipeak (A) C]]*Fsw*10^3*30*10^-9)/10^-3</f>
        <v>71.442857142857136</v>
      </c>
      <c r="BS181" s="156">
        <f t="shared" ca="1" si="15"/>
        <v>291.59999999999997</v>
      </c>
      <c r="BT181" s="156">
        <f>IF(VACnom&lt;Vbat, Table7[[#This Row],[Duty Cycle]]*Table7[[#This Row],[I_L RMS]]^2*C_MOSFET_S_RDSON_H_BU*10^-3, (1-Table7[[#This Row],[Duty Cycle]])*Table7[[#This Row],[I_L RMS]]^2*C_MOSFET_S_RDSON_H_BO*10^-3)/10^-3</f>
        <v>11.839015807215747</v>
      </c>
      <c r="BU181" s="156">
        <f ca="1">IF(VACnom&gt;Vbat, Table7[[#This Row],[PIV (mW) C]]+Table7[[#This Row],[PQoss (mW) C]]+Table7[[#This Row],[Pgate_top (mW) C]], Table7[[#This Row],[PRR (mW) C]]+Table7[[#This Row],[Pdead (mW) C]]+Table7[[#This Row],[Pgate_top (mW) C]])</f>
        <v>600.64285714285711</v>
      </c>
      <c r="BV181" s="156">
        <f ca="1">Table7[[#This Row],[Pcon_top (mW) C]]+Table7[[#This Row],[Psw_top (mW) C]]</f>
        <v>612.4818729500729</v>
      </c>
      <c r="BW181" s="156">
        <f ca="1">IF(VACnom&gt;Vbat, (1-Table7[[#This Row],[Duty Cycle]])*Table7[[#This Row],[I_L RMS]]^2*C_MOSFET_S_RDSON_L_BU*10^-3, Table7[[#This Row],[Duty Cycle]]*Table7[[#This Row],[I_L RMS]]^2*C_MOSFET_S_RDSON_L_BO*10^-3)/10^-3</f>
        <v>7.3734221255466483</v>
      </c>
      <c r="BX181" s="156">
        <f ca="1">IF(VACnom&gt;Vbat, Table7[[#This Row],[PRR (mW) C]]+Table7[[#This Row],[Pdead (mW) C]]+Table7[[#This Row],[Pgate_bottom (mW) C]], Table7[[#This Row],[PIV (mW) C]]+Table7[[#This Row],[PQoss (mW) C]]+Table7[[#This Row],[Pgate_bottom (mW) C]])</f>
        <v>451.60399221081877</v>
      </c>
      <c r="BY181" s="156">
        <f ca="1">Table7[[#This Row],[Pcon_bottom (mW) C]]+Table7[[#This Row],[Psw_bottom (mV) C]]</f>
        <v>458.97741433636543</v>
      </c>
      <c r="BZ181" s="156">
        <f ca="1">Table7[[#This Row],[Pbottom (mW) C]]+Table7[[#This Row],[Ptop (mW) C]]</f>
        <v>1071.4592872864382</v>
      </c>
      <c r="CA181" s="159"/>
      <c r="CB181" s="160">
        <f>(RAC_SNS*10^-3*(Table7[[#This Row],[IOUT (A)]]*Vbat/VACnom)^2/10^-3)</f>
        <v>23.92578125</v>
      </c>
      <c r="CC181" s="160">
        <f>(RBAT_SNS*10^-3*Table7[[#This Row],[IOUT (A)]]^2)/10^-3</f>
        <v>7.8125</v>
      </c>
      <c r="CD181" s="160">
        <f>IF(VACnom&gt;Vbat,(L_DRC*10^-3*(Table7[[#This Row],[IOUT (A)]])^2/10^-3),(L_DRC*10^-3*(Table7[[#This Row],[IOUT (A)]]*Vbat/VACnom)^2/10^-3))</f>
        <v>57.421875</v>
      </c>
      <c r="CE181" s="166"/>
      <c r="CF181" s="156">
        <f>(Table7[[#This Row],[R_AC (mW)]]+Table7[[#This Row],[R_SR (mW)]]+Table7[[#This Row],[Inductor Loss (mW)]])/10^3</f>
        <v>8.9160156249999997E-2</v>
      </c>
      <c r="CG181" s="156">
        <f ca="1">Table7[[#This Row],[Total TI (mW)]]/10^3</f>
        <v>2.3427201110402938</v>
      </c>
      <c r="CH181" s="156">
        <f ca="1">Table7[[#This Row],[Total Sense Loss]]+Table7[[#This Row],[Total MOSFET Loss]]</f>
        <v>2.4318802672902939</v>
      </c>
      <c r="CI181" s="161">
        <f ca="1">IF(Table7[[#This Row],[POUT (W)]]=0,0,(Table7[[#This Row],[POUT (W)]])/(Table7[[#This Row],[POUT (W)]]+Table7[[#This Row],[Total Power Loss (W)]]))*100</f>
        <v>86.049237202176371</v>
      </c>
      <c r="CJ181" s="167"/>
      <c r="CK181" s="156">
        <f>(Table7[[#This Row],[R_AC (mW)]]+Table7[[#This Row],[R_SR (mW)]]+Table7[[#This Row],[Inductor Loss (mW)]])/10^3</f>
        <v>8.9160156249999997E-2</v>
      </c>
      <c r="CL181" s="156">
        <f ca="1">Table7[[#This Row],[Total (mW) C]]/10^3</f>
        <v>1.0714592872864381</v>
      </c>
      <c r="CM181" s="156">
        <f ca="1">Table7[[#This Row],[Total Sense Loss C]]+Table7[[#This Row],[Total MOSFET Loss C]]</f>
        <v>1.1606194435364381</v>
      </c>
      <c r="CN181" s="161">
        <f ca="1">IF(Table7[[#This Row],[POUT (W)]]=0,0,(Table7[[#This Row],[POUT (W)]])/(Table7[[#This Row],[POUT (W)]]+Table7[[#This Row],[Total Power Loss (W) C]]))*100</f>
        <v>92.818224279140267</v>
      </c>
      <c r="CO181" s="167"/>
      <c r="CP181" s="161">
        <f>IF(MOSFET_S=Custom_MOSFET,Table7[[#This Row],[Total Sense Loss C]],Table7[[#This Row],[Total Sense Loss]])</f>
        <v>8.9160156249999997E-2</v>
      </c>
      <c r="CQ181" s="161">
        <f ca="1">IF(MOSFET_S=Custom_MOSFET,Table7[[#This Row],[Total MOSFET Loss C]],Table7[[#This Row],[Total MOSFET Loss]])</f>
        <v>2.3427201110402938</v>
      </c>
      <c r="CR181" s="161">
        <f ca="1">IF(MOSFET_S=Custom_MOSFET,Table7[[#This Row],[Efficiency C]],Table7[[#This Row],[Efficiency]])</f>
        <v>86.049237202176371</v>
      </c>
      <c r="CS181" s="167"/>
      <c r="CT181" s="161">
        <f>IF(MOSFET_S=Compare_MOSFET, Table7[[#This Row],[Total Sense Loss C]], -100)</f>
        <v>-100</v>
      </c>
      <c r="CU181" s="161">
        <f>IF(MOSFET_S=Compare_MOSFET, Table7[[#This Row],[Total MOSFET Loss C]], -100)</f>
        <v>-100</v>
      </c>
      <c r="CV181" s="161">
        <f>IF(MOSFET_S=Compare_MOSFET, Table7[[#This Row],[Efficiency C]], -100)</f>
        <v>-100</v>
      </c>
      <c r="CW181" s="167"/>
      <c r="CX181" s="161">
        <f ca="1">IF(Save_Sel=CLR_Save,  Table7[[#This Row],[Total Sense Loss P1]], Table7[[#This Row],[Total Sense Loss P1 Saved]])</f>
        <v>8.9160156249999997E-2</v>
      </c>
      <c r="CY181" s="161">
        <f ca="1">IF(Save_Sel=CLR_Save,  Table7[[#This Row],[Total MOSFET Loss P1]], Table7[[#This Row],[Total MOSFET Loss P1 Saved]] )</f>
        <v>1.633187189589155</v>
      </c>
      <c r="CZ181" s="161">
        <f ca="1">IF(Save_Sel=CLR_Save, Table7[[#This Row],[Efficiency P1]], Table7[[#This Row],[Efficiency P1 Saved]])</f>
        <v>89.700325497259172</v>
      </c>
      <c r="DA181" s="167"/>
      <c r="DB181" s="161">
        <f ca="1">IF(Save_Sel=CLR_Save,  Table7[[#This Row],[Total Sense Loss P2]], Table7[[#This Row],[Total Sense Loss P2 Saved]])</f>
        <v>8.9160156249999997E-2</v>
      </c>
      <c r="DC181" s="161">
        <f ca="1">IF(Save_Sel=CLR_Save,  Table7[[#This Row],[Total MOSFET Loss P2]], Table7[[#This Row],[Total MOSFET Loss P2 Saved]] )</f>
        <v>1.0775214263018478</v>
      </c>
      <c r="DD181" s="161">
        <f ca="1">IF(Save_Sel=CLR_Save, Table7[[#This Row],[Efficiency P2]], Table7[[#This Row],[Efficiency P2 Saved]])</f>
        <v>92.783419549680445</v>
      </c>
      <c r="DE181" s="167"/>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c r="FH181" s="21"/>
      <c r="FI181" s="21"/>
    </row>
    <row r="182" spans="1:165" x14ac:dyDescent="0.25">
      <c r="A182" s="50">
        <v>9</v>
      </c>
      <c r="B182" s="51"/>
      <c r="C182" s="51"/>
      <c r="D182" s="34" t="s">
        <v>61</v>
      </c>
      <c r="E182" s="122">
        <f t="shared" ca="1" si="22"/>
        <v>73</v>
      </c>
      <c r="F182" s="122">
        <f t="shared" ca="1" si="23"/>
        <v>73</v>
      </c>
      <c r="G182" s="44" t="s">
        <v>23</v>
      </c>
      <c r="H182" s="31"/>
      <c r="I182" s="50">
        <v>9</v>
      </c>
      <c r="J182" s="31"/>
      <c r="K182" s="51"/>
      <c r="L182" s="51"/>
      <c r="M182" s="34" t="s">
        <v>61</v>
      </c>
      <c r="N182" s="122">
        <f t="shared" si="24"/>
        <v>36</v>
      </c>
      <c r="O182" s="122">
        <f t="shared" si="25"/>
        <v>36</v>
      </c>
      <c r="P182" s="44" t="s">
        <v>23</v>
      </c>
      <c r="Q182" s="31"/>
      <c r="R182" s="31"/>
      <c r="S182" s="32"/>
      <c r="T182" s="20"/>
      <c r="U182" s="21"/>
      <c r="V182" s="21"/>
      <c r="W182" s="21"/>
      <c r="X182" s="21"/>
      <c r="Y182" s="21"/>
      <c r="Z182" s="21"/>
      <c r="AA182" s="21"/>
      <c r="AB182" s="21"/>
      <c r="AC182" s="21"/>
      <c r="AD182" s="21"/>
      <c r="AE182" s="21"/>
      <c r="AF182" s="154">
        <f t="shared" si="17"/>
        <v>26</v>
      </c>
      <c r="AG182" s="154">
        <f t="shared" si="16"/>
        <v>1.3</v>
      </c>
      <c r="AH182" s="155">
        <f t="shared" si="3"/>
        <v>15.600000000000001</v>
      </c>
      <c r="AI182" s="156">
        <f t="shared" si="4"/>
        <v>0.42857142857142855</v>
      </c>
      <c r="AJ182" s="156">
        <f t="shared" si="5"/>
        <v>2.2750000000000004</v>
      </c>
      <c r="AK182" s="156">
        <f t="shared" si="6"/>
        <v>0.85714285714285721</v>
      </c>
      <c r="AL182" s="156">
        <f t="shared" si="7"/>
        <v>2.2884163715975991</v>
      </c>
      <c r="AM182" s="157"/>
      <c r="AN182" s="156">
        <f>MAX(0,Table7[[#This Row],[I_L]]-0.5*Table7[[#This Row],[I_L pkpk]])</f>
        <v>1.8464285714285718</v>
      </c>
      <c r="AO182" s="156">
        <f>Table7[[#This Row],[I_L]]+0.5*Table7[[#This Row],[I_L pkpk]]</f>
        <v>2.7035714285714292</v>
      </c>
      <c r="AP182" s="156">
        <f ca="1">IF(VACnom&gt;Vbat, (VGS_S-(TI_MOSFET_S_VTH_H_BU+Table7[[#This Row],[I_L]]/TI_MOSFET_S_gFS_H_BU))/3.4, (VGS_S-(TI_MOSFET_S_VTH_L_BO+Table7[[#This Row],[I_L]]/TI_MOSFET_S_gFS_L_BO))/3.4 )</f>
        <v>2.4213235294117648</v>
      </c>
      <c r="AQ182" s="156">
        <f ca="1">IF(VACnom&gt;Vbat, ((TI_MOSFET_S_VTH_H_BU+Table7[[#This Row],[I_L]]/TI_MOSFET_S_gFS_H_BU))/1, ((TI_MOSFET_S_VTH_L_BO+Table7[[#This Row],[I_L]]/TI_MOSFET_S_gFS_L_BO))/1 )</f>
        <v>1.7675000000000001</v>
      </c>
      <c r="AR182" s="156">
        <f ca="1">IF(VACnom&gt;Vbat, (TI_MOSFET_S_QGD_H_BU+TI_MOSFET_S_QGS_H_BU)*10^-9/Table7[[#This Row],[Ion (A)]], (TI_MOSFET_S_QGD_L_BO+TI_MOSFET_S_QGS_L_BO)*10^-9/Table7[[#This Row],[Ion (A)]])/10^-9</f>
        <v>11.894321287579716</v>
      </c>
      <c r="AS182" s="156">
        <f ca="1">IF(VACnom&gt;Vbat, (TI_MOSFET_S_QGD_H_BU+TI_MOSFET_S_QGS_H_BU)*10^-9/Table7[[#This Row],[Ioff (A)]], (TI_MOSFET_S_QGD_L_BO+TI_MOSFET_S_QGS_L_BO)*10^-9/Table7[[#This Row],[Ioff (A)]])/10^-9</f>
        <v>16.294200848656295</v>
      </c>
      <c r="AT182" s="156">
        <f ca="1" xml:space="preserve"> 0.5*VACnom*Table7[[#This Row],[Ivalley (A)]]*Table7[[#This Row],[ton (ns)]]*10^-9*Fsw*10^3+0.5*VACnom*Table7[[#This Row],[Ipeak (A)]]*Table7[[#This Row],[toff (ns)]]*10^-9*Fsw*10^3/10^-3</f>
        <v>158.66819236978068</v>
      </c>
      <c r="AU182" s="156">
        <f t="shared" ca="1" si="8"/>
        <v>262.8</v>
      </c>
      <c r="AV182" s="156">
        <f t="shared" ca="1" si="9"/>
        <v>648</v>
      </c>
      <c r="AW182" s="156">
        <f t="shared" ca="1" si="10"/>
        <v>554.4</v>
      </c>
      <c r="AX182" s="156">
        <f ca="1">IF(VACnom&gt;Vbat, TI_MOSFET_S_VSD_L_BU*Table7[[#This Row],[Ivalley (A)]]*Fsw*10^3*40*10^-9+TI_MOSFET_S_VSD_L_BU*Table7[[#This Row],[Ipeak (A)]]*Fsw*10^3*30*10^-9, TI_MOSFET_S_VSD_H_BO*Table7[[#This Row],[Ivalley (A)]]*Fsw*10^3*40*10^-9+TI_MOSFET_S_VSD_H_BO*Table7[[#This Row],[Ipeak (A)]]*Fsw*10^3*30*10^-9)/10^-3</f>
        <v>66.944571428571436</v>
      </c>
      <c r="AY182" s="156">
        <f t="shared" ca="1" si="11"/>
        <v>648</v>
      </c>
      <c r="AZ182" s="156">
        <f ca="1">IF(VACnom&lt;Vbat, Table7[[#This Row],[Duty Cycle]]*Table7[[#This Row],[I_L RMS]]^2*TI_MOSFET_S_RDSON_H_BU*10^-3, (1-Table7[[#This Row],[Duty Cycle]])*Table7[[#This Row],[I_L RMS]]^2*TI_MOSFET_S_RDSON_H_BO*10^-3)/10^-3</f>
        <v>6.2842193877551047</v>
      </c>
      <c r="BA182" s="156">
        <f ca="1">IF(VACnom&gt;Vbat, Table7[[#This Row],[PIV (mW)]]+Table7[[#This Row],[Pqoss (mW)]]+Table7[[#This Row],[Pgate_top (mW)]], Table7[[#This Row],[PRR (mW)]]+Table7[[#This Row],[Pdead (mW)]]+Table7[[#This Row],[Pgate_top (mW)]])</f>
        <v>1269.3445714285713</v>
      </c>
      <c r="BB182" s="156">
        <f ca="1">Table7[[#This Row],[Pcon_top (mW)]]+Table7[[#This Row],[Psw_top (mW)]]</f>
        <v>1275.6287908163263</v>
      </c>
      <c r="BC182" s="156">
        <f ca="1">IF(VACnom&gt;Vbat, (1-Table7[[#This Row],[Duty Cycle]])*Table7[[#This Row],[I_L RMS]]^2*TI_MOSFET_S_RDSON_L_BU*10^-3, Table7[[#This Row],[Duty Cycle]]*Table7[[#This Row],[I_L RMS]]^2*TI_MOSFET_S_RDSON_L_BO*10^-3)/10^-3</f>
        <v>6.2842193877551047</v>
      </c>
      <c r="BD182" s="156">
        <f ca="1">IF(VACnom&gt;Vbat, Table7[[#This Row],[PRR (mW)]]+Table7[[#This Row],[Pdead (mW)]]+Table7[[#This Row],[Pgate_bottom (mW)]], Table7[[#This Row],[PIV (mW)]]+Table7[[#This Row],[Pqoss (mW)]]+Table7[[#This Row],[Pgate_bottom (mW)]])</f>
        <v>1069.4681923697808</v>
      </c>
      <c r="BE182" s="158">
        <f ca="1">Table7[[#This Row],[Pcon_bottom (mW)]]+Table7[[#This Row],[Psw_bottom (mW)]]</f>
        <v>1075.7524117575358</v>
      </c>
      <c r="BF182" s="164">
        <f ca="1">Table7[[#This Row],[Pbottom (mW)]]+Table7[[#This Row],[Ptop (mW)]]</f>
        <v>2351.3812025738621</v>
      </c>
      <c r="BG182" s="153"/>
      <c r="BH182" s="156">
        <f>MAX(0,Table7[[#This Row],[I_L]]-0.5*Table7[[#This Row],[I_L pkpk]])</f>
        <v>1.8464285714285718</v>
      </c>
      <c r="BI182" s="156">
        <f>Table7[[#This Row],[I_L]]+0.5*Table7[[#This Row],[I_L pkpk]]</f>
        <v>2.7035714285714292</v>
      </c>
      <c r="BJ182" s="156">
        <f>IF(VACnom&gt;Vbat, (VGS_S-(C_MOSFET_S_VTH_H_BU+Table7[[#This Row],[I_L]]/C_MOSFET_S_gFS_H_BU))/3.4, (VGS_S-(C_MOSFET_S_VTH_L_BO+Table7[[#This Row],[I_L]]/C_MOSFET_S_gFS_L_BO))/3.4 )</f>
        <v>2.3484803921568629</v>
      </c>
      <c r="BK182" s="156">
        <f>IF(VACnom&gt;Vbat, ((C_MOSFET_S_VTH_H_BU+Table7[[#This Row],[I_L]]/C_MOSFET_S_gFS_H_BU))/1, ((C_MOSFET_S_VTH_L_BO+Table7[[#This Row],[I_L]]/C_MOSFET_S_gFS_L_BO))/1 )</f>
        <v>2.0151666666666666</v>
      </c>
      <c r="BL182" s="156">
        <f>IF(VACnom&gt;Vbat, (C_MOSFET_S_QGD_H_BU+C_MOSFET_S_QGS_H_BU)*10^-9/Table7[[#This Row],[Ion (A) C]], (C_MOSFET_S_QGD_L_BO+C_MOSFET_S_QGS_L_BO)*10^-9/Table7[[#This Row],[Ion (A) C]])/10^-9</f>
        <v>2.7677471873760671</v>
      </c>
      <c r="BM182" s="156">
        <f>IF(VACnom&gt;Vbat, (C_MOSFET_S_QGD_H_BU+C_MOSFET_S_QGS_H_BU)*10^-9/Table7[[#This Row],[Ioff (A) C]], (C_MOSFET_S_QGD_L_BO+C_MOSFET_S_QGS_L_BO)*10^-9/Table7[[#This Row],[Ioff (A) C]])/10^-9</f>
        <v>3.2255396575965598</v>
      </c>
      <c r="BN182" s="156">
        <f xml:space="preserve"> 0.5*VACnom*Table7[[#This Row],[Ivalley (A) C]]*Table7[[#This Row],[ton (ns) C]]*10^-9*Fsw*10^3+0.5*VACnom*Table7[[#This Row],[Ipeak (A) C]]*Table7[[#This Row],[toff (ns) C]]*10^-9*Fsw*10^3/10^-3</f>
        <v>31.412114306954606</v>
      </c>
      <c r="BO182" s="156">
        <f t="shared" si="12"/>
        <v>129.6</v>
      </c>
      <c r="BP182" s="156">
        <f t="shared" ca="1" si="13"/>
        <v>291.59999999999997</v>
      </c>
      <c r="BQ182" s="156">
        <f t="shared" si="14"/>
        <v>237.6</v>
      </c>
      <c r="BR182" s="156">
        <f>IF(VACnom&gt;Vbat, C_MOSFET_S_VSD_L_BU*Table7[[#This Row],[Ivalley (A) C]]*Fsw*10^3*40*10^-9+C_MOSFET_S_VSD_L_BU*Table7[[#This Row],[Ipeak (A) C]]*Fsw*10^3*30*10^-9, C_MOSFET_S_VSD_H_BO*Table7[[#This Row],[Ivalley (A) C]]*Fsw*10^3*40*10^-9+C_MOSFET_S_VSD_H_BO*Table7[[#This Row],[Ipeak (A) C]]*Fsw*10^3*30*10^-9)/10^-3</f>
        <v>74.382857142857162</v>
      </c>
      <c r="BS182" s="156">
        <f t="shared" ca="1" si="15"/>
        <v>291.59999999999997</v>
      </c>
      <c r="BT182" s="156">
        <f>IF(VACnom&lt;Vbat, Table7[[#This Row],[Duty Cycle]]*Table7[[#This Row],[I_L RMS]]^2*C_MOSFET_S_RDSON_H_BU*10^-3, (1-Table7[[#This Row],[Duty Cycle]])*Table7[[#This Row],[I_L RMS]]^2*C_MOSFET_S_RDSON_H_BO*10^-3)/10^-3</f>
        <v>12.792875182215749</v>
      </c>
      <c r="BU182" s="156">
        <f ca="1">IF(VACnom&gt;Vbat, Table7[[#This Row],[PIV (mW) C]]+Table7[[#This Row],[PQoss (mW) C]]+Table7[[#This Row],[Pgate_top (mW) C]], Table7[[#This Row],[PRR (mW) C]]+Table7[[#This Row],[Pdead (mW) C]]+Table7[[#This Row],[Pgate_top (mW) C]])</f>
        <v>603.58285714285716</v>
      </c>
      <c r="BV182" s="156">
        <f ca="1">Table7[[#This Row],[Pcon_top (mW) C]]+Table7[[#This Row],[Psw_top (mW) C]]</f>
        <v>616.37573232507293</v>
      </c>
      <c r="BW182" s="156">
        <f ca="1">IF(VACnom&gt;Vbat, (1-Table7[[#This Row],[Duty Cycle]])*Table7[[#This Row],[I_L RMS]]^2*C_MOSFET_S_RDSON_L_BU*10^-3, Table7[[#This Row],[Duty Cycle]]*Table7[[#This Row],[I_L RMS]]^2*C_MOSFET_S_RDSON_L_BO*10^-3)/10^-3</f>
        <v>7.9674924380466505</v>
      </c>
      <c r="BX182" s="156">
        <f ca="1">IF(VACnom&gt;Vbat, Table7[[#This Row],[PRR (mW) C]]+Table7[[#This Row],[Pdead (mW) C]]+Table7[[#This Row],[Pgate_bottom (mW) C]], Table7[[#This Row],[PIV (mW) C]]+Table7[[#This Row],[PQoss (mW) C]]+Table7[[#This Row],[Pgate_bottom (mW) C]])</f>
        <v>452.6121143069546</v>
      </c>
      <c r="BY182" s="156">
        <f ca="1">Table7[[#This Row],[Pcon_bottom (mW) C]]+Table7[[#This Row],[Psw_bottom (mV) C]]</f>
        <v>460.57960674500123</v>
      </c>
      <c r="BZ182" s="156">
        <f ca="1">Table7[[#This Row],[Pbottom (mW) C]]+Table7[[#This Row],[Ptop (mW) C]]</f>
        <v>1076.9553390700742</v>
      </c>
      <c r="CA182" s="159"/>
      <c r="CB182" s="160">
        <f>(RAC_SNS*10^-3*(Table7[[#This Row],[IOUT (A)]]*Vbat/VACnom)^2/10^-3)</f>
        <v>25.878124999999997</v>
      </c>
      <c r="CC182" s="160">
        <f>(RBAT_SNS*10^-3*Table7[[#This Row],[IOUT (A)]]^2)/10^-3</f>
        <v>8.4500000000000011</v>
      </c>
      <c r="CD182" s="160">
        <f>IF(VACnom&gt;Vbat,(L_DRC*10^-3*(Table7[[#This Row],[IOUT (A)]])^2/10^-3),(L_DRC*10^-3*(Table7[[#This Row],[IOUT (A)]]*Vbat/VACnom)^2/10^-3))</f>
        <v>62.107499999999987</v>
      </c>
      <c r="CE182" s="166"/>
      <c r="CF182" s="156">
        <f>(Table7[[#This Row],[R_AC (mW)]]+Table7[[#This Row],[R_SR (mW)]]+Table7[[#This Row],[Inductor Loss (mW)]])/10^3</f>
        <v>9.6435624999999983E-2</v>
      </c>
      <c r="CG182" s="156">
        <f ca="1">Table7[[#This Row],[Total TI (mW)]]/10^3</f>
        <v>2.3513812025738621</v>
      </c>
      <c r="CH182" s="156">
        <f ca="1">Table7[[#This Row],[Total Sense Loss]]+Table7[[#This Row],[Total MOSFET Loss]]</f>
        <v>2.4478168275738619</v>
      </c>
      <c r="CI182" s="161">
        <f ca="1">IF(Table7[[#This Row],[POUT (W)]]=0,0,(Table7[[#This Row],[POUT (W)]])/(Table7[[#This Row],[POUT (W)]]+Table7[[#This Row],[Total Power Loss (W)]]))*100</f>
        <v>86.437047478041592</v>
      </c>
      <c r="CJ182" s="167"/>
      <c r="CK182" s="156">
        <f>(Table7[[#This Row],[R_AC (mW)]]+Table7[[#This Row],[R_SR (mW)]]+Table7[[#This Row],[Inductor Loss (mW)]])/10^3</f>
        <v>9.6435624999999983E-2</v>
      </c>
      <c r="CL182" s="156">
        <f ca="1">Table7[[#This Row],[Total (mW) C]]/10^3</f>
        <v>1.0769553390700741</v>
      </c>
      <c r="CM182" s="156">
        <f ca="1">Table7[[#This Row],[Total Sense Loss C]]+Table7[[#This Row],[Total MOSFET Loss C]]</f>
        <v>1.1733909640700741</v>
      </c>
      <c r="CN182" s="161">
        <f ca="1">IF(Table7[[#This Row],[POUT (W)]]=0,0,(Table7[[#This Row],[POUT (W)]])/(Table7[[#This Row],[POUT (W)]]+Table7[[#This Row],[Total Power Loss (W) C]]))*100</f>
        <v>93.004449925578143</v>
      </c>
      <c r="CO182" s="167"/>
      <c r="CP182" s="161">
        <f>IF(MOSFET_S=Custom_MOSFET,Table7[[#This Row],[Total Sense Loss C]],Table7[[#This Row],[Total Sense Loss]])</f>
        <v>9.6435624999999983E-2</v>
      </c>
      <c r="CQ182" s="161">
        <f ca="1">IF(MOSFET_S=Custom_MOSFET,Table7[[#This Row],[Total MOSFET Loss C]],Table7[[#This Row],[Total MOSFET Loss]])</f>
        <v>2.3513812025738621</v>
      </c>
      <c r="CR182" s="161">
        <f ca="1">IF(MOSFET_S=Custom_MOSFET,Table7[[#This Row],[Efficiency C]],Table7[[#This Row],[Efficiency]])</f>
        <v>86.437047478041592</v>
      </c>
      <c r="CS182" s="167"/>
      <c r="CT182" s="161">
        <f>IF(MOSFET_S=Compare_MOSFET, Table7[[#This Row],[Total Sense Loss C]], -100)</f>
        <v>-100</v>
      </c>
      <c r="CU182" s="161">
        <f>IF(MOSFET_S=Compare_MOSFET, Table7[[#This Row],[Total MOSFET Loss C]], -100)</f>
        <v>-100</v>
      </c>
      <c r="CV182" s="161">
        <f>IF(MOSFET_S=Compare_MOSFET, Table7[[#This Row],[Efficiency C]], -100)</f>
        <v>-100</v>
      </c>
      <c r="CW182" s="167"/>
      <c r="CX182" s="161">
        <f ca="1">IF(Save_Sel=CLR_Save,  Table7[[#This Row],[Total Sense Loss P1]], Table7[[#This Row],[Total Sense Loss P1 Saved]])</f>
        <v>9.6435624999999983E-2</v>
      </c>
      <c r="CY182" s="161">
        <f ca="1">IF(Save_Sel=CLR_Save,  Table7[[#This Row],[Total MOSFET Loss P1]], Table7[[#This Row],[Total MOSFET Loss P1 Saved]] )</f>
        <v>1.6421068878840812</v>
      </c>
      <c r="CZ182" s="161">
        <f ca="1">IF(Save_Sel=CLR_Save, Table7[[#This Row],[Efficiency P1]], Table7[[#This Row],[Efficiency P1 Saved]])</f>
        <v>89.972960463128956</v>
      </c>
      <c r="DA182" s="167"/>
      <c r="DB182" s="161">
        <f ca="1">IF(Save_Sel=CLR_Save,  Table7[[#This Row],[Total Sense Loss P2]], Table7[[#This Row],[Total Sense Loss P2 Saved]])</f>
        <v>9.6435624999999983E-2</v>
      </c>
      <c r="DC182" s="161">
        <f ca="1">IF(Save_Sel=CLR_Save,  Table7[[#This Row],[Total MOSFET Loss P2]], Table7[[#This Row],[Total MOSFET Loss P2 Saved]] )</f>
        <v>1.0835047166541416</v>
      </c>
      <c r="DD182" s="161">
        <f ca="1">IF(Save_Sel=CLR_Save, Table7[[#This Row],[Efficiency P2]], Table7[[#This Row],[Efficiency P2 Saved]])</f>
        <v>92.968149363886084</v>
      </c>
      <c r="DE182" s="167"/>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c r="FH182" s="21"/>
      <c r="FI182" s="21"/>
    </row>
    <row r="183" spans="1:165" x14ac:dyDescent="0.25">
      <c r="A183" s="50">
        <v>10</v>
      </c>
      <c r="B183" s="51"/>
      <c r="C183" s="51"/>
      <c r="D183" s="34" t="s">
        <v>17</v>
      </c>
      <c r="E183" s="122">
        <f t="shared" ca="1" si="22"/>
        <v>0.95</v>
      </c>
      <c r="F183" s="122">
        <f t="shared" ca="1" si="23"/>
        <v>0.95</v>
      </c>
      <c r="G183" s="127" t="s">
        <v>24</v>
      </c>
      <c r="H183" s="31"/>
      <c r="I183" s="50">
        <v>10</v>
      </c>
      <c r="J183" s="31"/>
      <c r="K183" s="51"/>
      <c r="L183" s="51"/>
      <c r="M183" s="34" t="s">
        <v>17</v>
      </c>
      <c r="N183" s="122">
        <f t="shared" si="24"/>
        <v>1.5</v>
      </c>
      <c r="O183" s="122">
        <f t="shared" si="25"/>
        <v>1.5</v>
      </c>
      <c r="P183" s="127" t="s">
        <v>24</v>
      </c>
      <c r="Q183" s="31"/>
      <c r="R183" s="31"/>
      <c r="S183" s="32"/>
      <c r="T183" s="20"/>
      <c r="U183" s="21"/>
      <c r="V183" s="21"/>
      <c r="W183" s="21"/>
      <c r="X183" s="21"/>
      <c r="Y183" s="21"/>
      <c r="Z183" s="21"/>
      <c r="AA183" s="21"/>
      <c r="AB183" s="21"/>
      <c r="AC183" s="21"/>
      <c r="AD183" s="21"/>
      <c r="AE183" s="21"/>
      <c r="AF183" s="154">
        <f t="shared" si="17"/>
        <v>27</v>
      </c>
      <c r="AG183" s="154">
        <f t="shared" si="16"/>
        <v>1.35</v>
      </c>
      <c r="AH183" s="155">
        <f t="shared" si="3"/>
        <v>16.200000000000003</v>
      </c>
      <c r="AI183" s="156">
        <f t="shared" si="4"/>
        <v>0.42857142857142855</v>
      </c>
      <c r="AJ183" s="156">
        <f t="shared" si="5"/>
        <v>2.3625000000000003</v>
      </c>
      <c r="AK183" s="156">
        <f t="shared" si="6"/>
        <v>0.85714285714285721</v>
      </c>
      <c r="AL183" s="156">
        <f t="shared" si="7"/>
        <v>2.37542222347858</v>
      </c>
      <c r="AM183" s="157"/>
      <c r="AN183" s="156">
        <f>MAX(0,Table7[[#This Row],[I_L]]-0.5*Table7[[#This Row],[I_L pkpk]])</f>
        <v>1.9339285714285717</v>
      </c>
      <c r="AO183" s="156">
        <f>Table7[[#This Row],[I_L]]+0.5*Table7[[#This Row],[I_L pkpk]]</f>
        <v>2.7910714285714286</v>
      </c>
      <c r="AP183" s="156">
        <f ca="1">IF(VACnom&gt;Vbat, (VGS_S-(TI_MOSFET_S_VTH_H_BU+Table7[[#This Row],[I_L]]/TI_MOSFET_S_gFS_H_BU))/3.4, (VGS_S-(TI_MOSFET_S_VTH_L_BO+Table7[[#This Row],[I_L]]/TI_MOSFET_S_gFS_L_BO))/3.4 )</f>
        <v>2.4211255656108599</v>
      </c>
      <c r="AQ183" s="156">
        <f ca="1">IF(VACnom&gt;Vbat, ((TI_MOSFET_S_VTH_H_BU+Table7[[#This Row],[I_L]]/TI_MOSFET_S_gFS_H_BU))/1, ((TI_MOSFET_S_VTH_L_BO+Table7[[#This Row],[I_L]]/TI_MOSFET_S_gFS_L_BO))/1 )</f>
        <v>1.768173076923077</v>
      </c>
      <c r="AR183" s="156">
        <f ca="1">IF(VACnom&gt;Vbat, (TI_MOSFET_S_QGD_H_BU+TI_MOSFET_S_QGS_H_BU)*10^-9/Table7[[#This Row],[Ion (A)]], (TI_MOSFET_S_QGD_L_BO+TI_MOSFET_S_QGS_L_BO)*10^-9/Table7[[#This Row],[Ion (A)]])/10^-9</f>
        <v>11.895293829064022</v>
      </c>
      <c r="AS183" s="156">
        <f ca="1">IF(VACnom&gt;Vbat, (TI_MOSFET_S_QGD_H_BU+TI_MOSFET_S_QGS_H_BU)*10^-9/Table7[[#This Row],[Ioff (A)]], (TI_MOSFET_S_QGD_L_BO+TI_MOSFET_S_QGS_L_BO)*10^-9/Table7[[#This Row],[Ioff (A)]])/10^-9</f>
        <v>16.287998259829244</v>
      </c>
      <c r="AT183" s="156">
        <f ca="1" xml:space="preserve"> 0.5*VACnom*Table7[[#This Row],[Ivalley (A)]]*Table7[[#This Row],[ton (ns)]]*10^-9*Fsw*10^3+0.5*VACnom*Table7[[#This Row],[Ipeak (A)]]*Table7[[#This Row],[toff (ns)]]*10^-9*Fsw*10^3/10^-3</f>
        <v>163.74229639283564</v>
      </c>
      <c r="AU183" s="156">
        <f t="shared" ca="1" si="8"/>
        <v>262.8</v>
      </c>
      <c r="AV183" s="156">
        <f t="shared" ca="1" si="9"/>
        <v>648</v>
      </c>
      <c r="AW183" s="156">
        <f t="shared" ca="1" si="10"/>
        <v>554.4</v>
      </c>
      <c r="AX183" s="156">
        <f ca="1">IF(VACnom&gt;Vbat, TI_MOSFET_S_VSD_L_BU*Table7[[#This Row],[Ivalley (A)]]*Fsw*10^3*40*10^-9+TI_MOSFET_S_VSD_L_BU*Table7[[#This Row],[Ipeak (A)]]*Fsw*10^3*30*10^-9, TI_MOSFET_S_VSD_H_BO*Table7[[#This Row],[Ivalley (A)]]*Fsw*10^3*40*10^-9+TI_MOSFET_S_VSD_H_BO*Table7[[#This Row],[Ipeak (A)]]*Fsw*10^3*30*10^-9)/10^-3</f>
        <v>69.590571428571437</v>
      </c>
      <c r="AY183" s="156">
        <f t="shared" ca="1" si="11"/>
        <v>648</v>
      </c>
      <c r="AZ183" s="156">
        <f ca="1">IF(VACnom&lt;Vbat, Table7[[#This Row],[Duty Cycle]]*Table7[[#This Row],[I_L RMS]]^2*TI_MOSFET_S_RDSON_H_BU*10^-3, (1-Table7[[#This Row],[Duty Cycle]])*Table7[[#This Row],[I_L RMS]]^2*TI_MOSFET_S_RDSON_H_BO*10^-3)/10^-3</f>
        <v>6.7711568877551045</v>
      </c>
      <c r="BA183" s="156">
        <f ca="1">IF(VACnom&gt;Vbat, Table7[[#This Row],[PIV (mW)]]+Table7[[#This Row],[Pqoss (mW)]]+Table7[[#This Row],[Pgate_top (mW)]], Table7[[#This Row],[PRR (mW)]]+Table7[[#This Row],[Pdead (mW)]]+Table7[[#This Row],[Pgate_top (mW)]])</f>
        <v>1271.9905714285715</v>
      </c>
      <c r="BB183" s="156">
        <f ca="1">Table7[[#This Row],[Pcon_top (mW)]]+Table7[[#This Row],[Psw_top (mW)]]</f>
        <v>1278.7617283163265</v>
      </c>
      <c r="BC183" s="156">
        <f ca="1">IF(VACnom&gt;Vbat, (1-Table7[[#This Row],[Duty Cycle]])*Table7[[#This Row],[I_L RMS]]^2*TI_MOSFET_S_RDSON_L_BU*10^-3, Table7[[#This Row],[Duty Cycle]]*Table7[[#This Row],[I_L RMS]]^2*TI_MOSFET_S_RDSON_L_BO*10^-3)/10^-3</f>
        <v>6.7711568877551045</v>
      </c>
      <c r="BD183" s="156">
        <f ca="1">IF(VACnom&gt;Vbat, Table7[[#This Row],[PRR (mW)]]+Table7[[#This Row],[Pdead (mW)]]+Table7[[#This Row],[Pgate_bottom (mW)]], Table7[[#This Row],[PIV (mW)]]+Table7[[#This Row],[Pqoss (mW)]]+Table7[[#This Row],[Pgate_bottom (mW)]])</f>
        <v>1074.5422963928356</v>
      </c>
      <c r="BE183" s="158">
        <f ca="1">Table7[[#This Row],[Pcon_bottom (mW)]]+Table7[[#This Row],[Psw_bottom (mW)]]</f>
        <v>1081.3134532805907</v>
      </c>
      <c r="BF183" s="164">
        <f ca="1">Table7[[#This Row],[Pbottom (mW)]]+Table7[[#This Row],[Ptop (mW)]]</f>
        <v>2360.075181596917</v>
      </c>
      <c r="BG183" s="153"/>
      <c r="BH183" s="156">
        <f>MAX(0,Table7[[#This Row],[I_L]]-0.5*Table7[[#This Row],[I_L pkpk]])</f>
        <v>1.9339285714285717</v>
      </c>
      <c r="BI183" s="156">
        <f>Table7[[#This Row],[I_L]]+0.5*Table7[[#This Row],[I_L pkpk]]</f>
        <v>2.7910714285714286</v>
      </c>
      <c r="BJ183" s="156">
        <f>IF(VACnom&gt;Vbat, (VGS_S-(C_MOSFET_S_VTH_H_BU+Table7[[#This Row],[I_L]]/C_MOSFET_S_gFS_H_BU))/3.4, (VGS_S-(C_MOSFET_S_VTH_L_BO+Table7[[#This Row],[I_L]]/C_MOSFET_S_gFS_L_BO))/3.4 )</f>
        <v>2.3483088235294116</v>
      </c>
      <c r="BK183" s="156">
        <f>IF(VACnom&gt;Vbat, ((C_MOSFET_S_VTH_H_BU+Table7[[#This Row],[I_L]]/C_MOSFET_S_gFS_H_BU))/1, ((C_MOSFET_S_VTH_L_BO+Table7[[#This Row],[I_L]]/C_MOSFET_S_gFS_L_BO))/1 )</f>
        <v>2.0157500000000002</v>
      </c>
      <c r="BL183" s="156">
        <f>IF(VACnom&gt;Vbat, (C_MOSFET_S_QGD_H_BU+C_MOSFET_S_QGS_H_BU)*10^-9/Table7[[#This Row],[Ion (A) C]], (C_MOSFET_S_QGD_L_BO+C_MOSFET_S_QGS_L_BO)*10^-9/Table7[[#This Row],[Ion (A) C]])/10^-9</f>
        <v>2.767949400382002</v>
      </c>
      <c r="BM183" s="156">
        <f>IF(VACnom&gt;Vbat, (C_MOSFET_S_QGD_H_BU+C_MOSFET_S_QGS_H_BU)*10^-9/Table7[[#This Row],[Ioff (A) C]], (C_MOSFET_S_QGD_L_BO+C_MOSFET_S_QGS_L_BO)*10^-9/Table7[[#This Row],[Ioff (A) C]])/10^-9</f>
        <v>3.224606225970482</v>
      </c>
      <c r="BN183" s="156">
        <f xml:space="preserve"> 0.5*VACnom*Table7[[#This Row],[Ivalley (A) C]]*Table7[[#This Row],[ton (ns) C]]*10^-9*Fsw*10^3+0.5*VACnom*Table7[[#This Row],[Ipeak (A) C]]*Table7[[#This Row],[toff (ns) C]]*10^-9*Fsw*10^3/10^-3</f>
        <v>32.419653559665925</v>
      </c>
      <c r="BO183" s="156">
        <f t="shared" si="12"/>
        <v>129.6</v>
      </c>
      <c r="BP183" s="156">
        <f t="shared" ca="1" si="13"/>
        <v>291.59999999999997</v>
      </c>
      <c r="BQ183" s="156">
        <f t="shared" si="14"/>
        <v>237.6</v>
      </c>
      <c r="BR183" s="156">
        <f>IF(VACnom&gt;Vbat, C_MOSFET_S_VSD_L_BU*Table7[[#This Row],[Ivalley (A) C]]*Fsw*10^3*40*10^-9+C_MOSFET_S_VSD_L_BU*Table7[[#This Row],[Ipeak (A) C]]*Fsw*10^3*30*10^-9, C_MOSFET_S_VSD_H_BO*Table7[[#This Row],[Ivalley (A) C]]*Fsw*10^3*40*10^-9+C_MOSFET_S_VSD_H_BO*Table7[[#This Row],[Ipeak (A) C]]*Fsw*10^3*30*10^-9)/10^-3</f>
        <v>77.322857142857146</v>
      </c>
      <c r="BS183" s="156">
        <f t="shared" ca="1" si="15"/>
        <v>291.59999999999997</v>
      </c>
      <c r="BT183" s="156">
        <f>IF(VACnom&lt;Vbat, Table7[[#This Row],[Duty Cycle]]*Table7[[#This Row],[I_L RMS]]^2*C_MOSFET_S_RDSON_H_BU*10^-3, (1-Table7[[#This Row],[Duty Cycle]])*Table7[[#This Row],[I_L RMS]]^2*C_MOSFET_S_RDSON_H_BO*10^-3)/10^-3</f>
        <v>13.784140807215749</v>
      </c>
      <c r="BU183" s="156">
        <f ca="1">IF(VACnom&gt;Vbat, Table7[[#This Row],[PIV (mW) C]]+Table7[[#This Row],[PQoss (mW) C]]+Table7[[#This Row],[Pgate_top (mW) C]], Table7[[#This Row],[PRR (mW) C]]+Table7[[#This Row],[Pdead (mW) C]]+Table7[[#This Row],[Pgate_top (mW) C]])</f>
        <v>606.52285714285711</v>
      </c>
      <c r="BV183" s="156">
        <f ca="1">Table7[[#This Row],[Pcon_top (mW) C]]+Table7[[#This Row],[Psw_top (mW) C]]</f>
        <v>620.30699795007286</v>
      </c>
      <c r="BW183" s="156">
        <f ca="1">IF(VACnom&gt;Vbat, (1-Table7[[#This Row],[Duty Cycle]])*Table7[[#This Row],[I_L RMS]]^2*C_MOSFET_S_RDSON_L_BU*10^-3, Table7[[#This Row],[Duty Cycle]]*Table7[[#This Row],[I_L RMS]]^2*C_MOSFET_S_RDSON_L_BO*10^-3)/10^-3</f>
        <v>8.5848596255466507</v>
      </c>
      <c r="BX183" s="156">
        <f ca="1">IF(VACnom&gt;Vbat, Table7[[#This Row],[PRR (mW) C]]+Table7[[#This Row],[Pdead (mW) C]]+Table7[[#This Row],[Pgate_bottom (mW) C]], Table7[[#This Row],[PIV (mW) C]]+Table7[[#This Row],[PQoss (mW) C]]+Table7[[#This Row],[Pgate_bottom (mW) C]])</f>
        <v>453.61965355966589</v>
      </c>
      <c r="BY183" s="156">
        <f ca="1">Table7[[#This Row],[Pcon_bottom (mW) C]]+Table7[[#This Row],[Psw_bottom (mV) C]]</f>
        <v>462.20451318521253</v>
      </c>
      <c r="BZ183" s="156">
        <f ca="1">Table7[[#This Row],[Pbottom (mW) C]]+Table7[[#This Row],[Ptop (mW) C]]</f>
        <v>1082.5115111352854</v>
      </c>
      <c r="CA183" s="159"/>
      <c r="CB183" s="160">
        <f>(RAC_SNS*10^-3*(Table7[[#This Row],[IOUT (A)]]*Vbat/VACnom)^2/10^-3)</f>
        <v>27.90703125000001</v>
      </c>
      <c r="CC183" s="160">
        <f>(RBAT_SNS*10^-3*Table7[[#This Row],[IOUT (A)]]^2)/10^-3</f>
        <v>9.1125000000000007</v>
      </c>
      <c r="CD183" s="160">
        <f>IF(VACnom&gt;Vbat,(L_DRC*10^-3*(Table7[[#This Row],[IOUT (A)]])^2/10^-3),(L_DRC*10^-3*(Table7[[#This Row],[IOUT (A)]]*Vbat/VACnom)^2/10^-3))</f>
        <v>66.976875000000021</v>
      </c>
      <c r="CE183" s="166"/>
      <c r="CF183" s="156">
        <f>(Table7[[#This Row],[R_AC (mW)]]+Table7[[#This Row],[R_SR (mW)]]+Table7[[#This Row],[Inductor Loss (mW)]])/10^3</f>
        <v>0.10399640625000003</v>
      </c>
      <c r="CG183" s="156">
        <f ca="1">Table7[[#This Row],[Total TI (mW)]]/10^3</f>
        <v>2.3600751815969172</v>
      </c>
      <c r="CH183" s="156">
        <f ca="1">Table7[[#This Row],[Total Sense Loss]]+Table7[[#This Row],[Total MOSFET Loss]]</f>
        <v>2.464071587846917</v>
      </c>
      <c r="CI183" s="161">
        <f ca="1">IF(Table7[[#This Row],[POUT (W)]]=0,0,(Table7[[#This Row],[POUT (W)]])/(Table7[[#This Row],[POUT (W)]]+Table7[[#This Row],[Total Power Loss (W)]]))*100</f>
        <v>86.797781093749165</v>
      </c>
      <c r="CJ183" s="167"/>
      <c r="CK183" s="156">
        <f>(Table7[[#This Row],[R_AC (mW)]]+Table7[[#This Row],[R_SR (mW)]]+Table7[[#This Row],[Inductor Loss (mW)]])/10^3</f>
        <v>0.10399640625000003</v>
      </c>
      <c r="CL183" s="156">
        <f ca="1">Table7[[#This Row],[Total (mW) C]]/10^3</f>
        <v>1.0825115111352854</v>
      </c>
      <c r="CM183" s="156">
        <f ca="1">Table7[[#This Row],[Total Sense Loss C]]+Table7[[#This Row],[Total MOSFET Loss C]]</f>
        <v>1.1865079173852855</v>
      </c>
      <c r="CN183" s="161">
        <f ca="1">IF(Table7[[#This Row],[POUT (W)]]=0,0,(Table7[[#This Row],[POUT (W)]])/(Table7[[#This Row],[POUT (W)]]+Table7[[#This Row],[Total Power Loss (W) C]]))*100</f>
        <v>93.175697368193994</v>
      </c>
      <c r="CO183" s="167"/>
      <c r="CP183" s="161">
        <f>IF(MOSFET_S=Custom_MOSFET,Table7[[#This Row],[Total Sense Loss C]],Table7[[#This Row],[Total Sense Loss]])</f>
        <v>0.10399640625000003</v>
      </c>
      <c r="CQ183" s="161">
        <f ca="1">IF(MOSFET_S=Custom_MOSFET,Table7[[#This Row],[Total MOSFET Loss C]],Table7[[#This Row],[Total MOSFET Loss]])</f>
        <v>2.3600751815969172</v>
      </c>
      <c r="CR183" s="161">
        <f ca="1">IF(MOSFET_S=Custom_MOSFET,Table7[[#This Row],[Efficiency C]],Table7[[#This Row],[Efficiency]])</f>
        <v>86.797781093749165</v>
      </c>
      <c r="CS183" s="167"/>
      <c r="CT183" s="161">
        <f>IF(MOSFET_S=Compare_MOSFET, Table7[[#This Row],[Total Sense Loss C]], -100)</f>
        <v>-100</v>
      </c>
      <c r="CU183" s="161">
        <f>IF(MOSFET_S=Compare_MOSFET, Table7[[#This Row],[Total MOSFET Loss C]], -100)</f>
        <v>-100</v>
      </c>
      <c r="CV183" s="161">
        <f>IF(MOSFET_S=Compare_MOSFET, Table7[[#This Row],[Efficiency C]], -100)</f>
        <v>-100</v>
      </c>
      <c r="CW183" s="167"/>
      <c r="CX183" s="161">
        <f ca="1">IF(Save_Sel=CLR_Save,  Table7[[#This Row],[Total Sense Loss P1]], Table7[[#This Row],[Total Sense Loss P1 Saved]])</f>
        <v>0.10399640625000003</v>
      </c>
      <c r="CY183" s="161">
        <f ca="1">IF(Save_Sel=CLR_Save,  Table7[[#This Row],[Total MOSFET Loss P1]], Table7[[#This Row],[Total MOSFET Loss P1 Saved]] )</f>
        <v>1.6510693223947357</v>
      </c>
      <c r="CZ183" s="161">
        <f ca="1">IF(Save_Sel=CLR_Save, Table7[[#This Row],[Efficiency P1]], Table7[[#This Row],[Efficiency P1 Saved]])</f>
        <v>90.225233618361074</v>
      </c>
      <c r="DA183" s="167"/>
      <c r="DB183" s="161">
        <f ca="1">IF(Save_Sel=CLR_Save,  Table7[[#This Row],[Total Sense Loss P2]], Table7[[#This Row],[Total Sense Loss P2 Saved]])</f>
        <v>0.10399640625000003</v>
      </c>
      <c r="DC183" s="161">
        <f ca="1">IF(Save_Sel=CLR_Save,  Table7[[#This Row],[Total MOSFET Loss P2]], Table7[[#This Row],[Total MOSFET Loss P2 Saved]] )</f>
        <v>1.0895671597323378</v>
      </c>
      <c r="DD183" s="161">
        <f ca="1">IF(Save_Sel=CLR_Save, Table7[[#This Row],[Efficiency P2]], Table7[[#This Row],[Efficiency P2 Saved]])</f>
        <v>93.137900916884774</v>
      </c>
      <c r="DE183" s="167"/>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c r="FH183" s="21"/>
      <c r="FI183" s="21"/>
    </row>
    <row r="184" spans="1:165" x14ac:dyDescent="0.25">
      <c r="A184" s="50">
        <v>11</v>
      </c>
      <c r="B184" s="51"/>
      <c r="C184" s="51"/>
      <c r="D184" s="34" t="s">
        <v>18</v>
      </c>
      <c r="E184" s="122">
        <f t="shared" ca="1" si="22"/>
        <v>130</v>
      </c>
      <c r="F184" s="122">
        <f t="shared" ca="1" si="23"/>
        <v>130</v>
      </c>
      <c r="G184" s="44" t="s">
        <v>25</v>
      </c>
      <c r="H184" s="31"/>
      <c r="I184" s="50">
        <v>11</v>
      </c>
      <c r="J184" s="31"/>
      <c r="K184" s="51"/>
      <c r="L184" s="51"/>
      <c r="M184" s="34" t="s">
        <v>18</v>
      </c>
      <c r="N184" s="122">
        <f t="shared" si="24"/>
        <v>150</v>
      </c>
      <c r="O184" s="122">
        <f t="shared" si="25"/>
        <v>150</v>
      </c>
      <c r="P184" s="44" t="s">
        <v>25</v>
      </c>
      <c r="Q184" s="31"/>
      <c r="R184" s="31"/>
      <c r="S184" s="32"/>
      <c r="T184" s="20"/>
      <c r="U184" s="21"/>
      <c r="V184" s="21"/>
      <c r="W184" s="21"/>
      <c r="X184" s="21"/>
      <c r="Y184" s="21"/>
      <c r="Z184" s="21"/>
      <c r="AA184" s="21"/>
      <c r="AB184" s="21"/>
      <c r="AC184" s="21"/>
      <c r="AD184" s="21"/>
      <c r="AE184" s="21"/>
      <c r="AF184" s="154">
        <f t="shared" si="17"/>
        <v>28</v>
      </c>
      <c r="AG184" s="154">
        <f t="shared" si="16"/>
        <v>1.4</v>
      </c>
      <c r="AH184" s="155">
        <f t="shared" si="3"/>
        <v>16.799999999999997</v>
      </c>
      <c r="AI184" s="156">
        <f t="shared" si="4"/>
        <v>0.42857142857142855</v>
      </c>
      <c r="AJ184" s="156">
        <f t="shared" si="5"/>
        <v>2.4500000000000002</v>
      </c>
      <c r="AK184" s="156">
        <f t="shared" si="6"/>
        <v>0.85714285714285721</v>
      </c>
      <c r="AL184" s="156">
        <f t="shared" si="7"/>
        <v>2.4624630940982488</v>
      </c>
      <c r="AM184" s="157"/>
      <c r="AN184" s="156">
        <f>MAX(0,Table7[[#This Row],[I_L]]-0.5*Table7[[#This Row],[I_L pkpk]])</f>
        <v>2.0214285714285714</v>
      </c>
      <c r="AO184" s="156">
        <f>Table7[[#This Row],[I_L]]+0.5*Table7[[#This Row],[I_L pkpk]]</f>
        <v>2.878571428571429</v>
      </c>
      <c r="AP184" s="156">
        <f ca="1">IF(VACnom&gt;Vbat, (VGS_S-(TI_MOSFET_S_VTH_H_BU+Table7[[#This Row],[I_L]]/TI_MOSFET_S_gFS_H_BU))/3.4, (VGS_S-(TI_MOSFET_S_VTH_L_BO+Table7[[#This Row],[I_L]]/TI_MOSFET_S_gFS_L_BO))/3.4 )</f>
        <v>2.420927601809955</v>
      </c>
      <c r="AQ184" s="156">
        <f ca="1">IF(VACnom&gt;Vbat, ((TI_MOSFET_S_VTH_H_BU+Table7[[#This Row],[I_L]]/TI_MOSFET_S_gFS_H_BU))/1, ((TI_MOSFET_S_VTH_L_BO+Table7[[#This Row],[I_L]]/TI_MOSFET_S_gFS_L_BO))/1 )</f>
        <v>1.768846153846154</v>
      </c>
      <c r="AR184" s="156">
        <f ca="1">IF(VACnom&gt;Vbat, (TI_MOSFET_S_QGD_H_BU+TI_MOSFET_S_QGS_H_BU)*10^-9/Table7[[#This Row],[Ion (A)]], (TI_MOSFET_S_QGD_L_BO+TI_MOSFET_S_QGS_L_BO)*10^-9/Table7[[#This Row],[Ion (A)]])/10^-9</f>
        <v>11.896266529601419</v>
      </c>
      <c r="AS184" s="156">
        <f ca="1">IF(VACnom&gt;Vbat, (TI_MOSFET_S_QGD_H_BU+TI_MOSFET_S_QGS_H_BU)*10^-9/Table7[[#This Row],[Ioff (A)]], (TI_MOSFET_S_QGD_L_BO+TI_MOSFET_S_QGS_L_BO)*10^-9/Table7[[#This Row],[Ioff (A)]])/10^-9</f>
        <v>16.281800391389432</v>
      </c>
      <c r="AT184" s="156">
        <f ca="1" xml:space="preserve"> 0.5*VACnom*Table7[[#This Row],[Ivalley (A)]]*Table7[[#This Row],[ton (ns)]]*10^-9*Fsw*10^3+0.5*VACnom*Table7[[#This Row],[Ipeak (A)]]*Table7[[#This Row],[toff (ns)]]*10^-9*Fsw*10^3/10^-3</f>
        <v>168.81254231548675</v>
      </c>
      <c r="AU184" s="156">
        <f t="shared" ca="1" si="8"/>
        <v>262.8</v>
      </c>
      <c r="AV184" s="156">
        <f t="shared" ca="1" si="9"/>
        <v>648</v>
      </c>
      <c r="AW184" s="156">
        <f t="shared" ca="1" si="10"/>
        <v>554.4</v>
      </c>
      <c r="AX184" s="156">
        <f ca="1">IF(VACnom&gt;Vbat, TI_MOSFET_S_VSD_L_BU*Table7[[#This Row],[Ivalley (A)]]*Fsw*10^3*40*10^-9+TI_MOSFET_S_VSD_L_BU*Table7[[#This Row],[Ipeak (A)]]*Fsw*10^3*30*10^-9, TI_MOSFET_S_VSD_H_BO*Table7[[#This Row],[Ivalley (A)]]*Fsw*10^3*40*10^-9+TI_MOSFET_S_VSD_H_BO*Table7[[#This Row],[Ipeak (A)]]*Fsw*10^3*30*10^-9)/10^-3</f>
        <v>72.236571428571438</v>
      </c>
      <c r="AY184" s="156">
        <f t="shared" ca="1" si="11"/>
        <v>648</v>
      </c>
      <c r="AZ184" s="156">
        <f ca="1">IF(VACnom&lt;Vbat, Table7[[#This Row],[Duty Cycle]]*Table7[[#This Row],[I_L RMS]]^2*TI_MOSFET_S_RDSON_H_BU*10^-3, (1-Table7[[#This Row],[Duty Cycle]])*Table7[[#This Row],[I_L RMS]]^2*TI_MOSFET_S_RDSON_H_BO*10^-3)/10^-3</f>
        <v>7.276469387755105</v>
      </c>
      <c r="BA184" s="156">
        <f ca="1">IF(VACnom&gt;Vbat, Table7[[#This Row],[PIV (mW)]]+Table7[[#This Row],[Pqoss (mW)]]+Table7[[#This Row],[Pgate_top (mW)]], Table7[[#This Row],[PRR (mW)]]+Table7[[#This Row],[Pdead (mW)]]+Table7[[#This Row],[Pgate_top (mW)]])</f>
        <v>1274.6365714285714</v>
      </c>
      <c r="BB184" s="156">
        <f ca="1">Table7[[#This Row],[Pcon_top (mW)]]+Table7[[#This Row],[Psw_top (mW)]]</f>
        <v>1281.9130408163264</v>
      </c>
      <c r="BC184" s="156">
        <f ca="1">IF(VACnom&gt;Vbat, (1-Table7[[#This Row],[Duty Cycle]])*Table7[[#This Row],[I_L RMS]]^2*TI_MOSFET_S_RDSON_L_BU*10^-3, Table7[[#This Row],[Duty Cycle]]*Table7[[#This Row],[I_L RMS]]^2*TI_MOSFET_S_RDSON_L_BO*10^-3)/10^-3</f>
        <v>7.276469387755105</v>
      </c>
      <c r="BD184" s="156">
        <f ca="1">IF(VACnom&gt;Vbat, Table7[[#This Row],[PRR (mW)]]+Table7[[#This Row],[Pdead (mW)]]+Table7[[#This Row],[Pgate_bottom (mW)]], Table7[[#This Row],[PIV (mW)]]+Table7[[#This Row],[Pqoss (mW)]]+Table7[[#This Row],[Pgate_bottom (mW)]])</f>
        <v>1079.6125423154867</v>
      </c>
      <c r="BE184" s="158">
        <f ca="1">Table7[[#This Row],[Pcon_bottom (mW)]]+Table7[[#This Row],[Psw_bottom (mW)]]</f>
        <v>1086.8890117032417</v>
      </c>
      <c r="BF184" s="164">
        <f ca="1">Table7[[#This Row],[Pbottom (mW)]]+Table7[[#This Row],[Ptop (mW)]]</f>
        <v>2368.802052519568</v>
      </c>
      <c r="BG184" s="153"/>
      <c r="BH184" s="156">
        <f>MAX(0,Table7[[#This Row],[I_L]]-0.5*Table7[[#This Row],[I_L pkpk]])</f>
        <v>2.0214285714285714</v>
      </c>
      <c r="BI184" s="156">
        <f>Table7[[#This Row],[I_L]]+0.5*Table7[[#This Row],[I_L pkpk]]</f>
        <v>2.878571428571429</v>
      </c>
      <c r="BJ184" s="156">
        <f>IF(VACnom&gt;Vbat, (VGS_S-(C_MOSFET_S_VTH_H_BU+Table7[[#This Row],[I_L]]/C_MOSFET_S_gFS_H_BU))/3.4, (VGS_S-(C_MOSFET_S_VTH_L_BO+Table7[[#This Row],[I_L]]/C_MOSFET_S_gFS_L_BO))/3.4 )</f>
        <v>2.3481372549019608</v>
      </c>
      <c r="BK184" s="156">
        <f>IF(VACnom&gt;Vbat, ((C_MOSFET_S_VTH_H_BU+Table7[[#This Row],[I_L]]/C_MOSFET_S_gFS_H_BU))/1, ((C_MOSFET_S_VTH_L_BO+Table7[[#This Row],[I_L]]/C_MOSFET_S_gFS_L_BO))/1 )</f>
        <v>2.0163333333333333</v>
      </c>
      <c r="BL184" s="156">
        <f>IF(VACnom&gt;Vbat, (C_MOSFET_S_QGD_H_BU+C_MOSFET_S_QGS_H_BU)*10^-9/Table7[[#This Row],[Ion (A) C]], (C_MOSFET_S_QGD_L_BO+C_MOSFET_S_QGS_L_BO)*10^-9/Table7[[#This Row],[Ion (A) C]])/10^-9</f>
        <v>2.7681516429376645</v>
      </c>
      <c r="BM184" s="156">
        <f>IF(VACnom&gt;Vbat, (C_MOSFET_S_QGD_H_BU+C_MOSFET_S_QGS_H_BU)*10^-9/Table7[[#This Row],[Ioff (A) C]], (C_MOSFET_S_QGD_L_BO+C_MOSFET_S_QGS_L_BO)*10^-9/Table7[[#This Row],[Ioff (A) C]])/10^-9</f>
        <v>3.223673334435444</v>
      </c>
      <c r="BN184" s="156">
        <f xml:space="preserve"> 0.5*VACnom*Table7[[#This Row],[Ivalley (A) C]]*Table7[[#This Row],[ton (ns) C]]*10^-9*Fsw*10^3+0.5*VACnom*Table7[[#This Row],[Ipeak (A) C]]*Table7[[#This Row],[toff (ns) C]]*10^-9*Fsw*10^3/10^-3</f>
        <v>33.42661047494834</v>
      </c>
      <c r="BO184" s="156">
        <f t="shared" si="12"/>
        <v>129.6</v>
      </c>
      <c r="BP184" s="156">
        <f t="shared" ca="1" si="13"/>
        <v>291.59999999999997</v>
      </c>
      <c r="BQ184" s="156">
        <f t="shared" si="14"/>
        <v>237.6</v>
      </c>
      <c r="BR184" s="156">
        <f>IF(VACnom&gt;Vbat, C_MOSFET_S_VSD_L_BU*Table7[[#This Row],[Ivalley (A) C]]*Fsw*10^3*40*10^-9+C_MOSFET_S_VSD_L_BU*Table7[[#This Row],[Ipeak (A) C]]*Fsw*10^3*30*10^-9, C_MOSFET_S_VSD_H_BO*Table7[[#This Row],[Ivalley (A) C]]*Fsw*10^3*40*10^-9+C_MOSFET_S_VSD_H_BO*Table7[[#This Row],[Ipeak (A) C]]*Fsw*10^3*30*10^-9)/10^-3</f>
        <v>80.262857142857158</v>
      </c>
      <c r="BS184" s="156">
        <f t="shared" ca="1" si="15"/>
        <v>291.59999999999997</v>
      </c>
      <c r="BT184" s="156">
        <f>IF(VACnom&lt;Vbat, Table7[[#This Row],[Duty Cycle]]*Table7[[#This Row],[I_L RMS]]^2*C_MOSFET_S_RDSON_H_BU*10^-3, (1-Table7[[#This Row],[Duty Cycle]])*Table7[[#This Row],[I_L RMS]]^2*C_MOSFET_S_RDSON_H_BO*10^-3)/10^-3</f>
        <v>14.81281268221575</v>
      </c>
      <c r="BU184" s="156">
        <f ca="1">IF(VACnom&gt;Vbat, Table7[[#This Row],[PIV (mW) C]]+Table7[[#This Row],[PQoss (mW) C]]+Table7[[#This Row],[Pgate_top (mW) C]], Table7[[#This Row],[PRR (mW) C]]+Table7[[#This Row],[Pdead (mW) C]]+Table7[[#This Row],[Pgate_top (mW) C]])</f>
        <v>609.46285714285705</v>
      </c>
      <c r="BV184" s="156">
        <f ca="1">Table7[[#This Row],[Pcon_top (mW) C]]+Table7[[#This Row],[Psw_top (mW) C]]</f>
        <v>624.27566982507278</v>
      </c>
      <c r="BW184" s="156">
        <f ca="1">IF(VACnom&gt;Vbat, (1-Table7[[#This Row],[Duty Cycle]])*Table7[[#This Row],[I_L RMS]]^2*C_MOSFET_S_RDSON_L_BU*10^-3, Table7[[#This Row],[Duty Cycle]]*Table7[[#This Row],[I_L RMS]]^2*C_MOSFET_S_RDSON_L_BO*10^-3)/10^-3</f>
        <v>9.2255236880466516</v>
      </c>
      <c r="BX184" s="156">
        <f ca="1">IF(VACnom&gt;Vbat, Table7[[#This Row],[PRR (mW) C]]+Table7[[#This Row],[Pdead (mW) C]]+Table7[[#This Row],[Pgate_bottom (mW) C]], Table7[[#This Row],[PIV (mW) C]]+Table7[[#This Row],[PQoss (mW) C]]+Table7[[#This Row],[Pgate_bottom (mW) C]])</f>
        <v>454.62661047494828</v>
      </c>
      <c r="BY184" s="156">
        <f ca="1">Table7[[#This Row],[Pcon_bottom (mW) C]]+Table7[[#This Row],[Psw_bottom (mV) C]]</f>
        <v>463.85213416299496</v>
      </c>
      <c r="BZ184" s="156">
        <f ca="1">Table7[[#This Row],[Pbottom (mW) C]]+Table7[[#This Row],[Ptop (mW) C]]</f>
        <v>1088.1278039880676</v>
      </c>
      <c r="CA184" s="159"/>
      <c r="CB184" s="160">
        <f>(RAC_SNS*10^-3*(Table7[[#This Row],[IOUT (A)]]*Vbat/VACnom)^2/10^-3)</f>
        <v>30.012499999999992</v>
      </c>
      <c r="CC184" s="160">
        <f>(RBAT_SNS*10^-3*Table7[[#This Row],[IOUT (A)]]^2)/10^-3</f>
        <v>9.7999999999999989</v>
      </c>
      <c r="CD184" s="160">
        <f>IF(VACnom&gt;Vbat,(L_DRC*10^-3*(Table7[[#This Row],[IOUT (A)]])^2/10^-3),(L_DRC*10^-3*(Table7[[#This Row],[IOUT (A)]]*Vbat/VACnom)^2/10^-3))</f>
        <v>72.029999999999987</v>
      </c>
      <c r="CE184" s="166"/>
      <c r="CF184" s="156">
        <f>(Table7[[#This Row],[R_AC (mW)]]+Table7[[#This Row],[R_SR (mW)]]+Table7[[#This Row],[Inductor Loss (mW)]])/10^3</f>
        <v>0.11184249999999997</v>
      </c>
      <c r="CG184" s="156">
        <f ca="1">Table7[[#This Row],[Total TI (mW)]]/10^3</f>
        <v>2.3688020525195679</v>
      </c>
      <c r="CH184" s="156">
        <f ca="1">Table7[[#This Row],[Total Sense Loss]]+Table7[[#This Row],[Total MOSFET Loss]]</f>
        <v>2.4806445525195677</v>
      </c>
      <c r="CI184" s="161">
        <f ca="1">IF(Table7[[#This Row],[POUT (W)]]=0,0,(Table7[[#This Row],[POUT (W)]])/(Table7[[#This Row],[POUT (W)]]+Table7[[#This Row],[Total Power Loss (W)]]))*100</f>
        <v>87.134016470443143</v>
      </c>
      <c r="CJ184" s="167"/>
      <c r="CK184" s="156">
        <f>(Table7[[#This Row],[R_AC (mW)]]+Table7[[#This Row],[R_SR (mW)]]+Table7[[#This Row],[Inductor Loss (mW)]])/10^3</f>
        <v>0.11184249999999997</v>
      </c>
      <c r="CL184" s="156">
        <f ca="1">Table7[[#This Row],[Total (mW) C]]/10^3</f>
        <v>1.0881278039880675</v>
      </c>
      <c r="CM184" s="156">
        <f ca="1">Table7[[#This Row],[Total Sense Loss C]]+Table7[[#This Row],[Total MOSFET Loss C]]</f>
        <v>1.1999703039880676</v>
      </c>
      <c r="CN184" s="161">
        <f ca="1">IF(Table7[[#This Row],[POUT (W)]]=0,0,(Table7[[#This Row],[POUT (W)]])/(Table7[[#This Row],[POUT (W)]]+Table7[[#This Row],[Total Power Loss (W) C]]))*100</f>
        <v>93.333487312908503</v>
      </c>
      <c r="CO184" s="167"/>
      <c r="CP184" s="161">
        <f>IF(MOSFET_S=Custom_MOSFET,Table7[[#This Row],[Total Sense Loss C]],Table7[[#This Row],[Total Sense Loss]])</f>
        <v>0.11184249999999997</v>
      </c>
      <c r="CQ184" s="161">
        <f ca="1">IF(MOSFET_S=Custom_MOSFET,Table7[[#This Row],[Total MOSFET Loss C]],Table7[[#This Row],[Total MOSFET Loss]])</f>
        <v>2.3688020525195679</v>
      </c>
      <c r="CR184" s="161">
        <f ca="1">IF(MOSFET_S=Custom_MOSFET,Table7[[#This Row],[Efficiency C]],Table7[[#This Row],[Efficiency]])</f>
        <v>87.134016470443143</v>
      </c>
      <c r="CS184" s="167"/>
      <c r="CT184" s="161">
        <f>IF(MOSFET_S=Compare_MOSFET, Table7[[#This Row],[Total Sense Loss C]], -100)</f>
        <v>-100</v>
      </c>
      <c r="CU184" s="161">
        <f>IF(MOSFET_S=Compare_MOSFET, Table7[[#This Row],[Total MOSFET Loss C]], -100)</f>
        <v>-100</v>
      </c>
      <c r="CV184" s="161">
        <f>IF(MOSFET_S=Compare_MOSFET, Table7[[#This Row],[Efficiency C]], -100)</f>
        <v>-100</v>
      </c>
      <c r="CW184" s="167"/>
      <c r="CX184" s="161">
        <f ca="1">IF(Save_Sel=CLR_Save,  Table7[[#This Row],[Total Sense Loss P1]], Table7[[#This Row],[Total Sense Loss P1 Saved]])</f>
        <v>0.11184249999999997</v>
      </c>
      <c r="CY184" s="161">
        <f ca="1">IF(Save_Sel=CLR_Save,  Table7[[#This Row],[Total MOSFET Loss P1]], Table7[[#This Row],[Total MOSFET Loss P1 Saved]] )</f>
        <v>1.6600744975352109</v>
      </c>
      <c r="CZ184" s="161">
        <f ca="1">IF(Save_Sel=CLR_Save, Table7[[#This Row],[Efficiency P1]], Table7[[#This Row],[Efficiency P1 Saved]])</f>
        <v>90.459159397651987</v>
      </c>
      <c r="DA184" s="167"/>
      <c r="DB184" s="161">
        <f ca="1">IF(Save_Sel=CLR_Save,  Table7[[#This Row],[Total Sense Loss P2]], Table7[[#This Row],[Total Sense Loss P2 Saved]])</f>
        <v>0.11184249999999997</v>
      </c>
      <c r="DC184" s="161">
        <f ca="1">IF(Save_Sel=CLR_Save,  Table7[[#This Row],[Total MOSFET Loss P2]], Table7[[#This Row],[Total MOSFET Loss P2 Saved]] )</f>
        <v>1.0957087560433352</v>
      </c>
      <c r="DD184" s="161">
        <f ca="1">IF(Save_Sel=CLR_Save, Table7[[#This Row],[Efficiency P2]], Table7[[#This Row],[Efficiency P2 Saved]])</f>
        <v>93.294195091417109</v>
      </c>
      <c r="DE184" s="167"/>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c r="FH184" s="21"/>
      <c r="FI184" s="21"/>
    </row>
    <row r="185" spans="1:165" x14ac:dyDescent="0.25">
      <c r="A185" s="50">
        <v>12</v>
      </c>
      <c r="B185" s="51"/>
      <c r="C185" s="51"/>
      <c r="D185" s="34" t="s">
        <v>19</v>
      </c>
      <c r="E185" s="122">
        <f t="shared" ca="1" si="22"/>
        <v>1.75</v>
      </c>
      <c r="F185" s="122">
        <f t="shared" ca="1" si="23"/>
        <v>1.75</v>
      </c>
      <c r="G185" s="44" t="s">
        <v>1</v>
      </c>
      <c r="H185" s="31"/>
      <c r="I185" s="50">
        <v>12</v>
      </c>
      <c r="J185" s="31"/>
      <c r="K185" s="51"/>
      <c r="L185" s="51"/>
      <c r="M185" s="34" t="s">
        <v>19</v>
      </c>
      <c r="N185" s="122">
        <f t="shared" si="24"/>
        <v>2</v>
      </c>
      <c r="O185" s="122">
        <f t="shared" si="25"/>
        <v>2</v>
      </c>
      <c r="P185" s="44" t="s">
        <v>1</v>
      </c>
      <c r="Q185" s="31"/>
      <c r="R185" s="31"/>
      <c r="S185" s="32"/>
      <c r="T185" s="20"/>
      <c r="U185" s="21"/>
      <c r="V185" s="21"/>
      <c r="W185" s="21"/>
      <c r="X185" s="21"/>
      <c r="Y185" s="21"/>
      <c r="Z185" s="21"/>
      <c r="AA185" s="21"/>
      <c r="AB185" s="21"/>
      <c r="AC185" s="21"/>
      <c r="AD185" s="21"/>
      <c r="AE185" s="21"/>
      <c r="AF185" s="154">
        <f t="shared" si="17"/>
        <v>29</v>
      </c>
      <c r="AG185" s="154">
        <f t="shared" si="16"/>
        <v>1.45</v>
      </c>
      <c r="AH185" s="155">
        <f t="shared" si="3"/>
        <v>17.399999999999999</v>
      </c>
      <c r="AI185" s="156">
        <f t="shared" si="4"/>
        <v>0.42857142857142855</v>
      </c>
      <c r="AJ185" s="156">
        <f t="shared" si="5"/>
        <v>2.5375000000000001</v>
      </c>
      <c r="AK185" s="156">
        <f t="shared" ref="AK185:AK216" si="26">Ipkpk_VACnom</f>
        <v>0.85714285714285721</v>
      </c>
      <c r="AL185" s="156">
        <f t="shared" ref="AL185:AL216" si="27">SQRT(AJ185^2+AK185^2/12)</f>
        <v>2.5495353968509478</v>
      </c>
      <c r="AM185" s="157"/>
      <c r="AN185" s="156">
        <f>MAX(0,Table7[[#This Row],[I_L]]-0.5*Table7[[#This Row],[I_L pkpk]])</f>
        <v>2.1089285714285717</v>
      </c>
      <c r="AO185" s="156">
        <f>Table7[[#This Row],[I_L]]+0.5*Table7[[#This Row],[I_L pkpk]]</f>
        <v>2.9660714285714285</v>
      </c>
      <c r="AP185" s="156">
        <f ca="1">IF(VACnom&gt;Vbat, (VGS_S-(TI_MOSFET_S_VTH_H_BU+Table7[[#This Row],[I_L]]/TI_MOSFET_S_gFS_H_BU))/3.4, (VGS_S-(TI_MOSFET_S_VTH_L_BO+Table7[[#This Row],[I_L]]/TI_MOSFET_S_gFS_L_BO))/3.4 )</f>
        <v>2.4207296380090502</v>
      </c>
      <c r="AQ185" s="156">
        <f ca="1">IF(VACnom&gt;Vbat, ((TI_MOSFET_S_VTH_H_BU+Table7[[#This Row],[I_L]]/TI_MOSFET_S_gFS_H_BU))/1, ((TI_MOSFET_S_VTH_L_BO+Table7[[#This Row],[I_L]]/TI_MOSFET_S_gFS_L_BO))/1 )</f>
        <v>1.7695192307692307</v>
      </c>
      <c r="AR185" s="156">
        <f ca="1">IF(VACnom&gt;Vbat, (TI_MOSFET_S_QGD_H_BU+TI_MOSFET_S_QGS_H_BU)*10^-9/Table7[[#This Row],[Ion (A)]], (TI_MOSFET_S_QGD_L_BO+TI_MOSFET_S_QGS_L_BO)*10^-9/Table7[[#This Row],[Ion (A)]])/10^-9</f>
        <v>11.897239389230929</v>
      </c>
      <c r="AS185" s="156">
        <f ca="1">IF(VACnom&gt;Vbat, (TI_MOSFET_S_QGD_H_BU+TI_MOSFET_S_QGS_H_BU)*10^-9/Table7[[#This Row],[Ioff (A)]], (TI_MOSFET_S_QGD_L_BO+TI_MOSFET_S_QGS_L_BO)*10^-9/Table7[[#This Row],[Ioff (A)]])/10^-9</f>
        <v>16.275607237950336</v>
      </c>
      <c r="AT185" s="156">
        <f ca="1" xml:space="preserve"> 0.5*VACnom*Table7[[#This Row],[Ivalley (A)]]*Table7[[#This Row],[ton (ns)]]*10^-9*Fsw*10^3+0.5*VACnom*Table7[[#This Row],[Ipeak (A)]]*Table7[[#This Row],[toff (ns)]]*10^-9*Fsw*10^3/10^-3</f>
        <v>173.87893454113407</v>
      </c>
      <c r="AU185" s="156">
        <f t="shared" ca="1" si="8"/>
        <v>262.8</v>
      </c>
      <c r="AV185" s="156">
        <f t="shared" ca="1" si="9"/>
        <v>648</v>
      </c>
      <c r="AW185" s="156">
        <f t="shared" ca="1" si="10"/>
        <v>554.4</v>
      </c>
      <c r="AX185" s="156">
        <f ca="1">IF(VACnom&gt;Vbat, TI_MOSFET_S_VSD_L_BU*Table7[[#This Row],[Ivalley (A)]]*Fsw*10^3*40*10^-9+TI_MOSFET_S_VSD_L_BU*Table7[[#This Row],[Ipeak (A)]]*Fsw*10^3*30*10^-9, TI_MOSFET_S_VSD_H_BO*Table7[[#This Row],[Ivalley (A)]]*Fsw*10^3*40*10^-9+TI_MOSFET_S_VSD_H_BO*Table7[[#This Row],[Ipeak (A)]]*Fsw*10^3*30*10^-9)/10^-3</f>
        <v>74.882571428571438</v>
      </c>
      <c r="AY185" s="156">
        <f t="shared" ca="1" si="11"/>
        <v>648</v>
      </c>
      <c r="AZ185" s="156">
        <f ca="1">IF(VACnom&lt;Vbat, Table7[[#This Row],[Duty Cycle]]*Table7[[#This Row],[I_L RMS]]^2*TI_MOSFET_S_RDSON_H_BU*10^-3, (1-Table7[[#This Row],[Duty Cycle]])*Table7[[#This Row],[I_L RMS]]^2*TI_MOSFET_S_RDSON_H_BO*10^-3)/10^-3</f>
        <v>7.8001568877551035</v>
      </c>
      <c r="BA185" s="156">
        <f ca="1">IF(VACnom&gt;Vbat, Table7[[#This Row],[PIV (mW)]]+Table7[[#This Row],[Pqoss (mW)]]+Table7[[#This Row],[Pgate_top (mW)]], Table7[[#This Row],[PRR (mW)]]+Table7[[#This Row],[Pdead (mW)]]+Table7[[#This Row],[Pgate_top (mW)]])</f>
        <v>1277.2825714285714</v>
      </c>
      <c r="BB185" s="156">
        <f ca="1">Table7[[#This Row],[Pcon_top (mW)]]+Table7[[#This Row],[Psw_top (mW)]]</f>
        <v>1285.0827283163264</v>
      </c>
      <c r="BC185" s="156">
        <f ca="1">IF(VACnom&gt;Vbat, (1-Table7[[#This Row],[Duty Cycle]])*Table7[[#This Row],[I_L RMS]]^2*TI_MOSFET_S_RDSON_L_BU*10^-3, Table7[[#This Row],[Duty Cycle]]*Table7[[#This Row],[I_L RMS]]^2*TI_MOSFET_S_RDSON_L_BO*10^-3)/10^-3</f>
        <v>7.8001568877551035</v>
      </c>
      <c r="BD185" s="156">
        <f ca="1">IF(VACnom&gt;Vbat, Table7[[#This Row],[PRR (mW)]]+Table7[[#This Row],[Pdead (mW)]]+Table7[[#This Row],[Pgate_bottom (mW)]], Table7[[#This Row],[PIV (mW)]]+Table7[[#This Row],[Pqoss (mW)]]+Table7[[#This Row],[Pgate_bottom (mW)]])</f>
        <v>1084.6789345411341</v>
      </c>
      <c r="BE185" s="158">
        <f ca="1">Table7[[#This Row],[Pcon_bottom (mW)]]+Table7[[#This Row],[Psw_bottom (mW)]]</f>
        <v>1092.4790914288892</v>
      </c>
      <c r="BF185" s="164">
        <f ca="1">Table7[[#This Row],[Pbottom (mW)]]+Table7[[#This Row],[Ptop (mW)]]</f>
        <v>2377.5618197452159</v>
      </c>
      <c r="BG185" s="153"/>
      <c r="BH185" s="156">
        <f>MAX(0,Table7[[#This Row],[I_L]]-0.5*Table7[[#This Row],[I_L pkpk]])</f>
        <v>2.1089285714285717</v>
      </c>
      <c r="BI185" s="156">
        <f>Table7[[#This Row],[I_L]]+0.5*Table7[[#This Row],[I_L pkpk]]</f>
        <v>2.9660714285714285</v>
      </c>
      <c r="BJ185" s="156">
        <f>IF(VACnom&gt;Vbat, (VGS_S-(C_MOSFET_S_VTH_H_BU+Table7[[#This Row],[I_L]]/C_MOSFET_S_gFS_H_BU))/3.4, (VGS_S-(C_MOSFET_S_VTH_L_BO+Table7[[#This Row],[I_L]]/C_MOSFET_S_gFS_L_BO))/3.4 )</f>
        <v>2.34796568627451</v>
      </c>
      <c r="BK185" s="156">
        <f>IF(VACnom&gt;Vbat, ((C_MOSFET_S_VTH_H_BU+Table7[[#This Row],[I_L]]/C_MOSFET_S_gFS_H_BU))/1, ((C_MOSFET_S_VTH_L_BO+Table7[[#This Row],[I_L]]/C_MOSFET_S_gFS_L_BO))/1 )</f>
        <v>2.0169166666666665</v>
      </c>
      <c r="BL185" s="156">
        <f>IF(VACnom&gt;Vbat, (C_MOSFET_S_QGD_H_BU+C_MOSFET_S_QGS_H_BU)*10^-9/Table7[[#This Row],[Ion (A) C]], (C_MOSFET_S_QGD_L_BO+C_MOSFET_S_QGS_L_BO)*10^-9/Table7[[#This Row],[Ion (A) C]])/10^-9</f>
        <v>2.7683539150495315</v>
      </c>
      <c r="BM185" s="156">
        <f>IF(VACnom&gt;Vbat, (C_MOSFET_S_QGD_H_BU+C_MOSFET_S_QGS_H_BU)*10^-9/Table7[[#This Row],[Ioff (A) C]], (C_MOSFET_S_QGD_L_BO+C_MOSFET_S_QGS_L_BO)*10^-9/Table7[[#This Row],[Ioff (A) C]])/10^-9</f>
        <v>3.2227409825228279</v>
      </c>
      <c r="BN185" s="156">
        <f xml:space="preserve"> 0.5*VACnom*Table7[[#This Row],[Ivalley (A) C]]*Table7[[#This Row],[ton (ns) C]]*10^-9*Fsw*10^3+0.5*VACnom*Table7[[#This Row],[Ipeak (A) C]]*Table7[[#This Row],[toff (ns) C]]*10^-9*Fsw*10^3/10^-3</f>
        <v>34.43298555821201</v>
      </c>
      <c r="BO185" s="156">
        <f t="shared" si="12"/>
        <v>129.6</v>
      </c>
      <c r="BP185" s="156">
        <f t="shared" ca="1" si="13"/>
        <v>291.59999999999997</v>
      </c>
      <c r="BQ185" s="156">
        <f t="shared" si="14"/>
        <v>237.6</v>
      </c>
      <c r="BR185" s="156">
        <f>IF(VACnom&gt;Vbat, C_MOSFET_S_VSD_L_BU*Table7[[#This Row],[Ivalley (A) C]]*Fsw*10^3*40*10^-9+C_MOSFET_S_VSD_L_BU*Table7[[#This Row],[Ipeak (A) C]]*Fsw*10^3*30*10^-9, C_MOSFET_S_VSD_H_BO*Table7[[#This Row],[Ivalley (A) C]]*Fsw*10^3*40*10^-9+C_MOSFET_S_VSD_H_BO*Table7[[#This Row],[Ipeak (A) C]]*Fsw*10^3*30*10^-9)/10^-3</f>
        <v>83.202857142857127</v>
      </c>
      <c r="BS185" s="156">
        <f t="shared" ca="1" si="15"/>
        <v>291.59999999999997</v>
      </c>
      <c r="BT185" s="156">
        <f>IF(VACnom&lt;Vbat, Table7[[#This Row],[Duty Cycle]]*Table7[[#This Row],[I_L RMS]]^2*C_MOSFET_S_RDSON_H_BU*10^-3, (1-Table7[[#This Row],[Duty Cycle]])*Table7[[#This Row],[I_L RMS]]^2*C_MOSFET_S_RDSON_H_BO*10^-3)/10^-3</f>
        <v>15.878890807215749</v>
      </c>
      <c r="BU185" s="156">
        <f ca="1">IF(VACnom&gt;Vbat, Table7[[#This Row],[PIV (mW) C]]+Table7[[#This Row],[PQoss (mW) C]]+Table7[[#This Row],[Pgate_top (mW) C]], Table7[[#This Row],[PRR (mW) C]]+Table7[[#This Row],[Pdead (mW) C]]+Table7[[#This Row],[Pgate_top (mW) C]])</f>
        <v>612.4028571428571</v>
      </c>
      <c r="BV185" s="156">
        <f ca="1">Table7[[#This Row],[Pcon_top (mW) C]]+Table7[[#This Row],[Psw_top (mW) C]]</f>
        <v>628.28174795007283</v>
      </c>
      <c r="BW185" s="156">
        <f ca="1">IF(VACnom&gt;Vbat, (1-Table7[[#This Row],[Duty Cycle]])*Table7[[#This Row],[I_L RMS]]^2*C_MOSFET_S_RDSON_L_BU*10^-3, Table7[[#This Row],[Duty Cycle]]*Table7[[#This Row],[I_L RMS]]^2*C_MOSFET_S_RDSON_L_BO*10^-3)/10^-3</f>
        <v>9.8894846255466486</v>
      </c>
      <c r="BX185" s="156">
        <f ca="1">IF(VACnom&gt;Vbat, Table7[[#This Row],[PRR (mW) C]]+Table7[[#This Row],[Pdead (mW) C]]+Table7[[#This Row],[Pgate_bottom (mW) C]], Table7[[#This Row],[PIV (mW) C]]+Table7[[#This Row],[PQoss (mW) C]]+Table7[[#This Row],[Pgate_bottom (mW) C]])</f>
        <v>455.632985558212</v>
      </c>
      <c r="BY185" s="156">
        <f ca="1">Table7[[#This Row],[Pcon_bottom (mW) C]]+Table7[[#This Row],[Psw_bottom (mV) C]]</f>
        <v>465.52247018375863</v>
      </c>
      <c r="BZ185" s="156">
        <f ca="1">Table7[[#This Row],[Pbottom (mW) C]]+Table7[[#This Row],[Ptop (mW) C]]</f>
        <v>1093.8042181338315</v>
      </c>
      <c r="CA185" s="159"/>
      <c r="CB185" s="160">
        <f>(RAC_SNS*10^-3*(Table7[[#This Row],[IOUT (A)]]*Vbat/VACnom)^2/10^-3)</f>
        <v>32.194531250000004</v>
      </c>
      <c r="CC185" s="160">
        <f>(RBAT_SNS*10^-3*Table7[[#This Row],[IOUT (A)]]^2)/10^-3</f>
        <v>10.512500000000001</v>
      </c>
      <c r="CD185" s="160">
        <f>IF(VACnom&gt;Vbat,(L_DRC*10^-3*(Table7[[#This Row],[IOUT (A)]])^2/10^-3),(L_DRC*10^-3*(Table7[[#This Row],[IOUT (A)]]*Vbat/VACnom)^2/10^-3))</f>
        <v>77.266875000000013</v>
      </c>
      <c r="CE185" s="166"/>
      <c r="CF185" s="156">
        <f>(Table7[[#This Row],[R_AC (mW)]]+Table7[[#This Row],[R_SR (mW)]]+Table7[[#This Row],[Inductor Loss (mW)]])/10^3</f>
        <v>0.11997390625000003</v>
      </c>
      <c r="CG185" s="156">
        <f ca="1">Table7[[#This Row],[Total TI (mW)]]/10^3</f>
        <v>2.3775618197452157</v>
      </c>
      <c r="CH185" s="156">
        <f ca="1">Table7[[#This Row],[Total Sense Loss]]+Table7[[#This Row],[Total MOSFET Loss]]</f>
        <v>2.4975357259952156</v>
      </c>
      <c r="CI185" s="161">
        <f ca="1">IF(Table7[[#This Row],[POUT (W)]]=0,0,(Table7[[#This Row],[POUT (W)]])/(Table7[[#This Row],[POUT (W)]]+Table7[[#This Row],[Total Power Loss (W)]]))*100</f>
        <v>87.448014867829585</v>
      </c>
      <c r="CJ185" s="167"/>
      <c r="CK185" s="156">
        <f>(Table7[[#This Row],[R_AC (mW)]]+Table7[[#This Row],[R_SR (mW)]]+Table7[[#This Row],[Inductor Loss (mW)]])/10^3</f>
        <v>0.11997390625000003</v>
      </c>
      <c r="CL185" s="156">
        <f ca="1">Table7[[#This Row],[Total (mW) C]]/10^3</f>
        <v>1.0938042181338314</v>
      </c>
      <c r="CM185" s="156">
        <f ca="1">Table7[[#This Row],[Total Sense Loss C]]+Table7[[#This Row],[Total MOSFET Loss C]]</f>
        <v>1.2137781243838315</v>
      </c>
      <c r="CN185" s="161">
        <f ca="1">IF(Table7[[#This Row],[POUT (W)]]=0,0,(Table7[[#This Row],[POUT (W)]])/(Table7[[#This Row],[POUT (W)]]+Table7[[#This Row],[Total Power Loss (W) C]]))*100</f>
        <v>93.479141546262454</v>
      </c>
      <c r="CO185" s="167"/>
      <c r="CP185" s="161">
        <f>IF(MOSFET_S=Custom_MOSFET,Table7[[#This Row],[Total Sense Loss C]],Table7[[#This Row],[Total Sense Loss]])</f>
        <v>0.11997390625000003</v>
      </c>
      <c r="CQ185" s="161">
        <f ca="1">IF(MOSFET_S=Custom_MOSFET,Table7[[#This Row],[Total MOSFET Loss C]],Table7[[#This Row],[Total MOSFET Loss]])</f>
        <v>2.3775618197452157</v>
      </c>
      <c r="CR185" s="161">
        <f ca="1">IF(MOSFET_S=Custom_MOSFET,Table7[[#This Row],[Efficiency C]],Table7[[#This Row],[Efficiency]])</f>
        <v>87.448014867829585</v>
      </c>
      <c r="CS185" s="167"/>
      <c r="CT185" s="161">
        <f>IF(MOSFET_S=Compare_MOSFET, Table7[[#This Row],[Total Sense Loss C]], -100)</f>
        <v>-100</v>
      </c>
      <c r="CU185" s="161">
        <f>IF(MOSFET_S=Compare_MOSFET, Table7[[#This Row],[Total MOSFET Loss C]], -100)</f>
        <v>-100</v>
      </c>
      <c r="CV185" s="161">
        <f>IF(MOSFET_S=Compare_MOSFET, Table7[[#This Row],[Efficiency C]], -100)</f>
        <v>-100</v>
      </c>
      <c r="CW185" s="167"/>
      <c r="CX185" s="161">
        <f ca="1">IF(Save_Sel=CLR_Save,  Table7[[#This Row],[Total Sense Loss P1]], Table7[[#This Row],[Total Sense Loss P1 Saved]])</f>
        <v>0.11997390625000003</v>
      </c>
      <c r="CY185" s="161">
        <f ca="1">IF(Save_Sel=CLR_Save,  Table7[[#This Row],[Total MOSFET Loss P1]], Table7[[#This Row],[Total MOSFET Loss P1 Saved]] )</f>
        <v>1.6691224177128923</v>
      </c>
      <c r="CZ185" s="161">
        <f ca="1">IF(Save_Sel=CLR_Save, Table7[[#This Row],[Efficiency P1]], Table7[[#This Row],[Efficiency P1 Saved]])</f>
        <v>90.676495162887321</v>
      </c>
      <c r="DA185" s="167"/>
      <c r="DB185" s="161">
        <f ca="1">IF(Save_Sel=CLR_Save,  Table7[[#This Row],[Total Sense Loss P2]], Table7[[#This Row],[Total Sense Loss P2 Saved]])</f>
        <v>0.11997390625000003</v>
      </c>
      <c r="DC185" s="161">
        <f ca="1">IF(Save_Sel=CLR_Save,  Table7[[#This Row],[Total MOSFET Loss P2]], Table7[[#This Row],[Total MOSFET Loss P2 Saved]] )</f>
        <v>1.1019295060934486</v>
      </c>
      <c r="DD185" s="161">
        <f ca="1">IF(Save_Sel=CLR_Save, Table7[[#This Row],[Efficiency P2]], Table7[[#This Row],[Efficiency P2 Saved]])</f>
        <v>93.438353828355076</v>
      </c>
      <c r="DE185" s="167"/>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c r="FH185" s="21"/>
      <c r="FI185" s="21"/>
    </row>
    <row r="186" spans="1:165" x14ac:dyDescent="0.25">
      <c r="A186" s="50">
        <v>13</v>
      </c>
      <c r="B186" s="51"/>
      <c r="C186" s="51"/>
      <c r="D186" s="34" t="s">
        <v>167</v>
      </c>
      <c r="E186" s="122">
        <f t="shared" ca="1" si="22"/>
        <v>0.72</v>
      </c>
      <c r="F186" s="122">
        <f t="shared" ca="1" si="23"/>
        <v>0.72</v>
      </c>
      <c r="G186" s="44" t="s">
        <v>1</v>
      </c>
      <c r="H186" s="31"/>
      <c r="I186" s="50">
        <v>13</v>
      </c>
      <c r="J186" s="31"/>
      <c r="K186" s="51"/>
      <c r="L186" s="51"/>
      <c r="M186" s="34" t="s">
        <v>167</v>
      </c>
      <c r="N186" s="122">
        <f t="shared" si="24"/>
        <v>0.8</v>
      </c>
      <c r="O186" s="122">
        <f t="shared" si="25"/>
        <v>0.8</v>
      </c>
      <c r="P186" s="44" t="s">
        <v>1</v>
      </c>
      <c r="Q186" s="31"/>
      <c r="R186" s="31"/>
      <c r="S186" s="32"/>
      <c r="T186" s="20"/>
      <c r="U186" s="21"/>
      <c r="V186" s="21"/>
      <c r="W186" s="21"/>
      <c r="X186" s="21"/>
      <c r="Y186" s="21"/>
      <c r="Z186" s="21"/>
      <c r="AA186" s="21"/>
      <c r="AB186" s="21"/>
      <c r="AC186" s="21"/>
      <c r="AD186" s="21"/>
      <c r="AE186" s="21"/>
      <c r="AF186" s="154">
        <f>AF185+1</f>
        <v>30</v>
      </c>
      <c r="AG186" s="154">
        <f t="shared" si="16"/>
        <v>1.5</v>
      </c>
      <c r="AH186" s="155">
        <f t="shared" si="3"/>
        <v>18</v>
      </c>
      <c r="AI186" s="156">
        <f t="shared" si="4"/>
        <v>0.42857142857142855</v>
      </c>
      <c r="AJ186" s="156">
        <f t="shared" si="5"/>
        <v>2.625</v>
      </c>
      <c r="AK186" s="156">
        <f t="shared" si="26"/>
        <v>0.85714285714285721</v>
      </c>
      <c r="AL186" s="156">
        <f t="shared" si="27"/>
        <v>2.6366360176929842</v>
      </c>
      <c r="AM186" s="157"/>
      <c r="AN186" s="156">
        <f>MAX(0,Table7[[#This Row],[I_L]]-0.5*Table7[[#This Row],[I_L pkpk]])</f>
        <v>2.1964285714285712</v>
      </c>
      <c r="AO186" s="156">
        <f>Table7[[#This Row],[I_L]]+0.5*Table7[[#This Row],[I_L pkpk]]</f>
        <v>3.0535714285714288</v>
      </c>
      <c r="AP186" s="156">
        <f ca="1">IF(VACnom&gt;Vbat, (VGS_S-(TI_MOSFET_S_VTH_H_BU+Table7[[#This Row],[I_L]]/TI_MOSFET_S_gFS_H_BU))/3.4, (VGS_S-(TI_MOSFET_S_VTH_L_BO+Table7[[#This Row],[I_L]]/TI_MOSFET_S_gFS_L_BO))/3.4 )</f>
        <v>2.4205316742081449</v>
      </c>
      <c r="AQ186" s="156">
        <f ca="1">IF(VACnom&gt;Vbat, ((TI_MOSFET_S_VTH_H_BU+Table7[[#This Row],[I_L]]/TI_MOSFET_S_gFS_H_BU))/1, ((TI_MOSFET_S_VTH_L_BO+Table7[[#This Row],[I_L]]/TI_MOSFET_S_gFS_L_BO))/1 )</f>
        <v>1.7701923076923076</v>
      </c>
      <c r="AR186" s="156">
        <f ca="1">IF(VACnom&gt;Vbat, (TI_MOSFET_S_QGD_H_BU+TI_MOSFET_S_QGS_H_BU)*10^-9/Table7[[#This Row],[Ion (A)]], (TI_MOSFET_S_QGD_L_BO+TI_MOSFET_S_QGS_L_BO)*10^-9/Table7[[#This Row],[Ion (A)]])/10^-9</f>
        <v>11.898212407991588</v>
      </c>
      <c r="AS186" s="156">
        <f ca="1">IF(VACnom&gt;Vbat, (TI_MOSFET_S_QGD_H_BU+TI_MOSFET_S_QGS_H_BU)*10^-9/Table7[[#This Row],[Ioff (A)]], (TI_MOSFET_S_QGD_L_BO+TI_MOSFET_S_QGS_L_BO)*10^-9/Table7[[#This Row],[Ioff (A)]])/10^-9</f>
        <v>16.269418794133625</v>
      </c>
      <c r="AT186" s="156">
        <f ca="1" xml:space="preserve"> 0.5*VACnom*Table7[[#This Row],[Ivalley (A)]]*Table7[[#This Row],[ton (ns)]]*10^-9*Fsw*10^3+0.5*VACnom*Table7[[#This Row],[Ipeak (A)]]*Table7[[#This Row],[toff (ns)]]*10^-9*Fsw*10^3/10^-3</f>
        <v>178.94147746648071</v>
      </c>
      <c r="AU186" s="156">
        <f t="shared" ca="1" si="8"/>
        <v>262.8</v>
      </c>
      <c r="AV186" s="156">
        <f t="shared" ca="1" si="9"/>
        <v>648</v>
      </c>
      <c r="AW186" s="156">
        <f t="shared" ca="1" si="10"/>
        <v>554.4</v>
      </c>
      <c r="AX186" s="156">
        <f ca="1">IF(VACnom&gt;Vbat, TI_MOSFET_S_VSD_L_BU*Table7[[#This Row],[Ivalley (A)]]*Fsw*10^3*40*10^-9+TI_MOSFET_S_VSD_L_BU*Table7[[#This Row],[Ipeak (A)]]*Fsw*10^3*30*10^-9, TI_MOSFET_S_VSD_H_BO*Table7[[#This Row],[Ivalley (A)]]*Fsw*10^3*40*10^-9+TI_MOSFET_S_VSD_H_BO*Table7[[#This Row],[Ipeak (A)]]*Fsw*10^3*30*10^-9)/10^-3</f>
        <v>77.528571428571411</v>
      </c>
      <c r="AY186" s="156">
        <f t="shared" ca="1" si="11"/>
        <v>648</v>
      </c>
      <c r="AZ186" s="156">
        <f ca="1">IF(VACnom&lt;Vbat, Table7[[#This Row],[Duty Cycle]]*Table7[[#This Row],[I_L RMS]]^2*TI_MOSFET_S_RDSON_H_BU*10^-3, (1-Table7[[#This Row],[Duty Cycle]])*Table7[[#This Row],[I_L RMS]]^2*TI_MOSFET_S_RDSON_H_BO*10^-3)/10^-3</f>
        <v>8.342219387755101</v>
      </c>
      <c r="BA186" s="156">
        <f ca="1">IF(VACnom&gt;Vbat, Table7[[#This Row],[PIV (mW)]]+Table7[[#This Row],[Pqoss (mW)]]+Table7[[#This Row],[Pgate_top (mW)]], Table7[[#This Row],[PRR (mW)]]+Table7[[#This Row],[Pdead (mW)]]+Table7[[#This Row],[Pgate_top (mW)]])</f>
        <v>1279.9285714285713</v>
      </c>
      <c r="BB186" s="156">
        <f ca="1">Table7[[#This Row],[Pcon_top (mW)]]+Table7[[#This Row],[Psw_top (mW)]]</f>
        <v>1288.2707908163263</v>
      </c>
      <c r="BC186" s="156">
        <f ca="1">IF(VACnom&gt;Vbat, (1-Table7[[#This Row],[Duty Cycle]])*Table7[[#This Row],[I_L RMS]]^2*TI_MOSFET_S_RDSON_L_BU*10^-3, Table7[[#This Row],[Duty Cycle]]*Table7[[#This Row],[I_L RMS]]^2*TI_MOSFET_S_RDSON_L_BO*10^-3)/10^-3</f>
        <v>8.342219387755101</v>
      </c>
      <c r="BD186" s="156">
        <f ca="1">IF(VACnom&gt;Vbat, Table7[[#This Row],[PRR (mW)]]+Table7[[#This Row],[Pdead (mW)]]+Table7[[#This Row],[Pgate_bottom (mW)]], Table7[[#This Row],[PIV (mW)]]+Table7[[#This Row],[Pqoss (mW)]]+Table7[[#This Row],[Pgate_bottom (mW)]])</f>
        <v>1089.7414774664808</v>
      </c>
      <c r="BE186" s="158">
        <f ca="1">Table7[[#This Row],[Pcon_bottom (mW)]]+Table7[[#This Row],[Psw_bottom (mW)]]</f>
        <v>1098.0836968542358</v>
      </c>
      <c r="BF186" s="164">
        <f ca="1">Table7[[#This Row],[Pbottom (mW)]]+Table7[[#This Row],[Ptop (mW)]]</f>
        <v>2386.3544876705619</v>
      </c>
      <c r="BG186" s="153"/>
      <c r="BH186" s="156">
        <f>MAX(0,Table7[[#This Row],[I_L]]-0.5*Table7[[#This Row],[I_L pkpk]])</f>
        <v>2.1964285714285712</v>
      </c>
      <c r="BI186" s="156">
        <f>Table7[[#This Row],[I_L]]+0.5*Table7[[#This Row],[I_L pkpk]]</f>
        <v>3.0535714285714288</v>
      </c>
      <c r="BJ186" s="156">
        <f>IF(VACnom&gt;Vbat, (VGS_S-(C_MOSFET_S_VTH_H_BU+Table7[[#This Row],[I_L]]/C_MOSFET_S_gFS_H_BU))/3.4, (VGS_S-(C_MOSFET_S_VTH_L_BO+Table7[[#This Row],[I_L]]/C_MOSFET_S_gFS_L_BO))/3.4 )</f>
        <v>2.3477941176470587</v>
      </c>
      <c r="BK186" s="156">
        <f>IF(VACnom&gt;Vbat, ((C_MOSFET_S_VTH_H_BU+Table7[[#This Row],[I_L]]/C_MOSFET_S_gFS_H_BU))/1, ((C_MOSFET_S_VTH_L_BO+Table7[[#This Row],[I_L]]/C_MOSFET_S_gFS_L_BO))/1 )</f>
        <v>2.0175000000000001</v>
      </c>
      <c r="BL186" s="156">
        <f>IF(VACnom&gt;Vbat, (C_MOSFET_S_QGD_H_BU+C_MOSFET_S_QGS_H_BU)*10^-9/Table7[[#This Row],[Ion (A) C]], (C_MOSFET_S_QGD_L_BO+C_MOSFET_S_QGS_L_BO)*10^-9/Table7[[#This Row],[Ion (A) C]])/10^-9</f>
        <v>2.7685562167240843</v>
      </c>
      <c r="BM186" s="156">
        <f>IF(VACnom&gt;Vbat, (C_MOSFET_S_QGD_H_BU+C_MOSFET_S_QGS_H_BU)*10^-9/Table7[[#This Row],[Ioff (A) C]], (C_MOSFET_S_QGD_L_BO+C_MOSFET_S_QGS_L_BO)*10^-9/Table7[[#This Row],[Ioff (A) C]])/10^-9</f>
        <v>3.2218091697645601</v>
      </c>
      <c r="BN186" s="156">
        <f xml:space="preserve"> 0.5*VACnom*Table7[[#This Row],[Ivalley (A) C]]*Table7[[#This Row],[ton (ns) C]]*10^-9*Fsw*10^3+0.5*VACnom*Table7[[#This Row],[Ipeak (A) C]]*Table7[[#This Row],[toff (ns) C]]*10^-9*Fsw*10^3/10^-3</f>
        <v>35.438779314282662</v>
      </c>
      <c r="BO186" s="156">
        <f t="shared" si="12"/>
        <v>129.6</v>
      </c>
      <c r="BP186" s="156">
        <f t="shared" ca="1" si="13"/>
        <v>291.59999999999997</v>
      </c>
      <c r="BQ186" s="156">
        <f t="shared" si="14"/>
        <v>237.6</v>
      </c>
      <c r="BR186" s="156">
        <f>IF(VACnom&gt;Vbat, C_MOSFET_S_VSD_L_BU*Table7[[#This Row],[Ivalley (A) C]]*Fsw*10^3*40*10^-9+C_MOSFET_S_VSD_L_BU*Table7[[#This Row],[Ipeak (A) C]]*Fsw*10^3*30*10^-9, C_MOSFET_S_VSD_H_BO*Table7[[#This Row],[Ivalley (A) C]]*Fsw*10^3*40*10^-9+C_MOSFET_S_VSD_H_BO*Table7[[#This Row],[Ipeak (A) C]]*Fsw*10^3*30*10^-9)/10^-3</f>
        <v>86.142857142857139</v>
      </c>
      <c r="BS186" s="156">
        <f t="shared" ca="1" si="15"/>
        <v>291.59999999999997</v>
      </c>
      <c r="BT186" s="156">
        <f>IF(VACnom&lt;Vbat, Table7[[#This Row],[Duty Cycle]]*Table7[[#This Row],[I_L RMS]]^2*C_MOSFET_S_RDSON_H_BU*10^-3, (1-Table7[[#This Row],[Duty Cycle]])*Table7[[#This Row],[I_L RMS]]^2*C_MOSFET_S_RDSON_H_BO*10^-3)/10^-3</f>
        <v>16.982375182215744</v>
      </c>
      <c r="BU186" s="156">
        <f ca="1">IF(VACnom&gt;Vbat, Table7[[#This Row],[PIV (mW) C]]+Table7[[#This Row],[PQoss (mW) C]]+Table7[[#This Row],[Pgate_top (mW) C]], Table7[[#This Row],[PRR (mW) C]]+Table7[[#This Row],[Pdead (mW) C]]+Table7[[#This Row],[Pgate_top (mW) C]])</f>
        <v>615.34285714285716</v>
      </c>
      <c r="BV186" s="156">
        <f ca="1">Table7[[#This Row],[Pcon_top (mW) C]]+Table7[[#This Row],[Psw_top (mW) C]]</f>
        <v>632.32523232507288</v>
      </c>
      <c r="BW186" s="156">
        <f ca="1">IF(VACnom&gt;Vbat, (1-Table7[[#This Row],[Duty Cycle]])*Table7[[#This Row],[I_L RMS]]^2*C_MOSFET_S_RDSON_L_BU*10^-3, Table7[[#This Row],[Duty Cycle]]*Table7[[#This Row],[I_L RMS]]^2*C_MOSFET_S_RDSON_L_BO*10^-3)/10^-3</f>
        <v>10.576742438046647</v>
      </c>
      <c r="BX186" s="156">
        <f ca="1">IF(VACnom&gt;Vbat, Table7[[#This Row],[PRR (mW) C]]+Table7[[#This Row],[Pdead (mW) C]]+Table7[[#This Row],[Pgate_bottom (mW) C]], Table7[[#This Row],[PIV (mW) C]]+Table7[[#This Row],[PQoss (mW) C]]+Table7[[#This Row],[Pgate_bottom (mW) C]])</f>
        <v>456.6387793142826</v>
      </c>
      <c r="BY186" s="156">
        <f ca="1">Table7[[#This Row],[Pcon_bottom (mW) C]]+Table7[[#This Row],[Psw_bottom (mV) C]]</f>
        <v>467.21552175232927</v>
      </c>
      <c r="BZ186" s="156">
        <f ca="1">Table7[[#This Row],[Pbottom (mW) C]]+Table7[[#This Row],[Ptop (mW) C]]</f>
        <v>1099.5407540774022</v>
      </c>
      <c r="CA186" s="159"/>
      <c r="CB186" s="160">
        <f>(RAC_SNS*10^-3*(Table7[[#This Row],[IOUT (A)]]*Vbat/VACnom)^2/10^-3)</f>
        <v>34.453125</v>
      </c>
      <c r="CC186" s="160">
        <f>(RBAT_SNS*10^-3*Table7[[#This Row],[IOUT (A)]]^2)/10^-3</f>
        <v>11.25</v>
      </c>
      <c r="CD186" s="160">
        <f>IF(VACnom&gt;Vbat,(L_DRC*10^-3*(Table7[[#This Row],[IOUT (A)]])^2/10^-3),(L_DRC*10^-3*(Table7[[#This Row],[IOUT (A)]]*Vbat/VACnom)^2/10^-3))</f>
        <v>82.6875</v>
      </c>
      <c r="CE186" s="166"/>
      <c r="CF186" s="156">
        <f>(Table7[[#This Row],[R_AC (mW)]]+Table7[[#This Row],[R_SR (mW)]]+Table7[[#This Row],[Inductor Loss (mW)]])/10^3</f>
        <v>0.12839062500000001</v>
      </c>
      <c r="CG186" s="156">
        <f ca="1">Table7[[#This Row],[Total TI (mW)]]/10^3</f>
        <v>2.386354487670562</v>
      </c>
      <c r="CH186" s="156">
        <f ca="1">Table7[[#This Row],[Total Sense Loss]]+Table7[[#This Row],[Total MOSFET Loss]]</f>
        <v>2.5147451126705622</v>
      </c>
      <c r="CI186" s="161">
        <f ca="1">IF(Table7[[#This Row],[POUT (W)]]=0,0,(Table7[[#This Row],[POUT (W)]])/(Table7[[#This Row],[POUT (W)]]+Table7[[#This Row],[Total Power Loss (W)]]))*100</f>
        <v>87.741767695093742</v>
      </c>
      <c r="CJ186" s="167"/>
      <c r="CK186" s="156">
        <f>(Table7[[#This Row],[R_AC (mW)]]+Table7[[#This Row],[R_SR (mW)]]+Table7[[#This Row],[Inductor Loss (mW)]])/10^3</f>
        <v>0.12839062500000001</v>
      </c>
      <c r="CL186" s="156">
        <f ca="1">Table7[[#This Row],[Total (mW) C]]/10^3</f>
        <v>1.0995407540774023</v>
      </c>
      <c r="CM186" s="156">
        <f ca="1">Table7[[#This Row],[Total Sense Loss C]]+Table7[[#This Row],[Total MOSFET Loss C]]</f>
        <v>1.2279313790774022</v>
      </c>
      <c r="CN186" s="161">
        <f ca="1">IF(Table7[[#This Row],[POUT (W)]]=0,0,(Table7[[#This Row],[POUT (W)]])/(Table7[[#This Row],[POUT (W)]]+Table7[[#This Row],[Total Power Loss (W) C]]))*100</f>
        <v>93.613814430326286</v>
      </c>
      <c r="CO186" s="167"/>
      <c r="CP186" s="161">
        <f>IF(MOSFET_S=Custom_MOSFET,Table7[[#This Row],[Total Sense Loss C]],Table7[[#This Row],[Total Sense Loss]])</f>
        <v>0.12839062500000001</v>
      </c>
      <c r="CQ186" s="161">
        <f ca="1">IF(MOSFET_S=Custom_MOSFET,Table7[[#This Row],[Total MOSFET Loss C]],Table7[[#This Row],[Total MOSFET Loss]])</f>
        <v>2.386354487670562</v>
      </c>
      <c r="CR186" s="161">
        <f ca="1">IF(MOSFET_S=Custom_MOSFET,Table7[[#This Row],[Efficiency C]],Table7[[#This Row],[Efficiency]])</f>
        <v>87.741767695093742</v>
      </c>
      <c r="CS186" s="167"/>
      <c r="CT186" s="161">
        <f>IF(MOSFET_S=Compare_MOSFET, Table7[[#This Row],[Total Sense Loss C]], -100)</f>
        <v>-100</v>
      </c>
      <c r="CU186" s="161">
        <f>IF(MOSFET_S=Compare_MOSFET, Table7[[#This Row],[Total MOSFET Loss C]], -100)</f>
        <v>-100</v>
      </c>
      <c r="CV186" s="161">
        <f>IF(MOSFET_S=Compare_MOSFET, Table7[[#This Row],[Efficiency C]], -100)</f>
        <v>-100</v>
      </c>
      <c r="CW186" s="167"/>
      <c r="CX186" s="161">
        <f ca="1">IF(Save_Sel=CLR_Save,  Table7[[#This Row],[Total Sense Loss P1]], Table7[[#This Row],[Total Sense Loss P1 Saved]])</f>
        <v>0.12839062500000001</v>
      </c>
      <c r="CY186" s="161">
        <f ca="1">IF(Save_Sel=CLR_Save,  Table7[[#This Row],[Total MOSFET Loss P1]], Table7[[#This Row],[Total MOSFET Loss P1 Saved]] )</f>
        <v>1.678213087328474</v>
      </c>
      <c r="CZ186" s="161">
        <f ca="1">IF(Save_Sel=CLR_Save, Table7[[#This Row],[Efficiency P1]], Table7[[#This Row],[Efficiency P1 Saved]])</f>
        <v>90.878780943125719</v>
      </c>
      <c r="DA186" s="167"/>
      <c r="DB186" s="161">
        <f ca="1">IF(Save_Sel=CLR_Save,  Table7[[#This Row],[Total Sense Loss P2]], Table7[[#This Row],[Total Sense Loss P2 Saved]])</f>
        <v>0.12839062500000001</v>
      </c>
      <c r="DC186" s="161">
        <f ca="1">IF(Save_Sel=CLR_Save,  Table7[[#This Row],[Total MOSFET Loss P2]], Table7[[#This Row],[Total MOSFET Loss P2 Saved]] )</f>
        <v>1.1082294103884087</v>
      </c>
      <c r="DD186" s="161">
        <f ca="1">IF(Save_Sel=CLR_Save, Table7[[#This Row],[Efficiency P2]], Table7[[#This Row],[Efficiency P2 Saved]])</f>
        <v>93.571531625028328</v>
      </c>
      <c r="DE186" s="167"/>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c r="FH186" s="21"/>
      <c r="FI186" s="21"/>
    </row>
    <row r="187" spans="1:165" x14ac:dyDescent="0.25">
      <c r="A187" s="50">
        <v>14</v>
      </c>
      <c r="B187" s="51"/>
      <c r="C187" s="51"/>
      <c r="D187" s="34" t="s">
        <v>20</v>
      </c>
      <c r="E187" s="122">
        <f t="shared" ca="1" si="22"/>
        <v>77</v>
      </c>
      <c r="F187" s="51"/>
      <c r="G187" s="44" t="s">
        <v>23</v>
      </c>
      <c r="H187" s="31"/>
      <c r="I187" s="50">
        <v>14</v>
      </c>
      <c r="J187" s="31"/>
      <c r="K187" s="51"/>
      <c r="L187" s="51"/>
      <c r="M187" s="34" t="s">
        <v>20</v>
      </c>
      <c r="N187" s="122">
        <f t="shared" si="24"/>
        <v>33</v>
      </c>
      <c r="O187" s="51"/>
      <c r="P187" s="44" t="s">
        <v>23</v>
      </c>
      <c r="Q187" s="31"/>
      <c r="R187" s="31"/>
      <c r="S187" s="32"/>
      <c r="T187" s="20"/>
      <c r="U187" s="21"/>
      <c r="V187" s="21"/>
      <c r="W187" s="21"/>
      <c r="X187" s="21"/>
      <c r="Y187" s="21"/>
      <c r="Z187" s="21"/>
      <c r="AA187" s="21"/>
      <c r="AB187" s="21"/>
      <c r="AC187" s="21"/>
      <c r="AD187" s="21"/>
      <c r="AE187" s="21"/>
      <c r="AF187" s="154">
        <f t="shared" si="17"/>
        <v>31</v>
      </c>
      <c r="AG187" s="154">
        <f t="shared" si="16"/>
        <v>1.55</v>
      </c>
      <c r="AH187" s="155">
        <f t="shared" si="3"/>
        <v>18.600000000000001</v>
      </c>
      <c r="AI187" s="156">
        <f t="shared" si="4"/>
        <v>0.42857142857142855</v>
      </c>
      <c r="AJ187" s="156">
        <f t="shared" si="5"/>
        <v>2.7125000000000004</v>
      </c>
      <c r="AK187" s="156">
        <f t="shared" si="26"/>
        <v>0.85714285714285721</v>
      </c>
      <c r="AL187" s="156">
        <f t="shared" si="27"/>
        <v>2.7237622399533921</v>
      </c>
      <c r="AM187" s="157"/>
      <c r="AN187" s="156">
        <f>MAX(0,Table7[[#This Row],[I_L]]-0.5*Table7[[#This Row],[I_L pkpk]])</f>
        <v>2.2839285714285715</v>
      </c>
      <c r="AO187" s="156">
        <f>Table7[[#This Row],[I_L]]+0.5*Table7[[#This Row],[I_L pkpk]]</f>
        <v>3.1410714285714292</v>
      </c>
      <c r="AP187" s="156">
        <f ca="1">IF(VACnom&gt;Vbat, (VGS_S-(TI_MOSFET_S_VTH_H_BU+Table7[[#This Row],[I_L]]/TI_MOSFET_S_gFS_H_BU))/3.4, (VGS_S-(TI_MOSFET_S_VTH_L_BO+Table7[[#This Row],[I_L]]/TI_MOSFET_S_gFS_L_BO))/3.4 )</f>
        <v>2.42033371040724</v>
      </c>
      <c r="AQ187" s="156">
        <f ca="1">IF(VACnom&gt;Vbat, ((TI_MOSFET_S_VTH_H_BU+Table7[[#This Row],[I_L]]/TI_MOSFET_S_gFS_H_BU))/1, ((TI_MOSFET_S_VTH_L_BO+Table7[[#This Row],[I_L]]/TI_MOSFET_S_gFS_L_BO))/1 )</f>
        <v>1.7708653846153846</v>
      </c>
      <c r="AR187" s="156">
        <f ca="1">IF(VACnom&gt;Vbat, (TI_MOSFET_S_QGD_H_BU+TI_MOSFET_S_QGS_H_BU)*10^-9/Table7[[#This Row],[Ion (A)]], (TI_MOSFET_S_QGD_L_BO+TI_MOSFET_S_QGS_L_BO)*10^-9/Table7[[#This Row],[Ion (A)]])/10^-9</f>
        <v>11.899185585922439</v>
      </c>
      <c r="AS187" s="156">
        <f ca="1">IF(VACnom&gt;Vbat, (TI_MOSFET_S_QGD_H_BU+TI_MOSFET_S_QGS_H_BU)*10^-9/Table7[[#This Row],[Ioff (A)]], (TI_MOSFET_S_QGD_L_BO+TI_MOSFET_S_QGS_L_BO)*10^-9/Table7[[#This Row],[Ioff (A)]])/10^-9</f>
        <v>16.263235054569151</v>
      </c>
      <c r="AT187" s="156">
        <f ca="1" xml:space="preserve"> 0.5*VACnom*Table7[[#This Row],[Ivalley (A)]]*Table7[[#This Row],[ton (ns)]]*10^-9*Fsw*10^3+0.5*VACnom*Table7[[#This Row],[Ipeak (A)]]*Table7[[#This Row],[toff (ns)]]*10^-9*Fsw*10^3/10^-3</f>
        <v>184.00017548154563</v>
      </c>
      <c r="AU187" s="156">
        <f t="shared" ca="1" si="8"/>
        <v>262.8</v>
      </c>
      <c r="AV187" s="156">
        <f t="shared" ca="1" si="9"/>
        <v>648</v>
      </c>
      <c r="AW187" s="156">
        <f t="shared" ca="1" si="10"/>
        <v>554.4</v>
      </c>
      <c r="AX187" s="156">
        <f ca="1">IF(VACnom&gt;Vbat, TI_MOSFET_S_VSD_L_BU*Table7[[#This Row],[Ivalley (A)]]*Fsw*10^3*40*10^-9+TI_MOSFET_S_VSD_L_BU*Table7[[#This Row],[Ipeak (A)]]*Fsw*10^3*30*10^-9, TI_MOSFET_S_VSD_H_BO*Table7[[#This Row],[Ivalley (A)]]*Fsw*10^3*40*10^-9+TI_MOSFET_S_VSD_H_BO*Table7[[#This Row],[Ipeak (A)]]*Fsw*10^3*30*10^-9)/10^-3</f>
        <v>80.17457142857144</v>
      </c>
      <c r="AY187" s="156">
        <f t="shared" ca="1" si="11"/>
        <v>648</v>
      </c>
      <c r="AZ187" s="156">
        <f ca="1">IF(VACnom&lt;Vbat, Table7[[#This Row],[Duty Cycle]]*Table7[[#This Row],[I_L RMS]]^2*TI_MOSFET_S_RDSON_H_BU*10^-3, (1-Table7[[#This Row],[Duty Cycle]])*Table7[[#This Row],[I_L RMS]]^2*TI_MOSFET_S_RDSON_H_BO*10^-3)/10^-3</f>
        <v>8.9026568877551018</v>
      </c>
      <c r="BA187" s="156">
        <f ca="1">IF(VACnom&gt;Vbat, Table7[[#This Row],[PIV (mW)]]+Table7[[#This Row],[Pqoss (mW)]]+Table7[[#This Row],[Pgate_top (mW)]], Table7[[#This Row],[PRR (mW)]]+Table7[[#This Row],[Pdead (mW)]]+Table7[[#This Row],[Pgate_top (mW)]])</f>
        <v>1282.5745714285713</v>
      </c>
      <c r="BB187" s="156">
        <f ca="1">Table7[[#This Row],[Pcon_top (mW)]]+Table7[[#This Row],[Psw_top (mW)]]</f>
        <v>1291.4772283163263</v>
      </c>
      <c r="BC187" s="156">
        <f ca="1">IF(VACnom&gt;Vbat, (1-Table7[[#This Row],[Duty Cycle]])*Table7[[#This Row],[I_L RMS]]^2*TI_MOSFET_S_RDSON_L_BU*10^-3, Table7[[#This Row],[Duty Cycle]]*Table7[[#This Row],[I_L RMS]]^2*TI_MOSFET_S_RDSON_L_BO*10^-3)/10^-3</f>
        <v>8.9026568877551018</v>
      </c>
      <c r="BD187" s="156">
        <f ca="1">IF(VACnom&gt;Vbat, Table7[[#This Row],[PRR (mW)]]+Table7[[#This Row],[Pdead (mW)]]+Table7[[#This Row],[Pgate_bottom (mW)]], Table7[[#This Row],[PIV (mW)]]+Table7[[#This Row],[Pqoss (mW)]]+Table7[[#This Row],[Pgate_bottom (mW)]])</f>
        <v>1094.8001754815457</v>
      </c>
      <c r="BE187" s="158">
        <f ca="1">Table7[[#This Row],[Pcon_bottom (mW)]]+Table7[[#This Row],[Psw_bottom (mW)]]</f>
        <v>1103.7028323693007</v>
      </c>
      <c r="BF187" s="164">
        <f ca="1">Table7[[#This Row],[Pbottom (mW)]]+Table7[[#This Row],[Ptop (mW)]]</f>
        <v>2395.1800606856268</v>
      </c>
      <c r="BG187" s="153"/>
      <c r="BH187" s="156">
        <f>MAX(0,Table7[[#This Row],[I_L]]-0.5*Table7[[#This Row],[I_L pkpk]])</f>
        <v>2.2839285714285715</v>
      </c>
      <c r="BI187" s="156">
        <f>Table7[[#This Row],[I_L]]+0.5*Table7[[#This Row],[I_L pkpk]]</f>
        <v>3.1410714285714292</v>
      </c>
      <c r="BJ187" s="156">
        <f>IF(VACnom&gt;Vbat, (VGS_S-(C_MOSFET_S_VTH_H_BU+Table7[[#This Row],[I_L]]/C_MOSFET_S_gFS_H_BU))/3.4, (VGS_S-(C_MOSFET_S_VTH_L_BO+Table7[[#This Row],[I_L]]/C_MOSFET_S_gFS_L_BO))/3.4 )</f>
        <v>2.3476225490196079</v>
      </c>
      <c r="BK187" s="156">
        <f>IF(VACnom&gt;Vbat, ((C_MOSFET_S_VTH_H_BU+Table7[[#This Row],[I_L]]/C_MOSFET_S_gFS_H_BU))/1, ((C_MOSFET_S_VTH_L_BO+Table7[[#This Row],[I_L]]/C_MOSFET_S_gFS_L_BO))/1 )</f>
        <v>2.0180833333333332</v>
      </c>
      <c r="BL187" s="156">
        <f>IF(VACnom&gt;Vbat, (C_MOSFET_S_QGD_H_BU+C_MOSFET_S_QGS_H_BU)*10^-9/Table7[[#This Row],[Ion (A) C]], (C_MOSFET_S_QGD_L_BO+C_MOSFET_S_QGS_L_BO)*10^-9/Table7[[#This Row],[Ion (A) C]])/10^-9</f>
        <v>2.7687585479678023</v>
      </c>
      <c r="BM187" s="156">
        <f>IF(VACnom&gt;Vbat, (C_MOSFET_S_QGD_H_BU+C_MOSFET_S_QGS_H_BU)*10^-9/Table7[[#This Row],[Ioff (A) C]], (C_MOSFET_S_QGD_L_BO+C_MOSFET_S_QGS_L_BO)*10^-9/Table7[[#This Row],[Ioff (A) C]])/10^-9</f>
        <v>3.2208778956931079</v>
      </c>
      <c r="BN187" s="156">
        <f xml:space="preserve"> 0.5*VACnom*Table7[[#This Row],[Ivalley (A) C]]*Table7[[#This Row],[ton (ns) C]]*10^-9*Fsw*10^3+0.5*VACnom*Table7[[#This Row],[Ipeak (A) C]]*Table7[[#This Row],[toff (ns) C]]*10^-9*Fsw*10^3/10^-3</f>
        <v>36.443992247402328</v>
      </c>
      <c r="BO187" s="156">
        <f t="shared" si="12"/>
        <v>129.6</v>
      </c>
      <c r="BP187" s="156">
        <f t="shared" ca="1" si="13"/>
        <v>291.59999999999997</v>
      </c>
      <c r="BQ187" s="156">
        <f t="shared" si="14"/>
        <v>237.6</v>
      </c>
      <c r="BR187" s="156">
        <f>IF(VACnom&gt;Vbat, C_MOSFET_S_VSD_L_BU*Table7[[#This Row],[Ivalley (A) C]]*Fsw*10^3*40*10^-9+C_MOSFET_S_VSD_L_BU*Table7[[#This Row],[Ipeak (A) C]]*Fsw*10^3*30*10^-9, C_MOSFET_S_VSD_H_BO*Table7[[#This Row],[Ivalley (A) C]]*Fsw*10^3*40*10^-9+C_MOSFET_S_VSD_H_BO*Table7[[#This Row],[Ipeak (A) C]]*Fsw*10^3*30*10^-9)/10^-3</f>
        <v>89.082857142857151</v>
      </c>
      <c r="BS187" s="156">
        <f t="shared" ca="1" si="15"/>
        <v>291.59999999999997</v>
      </c>
      <c r="BT187" s="156">
        <f>IF(VACnom&lt;Vbat, Table7[[#This Row],[Duty Cycle]]*Table7[[#This Row],[I_L RMS]]^2*C_MOSFET_S_RDSON_H_BU*10^-3, (1-Table7[[#This Row],[Duty Cycle]])*Table7[[#This Row],[I_L RMS]]^2*C_MOSFET_S_RDSON_H_BO*10^-3)/10^-3</f>
        <v>18.123265807215745</v>
      </c>
      <c r="BU187" s="156">
        <f ca="1">IF(VACnom&gt;Vbat, Table7[[#This Row],[PIV (mW) C]]+Table7[[#This Row],[PQoss (mW) C]]+Table7[[#This Row],[Pgate_top (mW) C]], Table7[[#This Row],[PRR (mW) C]]+Table7[[#This Row],[Pdead (mW) C]]+Table7[[#This Row],[Pgate_top (mW) C]])</f>
        <v>618.2828571428571</v>
      </c>
      <c r="BV187" s="156">
        <f ca="1">Table7[[#This Row],[Pcon_top (mW) C]]+Table7[[#This Row],[Psw_top (mW) C]]</f>
        <v>636.40612295007281</v>
      </c>
      <c r="BW187" s="156">
        <f ca="1">IF(VACnom&gt;Vbat, (1-Table7[[#This Row],[Duty Cycle]])*Table7[[#This Row],[I_L RMS]]^2*C_MOSFET_S_RDSON_L_BU*10^-3, Table7[[#This Row],[Duty Cycle]]*Table7[[#This Row],[I_L RMS]]^2*C_MOSFET_S_RDSON_L_BO*10^-3)/10^-3</f>
        <v>11.287297125546647</v>
      </c>
      <c r="BX187" s="156">
        <f ca="1">IF(VACnom&gt;Vbat, Table7[[#This Row],[PRR (mW) C]]+Table7[[#This Row],[Pdead (mW) C]]+Table7[[#This Row],[Pgate_bottom (mW) C]], Table7[[#This Row],[PIV (mW) C]]+Table7[[#This Row],[PQoss (mW) C]]+Table7[[#This Row],[Pgate_bottom (mW) C]])</f>
        <v>457.64399224740225</v>
      </c>
      <c r="BY187" s="156">
        <f ca="1">Table7[[#This Row],[Pcon_bottom (mW) C]]+Table7[[#This Row],[Psw_bottom (mV) C]]</f>
        <v>468.93128937294892</v>
      </c>
      <c r="BZ187" s="156">
        <f ca="1">Table7[[#This Row],[Pbottom (mW) C]]+Table7[[#This Row],[Ptop (mW) C]]</f>
        <v>1105.3374123230217</v>
      </c>
      <c r="CA187" s="159"/>
      <c r="CB187" s="160">
        <f>(RAC_SNS*10^-3*(Table7[[#This Row],[IOUT (A)]]*Vbat/VACnom)^2/10^-3)</f>
        <v>36.788281250000004</v>
      </c>
      <c r="CC187" s="160">
        <f>(RBAT_SNS*10^-3*Table7[[#This Row],[IOUT (A)]]^2)/10^-3</f>
        <v>12.012500000000003</v>
      </c>
      <c r="CD187" s="160">
        <f>IF(VACnom&gt;Vbat,(L_DRC*10^-3*(Table7[[#This Row],[IOUT (A)]])^2/10^-3),(L_DRC*10^-3*(Table7[[#This Row],[IOUT (A)]]*Vbat/VACnom)^2/10^-3))</f>
        <v>88.291875000000019</v>
      </c>
      <c r="CE187" s="166"/>
      <c r="CF187" s="156">
        <f>(Table7[[#This Row],[R_AC (mW)]]+Table7[[#This Row],[R_SR (mW)]]+Table7[[#This Row],[Inductor Loss (mW)]])/10^3</f>
        <v>0.13709265625000003</v>
      </c>
      <c r="CG187" s="156">
        <f ca="1">Table7[[#This Row],[Total TI (mW)]]/10^3</f>
        <v>2.3951800606856266</v>
      </c>
      <c r="CH187" s="156">
        <f ca="1">Table7[[#This Row],[Total Sense Loss]]+Table7[[#This Row],[Total MOSFET Loss]]</f>
        <v>2.5322727169356267</v>
      </c>
      <c r="CI187" s="161">
        <f ca="1">IF(Table7[[#This Row],[POUT (W)]]=0,0,(Table7[[#This Row],[POUT (W)]])/(Table7[[#This Row],[POUT (W)]]+Table7[[#This Row],[Total Power Loss (W)]]))*100</f>
        <v>88.017035598323332</v>
      </c>
      <c r="CJ187" s="167"/>
      <c r="CK187" s="156">
        <f>(Table7[[#This Row],[R_AC (mW)]]+Table7[[#This Row],[R_SR (mW)]]+Table7[[#This Row],[Inductor Loss (mW)]])/10^3</f>
        <v>0.13709265625000003</v>
      </c>
      <c r="CL187" s="156">
        <f ca="1">Table7[[#This Row],[Total (mW) C]]/10^3</f>
        <v>1.1053374123230217</v>
      </c>
      <c r="CM187" s="156">
        <f ca="1">Table7[[#This Row],[Total Sense Loss C]]+Table7[[#This Row],[Total MOSFET Loss C]]</f>
        <v>1.2424300685730219</v>
      </c>
      <c r="CN187" s="161">
        <f ca="1">IF(Table7[[#This Row],[POUT (W)]]=0,0,(Table7[[#This Row],[POUT (W)]])/(Table7[[#This Row],[POUT (W)]]+Table7[[#This Row],[Total Power Loss (W) C]]))*100</f>
        <v>93.738518597372732</v>
      </c>
      <c r="CO187" s="167"/>
      <c r="CP187" s="161">
        <f>IF(MOSFET_S=Custom_MOSFET,Table7[[#This Row],[Total Sense Loss C]],Table7[[#This Row],[Total Sense Loss]])</f>
        <v>0.13709265625000003</v>
      </c>
      <c r="CQ187" s="161">
        <f ca="1">IF(MOSFET_S=Custom_MOSFET,Table7[[#This Row],[Total MOSFET Loss C]],Table7[[#This Row],[Total MOSFET Loss]])</f>
        <v>2.3951800606856266</v>
      </c>
      <c r="CR187" s="161">
        <f ca="1">IF(MOSFET_S=Custom_MOSFET,Table7[[#This Row],[Efficiency C]],Table7[[#This Row],[Efficiency]])</f>
        <v>88.017035598323332</v>
      </c>
      <c r="CS187" s="167"/>
      <c r="CT187" s="161">
        <f>IF(MOSFET_S=Compare_MOSFET, Table7[[#This Row],[Total Sense Loss C]], -100)</f>
        <v>-100</v>
      </c>
      <c r="CU187" s="161">
        <f>IF(MOSFET_S=Compare_MOSFET, Table7[[#This Row],[Total MOSFET Loss C]], -100)</f>
        <v>-100</v>
      </c>
      <c r="CV187" s="161">
        <f>IF(MOSFET_S=Compare_MOSFET, Table7[[#This Row],[Efficiency C]], -100)</f>
        <v>-100</v>
      </c>
      <c r="CW187" s="167"/>
      <c r="CX187" s="161">
        <f ca="1">IF(Save_Sel=CLR_Save,  Table7[[#This Row],[Total Sense Loss P1]], Table7[[#This Row],[Total Sense Loss P1 Saved]])</f>
        <v>0.13709265625000003</v>
      </c>
      <c r="CY187" s="161">
        <f ca="1">IF(Save_Sel=CLR_Save,  Table7[[#This Row],[Total MOSFET Loss P1]], Table7[[#This Row],[Total MOSFET Loss P1 Saved]] )</f>
        <v>1.6873465107759693</v>
      </c>
      <c r="CZ187" s="161">
        <f ca="1">IF(Save_Sel=CLR_Save, Table7[[#This Row],[Efficiency P1]], Table7[[#This Row],[Efficiency P1 Saved]])</f>
        <v>91.067372023749783</v>
      </c>
      <c r="DA187" s="167"/>
      <c r="DB187" s="161">
        <f ca="1">IF(Save_Sel=CLR_Save,  Table7[[#This Row],[Total Sense Loss P2]], Table7[[#This Row],[Total Sense Loss P2 Saved]])</f>
        <v>0.13709265625000003</v>
      </c>
      <c r="DC187" s="161">
        <f ca="1">IF(Save_Sel=CLR_Save,  Table7[[#This Row],[Total MOSFET Loss P2]], Table7[[#This Row],[Total MOSFET Loss P2 Saved]] )</f>
        <v>1.1146084694333636</v>
      </c>
      <c r="DD187" s="161">
        <f ca="1">IF(Save_Sel=CLR_Save, Table7[[#This Row],[Efficiency P2]], Table7[[#This Row],[Efficiency P2 Saved]])</f>
        <v>93.694741232709973</v>
      </c>
      <c r="DE187" s="167"/>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c r="FH187" s="21"/>
      <c r="FI187" s="21"/>
    </row>
    <row r="188" spans="1:165" ht="15.75" thickBot="1" x14ac:dyDescent="0.3">
      <c r="A188" s="48">
        <v>15</v>
      </c>
      <c r="B188" s="49"/>
      <c r="C188" s="49"/>
      <c r="D188" s="37" t="s">
        <v>21</v>
      </c>
      <c r="E188" s="128">
        <f t="shared" ca="1" si="22"/>
        <v>15</v>
      </c>
      <c r="F188" s="128">
        <f ca="1">$O149</f>
        <v>15</v>
      </c>
      <c r="G188" s="47" t="s">
        <v>26</v>
      </c>
      <c r="H188" s="31"/>
      <c r="I188" s="48">
        <v>15</v>
      </c>
      <c r="J188" s="119"/>
      <c r="K188" s="49"/>
      <c r="L188" s="49"/>
      <c r="M188" s="37" t="s">
        <v>21</v>
      </c>
      <c r="N188" s="128">
        <f t="shared" si="24"/>
        <v>50</v>
      </c>
      <c r="O188" s="128">
        <f>$F149</f>
        <v>50</v>
      </c>
      <c r="P188" s="47" t="s">
        <v>26</v>
      </c>
      <c r="Q188" s="31"/>
      <c r="R188" s="31"/>
      <c r="S188" s="32"/>
      <c r="T188" s="20"/>
      <c r="U188" s="21"/>
      <c r="V188" s="21"/>
      <c r="W188" s="21"/>
      <c r="X188" s="21"/>
      <c r="Y188" s="21"/>
      <c r="Z188" s="21"/>
      <c r="AA188" s="21"/>
      <c r="AB188" s="21"/>
      <c r="AC188" s="21"/>
      <c r="AD188" s="21"/>
      <c r="AE188" s="21"/>
      <c r="AF188" s="154">
        <f t="shared" si="17"/>
        <v>32</v>
      </c>
      <c r="AG188" s="154">
        <f t="shared" si="16"/>
        <v>1.6</v>
      </c>
      <c r="AH188" s="155">
        <f t="shared" ref="AH188:AH219" si="28">AG188*VACnom</f>
        <v>19.200000000000003</v>
      </c>
      <c r="AI188" s="156">
        <f t="shared" ref="AI188:AI219" si="29">IF(VACnom&lt;Vbat, (Vbat-VACnom)/Vbat, Vbat/VACnom)</f>
        <v>0.42857142857142855</v>
      </c>
      <c r="AJ188" s="156">
        <f t="shared" ref="AJ188:AJ219" si="30">IF(VACnom&lt;Vbat, AG188/(1-AI188), AG188*AI188)</f>
        <v>2.8000000000000003</v>
      </c>
      <c r="AK188" s="156">
        <f t="shared" si="26"/>
        <v>0.85714285714285721</v>
      </c>
      <c r="AL188" s="156">
        <f t="shared" si="27"/>
        <v>2.8109116830302443</v>
      </c>
      <c r="AM188" s="157"/>
      <c r="AN188" s="156">
        <f>MAX(0,Table7[[#This Row],[I_L]]-0.5*Table7[[#This Row],[I_L pkpk]])</f>
        <v>2.3714285714285719</v>
      </c>
      <c r="AO188" s="156">
        <f>Table7[[#This Row],[I_L]]+0.5*Table7[[#This Row],[I_L pkpk]]</f>
        <v>3.2285714285714286</v>
      </c>
      <c r="AP188" s="156">
        <f ca="1">IF(VACnom&gt;Vbat, (VGS_S-(TI_MOSFET_S_VTH_H_BU+Table7[[#This Row],[I_L]]/TI_MOSFET_S_gFS_H_BU))/3.4, (VGS_S-(TI_MOSFET_S_VTH_L_BO+Table7[[#This Row],[I_L]]/TI_MOSFET_S_gFS_L_BO))/3.4 )</f>
        <v>2.4201357466063347</v>
      </c>
      <c r="AQ188" s="156">
        <f ca="1">IF(VACnom&gt;Vbat, ((TI_MOSFET_S_VTH_H_BU+Table7[[#This Row],[I_L]]/TI_MOSFET_S_gFS_H_BU))/1, ((TI_MOSFET_S_VTH_L_BO+Table7[[#This Row],[I_L]]/TI_MOSFET_S_gFS_L_BO))/1 )</f>
        <v>1.7715384615384615</v>
      </c>
      <c r="AR188" s="156">
        <f ca="1">IF(VACnom&gt;Vbat, (TI_MOSFET_S_QGD_H_BU+TI_MOSFET_S_QGS_H_BU)*10^-9/Table7[[#This Row],[Ion (A)]], (TI_MOSFET_S_QGD_L_BO+TI_MOSFET_S_QGS_L_BO)*10^-9/Table7[[#This Row],[Ion (A)]])/10^-9</f>
        <v>11.900158923062543</v>
      </c>
      <c r="AS188" s="156">
        <f ca="1">IF(VACnom&gt;Vbat, (TI_MOSFET_S_QGD_H_BU+TI_MOSFET_S_QGS_H_BU)*10^-9/Table7[[#This Row],[Ioff (A)]], (TI_MOSFET_S_QGD_L_BO+TI_MOSFET_S_QGS_L_BO)*10^-9/Table7[[#This Row],[Ioff (A)]])/10^-9</f>
        <v>16.257056013894921</v>
      </c>
      <c r="AT188" s="156">
        <f ca="1" xml:space="preserve"> 0.5*VACnom*Table7[[#This Row],[Ivalley (A)]]*Table7[[#This Row],[ton (ns)]]*10^-9*Fsw*10^3+0.5*VACnom*Table7[[#This Row],[Ipeak (A)]]*Table7[[#This Row],[toff (ns)]]*10^-9*Fsw*10^3/10^-3</f>
        <v>189.0550329696762</v>
      </c>
      <c r="AU188" s="156">
        <f t="shared" ref="AU188:AU219" ca="1" si="31">IF(VACnom&gt;Vbat, 0.5*VACnom*TI_MOSFET_S_QOSS_H_BU*10^-9*Fsw*10^3,0.5*VACnom*TI_MOSFET_S_QOSS_L_BO*10^-9*Fsw*10^3)/10^-3</f>
        <v>262.8</v>
      </c>
      <c r="AV188" s="156">
        <f t="shared" ref="AV188:AV219" ca="1" si="32">IF(VACnom&gt;Vbat, VACnom*TI_MOSFET_S_QG_H_BU*10^-9*Fsw*10^3,VACnom*TI_MOSFET_S_QG_H_BO*10^-9*Fsw*10^3)/10^-3</f>
        <v>648</v>
      </c>
      <c r="AW188" s="156">
        <f t="shared" ref="AW188:AW219" ca="1" si="33">IF(VACnom&gt;Vbat, VACnom*TI_MOSFET_S_QRR_L_BU*10^-9*Fsw*10^3, VACnom*TI_MOSFET_S_QRR_H_BO*10^-9*Fsw*10^3)/10^-3</f>
        <v>554.4</v>
      </c>
      <c r="AX188" s="156">
        <f ca="1">IF(VACnom&gt;Vbat, TI_MOSFET_S_VSD_L_BU*Table7[[#This Row],[Ivalley (A)]]*Fsw*10^3*40*10^-9+TI_MOSFET_S_VSD_L_BU*Table7[[#This Row],[Ipeak (A)]]*Fsw*10^3*30*10^-9, TI_MOSFET_S_VSD_H_BO*Table7[[#This Row],[Ivalley (A)]]*Fsw*10^3*40*10^-9+TI_MOSFET_S_VSD_H_BO*Table7[[#This Row],[Ipeak (A)]]*Fsw*10^3*30*10^-9)/10^-3</f>
        <v>82.820571428571441</v>
      </c>
      <c r="AY188" s="156">
        <f t="shared" ref="AY188:AY219" ca="1" si="34">IF(VACnom&gt;Vbat, VACnom*TI_MOSFET_S_QG_L_BU*10^-9*Fsw*10^3, VACnom*TI_MOSFET_S_QG_L_BO*10^-9*Fsw*10^3)/10^-3</f>
        <v>648</v>
      </c>
      <c r="AZ188" s="156">
        <f ca="1">IF(VACnom&lt;Vbat, Table7[[#This Row],[Duty Cycle]]*Table7[[#This Row],[I_L RMS]]^2*TI_MOSFET_S_RDSON_H_BU*10^-3, (1-Table7[[#This Row],[Duty Cycle]])*Table7[[#This Row],[I_L RMS]]^2*TI_MOSFET_S_RDSON_H_BO*10^-3)/10^-3</f>
        <v>9.4814693877551033</v>
      </c>
      <c r="BA188" s="156">
        <f ca="1">IF(VACnom&gt;Vbat, Table7[[#This Row],[PIV (mW)]]+Table7[[#This Row],[Pqoss (mW)]]+Table7[[#This Row],[Pgate_top (mW)]], Table7[[#This Row],[PRR (mW)]]+Table7[[#This Row],[Pdead (mW)]]+Table7[[#This Row],[Pgate_top (mW)]])</f>
        <v>1285.2205714285715</v>
      </c>
      <c r="BB188" s="156">
        <f ca="1">Table7[[#This Row],[Pcon_top (mW)]]+Table7[[#This Row],[Psw_top (mW)]]</f>
        <v>1294.7020408163266</v>
      </c>
      <c r="BC188" s="156">
        <f ca="1">IF(VACnom&gt;Vbat, (1-Table7[[#This Row],[Duty Cycle]])*Table7[[#This Row],[I_L RMS]]^2*TI_MOSFET_S_RDSON_L_BU*10^-3, Table7[[#This Row],[Duty Cycle]]*Table7[[#This Row],[I_L RMS]]^2*TI_MOSFET_S_RDSON_L_BO*10^-3)/10^-3</f>
        <v>9.4814693877551033</v>
      </c>
      <c r="BD188" s="156">
        <f ca="1">IF(VACnom&gt;Vbat, Table7[[#This Row],[PRR (mW)]]+Table7[[#This Row],[Pdead (mW)]]+Table7[[#This Row],[Pgate_bottom (mW)]], Table7[[#This Row],[PIV (mW)]]+Table7[[#This Row],[Pqoss (mW)]]+Table7[[#This Row],[Pgate_bottom (mW)]])</f>
        <v>1099.8550329696764</v>
      </c>
      <c r="BE188" s="158">
        <f ca="1">Table7[[#This Row],[Pcon_bottom (mW)]]+Table7[[#This Row],[Psw_bottom (mW)]]</f>
        <v>1109.3365023574315</v>
      </c>
      <c r="BF188" s="164">
        <f ca="1">Table7[[#This Row],[Pbottom (mW)]]+Table7[[#This Row],[Ptop (mW)]]</f>
        <v>2404.0385431737582</v>
      </c>
      <c r="BG188" s="153"/>
      <c r="BH188" s="156">
        <f>MAX(0,Table7[[#This Row],[I_L]]-0.5*Table7[[#This Row],[I_L pkpk]])</f>
        <v>2.3714285714285719</v>
      </c>
      <c r="BI188" s="156">
        <f>Table7[[#This Row],[I_L]]+0.5*Table7[[#This Row],[I_L pkpk]]</f>
        <v>3.2285714285714286</v>
      </c>
      <c r="BJ188" s="156">
        <f>IF(VACnom&gt;Vbat, (VGS_S-(C_MOSFET_S_VTH_H_BU+Table7[[#This Row],[I_L]]/C_MOSFET_S_gFS_H_BU))/3.4, (VGS_S-(C_MOSFET_S_VTH_L_BO+Table7[[#This Row],[I_L]]/C_MOSFET_S_gFS_L_BO))/3.4 )</f>
        <v>2.347450980392157</v>
      </c>
      <c r="BK188" s="156">
        <f>IF(VACnom&gt;Vbat, ((C_MOSFET_S_VTH_H_BU+Table7[[#This Row],[I_L]]/C_MOSFET_S_gFS_H_BU))/1, ((C_MOSFET_S_VTH_L_BO+Table7[[#This Row],[I_L]]/C_MOSFET_S_gFS_L_BO))/1 )</f>
        <v>2.0186666666666668</v>
      </c>
      <c r="BL188" s="156">
        <f>IF(VACnom&gt;Vbat, (C_MOSFET_S_QGD_H_BU+C_MOSFET_S_QGS_H_BU)*10^-9/Table7[[#This Row],[Ion (A) C]], (C_MOSFET_S_QGD_L_BO+C_MOSFET_S_QGS_L_BO)*10^-9/Table7[[#This Row],[Ion (A) C]])/10^-9</f>
        <v>2.7689609087871698</v>
      </c>
      <c r="BM188" s="156">
        <f>IF(VACnom&gt;Vbat, (C_MOSFET_S_QGD_H_BU+C_MOSFET_S_QGS_H_BU)*10^-9/Table7[[#This Row],[Ioff (A) C]], (C_MOSFET_S_QGD_L_BO+C_MOSFET_S_QGS_L_BO)*10^-9/Table7[[#This Row],[Ioff (A) C]])/10^-9</f>
        <v>3.2199471598414795</v>
      </c>
      <c r="BN188" s="156">
        <f xml:space="preserve"> 0.5*VACnom*Table7[[#This Row],[Ivalley (A) C]]*Table7[[#This Row],[ton (ns) C]]*10^-9*Fsw*10^3+0.5*VACnom*Table7[[#This Row],[Ipeak (A) C]]*Table7[[#This Row],[toff (ns) C]]*10^-9*Fsw*10^3/10^-3</f>
        <v>37.448624861230272</v>
      </c>
      <c r="BO188" s="156">
        <f t="shared" ref="BO188:BO219" si="35">IF(VACnom&gt;Vbat, 0.5*VACnom*C_MOSFET_S_QOSS_H_BU*10^-9*Fsw*10^3,0.5*VACnom*C_MOSFET_S_QOSS_L_BO*10^-9*Fsw*10^3)/10^-3</f>
        <v>129.6</v>
      </c>
      <c r="BP188" s="156">
        <f t="shared" ref="BP188:BP219" ca="1" si="36">IF(VACnom&gt;Vbat, VACnom*C_MOSFET_S_QG_H_BU*10^-9*Fsw*10^3,VACnom*C_MOSFET_S_QG_H_BO*10^-9*Fsw*10^3)/10^-3</f>
        <v>291.59999999999997</v>
      </c>
      <c r="BQ188" s="156">
        <f t="shared" ref="BQ188:BQ219" si="37">IF(VACnom&gt;Vbat, VACnom*C_MOSFET_S_QRR_L_BU*10^-9*Fsw*10^3, VACnom*C_MOSFET_S_QRR_H_BO*10^-9*Fsw*10^3)/10^-3</f>
        <v>237.6</v>
      </c>
      <c r="BR188" s="156">
        <f>IF(VACnom&gt;Vbat, C_MOSFET_S_VSD_L_BU*Table7[[#This Row],[Ivalley (A) C]]*Fsw*10^3*40*10^-9+C_MOSFET_S_VSD_L_BU*Table7[[#This Row],[Ipeak (A) C]]*Fsw*10^3*30*10^-9, C_MOSFET_S_VSD_H_BO*Table7[[#This Row],[Ivalley (A) C]]*Fsw*10^3*40*10^-9+C_MOSFET_S_VSD_H_BO*Table7[[#This Row],[Ipeak (A) C]]*Fsw*10^3*30*10^-9)/10^-3</f>
        <v>92.022857142857163</v>
      </c>
      <c r="BS188" s="156">
        <f t="shared" ref="BS188:BS219" ca="1" si="38">IF(VACnom&gt;Vbat, VACnom*C_MOSFET_S_QG_L_BU*10^-9*Fsw*10^3, VACnom*C_MOSFET_S_QG_L_BO*10^-9*Fsw*10^3)/10^-3</f>
        <v>291.59999999999997</v>
      </c>
      <c r="BT188" s="156">
        <f>IF(VACnom&lt;Vbat, Table7[[#This Row],[Duty Cycle]]*Table7[[#This Row],[I_L RMS]]^2*C_MOSFET_S_RDSON_H_BU*10^-3, (1-Table7[[#This Row],[Duty Cycle]])*Table7[[#This Row],[I_L RMS]]^2*C_MOSFET_S_RDSON_H_BO*10^-3)/10^-3</f>
        <v>19.301562682215749</v>
      </c>
      <c r="BU188" s="156">
        <f ca="1">IF(VACnom&gt;Vbat, Table7[[#This Row],[PIV (mW) C]]+Table7[[#This Row],[PQoss (mW) C]]+Table7[[#This Row],[Pgate_top (mW) C]], Table7[[#This Row],[PRR (mW) C]]+Table7[[#This Row],[Pdead (mW) C]]+Table7[[#This Row],[Pgate_top (mW) C]])</f>
        <v>621.22285714285704</v>
      </c>
      <c r="BV188" s="156">
        <f ca="1">Table7[[#This Row],[Pcon_top (mW) C]]+Table7[[#This Row],[Psw_top (mW) C]]</f>
        <v>640.52441982507275</v>
      </c>
      <c r="BW188" s="156">
        <f ca="1">IF(VACnom&gt;Vbat, (1-Table7[[#This Row],[Duty Cycle]])*Table7[[#This Row],[I_L RMS]]^2*C_MOSFET_S_RDSON_L_BU*10^-3, Table7[[#This Row],[Duty Cycle]]*Table7[[#This Row],[I_L RMS]]^2*C_MOSFET_S_RDSON_L_BO*10^-3)/10^-3</f>
        <v>12.021148688046649</v>
      </c>
      <c r="BX188" s="156">
        <f ca="1">IF(VACnom&gt;Vbat, Table7[[#This Row],[PRR (mW) C]]+Table7[[#This Row],[Pdead (mW) C]]+Table7[[#This Row],[Pgate_bottom (mW) C]], Table7[[#This Row],[PIV (mW) C]]+Table7[[#This Row],[PQoss (mW) C]]+Table7[[#This Row],[Pgate_bottom (mW) C]])</f>
        <v>458.64862486123025</v>
      </c>
      <c r="BY188" s="156">
        <f ca="1">Table7[[#This Row],[Pcon_bottom (mW) C]]+Table7[[#This Row],[Psw_bottom (mV) C]]</f>
        <v>470.6697735492769</v>
      </c>
      <c r="BZ188" s="156">
        <f ca="1">Table7[[#This Row],[Pbottom (mW) C]]+Table7[[#This Row],[Ptop (mW) C]]</f>
        <v>1111.1941933743497</v>
      </c>
      <c r="CA188" s="159"/>
      <c r="CB188" s="160">
        <f>(RAC_SNS*10^-3*(Table7[[#This Row],[IOUT (A)]]*Vbat/VACnom)^2/10^-3)</f>
        <v>39.200000000000003</v>
      </c>
      <c r="CC188" s="160">
        <f>(RBAT_SNS*10^-3*Table7[[#This Row],[IOUT (A)]]^2)/10^-3</f>
        <v>12.800000000000002</v>
      </c>
      <c r="CD188" s="160">
        <f>IF(VACnom&gt;Vbat,(L_DRC*10^-3*(Table7[[#This Row],[IOUT (A)]])^2/10^-3),(L_DRC*10^-3*(Table7[[#This Row],[IOUT (A)]]*Vbat/VACnom)^2/10^-3))</f>
        <v>94.080000000000027</v>
      </c>
      <c r="CE188" s="166"/>
      <c r="CF188" s="156">
        <f>(Table7[[#This Row],[R_AC (mW)]]+Table7[[#This Row],[R_SR (mW)]]+Table7[[#This Row],[Inductor Loss (mW)]])/10^3</f>
        <v>0.14608000000000004</v>
      </c>
      <c r="CG188" s="156">
        <f ca="1">Table7[[#This Row],[Total TI (mW)]]/10^3</f>
        <v>2.4040385431737583</v>
      </c>
      <c r="CH188" s="156">
        <f ca="1">Table7[[#This Row],[Total Sense Loss]]+Table7[[#This Row],[Total MOSFET Loss]]</f>
        <v>2.5501185431737583</v>
      </c>
      <c r="CI188" s="161">
        <f ca="1">IF(Table7[[#This Row],[POUT (W)]]=0,0,(Table7[[#This Row],[POUT (W)]])/(Table7[[#This Row],[POUT (W)]]+Table7[[#This Row],[Total Power Loss (W)]]))*100</f>
        <v>88.275380945111621</v>
      </c>
      <c r="CJ188" s="167"/>
      <c r="CK188" s="156">
        <f>(Table7[[#This Row],[R_AC (mW)]]+Table7[[#This Row],[R_SR (mW)]]+Table7[[#This Row],[Inductor Loss (mW)]])/10^3</f>
        <v>0.14608000000000004</v>
      </c>
      <c r="CL188" s="156">
        <f ca="1">Table7[[#This Row],[Total (mW) C]]/10^3</f>
        <v>1.1111941933743497</v>
      </c>
      <c r="CM188" s="156">
        <f ca="1">Table7[[#This Row],[Total Sense Loss C]]+Table7[[#This Row],[Total MOSFET Loss C]]</f>
        <v>1.2572741933743496</v>
      </c>
      <c r="CN188" s="161">
        <f ca="1">IF(Table7[[#This Row],[POUT (W)]]=0,0,(Table7[[#This Row],[POUT (W)]])/(Table7[[#This Row],[POUT (W)]]+Table7[[#This Row],[Total Power Loss (W) C]]))*100</f>
        <v>93.854146053428991</v>
      </c>
      <c r="CO188" s="167"/>
      <c r="CP188" s="161">
        <f>IF(MOSFET_S=Custom_MOSFET,Table7[[#This Row],[Total Sense Loss C]],Table7[[#This Row],[Total Sense Loss]])</f>
        <v>0.14608000000000004</v>
      </c>
      <c r="CQ188" s="161">
        <f ca="1">IF(MOSFET_S=Custom_MOSFET,Table7[[#This Row],[Total MOSFET Loss C]],Table7[[#This Row],[Total MOSFET Loss]])</f>
        <v>2.4040385431737583</v>
      </c>
      <c r="CR188" s="161">
        <f ca="1">IF(MOSFET_S=Custom_MOSFET,Table7[[#This Row],[Efficiency C]],Table7[[#This Row],[Efficiency]])</f>
        <v>88.275380945111621</v>
      </c>
      <c r="CS188" s="167"/>
      <c r="CT188" s="161">
        <f>IF(MOSFET_S=Compare_MOSFET, Table7[[#This Row],[Total Sense Loss C]], -100)</f>
        <v>-100</v>
      </c>
      <c r="CU188" s="161">
        <f>IF(MOSFET_S=Compare_MOSFET, Table7[[#This Row],[Total MOSFET Loss C]], -100)</f>
        <v>-100</v>
      </c>
      <c r="CV188" s="161">
        <f>IF(MOSFET_S=Compare_MOSFET, Table7[[#This Row],[Efficiency C]], -100)</f>
        <v>-100</v>
      </c>
      <c r="CW188" s="167"/>
      <c r="CX188" s="161">
        <f ca="1">IF(Save_Sel=CLR_Save,  Table7[[#This Row],[Total Sense Loss P1]], Table7[[#This Row],[Total Sense Loss P1 Saved]])</f>
        <v>0.14608000000000004</v>
      </c>
      <c r="CY188" s="161">
        <f ca="1">IF(Save_Sel=CLR_Save,  Table7[[#This Row],[Total MOSFET Loss P1]], Table7[[#This Row],[Total MOSFET Loss P1 Saved]] )</f>
        <v>1.6965226924427239</v>
      </c>
      <c r="CZ188" s="161">
        <f ca="1">IF(Save_Sel=CLR_Save, Table7[[#This Row],[Efficiency P1]], Table7[[#This Row],[Efficiency P1 Saved]])</f>
        <v>91.243465842253059</v>
      </c>
      <c r="DA188" s="167"/>
      <c r="DB188" s="161">
        <f ca="1">IF(Save_Sel=CLR_Save,  Table7[[#This Row],[Total Sense Loss P2]], Table7[[#This Row],[Total Sense Loss P2 Saved]])</f>
        <v>0.14608000000000004</v>
      </c>
      <c r="DC188" s="161">
        <f ca="1">IF(Save_Sel=CLR_Save,  Table7[[#This Row],[Total MOSFET Loss P2]], Table7[[#This Row],[Total MOSFET Loss P2 Saved]] )</f>
        <v>1.1210666837328791</v>
      </c>
      <c r="DD188" s="161">
        <f ca="1">IF(Save_Sel=CLR_Save, Table7[[#This Row],[Efficiency P2]], Table7[[#This Row],[Efficiency P2 Saved]])</f>
        <v>93.808874762499272</v>
      </c>
      <c r="DE188" s="167"/>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c r="FH188" s="21"/>
      <c r="FI188" s="21"/>
    </row>
    <row r="189" spans="1:165" x14ac:dyDescent="0.25">
      <c r="A189" s="121"/>
      <c r="C189" s="51"/>
      <c r="D189" s="41"/>
      <c r="E189" s="51"/>
      <c r="F189" s="51"/>
      <c r="G189" s="51"/>
      <c r="H189" s="31"/>
      <c r="I189" s="31"/>
      <c r="J189" s="31"/>
      <c r="K189" s="31"/>
      <c r="L189" s="31"/>
      <c r="M189" s="31"/>
      <c r="N189" s="31"/>
      <c r="O189" s="31"/>
      <c r="P189" s="31"/>
      <c r="Q189" s="31"/>
      <c r="R189" s="31"/>
      <c r="S189" s="32"/>
      <c r="T189" s="20"/>
      <c r="U189" s="21"/>
      <c r="V189" s="21"/>
      <c r="W189" s="21"/>
      <c r="X189" s="21"/>
      <c r="Y189" s="21"/>
      <c r="Z189" s="21"/>
      <c r="AA189" s="21"/>
      <c r="AB189" s="21"/>
      <c r="AC189" s="21"/>
      <c r="AD189" s="21"/>
      <c r="AE189" s="21"/>
      <c r="AF189" s="154">
        <f t="shared" si="17"/>
        <v>33</v>
      </c>
      <c r="AG189" s="154">
        <f t="shared" ref="AG189:AG220" si="39">$AG$156+AF189*($AG$256-$AG$156)/$AF$256</f>
        <v>1.65</v>
      </c>
      <c r="AH189" s="155">
        <f t="shared" si="28"/>
        <v>19.799999999999997</v>
      </c>
      <c r="AI189" s="156">
        <f t="shared" si="29"/>
        <v>0.42857142857142855</v>
      </c>
      <c r="AJ189" s="156">
        <f t="shared" si="30"/>
        <v>2.8875000000000002</v>
      </c>
      <c r="AK189" s="156">
        <f t="shared" si="26"/>
        <v>0.85714285714285721</v>
      </c>
      <c r="AL189" s="156">
        <f t="shared" si="27"/>
        <v>2.8980822520756582</v>
      </c>
      <c r="AM189" s="157"/>
      <c r="AN189" s="156">
        <f>MAX(0,Table7[[#This Row],[I_L]]-0.5*Table7[[#This Row],[I_L pkpk]])</f>
        <v>2.4589285714285714</v>
      </c>
      <c r="AO189" s="156">
        <f>Table7[[#This Row],[I_L]]+0.5*Table7[[#This Row],[I_L pkpk]]</f>
        <v>3.316071428571429</v>
      </c>
      <c r="AP189" s="156">
        <f ca="1">IF(VACnom&gt;Vbat, (VGS_S-(TI_MOSFET_S_VTH_H_BU+Table7[[#This Row],[I_L]]/TI_MOSFET_S_gFS_H_BU))/3.4, (VGS_S-(TI_MOSFET_S_VTH_L_BO+Table7[[#This Row],[I_L]]/TI_MOSFET_S_gFS_L_BO))/3.4 )</f>
        <v>2.4199377828054298</v>
      </c>
      <c r="AQ189" s="156">
        <f ca="1">IF(VACnom&gt;Vbat, ((TI_MOSFET_S_VTH_H_BU+Table7[[#This Row],[I_L]]/TI_MOSFET_S_gFS_H_BU))/1, ((TI_MOSFET_S_VTH_L_BO+Table7[[#This Row],[I_L]]/TI_MOSFET_S_gFS_L_BO))/1 )</f>
        <v>1.7722115384615384</v>
      </c>
      <c r="AR189" s="156">
        <f ca="1">IF(VACnom&gt;Vbat, (TI_MOSFET_S_QGD_H_BU+TI_MOSFET_S_QGS_H_BU)*10^-9/Table7[[#This Row],[Ion (A)]], (TI_MOSFET_S_QGD_L_BO+TI_MOSFET_S_QGS_L_BO)*10^-9/Table7[[#This Row],[Ion (A)]])/10^-9</f>
        <v>11.90113241945097</v>
      </c>
      <c r="AS189" s="156">
        <f ca="1">IF(VACnom&gt;Vbat, (TI_MOSFET_S_QGD_H_BU+TI_MOSFET_S_QGS_H_BU)*10^-9/Table7[[#This Row],[Ioff (A)]], (TI_MOSFET_S_QGD_L_BO+TI_MOSFET_S_QGS_L_BO)*10^-9/Table7[[#This Row],[Ioff (A)]])/10^-9</f>
        <v>16.250881666757095</v>
      </c>
      <c r="AT189" s="156">
        <f ca="1" xml:space="preserve"> 0.5*VACnom*Table7[[#This Row],[Ivalley (A)]]*Table7[[#This Row],[ton (ns)]]*10^-9*Fsw*10^3+0.5*VACnom*Table7[[#This Row],[Ipeak (A)]]*Table7[[#This Row],[toff (ns)]]*10^-9*Fsw*10^3/10^-3</f>
        <v>194.10605430756115</v>
      </c>
      <c r="AU189" s="156">
        <f t="shared" ca="1" si="31"/>
        <v>262.8</v>
      </c>
      <c r="AV189" s="156">
        <f t="shared" ca="1" si="32"/>
        <v>648</v>
      </c>
      <c r="AW189" s="156">
        <f t="shared" ca="1" si="33"/>
        <v>554.4</v>
      </c>
      <c r="AX189" s="156">
        <f ca="1">IF(VACnom&gt;Vbat, TI_MOSFET_S_VSD_L_BU*Table7[[#This Row],[Ivalley (A)]]*Fsw*10^3*40*10^-9+TI_MOSFET_S_VSD_L_BU*Table7[[#This Row],[Ipeak (A)]]*Fsw*10^3*30*10^-9, TI_MOSFET_S_VSD_H_BO*Table7[[#This Row],[Ivalley (A)]]*Fsw*10^3*40*10^-9+TI_MOSFET_S_VSD_H_BO*Table7[[#This Row],[Ipeak (A)]]*Fsw*10^3*30*10^-9)/10^-3</f>
        <v>85.466571428571427</v>
      </c>
      <c r="AY189" s="156">
        <f t="shared" ca="1" si="34"/>
        <v>648</v>
      </c>
      <c r="AZ189" s="156">
        <f ca="1">IF(VACnom&lt;Vbat, Table7[[#This Row],[Duty Cycle]]*Table7[[#This Row],[I_L RMS]]^2*TI_MOSFET_S_RDSON_H_BU*10^-3, (1-Table7[[#This Row],[Duty Cycle]])*Table7[[#This Row],[I_L RMS]]^2*TI_MOSFET_S_RDSON_H_BO*10^-3)/10^-3</f>
        <v>10.078656887755102</v>
      </c>
      <c r="BA189" s="156">
        <f ca="1">IF(VACnom&gt;Vbat, Table7[[#This Row],[PIV (mW)]]+Table7[[#This Row],[Pqoss (mW)]]+Table7[[#This Row],[Pgate_top (mW)]], Table7[[#This Row],[PRR (mW)]]+Table7[[#This Row],[Pdead (mW)]]+Table7[[#This Row],[Pgate_top (mW)]])</f>
        <v>1287.8665714285714</v>
      </c>
      <c r="BB189" s="156">
        <f ca="1">Table7[[#This Row],[Pcon_top (mW)]]+Table7[[#This Row],[Psw_top (mW)]]</f>
        <v>1297.9452283163266</v>
      </c>
      <c r="BC189" s="156">
        <f ca="1">IF(VACnom&gt;Vbat, (1-Table7[[#This Row],[Duty Cycle]])*Table7[[#This Row],[I_L RMS]]^2*TI_MOSFET_S_RDSON_L_BU*10^-3, Table7[[#This Row],[Duty Cycle]]*Table7[[#This Row],[I_L RMS]]^2*TI_MOSFET_S_RDSON_L_BO*10^-3)/10^-3</f>
        <v>10.078656887755102</v>
      </c>
      <c r="BD189" s="156">
        <f ca="1">IF(VACnom&gt;Vbat, Table7[[#This Row],[PRR (mW)]]+Table7[[#This Row],[Pdead (mW)]]+Table7[[#This Row],[Pgate_bottom (mW)]], Table7[[#This Row],[PIV (mW)]]+Table7[[#This Row],[Pqoss (mW)]]+Table7[[#This Row],[Pgate_bottom (mW)]])</f>
        <v>1104.9060543075611</v>
      </c>
      <c r="BE189" s="158">
        <f ca="1">Table7[[#This Row],[Pcon_bottom (mW)]]+Table7[[#This Row],[Psw_bottom (mW)]]</f>
        <v>1114.9847111953163</v>
      </c>
      <c r="BF189" s="164">
        <f ca="1">Table7[[#This Row],[Pbottom (mW)]]+Table7[[#This Row],[Ptop (mW)]]</f>
        <v>2412.9299395116432</v>
      </c>
      <c r="BG189" s="153"/>
      <c r="BH189" s="156">
        <f>MAX(0,Table7[[#This Row],[I_L]]-0.5*Table7[[#This Row],[I_L pkpk]])</f>
        <v>2.4589285714285714</v>
      </c>
      <c r="BI189" s="156">
        <f>Table7[[#This Row],[I_L]]+0.5*Table7[[#This Row],[I_L pkpk]]</f>
        <v>3.316071428571429</v>
      </c>
      <c r="BJ189" s="156">
        <f>IF(VACnom&gt;Vbat, (VGS_S-(C_MOSFET_S_VTH_H_BU+Table7[[#This Row],[I_L]]/C_MOSFET_S_gFS_H_BU))/3.4, (VGS_S-(C_MOSFET_S_VTH_L_BO+Table7[[#This Row],[I_L]]/C_MOSFET_S_gFS_L_BO))/3.4 )</f>
        <v>2.3472794117647062</v>
      </c>
      <c r="BK189" s="156">
        <f>IF(VACnom&gt;Vbat, ((C_MOSFET_S_VTH_H_BU+Table7[[#This Row],[I_L]]/C_MOSFET_S_gFS_H_BU))/1, ((C_MOSFET_S_VTH_L_BO+Table7[[#This Row],[I_L]]/C_MOSFET_S_gFS_L_BO))/1 )</f>
        <v>2.01925</v>
      </c>
      <c r="BL189" s="156">
        <f>IF(VACnom&gt;Vbat, (C_MOSFET_S_QGD_H_BU+C_MOSFET_S_QGS_H_BU)*10^-9/Table7[[#This Row],[Ion (A) C]], (C_MOSFET_S_QGD_L_BO+C_MOSFET_S_QGS_L_BO)*10^-9/Table7[[#This Row],[Ion (A) C]])/10^-9</f>
        <v>2.7691632991886723</v>
      </c>
      <c r="BM189" s="156">
        <f>IF(VACnom&gt;Vbat, (C_MOSFET_S_QGD_H_BU+C_MOSFET_S_QGS_H_BU)*10^-9/Table7[[#This Row],[Ioff (A) C]], (C_MOSFET_S_QGD_L_BO+C_MOSFET_S_QGS_L_BO)*10^-9/Table7[[#This Row],[Ioff (A) C]])/10^-9</f>
        <v>3.2190169617432214</v>
      </c>
      <c r="BN189" s="156">
        <f xml:space="preserve"> 0.5*VACnom*Table7[[#This Row],[Ivalley (A) C]]*Table7[[#This Row],[ton (ns) C]]*10^-9*Fsw*10^3+0.5*VACnom*Table7[[#This Row],[Ipeak (A) C]]*Table7[[#This Row],[toff (ns) C]]*10^-9*Fsw*10^3/10^-3</f>
        <v>38.452677658843797</v>
      </c>
      <c r="BO189" s="156">
        <f t="shared" si="35"/>
        <v>129.6</v>
      </c>
      <c r="BP189" s="156">
        <f t="shared" ca="1" si="36"/>
        <v>291.59999999999997</v>
      </c>
      <c r="BQ189" s="156">
        <f t="shared" si="37"/>
        <v>237.6</v>
      </c>
      <c r="BR189" s="156">
        <f>IF(VACnom&gt;Vbat, C_MOSFET_S_VSD_L_BU*Table7[[#This Row],[Ivalley (A) C]]*Fsw*10^3*40*10^-9+C_MOSFET_S_VSD_L_BU*Table7[[#This Row],[Ipeak (A) C]]*Fsw*10^3*30*10^-9, C_MOSFET_S_VSD_H_BO*Table7[[#This Row],[Ivalley (A) C]]*Fsw*10^3*40*10^-9+C_MOSFET_S_VSD_H_BO*Table7[[#This Row],[Ipeak (A) C]]*Fsw*10^3*30*10^-9)/10^-3</f>
        <v>94.962857142857146</v>
      </c>
      <c r="BS189" s="156">
        <f t="shared" ca="1" si="38"/>
        <v>291.59999999999997</v>
      </c>
      <c r="BT189" s="156">
        <f>IF(VACnom&lt;Vbat, Table7[[#This Row],[Duty Cycle]]*Table7[[#This Row],[I_L RMS]]^2*C_MOSFET_S_RDSON_H_BU*10^-3, (1-Table7[[#This Row],[Duty Cycle]])*Table7[[#This Row],[I_L RMS]]^2*C_MOSFET_S_RDSON_H_BO*10^-3)/10^-3</f>
        <v>20.517265807215743</v>
      </c>
      <c r="BU189" s="156">
        <f ca="1">IF(VACnom&gt;Vbat, Table7[[#This Row],[PIV (mW) C]]+Table7[[#This Row],[PQoss (mW) C]]+Table7[[#This Row],[Pgate_top (mW) C]], Table7[[#This Row],[PRR (mW) C]]+Table7[[#This Row],[Pdead (mW) C]]+Table7[[#This Row],[Pgate_top (mW) C]])</f>
        <v>624.16285714285709</v>
      </c>
      <c r="BV189" s="156">
        <f ca="1">Table7[[#This Row],[Pcon_top (mW) C]]+Table7[[#This Row],[Psw_top (mW) C]]</f>
        <v>644.68012295007281</v>
      </c>
      <c r="BW189" s="156">
        <f ca="1">IF(VACnom&gt;Vbat, (1-Table7[[#This Row],[Duty Cycle]])*Table7[[#This Row],[I_L RMS]]^2*C_MOSFET_S_RDSON_L_BU*10^-3, Table7[[#This Row],[Duty Cycle]]*Table7[[#This Row],[I_L RMS]]^2*C_MOSFET_S_RDSON_L_BO*10^-3)/10^-3</f>
        <v>12.778297125546647</v>
      </c>
      <c r="BX189" s="156">
        <f ca="1">IF(VACnom&gt;Vbat, Table7[[#This Row],[PRR (mW) C]]+Table7[[#This Row],[Pdead (mW) C]]+Table7[[#This Row],[Pgate_bottom (mW) C]], Table7[[#This Row],[PIV (mW) C]]+Table7[[#This Row],[PQoss (mW) C]]+Table7[[#This Row],[Pgate_bottom (mW) C]])</f>
        <v>459.65267765884374</v>
      </c>
      <c r="BY189" s="156">
        <f ca="1">Table7[[#This Row],[Pcon_bottom (mW) C]]+Table7[[#This Row],[Psw_bottom (mV) C]]</f>
        <v>472.4309747843904</v>
      </c>
      <c r="BZ189" s="156">
        <f ca="1">Table7[[#This Row],[Pbottom (mW) C]]+Table7[[#This Row],[Ptop (mW) C]]</f>
        <v>1117.1110977344633</v>
      </c>
      <c r="CA189" s="159"/>
      <c r="CB189" s="160">
        <f>(RAC_SNS*10^-3*(Table7[[#This Row],[IOUT (A)]]*Vbat/VACnom)^2/10^-3)</f>
        <v>41.688281249999996</v>
      </c>
      <c r="CC189" s="160">
        <f>(RBAT_SNS*10^-3*Table7[[#This Row],[IOUT (A)]]^2)/10^-3</f>
        <v>13.612499999999999</v>
      </c>
      <c r="CD189" s="160">
        <f>IF(VACnom&gt;Vbat,(L_DRC*10^-3*(Table7[[#This Row],[IOUT (A)]])^2/10^-3),(L_DRC*10^-3*(Table7[[#This Row],[IOUT (A)]]*Vbat/VACnom)^2/10^-3))</f>
        <v>100.05187499999998</v>
      </c>
      <c r="CE189" s="166"/>
      <c r="CF189" s="156">
        <f>(Table7[[#This Row],[R_AC (mW)]]+Table7[[#This Row],[R_SR (mW)]]+Table7[[#This Row],[Inductor Loss (mW)]])/10^3</f>
        <v>0.15535265624999997</v>
      </c>
      <c r="CG189" s="156">
        <f ca="1">Table7[[#This Row],[Total TI (mW)]]/10^3</f>
        <v>2.4129299395116433</v>
      </c>
      <c r="CH189" s="156">
        <f ca="1">Table7[[#This Row],[Total Sense Loss]]+Table7[[#This Row],[Total MOSFET Loss]]</f>
        <v>2.5682825957616431</v>
      </c>
      <c r="CI189" s="161">
        <f ca="1">IF(Table7[[#This Row],[POUT (W)]]=0,0,(Table7[[#This Row],[POUT (W)]])/(Table7[[#This Row],[POUT (W)]]+Table7[[#This Row],[Total Power Loss (W)]]))*100</f>
        <v>88.518194971981075</v>
      </c>
      <c r="CJ189" s="167"/>
      <c r="CK189" s="156">
        <f>(Table7[[#This Row],[R_AC (mW)]]+Table7[[#This Row],[R_SR (mW)]]+Table7[[#This Row],[Inductor Loss (mW)]])/10^3</f>
        <v>0.15535265624999997</v>
      </c>
      <c r="CL189" s="156">
        <f ca="1">Table7[[#This Row],[Total (mW) C]]/10^3</f>
        <v>1.1171110977344634</v>
      </c>
      <c r="CM189" s="156">
        <f ca="1">Table7[[#This Row],[Total Sense Loss C]]+Table7[[#This Row],[Total MOSFET Loss C]]</f>
        <v>1.2724637539844634</v>
      </c>
      <c r="CN189" s="161">
        <f ca="1">IF(Table7[[#This Row],[POUT (W)]]=0,0,(Table7[[#This Row],[POUT (W)]])/(Table7[[#This Row],[POUT (W)]]+Table7[[#This Row],[Total Power Loss (W) C]]))*100</f>
        <v>93.961485620095743</v>
      </c>
      <c r="CO189" s="167"/>
      <c r="CP189" s="161">
        <f>IF(MOSFET_S=Custom_MOSFET,Table7[[#This Row],[Total Sense Loss C]],Table7[[#This Row],[Total Sense Loss]])</f>
        <v>0.15535265624999997</v>
      </c>
      <c r="CQ189" s="161">
        <f ca="1">IF(MOSFET_S=Custom_MOSFET,Table7[[#This Row],[Total MOSFET Loss C]],Table7[[#This Row],[Total MOSFET Loss]])</f>
        <v>2.4129299395116433</v>
      </c>
      <c r="CR189" s="161">
        <f ca="1">IF(MOSFET_S=Custom_MOSFET,Table7[[#This Row],[Efficiency C]],Table7[[#This Row],[Efficiency]])</f>
        <v>88.518194971981075</v>
      </c>
      <c r="CS189" s="167"/>
      <c r="CT189" s="161">
        <f>IF(MOSFET_S=Compare_MOSFET, Table7[[#This Row],[Total Sense Loss C]], -100)</f>
        <v>-100</v>
      </c>
      <c r="CU189" s="161">
        <f>IF(MOSFET_S=Compare_MOSFET, Table7[[#This Row],[Total MOSFET Loss C]], -100)</f>
        <v>-100</v>
      </c>
      <c r="CV189" s="161">
        <f>IF(MOSFET_S=Compare_MOSFET, Table7[[#This Row],[Efficiency C]], -100)</f>
        <v>-100</v>
      </c>
      <c r="CW189" s="167"/>
      <c r="CX189" s="161">
        <f ca="1">IF(Save_Sel=CLR_Save,  Table7[[#This Row],[Total Sense Loss P1]], Table7[[#This Row],[Total Sense Loss P1 Saved]])</f>
        <v>0.15535265624999997</v>
      </c>
      <c r="CY189" s="161">
        <f ca="1">IF(Save_Sel=CLR_Save,  Table7[[#This Row],[Total MOSFET Loss P1]], Table7[[#This Row],[Total MOSFET Loss P1 Saved]] )</f>
        <v>1.7057416367094285</v>
      </c>
      <c r="CZ189" s="161">
        <f ca="1">IF(Save_Sel=CLR_Save, Table7[[#This Row],[Efficiency P1]], Table7[[#This Row],[Efficiency P1 Saved]])</f>
        <v>91.408124318242102</v>
      </c>
      <c r="DA189" s="167"/>
      <c r="DB189" s="161">
        <f ca="1">IF(Save_Sel=CLR_Save,  Table7[[#This Row],[Total Sense Loss P2]], Table7[[#This Row],[Total Sense Loss P2 Saved]])</f>
        <v>0.15535265624999997</v>
      </c>
      <c r="DC189" s="161">
        <f ca="1">IF(Save_Sel=CLR_Save,  Table7[[#This Row],[Total MOSFET Loss P2]], Table7[[#This Row],[Total MOSFET Loss P2 Saved]] )</f>
        <v>1.1276040537909411</v>
      </c>
      <c r="DD189" s="161">
        <f ca="1">IF(Save_Sel=CLR_Save, Table7[[#This Row],[Efficiency P2]], Table7[[#This Row],[Efficiency P2 Saved]])</f>
        <v>93.91472112908184</v>
      </c>
      <c r="DE189" s="167"/>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c r="FH189" s="21"/>
      <c r="FI189" s="21"/>
    </row>
    <row r="190" spans="1:165" x14ac:dyDescent="0.25">
      <c r="A190" s="100"/>
      <c r="B190" s="31"/>
      <c r="C190" s="51"/>
      <c r="D190" s="34"/>
      <c r="E190" s="69"/>
      <c r="F190" s="31"/>
      <c r="G190" s="31"/>
      <c r="H190" s="31"/>
      <c r="I190" s="31"/>
      <c r="J190" s="31"/>
      <c r="L190" s="31"/>
      <c r="M190" s="31"/>
      <c r="N190" s="31"/>
      <c r="O190" s="31"/>
      <c r="P190" s="31"/>
      <c r="Q190" s="31"/>
      <c r="R190" s="31"/>
      <c r="S190" s="32"/>
      <c r="T190" s="20"/>
      <c r="U190" s="21"/>
      <c r="V190" s="21"/>
      <c r="W190" s="21"/>
      <c r="X190" s="21"/>
      <c r="Y190" s="21"/>
      <c r="Z190" s="21"/>
      <c r="AA190" s="21"/>
      <c r="AB190" s="21"/>
      <c r="AC190" s="21"/>
      <c r="AD190" s="21"/>
      <c r="AE190" s="21"/>
      <c r="AF190" s="154">
        <f t="shared" si="17"/>
        <v>34</v>
      </c>
      <c r="AG190" s="154">
        <f t="shared" si="39"/>
        <v>1.7</v>
      </c>
      <c r="AH190" s="155">
        <f t="shared" si="28"/>
        <v>20.399999999999999</v>
      </c>
      <c r="AI190" s="156">
        <f t="shared" si="29"/>
        <v>0.42857142857142855</v>
      </c>
      <c r="AJ190" s="156">
        <f t="shared" si="30"/>
        <v>2.9750000000000001</v>
      </c>
      <c r="AK190" s="156">
        <f t="shared" si="26"/>
        <v>0.85714285714285721</v>
      </c>
      <c r="AL190" s="156">
        <f t="shared" si="27"/>
        <v>2.985272096442118</v>
      </c>
      <c r="AM190" s="157"/>
      <c r="AN190" s="156">
        <f>MAX(0,Table7[[#This Row],[I_L]]-0.5*Table7[[#This Row],[I_L pkpk]])</f>
        <v>2.5464285714285717</v>
      </c>
      <c r="AO190" s="156">
        <f>Table7[[#This Row],[I_L]]+0.5*Table7[[#This Row],[I_L pkpk]]</f>
        <v>3.4035714285714285</v>
      </c>
      <c r="AP190" s="156">
        <f ca="1">IF(VACnom&gt;Vbat, (VGS_S-(TI_MOSFET_S_VTH_H_BU+Table7[[#This Row],[I_L]]/TI_MOSFET_S_gFS_H_BU))/3.4, (VGS_S-(TI_MOSFET_S_VTH_L_BO+Table7[[#This Row],[I_L]]/TI_MOSFET_S_gFS_L_BO))/3.4 )</f>
        <v>2.4197398190045249</v>
      </c>
      <c r="AQ190" s="156">
        <f ca="1">IF(VACnom&gt;Vbat, ((TI_MOSFET_S_VTH_H_BU+Table7[[#This Row],[I_L]]/TI_MOSFET_S_gFS_H_BU))/1, ((TI_MOSFET_S_VTH_L_BO+Table7[[#This Row],[I_L]]/TI_MOSFET_S_gFS_L_BO))/1 )</f>
        <v>1.7728846153846154</v>
      </c>
      <c r="AR190" s="156">
        <f ca="1">IF(VACnom&gt;Vbat, (TI_MOSFET_S_QGD_H_BU+TI_MOSFET_S_QGS_H_BU)*10^-9/Table7[[#This Row],[Ion (A)]], (TI_MOSFET_S_QGD_L_BO+TI_MOSFET_S_QGS_L_BO)*10^-9/Table7[[#This Row],[Ion (A)]])/10^-9</f>
        <v>11.90210607512681</v>
      </c>
      <c r="AS190" s="156">
        <f ca="1">IF(VACnom&gt;Vbat, (TI_MOSFET_S_QGD_H_BU+TI_MOSFET_S_QGS_H_BU)*10^-9/Table7[[#This Row],[Ioff (A)]], (TI_MOSFET_S_QGD_L_BO+TI_MOSFET_S_QGS_L_BO)*10^-9/Table7[[#This Row],[Ioff (A)]])/10^-9</f>
        <v>16.244712007809959</v>
      </c>
      <c r="AT190" s="156">
        <f ca="1" xml:space="preserve"> 0.5*VACnom*Table7[[#This Row],[Ivalley (A)]]*Table7[[#This Row],[ton (ns)]]*10^-9*Fsw*10^3+0.5*VACnom*Table7[[#This Row],[Ipeak (A)]]*Table7[[#This Row],[toff (ns)]]*10^-9*Fsw*10^3/10^-3</f>
        <v>199.15324386524298</v>
      </c>
      <c r="AU190" s="156">
        <f t="shared" ca="1" si="31"/>
        <v>262.8</v>
      </c>
      <c r="AV190" s="156">
        <f t="shared" ca="1" si="32"/>
        <v>648</v>
      </c>
      <c r="AW190" s="156">
        <f t="shared" ca="1" si="33"/>
        <v>554.4</v>
      </c>
      <c r="AX190" s="156">
        <f ca="1">IF(VACnom&gt;Vbat, TI_MOSFET_S_VSD_L_BU*Table7[[#This Row],[Ivalley (A)]]*Fsw*10^3*40*10^-9+TI_MOSFET_S_VSD_L_BU*Table7[[#This Row],[Ipeak (A)]]*Fsw*10^3*30*10^-9, TI_MOSFET_S_VSD_H_BO*Table7[[#This Row],[Ivalley (A)]]*Fsw*10^3*40*10^-9+TI_MOSFET_S_VSD_H_BO*Table7[[#This Row],[Ipeak (A)]]*Fsw*10^3*30*10^-9)/10^-3</f>
        <v>88.112571428571428</v>
      </c>
      <c r="AY190" s="156">
        <f t="shared" ca="1" si="34"/>
        <v>648</v>
      </c>
      <c r="AZ190" s="156">
        <f ca="1">IF(VACnom&lt;Vbat, Table7[[#This Row],[Duty Cycle]]*Table7[[#This Row],[I_L RMS]]^2*TI_MOSFET_S_RDSON_H_BU*10^-3, (1-Table7[[#This Row],[Duty Cycle]])*Table7[[#This Row],[I_L RMS]]^2*TI_MOSFET_S_RDSON_H_BO*10^-3)/10^-3</f>
        <v>10.6942193877551</v>
      </c>
      <c r="BA190" s="156">
        <f ca="1">IF(VACnom&gt;Vbat, Table7[[#This Row],[PIV (mW)]]+Table7[[#This Row],[Pqoss (mW)]]+Table7[[#This Row],[Pgate_top (mW)]], Table7[[#This Row],[PRR (mW)]]+Table7[[#This Row],[Pdead (mW)]]+Table7[[#This Row],[Pgate_top (mW)]])</f>
        <v>1290.5125714285714</v>
      </c>
      <c r="BB190" s="156">
        <f ca="1">Table7[[#This Row],[Pcon_top (mW)]]+Table7[[#This Row],[Psw_top (mW)]]</f>
        <v>1301.2067908163265</v>
      </c>
      <c r="BC190" s="156">
        <f ca="1">IF(VACnom&gt;Vbat, (1-Table7[[#This Row],[Duty Cycle]])*Table7[[#This Row],[I_L RMS]]^2*TI_MOSFET_S_RDSON_L_BU*10^-3, Table7[[#This Row],[Duty Cycle]]*Table7[[#This Row],[I_L RMS]]^2*TI_MOSFET_S_RDSON_L_BO*10^-3)/10^-3</f>
        <v>10.6942193877551</v>
      </c>
      <c r="BD190" s="156">
        <f ca="1">IF(VACnom&gt;Vbat, Table7[[#This Row],[PRR (mW)]]+Table7[[#This Row],[Pdead (mW)]]+Table7[[#This Row],[Pgate_bottom (mW)]], Table7[[#This Row],[PIV (mW)]]+Table7[[#This Row],[Pqoss (mW)]]+Table7[[#This Row],[Pgate_bottom (mW)]])</f>
        <v>1109.9532438652429</v>
      </c>
      <c r="BE190" s="158">
        <f ca="1">Table7[[#This Row],[Pcon_bottom (mW)]]+Table7[[#This Row],[Psw_bottom (mW)]]</f>
        <v>1120.647463252998</v>
      </c>
      <c r="BF190" s="164">
        <f ca="1">Table7[[#This Row],[Pbottom (mW)]]+Table7[[#This Row],[Ptop (mW)]]</f>
        <v>2421.8542540693243</v>
      </c>
      <c r="BG190" s="153"/>
      <c r="BH190" s="156">
        <f>MAX(0,Table7[[#This Row],[I_L]]-0.5*Table7[[#This Row],[I_L pkpk]])</f>
        <v>2.5464285714285717</v>
      </c>
      <c r="BI190" s="156">
        <f>Table7[[#This Row],[I_L]]+0.5*Table7[[#This Row],[I_L pkpk]]</f>
        <v>3.4035714285714285</v>
      </c>
      <c r="BJ190" s="156">
        <f>IF(VACnom&gt;Vbat, (VGS_S-(C_MOSFET_S_VTH_H_BU+Table7[[#This Row],[I_L]]/C_MOSFET_S_gFS_H_BU))/3.4, (VGS_S-(C_MOSFET_S_VTH_L_BO+Table7[[#This Row],[I_L]]/C_MOSFET_S_gFS_L_BO))/3.4 )</f>
        <v>2.347107843137255</v>
      </c>
      <c r="BK190" s="156">
        <f>IF(VACnom&gt;Vbat, ((C_MOSFET_S_VTH_H_BU+Table7[[#This Row],[I_L]]/C_MOSFET_S_gFS_H_BU))/1, ((C_MOSFET_S_VTH_L_BO+Table7[[#This Row],[I_L]]/C_MOSFET_S_gFS_L_BO))/1 )</f>
        <v>2.0198333333333331</v>
      </c>
      <c r="BL190" s="156">
        <f>IF(VACnom&gt;Vbat, (C_MOSFET_S_QGD_H_BU+C_MOSFET_S_QGS_H_BU)*10^-9/Table7[[#This Row],[Ion (A) C]], (C_MOSFET_S_QGD_L_BO+C_MOSFET_S_QGS_L_BO)*10^-9/Table7[[#This Row],[Ion (A) C]])/10^-9</f>
        <v>2.769365719178797</v>
      </c>
      <c r="BM190" s="156">
        <f>IF(VACnom&gt;Vbat, (C_MOSFET_S_QGD_H_BU+C_MOSFET_S_QGS_H_BU)*10^-9/Table7[[#This Row],[Ioff (A) C]], (C_MOSFET_S_QGD_L_BO+C_MOSFET_S_QGS_L_BO)*10^-9/Table7[[#This Row],[Ioff (A) C]])/10^-9</f>
        <v>3.2180873009324205</v>
      </c>
      <c r="BN190" s="156">
        <f xml:space="preserve"> 0.5*VACnom*Table7[[#This Row],[Ivalley (A) C]]*Table7[[#This Row],[ton (ns) C]]*10^-9*Fsw*10^3+0.5*VACnom*Table7[[#This Row],[Ipeak (A) C]]*Table7[[#This Row],[toff (ns) C]]*10^-9*Fsw*10^3/10^-3</f>
        <v>39.456151142739053</v>
      </c>
      <c r="BO190" s="156">
        <f t="shared" si="35"/>
        <v>129.6</v>
      </c>
      <c r="BP190" s="156">
        <f t="shared" ca="1" si="36"/>
        <v>291.59999999999997</v>
      </c>
      <c r="BQ190" s="156">
        <f t="shared" si="37"/>
        <v>237.6</v>
      </c>
      <c r="BR190" s="156">
        <f>IF(VACnom&gt;Vbat, C_MOSFET_S_VSD_L_BU*Table7[[#This Row],[Ivalley (A) C]]*Fsw*10^3*40*10^-9+C_MOSFET_S_VSD_L_BU*Table7[[#This Row],[Ipeak (A) C]]*Fsw*10^3*30*10^-9, C_MOSFET_S_VSD_H_BO*Table7[[#This Row],[Ivalley (A) C]]*Fsw*10^3*40*10^-9+C_MOSFET_S_VSD_H_BO*Table7[[#This Row],[Ipeak (A) C]]*Fsw*10^3*30*10^-9)/10^-3</f>
        <v>97.902857142857144</v>
      </c>
      <c r="BS190" s="156">
        <f t="shared" ca="1" si="38"/>
        <v>291.59999999999997</v>
      </c>
      <c r="BT190" s="156">
        <f>IF(VACnom&lt;Vbat, Table7[[#This Row],[Duty Cycle]]*Table7[[#This Row],[I_L RMS]]^2*C_MOSFET_S_RDSON_H_BU*10^-3, (1-Table7[[#This Row],[Duty Cycle]])*Table7[[#This Row],[I_L RMS]]^2*C_MOSFET_S_RDSON_H_BO*10^-3)/10^-3</f>
        <v>21.770375182215741</v>
      </c>
      <c r="BU190" s="156">
        <f ca="1">IF(VACnom&gt;Vbat, Table7[[#This Row],[PIV (mW) C]]+Table7[[#This Row],[PQoss (mW) C]]+Table7[[#This Row],[Pgate_top (mW) C]], Table7[[#This Row],[PRR (mW) C]]+Table7[[#This Row],[Pdead (mW) C]]+Table7[[#This Row],[Pgate_top (mW) C]])</f>
        <v>627.10285714285715</v>
      </c>
      <c r="BV190" s="156">
        <f ca="1">Table7[[#This Row],[Pcon_top (mW) C]]+Table7[[#This Row],[Psw_top (mW) C]]</f>
        <v>648.87323232507288</v>
      </c>
      <c r="BW190" s="156">
        <f ca="1">IF(VACnom&gt;Vbat, (1-Table7[[#This Row],[Duty Cycle]])*Table7[[#This Row],[I_L RMS]]^2*C_MOSFET_S_RDSON_L_BU*10^-3, Table7[[#This Row],[Duty Cycle]]*Table7[[#This Row],[I_L RMS]]^2*C_MOSFET_S_RDSON_L_BO*10^-3)/10^-3</f>
        <v>13.558742438046645</v>
      </c>
      <c r="BX190" s="156">
        <f ca="1">IF(VACnom&gt;Vbat, Table7[[#This Row],[PRR (mW) C]]+Table7[[#This Row],[Pdead (mW) C]]+Table7[[#This Row],[Pgate_bottom (mW) C]], Table7[[#This Row],[PIV (mW) C]]+Table7[[#This Row],[PQoss (mW) C]]+Table7[[#This Row],[Pgate_bottom (mW) C]])</f>
        <v>460.65615114273902</v>
      </c>
      <c r="BY190" s="156">
        <f ca="1">Table7[[#This Row],[Pcon_bottom (mW) C]]+Table7[[#This Row],[Psw_bottom (mV) C]]</f>
        <v>474.21489358078566</v>
      </c>
      <c r="BZ190" s="156">
        <f ca="1">Table7[[#This Row],[Pbottom (mW) C]]+Table7[[#This Row],[Ptop (mW) C]]</f>
        <v>1123.0881259058585</v>
      </c>
      <c r="CA190" s="159"/>
      <c r="CB190" s="160">
        <f>(RAC_SNS*10^-3*(Table7[[#This Row],[IOUT (A)]]*Vbat/VACnom)^2/10^-3)</f>
        <v>44.25312499999999</v>
      </c>
      <c r="CC190" s="160">
        <f>(RBAT_SNS*10^-3*Table7[[#This Row],[IOUT (A)]]^2)/10^-3</f>
        <v>14.45</v>
      </c>
      <c r="CD190" s="160">
        <f>IF(VACnom&gt;Vbat,(L_DRC*10^-3*(Table7[[#This Row],[IOUT (A)]])^2/10^-3),(L_DRC*10^-3*(Table7[[#This Row],[IOUT (A)]]*Vbat/VACnom)^2/10^-3))</f>
        <v>106.20749999999997</v>
      </c>
      <c r="CE190" s="166"/>
      <c r="CF190" s="156">
        <f>(Table7[[#This Row],[R_AC (mW)]]+Table7[[#This Row],[R_SR (mW)]]+Table7[[#This Row],[Inductor Loss (mW)]])/10^3</f>
        <v>0.16491062499999995</v>
      </c>
      <c r="CG190" s="156">
        <f ca="1">Table7[[#This Row],[Total TI (mW)]]/10^3</f>
        <v>2.4218542540693244</v>
      </c>
      <c r="CH190" s="156">
        <f ca="1">Table7[[#This Row],[Total Sense Loss]]+Table7[[#This Row],[Total MOSFET Loss]]</f>
        <v>2.5867648790693245</v>
      </c>
      <c r="CI190" s="161">
        <f ca="1">IF(Table7[[#This Row],[POUT (W)]]=0,0,(Table7[[#This Row],[POUT (W)]])/(Table7[[#This Row],[POUT (W)]]+Table7[[#This Row],[Total Power Loss (W)]]))*100</f>
        <v>88.746720590400642</v>
      </c>
      <c r="CJ190" s="167"/>
      <c r="CK190" s="156">
        <f>(Table7[[#This Row],[R_AC (mW)]]+Table7[[#This Row],[R_SR (mW)]]+Table7[[#This Row],[Inductor Loss (mW)]])/10^3</f>
        <v>0.16491062499999995</v>
      </c>
      <c r="CL190" s="156">
        <f ca="1">Table7[[#This Row],[Total (mW) C]]/10^3</f>
        <v>1.1230881259058585</v>
      </c>
      <c r="CM190" s="156">
        <f ca="1">Table7[[#This Row],[Total Sense Loss C]]+Table7[[#This Row],[Total MOSFET Loss C]]</f>
        <v>1.2879987509058584</v>
      </c>
      <c r="CN190" s="161">
        <f ca="1">IF(Table7[[#This Row],[POUT (W)]]=0,0,(Table7[[#This Row],[POUT (W)]])/(Table7[[#This Row],[POUT (W)]]+Table7[[#This Row],[Total Power Loss (W) C]]))*100</f>
        <v>94.061237435048923</v>
      </c>
      <c r="CO190" s="167"/>
      <c r="CP190" s="161">
        <f>IF(MOSFET_S=Custom_MOSFET,Table7[[#This Row],[Total Sense Loss C]],Table7[[#This Row],[Total Sense Loss]])</f>
        <v>0.16491062499999995</v>
      </c>
      <c r="CQ190" s="161">
        <f ca="1">IF(MOSFET_S=Custom_MOSFET,Table7[[#This Row],[Total MOSFET Loss C]],Table7[[#This Row],[Total MOSFET Loss]])</f>
        <v>2.4218542540693244</v>
      </c>
      <c r="CR190" s="161">
        <f ca="1">IF(MOSFET_S=Custom_MOSFET,Table7[[#This Row],[Efficiency C]],Table7[[#This Row],[Efficiency]])</f>
        <v>88.746720590400642</v>
      </c>
      <c r="CS190" s="167"/>
      <c r="CT190" s="161">
        <f>IF(MOSFET_S=Compare_MOSFET, Table7[[#This Row],[Total Sense Loss C]], -100)</f>
        <v>-100</v>
      </c>
      <c r="CU190" s="161">
        <f>IF(MOSFET_S=Compare_MOSFET, Table7[[#This Row],[Total MOSFET Loss C]], -100)</f>
        <v>-100</v>
      </c>
      <c r="CV190" s="161">
        <f>IF(MOSFET_S=Compare_MOSFET, Table7[[#This Row],[Efficiency C]], -100)</f>
        <v>-100</v>
      </c>
      <c r="CW190" s="167"/>
      <c r="CX190" s="161">
        <f ca="1">IF(Save_Sel=CLR_Save,  Table7[[#This Row],[Total Sense Loss P1]], Table7[[#This Row],[Total Sense Loss P1 Saved]])</f>
        <v>0.16491062499999995</v>
      </c>
      <c r="CY190" s="161">
        <f ca="1">IF(Save_Sel=CLR_Save,  Table7[[#This Row],[Total MOSFET Loss P1]], Table7[[#This Row],[Total MOSFET Loss P1 Saved]] )</f>
        <v>1.7150033479501332</v>
      </c>
      <c r="CZ190" s="161">
        <f ca="1">IF(Save_Sel=CLR_Save, Table7[[#This Row],[Efficiency P1]], Table7[[#This Row],[Efficiency P1 Saved]])</f>
        <v>91.562292497033326</v>
      </c>
      <c r="DA190" s="167"/>
      <c r="DB190" s="161">
        <f ca="1">IF(Save_Sel=CLR_Save,  Table7[[#This Row],[Total Sense Loss P2]], Table7[[#This Row],[Total Sense Loss P2 Saved]])</f>
        <v>0.16491062499999995</v>
      </c>
      <c r="DC190" s="161">
        <f ca="1">IF(Save_Sel=CLR_Save,  Table7[[#This Row],[Total MOSFET Loss P2]], Table7[[#This Row],[Total MOSFET Loss P2 Saved]] )</f>
        <v>1.1342205801109539</v>
      </c>
      <c r="DD190" s="161">
        <f ca="1">IF(Save_Sel=CLR_Save, Table7[[#This Row],[Efficiency P2]], Table7[[#This Row],[Efficiency P2 Saved]])</f>
        <v>94.012980552857528</v>
      </c>
      <c r="DE190" s="167"/>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c r="FH190" s="21"/>
      <c r="FI190" s="21"/>
    </row>
    <row r="191" spans="1:165" x14ac:dyDescent="0.25">
      <c r="A191" s="34"/>
      <c r="B191" s="51"/>
      <c r="C191" s="51"/>
      <c r="D191" s="34"/>
      <c r="E191" s="69"/>
      <c r="F191" s="69"/>
      <c r="G191" s="51"/>
      <c r="H191" s="31"/>
      <c r="I191" s="31"/>
      <c r="J191" s="31"/>
      <c r="K191" s="31"/>
      <c r="L191" s="31"/>
      <c r="M191" s="31"/>
      <c r="N191" s="31"/>
      <c r="O191" s="31"/>
      <c r="P191" s="31"/>
      <c r="Q191" s="31"/>
      <c r="R191" s="31"/>
      <c r="S191" s="32"/>
      <c r="T191" s="20"/>
      <c r="U191" s="21"/>
      <c r="V191" s="21"/>
      <c r="W191" s="21"/>
      <c r="X191" s="21"/>
      <c r="Y191" s="21"/>
      <c r="Z191" s="21"/>
      <c r="AA191" s="21"/>
      <c r="AB191" s="21"/>
      <c r="AC191" s="21"/>
      <c r="AD191" s="21"/>
      <c r="AE191" s="21"/>
      <c r="AF191" s="154">
        <f t="shared" si="17"/>
        <v>35</v>
      </c>
      <c r="AG191" s="154">
        <f t="shared" si="39"/>
        <v>1.75</v>
      </c>
      <c r="AH191" s="155">
        <f t="shared" si="28"/>
        <v>21</v>
      </c>
      <c r="AI191" s="156">
        <f t="shared" si="29"/>
        <v>0.42857142857142855</v>
      </c>
      <c r="AJ191" s="156">
        <f t="shared" si="30"/>
        <v>3.0625</v>
      </c>
      <c r="AK191" s="156">
        <f t="shared" si="26"/>
        <v>0.85714285714285721</v>
      </c>
      <c r="AL191" s="156">
        <f t="shared" si="27"/>
        <v>3.0724795751633431</v>
      </c>
      <c r="AM191" s="157"/>
      <c r="AN191" s="156">
        <f>MAX(0,Table7[[#This Row],[I_L]]-0.5*Table7[[#This Row],[I_L pkpk]])</f>
        <v>2.6339285714285712</v>
      </c>
      <c r="AO191" s="156">
        <f>Table7[[#This Row],[I_L]]+0.5*Table7[[#This Row],[I_L pkpk]]</f>
        <v>3.4910714285714288</v>
      </c>
      <c r="AP191" s="156">
        <f ca="1">IF(VACnom&gt;Vbat, (VGS_S-(TI_MOSFET_S_VTH_H_BU+Table7[[#This Row],[I_L]]/TI_MOSFET_S_gFS_H_BU))/3.4, (VGS_S-(TI_MOSFET_S_VTH_L_BO+Table7[[#This Row],[I_L]]/TI_MOSFET_S_gFS_L_BO))/3.4 )</f>
        <v>2.4195418552036201</v>
      </c>
      <c r="AQ191" s="156">
        <f ca="1">IF(VACnom&gt;Vbat, ((TI_MOSFET_S_VTH_H_BU+Table7[[#This Row],[I_L]]/TI_MOSFET_S_gFS_H_BU))/1, ((TI_MOSFET_S_VTH_L_BO+Table7[[#This Row],[I_L]]/TI_MOSFET_S_gFS_L_BO))/1 )</f>
        <v>1.7735576923076923</v>
      </c>
      <c r="AR191" s="156">
        <f ca="1">IF(VACnom&gt;Vbat, (TI_MOSFET_S_QGD_H_BU+TI_MOSFET_S_QGS_H_BU)*10^-9/Table7[[#This Row],[Ion (A)]], (TI_MOSFET_S_QGD_L_BO+TI_MOSFET_S_QGS_L_BO)*10^-9/Table7[[#This Row],[Ion (A)]])/10^-9</f>
        <v>11.903079890129156</v>
      </c>
      <c r="AS191" s="156">
        <f ca="1">IF(VACnom&gt;Vbat, (TI_MOSFET_S_QGD_H_BU+TI_MOSFET_S_QGS_H_BU)*10^-9/Table7[[#This Row],[Ioff (A)]], (TI_MOSFET_S_QGD_L_BO+TI_MOSFET_S_QGS_L_BO)*10^-9/Table7[[#This Row],[Ioff (A)]])/10^-9</f>
        <v>16.23854703171591</v>
      </c>
      <c r="AT191" s="156">
        <f ca="1" xml:space="preserve"> 0.5*VACnom*Table7[[#This Row],[Ivalley (A)]]*Table7[[#This Row],[ton (ns)]]*10^-9*Fsw*10^3+0.5*VACnom*Table7[[#This Row],[Ipeak (A)]]*Table7[[#This Row],[toff (ns)]]*10^-9*Fsw*10^3/10^-3</f>
        <v>204.19660600613068</v>
      </c>
      <c r="AU191" s="156">
        <f t="shared" ca="1" si="31"/>
        <v>262.8</v>
      </c>
      <c r="AV191" s="156">
        <f t="shared" ca="1" si="32"/>
        <v>648</v>
      </c>
      <c r="AW191" s="156">
        <f t="shared" ca="1" si="33"/>
        <v>554.4</v>
      </c>
      <c r="AX191" s="156">
        <f ca="1">IF(VACnom&gt;Vbat, TI_MOSFET_S_VSD_L_BU*Table7[[#This Row],[Ivalley (A)]]*Fsw*10^3*40*10^-9+TI_MOSFET_S_VSD_L_BU*Table7[[#This Row],[Ipeak (A)]]*Fsw*10^3*30*10^-9, TI_MOSFET_S_VSD_H_BO*Table7[[#This Row],[Ivalley (A)]]*Fsw*10^3*40*10^-9+TI_MOSFET_S_VSD_H_BO*Table7[[#This Row],[Ipeak (A)]]*Fsw*10^3*30*10^-9)/10^-3</f>
        <v>90.758571428571429</v>
      </c>
      <c r="AY191" s="156">
        <f t="shared" ca="1" si="34"/>
        <v>648</v>
      </c>
      <c r="AZ191" s="156">
        <f ca="1">IF(VACnom&lt;Vbat, Table7[[#This Row],[Duty Cycle]]*Table7[[#This Row],[I_L RMS]]^2*TI_MOSFET_S_RDSON_H_BU*10^-3, (1-Table7[[#This Row],[Duty Cycle]])*Table7[[#This Row],[I_L RMS]]^2*TI_MOSFET_S_RDSON_H_BO*10^-3)/10^-3</f>
        <v>11.3281568877551</v>
      </c>
      <c r="BA191" s="156">
        <f ca="1">IF(VACnom&gt;Vbat, Table7[[#This Row],[PIV (mW)]]+Table7[[#This Row],[Pqoss (mW)]]+Table7[[#This Row],[Pgate_top (mW)]], Table7[[#This Row],[PRR (mW)]]+Table7[[#This Row],[Pdead (mW)]]+Table7[[#This Row],[Pgate_top (mW)]])</f>
        <v>1293.1585714285713</v>
      </c>
      <c r="BB191" s="156">
        <f ca="1">Table7[[#This Row],[Pcon_top (mW)]]+Table7[[#This Row],[Psw_top (mW)]]</f>
        <v>1304.4867283163264</v>
      </c>
      <c r="BC191" s="156">
        <f ca="1">IF(VACnom&gt;Vbat, (1-Table7[[#This Row],[Duty Cycle]])*Table7[[#This Row],[I_L RMS]]^2*TI_MOSFET_S_RDSON_L_BU*10^-3, Table7[[#This Row],[Duty Cycle]]*Table7[[#This Row],[I_L RMS]]^2*TI_MOSFET_S_RDSON_L_BO*10^-3)/10^-3</f>
        <v>11.3281568877551</v>
      </c>
      <c r="BD191" s="156">
        <f ca="1">IF(VACnom&gt;Vbat, Table7[[#This Row],[PRR (mW)]]+Table7[[#This Row],[Pdead (mW)]]+Table7[[#This Row],[Pgate_bottom (mW)]], Table7[[#This Row],[PIV (mW)]]+Table7[[#This Row],[Pqoss (mW)]]+Table7[[#This Row],[Pgate_bottom (mW)]])</f>
        <v>1114.9966060061306</v>
      </c>
      <c r="BE191" s="158">
        <f ca="1">Table7[[#This Row],[Pcon_bottom (mW)]]+Table7[[#This Row],[Psw_bottom (mW)]]</f>
        <v>1126.3247628938857</v>
      </c>
      <c r="BF191" s="164">
        <f ca="1">Table7[[#This Row],[Pbottom (mW)]]+Table7[[#This Row],[Ptop (mW)]]</f>
        <v>2430.8114912102119</v>
      </c>
      <c r="BG191" s="153"/>
      <c r="BH191" s="156">
        <f>MAX(0,Table7[[#This Row],[I_L]]-0.5*Table7[[#This Row],[I_L pkpk]])</f>
        <v>2.6339285714285712</v>
      </c>
      <c r="BI191" s="156">
        <f>Table7[[#This Row],[I_L]]+0.5*Table7[[#This Row],[I_L pkpk]]</f>
        <v>3.4910714285714288</v>
      </c>
      <c r="BJ191" s="156">
        <f>IF(VACnom&gt;Vbat, (VGS_S-(C_MOSFET_S_VTH_H_BU+Table7[[#This Row],[I_L]]/C_MOSFET_S_gFS_H_BU))/3.4, (VGS_S-(C_MOSFET_S_VTH_L_BO+Table7[[#This Row],[I_L]]/C_MOSFET_S_gFS_L_BO))/3.4 )</f>
        <v>2.3469362745098041</v>
      </c>
      <c r="BK191" s="156">
        <f>IF(VACnom&gt;Vbat, ((C_MOSFET_S_VTH_H_BU+Table7[[#This Row],[I_L]]/C_MOSFET_S_gFS_H_BU))/1, ((C_MOSFET_S_VTH_L_BO+Table7[[#This Row],[I_L]]/C_MOSFET_S_gFS_L_BO))/1 )</f>
        <v>2.0204166666666667</v>
      </c>
      <c r="BL191" s="156">
        <f>IF(VACnom&gt;Vbat, (C_MOSFET_S_QGD_H_BU+C_MOSFET_S_QGS_H_BU)*10^-9/Table7[[#This Row],[Ion (A) C]], (C_MOSFET_S_QGD_L_BO+C_MOSFET_S_QGS_L_BO)*10^-9/Table7[[#This Row],[Ion (A) C]])/10^-9</f>
        <v>2.769568168764033</v>
      </c>
      <c r="BM191" s="156">
        <f>IF(VACnom&gt;Vbat, (C_MOSFET_S_QGD_H_BU+C_MOSFET_S_QGS_H_BU)*10^-9/Table7[[#This Row],[Ioff (A) C]], (C_MOSFET_S_QGD_L_BO+C_MOSFET_S_QGS_L_BO)*10^-9/Table7[[#This Row],[Ioff (A) C]])/10^-9</f>
        <v>3.2171581769436997</v>
      </c>
      <c r="BN191" s="156">
        <f xml:space="preserve"> 0.5*VACnom*Table7[[#This Row],[Ivalley (A) C]]*Table7[[#This Row],[ton (ns) C]]*10^-9*Fsw*10^3+0.5*VACnom*Table7[[#This Row],[Ipeak (A) C]]*Table7[[#This Row],[toff (ns) C]]*10^-9*Fsw*10^3/10^-3</f>
        <v>40.459045814831953</v>
      </c>
      <c r="BO191" s="156">
        <f t="shared" si="35"/>
        <v>129.6</v>
      </c>
      <c r="BP191" s="156">
        <f t="shared" ca="1" si="36"/>
        <v>291.59999999999997</v>
      </c>
      <c r="BQ191" s="156">
        <f t="shared" si="37"/>
        <v>237.6</v>
      </c>
      <c r="BR191" s="156">
        <f>IF(VACnom&gt;Vbat, C_MOSFET_S_VSD_L_BU*Table7[[#This Row],[Ivalley (A) C]]*Fsw*10^3*40*10^-9+C_MOSFET_S_VSD_L_BU*Table7[[#This Row],[Ipeak (A) C]]*Fsw*10^3*30*10^-9, C_MOSFET_S_VSD_H_BO*Table7[[#This Row],[Ivalley (A) C]]*Fsw*10^3*40*10^-9+C_MOSFET_S_VSD_H_BO*Table7[[#This Row],[Ipeak (A) C]]*Fsw*10^3*30*10^-9)/10^-3</f>
        <v>100.84285714285714</v>
      </c>
      <c r="BS191" s="156">
        <f t="shared" ca="1" si="38"/>
        <v>291.59999999999997</v>
      </c>
      <c r="BT191" s="156">
        <f>IF(VACnom&lt;Vbat, Table7[[#This Row],[Duty Cycle]]*Table7[[#This Row],[I_L RMS]]^2*C_MOSFET_S_RDSON_H_BU*10^-3, (1-Table7[[#This Row],[Duty Cycle]])*Table7[[#This Row],[I_L RMS]]^2*C_MOSFET_S_RDSON_H_BO*10^-3)/10^-3</f>
        <v>23.060890807215738</v>
      </c>
      <c r="BU191" s="156">
        <f ca="1">IF(VACnom&gt;Vbat, Table7[[#This Row],[PIV (mW) C]]+Table7[[#This Row],[PQoss (mW) C]]+Table7[[#This Row],[Pgate_top (mW) C]], Table7[[#This Row],[PRR (mW) C]]+Table7[[#This Row],[Pdead (mW) C]]+Table7[[#This Row],[Pgate_top (mW) C]])</f>
        <v>630.04285714285709</v>
      </c>
      <c r="BV191" s="156">
        <f ca="1">Table7[[#This Row],[Pcon_top (mW) C]]+Table7[[#This Row],[Psw_top (mW) C]]</f>
        <v>653.10374795007283</v>
      </c>
      <c r="BW191" s="156">
        <f ca="1">IF(VACnom&gt;Vbat, (1-Table7[[#This Row],[Duty Cycle]])*Table7[[#This Row],[I_L RMS]]^2*C_MOSFET_S_RDSON_L_BU*10^-3, Table7[[#This Row],[Duty Cycle]]*Table7[[#This Row],[I_L RMS]]^2*C_MOSFET_S_RDSON_L_BO*10^-3)/10^-3</f>
        <v>14.362484625546644</v>
      </c>
      <c r="BX191" s="156">
        <f ca="1">IF(VACnom&gt;Vbat, Table7[[#This Row],[PRR (mW) C]]+Table7[[#This Row],[Pdead (mW) C]]+Table7[[#This Row],[Pgate_bottom (mW) C]], Table7[[#This Row],[PIV (mW) C]]+Table7[[#This Row],[PQoss (mW) C]]+Table7[[#This Row],[Pgate_bottom (mW) C]])</f>
        <v>461.65904581483193</v>
      </c>
      <c r="BY191" s="156">
        <f ca="1">Table7[[#This Row],[Pcon_bottom (mW) C]]+Table7[[#This Row],[Psw_bottom (mV) C]]</f>
        <v>476.02153044037857</v>
      </c>
      <c r="BZ191" s="156">
        <f ca="1">Table7[[#This Row],[Pbottom (mW) C]]+Table7[[#This Row],[Ptop (mW) C]]</f>
        <v>1129.1252783904515</v>
      </c>
      <c r="CA191" s="159"/>
      <c r="CB191" s="160">
        <f>(RAC_SNS*10^-3*(Table7[[#This Row],[IOUT (A)]]*Vbat/VACnom)^2/10^-3)</f>
        <v>46.89453125</v>
      </c>
      <c r="CC191" s="160">
        <f>(RBAT_SNS*10^-3*Table7[[#This Row],[IOUT (A)]]^2)/10^-3</f>
        <v>15.3125</v>
      </c>
      <c r="CD191" s="160">
        <f>IF(VACnom&gt;Vbat,(L_DRC*10^-3*(Table7[[#This Row],[IOUT (A)]])^2/10^-3),(L_DRC*10^-3*(Table7[[#This Row],[IOUT (A)]]*Vbat/VACnom)^2/10^-3))</f>
        <v>112.546875</v>
      </c>
      <c r="CE191" s="166"/>
      <c r="CF191" s="156">
        <f>(Table7[[#This Row],[R_AC (mW)]]+Table7[[#This Row],[R_SR (mW)]]+Table7[[#This Row],[Inductor Loss (mW)]])/10^3</f>
        <v>0.17475390625000001</v>
      </c>
      <c r="CG191" s="156">
        <f ca="1">Table7[[#This Row],[Total TI (mW)]]/10^3</f>
        <v>2.4308114912102119</v>
      </c>
      <c r="CH191" s="156">
        <f ca="1">Table7[[#This Row],[Total Sense Loss]]+Table7[[#This Row],[Total MOSFET Loss]]</f>
        <v>2.6055653974602118</v>
      </c>
      <c r="CI191" s="161">
        <f ca="1">IF(Table7[[#This Row],[POUT (W)]]=0,0,(Table7[[#This Row],[POUT (W)]])/(Table7[[#This Row],[POUT (W)]]+Table7[[#This Row],[Total Power Loss (W)]]))*100</f>
        <v>88.962071640357536</v>
      </c>
      <c r="CJ191" s="167"/>
      <c r="CK191" s="156">
        <f>(Table7[[#This Row],[R_AC (mW)]]+Table7[[#This Row],[R_SR (mW)]]+Table7[[#This Row],[Inductor Loss (mW)]])/10^3</f>
        <v>0.17475390625000001</v>
      </c>
      <c r="CL191" s="156">
        <f ca="1">Table7[[#This Row],[Total (mW) C]]/10^3</f>
        <v>1.1291252783904515</v>
      </c>
      <c r="CM191" s="156">
        <f ca="1">Table7[[#This Row],[Total Sense Loss C]]+Table7[[#This Row],[Total MOSFET Loss C]]</f>
        <v>1.3038791846404516</v>
      </c>
      <c r="CN191" s="161">
        <f ca="1">IF(Table7[[#This Row],[POUT (W)]]=0,0,(Table7[[#This Row],[POUT (W)]])/(Table7[[#This Row],[POUT (W)]]+Table7[[#This Row],[Total Power Loss (W) C]]))*100</f>
        <v>94.154025074085027</v>
      </c>
      <c r="CO191" s="167"/>
      <c r="CP191" s="161">
        <f>IF(MOSFET_S=Custom_MOSFET,Table7[[#This Row],[Total Sense Loss C]],Table7[[#This Row],[Total Sense Loss]])</f>
        <v>0.17475390625000001</v>
      </c>
      <c r="CQ191" s="161">
        <f ca="1">IF(MOSFET_S=Custom_MOSFET,Table7[[#This Row],[Total MOSFET Loss C]],Table7[[#This Row],[Total MOSFET Loss]])</f>
        <v>2.4308114912102119</v>
      </c>
      <c r="CR191" s="161">
        <f ca="1">IF(MOSFET_S=Custom_MOSFET,Table7[[#This Row],[Efficiency C]],Table7[[#This Row],[Efficiency]])</f>
        <v>88.962071640357536</v>
      </c>
      <c r="CS191" s="167"/>
      <c r="CT191" s="161">
        <f>IF(MOSFET_S=Compare_MOSFET, Table7[[#This Row],[Total Sense Loss C]], -100)</f>
        <v>-100</v>
      </c>
      <c r="CU191" s="161">
        <f>IF(MOSFET_S=Compare_MOSFET, Table7[[#This Row],[Total MOSFET Loss C]], -100)</f>
        <v>-100</v>
      </c>
      <c r="CV191" s="161">
        <f>IF(MOSFET_S=Compare_MOSFET, Table7[[#This Row],[Efficiency C]], -100)</f>
        <v>-100</v>
      </c>
      <c r="CW191" s="167"/>
      <c r="CX191" s="161">
        <f ca="1">IF(Save_Sel=CLR_Save,  Table7[[#This Row],[Total Sense Loss P1]], Table7[[#This Row],[Total Sense Loss P1 Saved]])</f>
        <v>0.17475390625000001</v>
      </c>
      <c r="CY191" s="161">
        <f ca="1">IF(Save_Sel=CLR_Save,  Table7[[#This Row],[Total MOSFET Loss P1]], Table7[[#This Row],[Total MOSFET Loss P1 Saved]] )</f>
        <v>1.7243078305322566</v>
      </c>
      <c r="CZ191" s="161">
        <f ca="1">IF(Save_Sel=CLR_Save, Table7[[#This Row],[Efficiency P1]], Table7[[#This Row],[Efficiency P1 Saved]])</f>
        <v>91.706814197841837</v>
      </c>
      <c r="DA191" s="167"/>
      <c r="DB191" s="161">
        <f ca="1">IF(Save_Sel=CLR_Save,  Table7[[#This Row],[Total Sense Loss P2]], Table7[[#This Row],[Total Sense Loss P2 Saved]])</f>
        <v>0.17475390625000001</v>
      </c>
      <c r="DC191" s="161">
        <f ca="1">IF(Save_Sel=CLR_Save,  Table7[[#This Row],[Total MOSFET Loss P2]], Table7[[#This Row],[Total MOSFET Loss P2 Saved]] )</f>
        <v>1.140916263195743</v>
      </c>
      <c r="DD191" s="161">
        <f ca="1">IF(Save_Sel=CLR_Save, Table7[[#This Row],[Efficiency P2]], Table7[[#This Row],[Efficiency P2 Saved]])</f>
        <v>94.104276683354399</v>
      </c>
      <c r="DE191" s="167"/>
      <c r="DF191" s="21"/>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c r="FH191" s="21"/>
      <c r="FI191" s="21"/>
    </row>
    <row r="192" spans="1:165" x14ac:dyDescent="0.25">
      <c r="A192" s="34"/>
      <c r="B192" s="51"/>
      <c r="C192" s="51"/>
      <c r="D192" s="34"/>
      <c r="E192" s="69"/>
      <c r="F192" s="69"/>
      <c r="G192" s="51"/>
      <c r="H192" s="31"/>
      <c r="I192" s="31"/>
      <c r="J192" s="31"/>
      <c r="K192" s="31"/>
      <c r="L192" s="31"/>
      <c r="M192" s="31"/>
      <c r="N192" s="31"/>
      <c r="O192" s="31"/>
      <c r="P192" s="31"/>
      <c r="Q192" s="31"/>
      <c r="R192" s="31"/>
      <c r="S192" s="32"/>
      <c r="T192" s="20"/>
      <c r="U192" s="21"/>
      <c r="V192" s="21"/>
      <c r="W192" s="21"/>
      <c r="X192" s="21"/>
      <c r="Y192" s="21"/>
      <c r="Z192" s="21"/>
      <c r="AA192" s="21"/>
      <c r="AB192" s="21"/>
      <c r="AC192" s="21"/>
      <c r="AD192" s="21"/>
      <c r="AE192" s="21"/>
      <c r="AF192" s="154">
        <f t="shared" si="17"/>
        <v>36</v>
      </c>
      <c r="AG192" s="154">
        <f t="shared" si="39"/>
        <v>1.8</v>
      </c>
      <c r="AH192" s="155">
        <f t="shared" si="28"/>
        <v>21.6</v>
      </c>
      <c r="AI192" s="156">
        <f t="shared" si="29"/>
        <v>0.42857142857142855</v>
      </c>
      <c r="AJ192" s="156">
        <f t="shared" si="30"/>
        <v>3.1500000000000004</v>
      </c>
      <c r="AK192" s="156">
        <f t="shared" si="26"/>
        <v>0.85714285714285721</v>
      </c>
      <c r="AL192" s="156">
        <f t="shared" si="27"/>
        <v>3.1597032281206285</v>
      </c>
      <c r="AM192" s="157"/>
      <c r="AN192" s="156">
        <f>MAX(0,Table7[[#This Row],[I_L]]-0.5*Table7[[#This Row],[I_L pkpk]])</f>
        <v>2.7214285714285715</v>
      </c>
      <c r="AO192" s="156">
        <f>Table7[[#This Row],[I_L]]+0.5*Table7[[#This Row],[I_L pkpk]]</f>
        <v>3.5785714285714292</v>
      </c>
      <c r="AP192" s="156">
        <f ca="1">IF(VACnom&gt;Vbat, (VGS_S-(TI_MOSFET_S_VTH_H_BU+Table7[[#This Row],[I_L]]/TI_MOSFET_S_gFS_H_BU))/3.4, (VGS_S-(TI_MOSFET_S_VTH_L_BO+Table7[[#This Row],[I_L]]/TI_MOSFET_S_gFS_L_BO))/3.4 )</f>
        <v>2.4193438914027152</v>
      </c>
      <c r="AQ192" s="156">
        <f ca="1">IF(VACnom&gt;Vbat, ((TI_MOSFET_S_VTH_H_BU+Table7[[#This Row],[I_L]]/TI_MOSFET_S_gFS_H_BU))/1, ((TI_MOSFET_S_VTH_L_BO+Table7[[#This Row],[I_L]]/TI_MOSFET_S_gFS_L_BO))/1 )</f>
        <v>1.7742307692307693</v>
      </c>
      <c r="AR192" s="156">
        <f ca="1">IF(VACnom&gt;Vbat, (TI_MOSFET_S_QGD_H_BU+TI_MOSFET_S_QGS_H_BU)*10^-9/Table7[[#This Row],[Ion (A)]], (TI_MOSFET_S_QGD_L_BO+TI_MOSFET_S_QGS_L_BO)*10^-9/Table7[[#This Row],[Ion (A)]])/10^-9</f>
        <v>11.904053864497124</v>
      </c>
      <c r="AS192" s="156">
        <f ca="1">IF(VACnom&gt;Vbat, (TI_MOSFET_S_QGD_H_BU+TI_MOSFET_S_QGS_H_BU)*10^-9/Table7[[#This Row],[Ioff (A)]], (TI_MOSFET_S_QGD_L_BO+TI_MOSFET_S_QGS_L_BO)*10^-9/Table7[[#This Row],[Ioff (A)]])/10^-9</f>
        <v>16.232386733145457</v>
      </c>
      <c r="AT192" s="156">
        <f ca="1" xml:space="preserve"> 0.5*VACnom*Table7[[#This Row],[Ivalley (A)]]*Table7[[#This Row],[ton (ns)]]*10^-9*Fsw*10^3+0.5*VACnom*Table7[[#This Row],[Ipeak (A)]]*Table7[[#This Row],[toff (ns)]]*10^-9*Fsw*10^3/10^-3</f>
        <v>209.23614508701215</v>
      </c>
      <c r="AU192" s="156">
        <f t="shared" ca="1" si="31"/>
        <v>262.8</v>
      </c>
      <c r="AV192" s="156">
        <f t="shared" ca="1" si="32"/>
        <v>648</v>
      </c>
      <c r="AW192" s="156">
        <f t="shared" ca="1" si="33"/>
        <v>554.4</v>
      </c>
      <c r="AX192" s="156">
        <f ca="1">IF(VACnom&gt;Vbat, TI_MOSFET_S_VSD_L_BU*Table7[[#This Row],[Ivalley (A)]]*Fsw*10^3*40*10^-9+TI_MOSFET_S_VSD_L_BU*Table7[[#This Row],[Ipeak (A)]]*Fsw*10^3*30*10^-9, TI_MOSFET_S_VSD_H_BO*Table7[[#This Row],[Ivalley (A)]]*Fsw*10^3*40*10^-9+TI_MOSFET_S_VSD_H_BO*Table7[[#This Row],[Ipeak (A)]]*Fsw*10^3*30*10^-9)/10^-3</f>
        <v>93.404571428571444</v>
      </c>
      <c r="AY192" s="156">
        <f t="shared" ca="1" si="34"/>
        <v>648</v>
      </c>
      <c r="AZ192" s="156">
        <f ca="1">IF(VACnom&lt;Vbat, Table7[[#This Row],[Duty Cycle]]*Table7[[#This Row],[I_L RMS]]^2*TI_MOSFET_S_RDSON_H_BU*10^-3, (1-Table7[[#This Row],[Duty Cycle]])*Table7[[#This Row],[I_L RMS]]^2*TI_MOSFET_S_RDSON_H_BO*10^-3)/10^-3</f>
        <v>11.980469387755102</v>
      </c>
      <c r="BA192" s="156">
        <f ca="1">IF(VACnom&gt;Vbat, Table7[[#This Row],[PIV (mW)]]+Table7[[#This Row],[Pqoss (mW)]]+Table7[[#This Row],[Pgate_top (mW)]], Table7[[#This Row],[PRR (mW)]]+Table7[[#This Row],[Pdead (mW)]]+Table7[[#This Row],[Pgate_top (mW)]])</f>
        <v>1295.8045714285713</v>
      </c>
      <c r="BB192" s="156">
        <f ca="1">Table7[[#This Row],[Pcon_top (mW)]]+Table7[[#This Row],[Psw_top (mW)]]</f>
        <v>1307.7850408163265</v>
      </c>
      <c r="BC192" s="156">
        <f ca="1">IF(VACnom&gt;Vbat, (1-Table7[[#This Row],[Duty Cycle]])*Table7[[#This Row],[I_L RMS]]^2*TI_MOSFET_S_RDSON_L_BU*10^-3, Table7[[#This Row],[Duty Cycle]]*Table7[[#This Row],[I_L RMS]]^2*TI_MOSFET_S_RDSON_L_BO*10^-3)/10^-3</f>
        <v>11.980469387755102</v>
      </c>
      <c r="BD192" s="156">
        <f ca="1">IF(VACnom&gt;Vbat, Table7[[#This Row],[PRR (mW)]]+Table7[[#This Row],[Pdead (mW)]]+Table7[[#This Row],[Pgate_bottom (mW)]], Table7[[#This Row],[PIV (mW)]]+Table7[[#This Row],[Pqoss (mW)]]+Table7[[#This Row],[Pgate_bottom (mW)]])</f>
        <v>1120.0361450870123</v>
      </c>
      <c r="BE192" s="158">
        <f ca="1">Table7[[#This Row],[Pcon_bottom (mW)]]+Table7[[#This Row],[Psw_bottom (mW)]]</f>
        <v>1132.0166144747675</v>
      </c>
      <c r="BF192" s="164">
        <f ca="1">Table7[[#This Row],[Pbottom (mW)]]+Table7[[#This Row],[Ptop (mW)]]</f>
        <v>2439.801655291094</v>
      </c>
      <c r="BG192" s="153"/>
      <c r="BH192" s="156">
        <f>MAX(0,Table7[[#This Row],[I_L]]-0.5*Table7[[#This Row],[I_L pkpk]])</f>
        <v>2.7214285714285715</v>
      </c>
      <c r="BI192" s="156">
        <f>Table7[[#This Row],[I_L]]+0.5*Table7[[#This Row],[I_L pkpk]]</f>
        <v>3.5785714285714292</v>
      </c>
      <c r="BJ192" s="156">
        <f>IF(VACnom&gt;Vbat, (VGS_S-(C_MOSFET_S_VTH_H_BU+Table7[[#This Row],[I_L]]/C_MOSFET_S_gFS_H_BU))/3.4, (VGS_S-(C_MOSFET_S_VTH_L_BO+Table7[[#This Row],[I_L]]/C_MOSFET_S_gFS_L_BO))/3.4 )</f>
        <v>2.3467647058823529</v>
      </c>
      <c r="BK192" s="156">
        <f>IF(VACnom&gt;Vbat, ((C_MOSFET_S_VTH_H_BU+Table7[[#This Row],[I_L]]/C_MOSFET_S_gFS_H_BU))/1, ((C_MOSFET_S_VTH_L_BO+Table7[[#This Row],[I_L]]/C_MOSFET_S_gFS_L_BO))/1 )</f>
        <v>2.0209999999999999</v>
      </c>
      <c r="BL192" s="156">
        <f>IF(VACnom&gt;Vbat, (C_MOSFET_S_QGD_H_BU+C_MOSFET_S_QGS_H_BU)*10^-9/Table7[[#This Row],[Ion (A) C]], (C_MOSFET_S_QGD_L_BO+C_MOSFET_S_QGS_L_BO)*10^-9/Table7[[#This Row],[Ion (A) C]])/10^-9</f>
        <v>2.769770647950871</v>
      </c>
      <c r="BM192" s="156">
        <f>IF(VACnom&gt;Vbat, (C_MOSFET_S_QGD_H_BU+C_MOSFET_S_QGS_H_BU)*10^-9/Table7[[#This Row],[Ioff (A) C]], (C_MOSFET_S_QGD_L_BO+C_MOSFET_S_QGS_L_BO)*10^-9/Table7[[#This Row],[Ioff (A) C]])/10^-9</f>
        <v>3.2162295893122215</v>
      </c>
      <c r="BN192" s="156">
        <f xml:space="preserve"> 0.5*VACnom*Table7[[#This Row],[Ivalley (A) C]]*Table7[[#This Row],[ton (ns) C]]*10^-9*Fsw*10^3+0.5*VACnom*Table7[[#This Row],[Ipeak (A) C]]*Table7[[#This Row],[toff (ns) C]]*10^-9*Fsw*10^3/10^-3</f>
        <v>41.461362176458955</v>
      </c>
      <c r="BO192" s="156">
        <f t="shared" si="35"/>
        <v>129.6</v>
      </c>
      <c r="BP192" s="156">
        <f t="shared" ca="1" si="36"/>
        <v>291.59999999999997</v>
      </c>
      <c r="BQ192" s="156">
        <f t="shared" si="37"/>
        <v>237.6</v>
      </c>
      <c r="BR192" s="156">
        <f>IF(VACnom&gt;Vbat, C_MOSFET_S_VSD_L_BU*Table7[[#This Row],[Ivalley (A) C]]*Fsw*10^3*40*10^-9+C_MOSFET_S_VSD_L_BU*Table7[[#This Row],[Ipeak (A) C]]*Fsw*10^3*30*10^-9, C_MOSFET_S_VSD_H_BO*Table7[[#This Row],[Ivalley (A) C]]*Fsw*10^3*40*10^-9+C_MOSFET_S_VSD_H_BO*Table7[[#This Row],[Ipeak (A) C]]*Fsw*10^3*30*10^-9)/10^-3</f>
        <v>103.78285714285715</v>
      </c>
      <c r="BS192" s="156">
        <f t="shared" ca="1" si="38"/>
        <v>291.59999999999997</v>
      </c>
      <c r="BT192" s="156">
        <f>IF(VACnom&lt;Vbat, Table7[[#This Row],[Duty Cycle]]*Table7[[#This Row],[I_L RMS]]^2*C_MOSFET_S_RDSON_H_BU*10^-3, (1-Table7[[#This Row],[Duty Cycle]])*Table7[[#This Row],[I_L RMS]]^2*C_MOSFET_S_RDSON_H_BO*10^-3)/10^-3</f>
        <v>24.388812682215747</v>
      </c>
      <c r="BU192" s="156">
        <f ca="1">IF(VACnom&gt;Vbat, Table7[[#This Row],[PIV (mW) C]]+Table7[[#This Row],[PQoss (mW) C]]+Table7[[#This Row],[Pgate_top (mW) C]], Table7[[#This Row],[PRR (mW) C]]+Table7[[#This Row],[Pdead (mW) C]]+Table7[[#This Row],[Pgate_top (mW) C]])</f>
        <v>632.98285714285703</v>
      </c>
      <c r="BV192" s="156">
        <f ca="1">Table7[[#This Row],[Pcon_top (mW) C]]+Table7[[#This Row],[Psw_top (mW) C]]</f>
        <v>657.37166982507279</v>
      </c>
      <c r="BW192" s="156">
        <f ca="1">IF(VACnom&gt;Vbat, (1-Table7[[#This Row],[Duty Cycle]])*Table7[[#This Row],[I_L RMS]]^2*C_MOSFET_S_RDSON_L_BU*10^-3, Table7[[#This Row],[Duty Cycle]]*Table7[[#This Row],[I_L RMS]]^2*C_MOSFET_S_RDSON_L_BO*10^-3)/10^-3</f>
        <v>15.189523688046648</v>
      </c>
      <c r="BX192" s="156">
        <f ca="1">IF(VACnom&gt;Vbat, Table7[[#This Row],[PRR (mW) C]]+Table7[[#This Row],[Pdead (mW) C]]+Table7[[#This Row],[Pgate_bottom (mW) C]], Table7[[#This Row],[PIV (mW) C]]+Table7[[#This Row],[PQoss (mW) C]]+Table7[[#This Row],[Pgate_bottom (mW) C]])</f>
        <v>462.66136217645891</v>
      </c>
      <c r="BY192" s="156">
        <f ca="1">Table7[[#This Row],[Pcon_bottom (mW) C]]+Table7[[#This Row],[Psw_bottom (mV) C]]</f>
        <v>477.85088586450559</v>
      </c>
      <c r="BZ192" s="156">
        <f ca="1">Table7[[#This Row],[Pbottom (mW) C]]+Table7[[#This Row],[Ptop (mW) C]]</f>
        <v>1135.2225556895783</v>
      </c>
      <c r="CA192" s="159"/>
      <c r="CB192" s="160">
        <f>(RAC_SNS*10^-3*(Table7[[#This Row],[IOUT (A)]]*Vbat/VACnom)^2/10^-3)</f>
        <v>49.612500000000018</v>
      </c>
      <c r="CC192" s="160">
        <f>(RBAT_SNS*10^-3*Table7[[#This Row],[IOUT (A)]]^2)/10^-3</f>
        <v>16.200000000000003</v>
      </c>
      <c r="CD192" s="160">
        <f>IF(VACnom&gt;Vbat,(L_DRC*10^-3*(Table7[[#This Row],[IOUT (A)]])^2/10^-3),(L_DRC*10^-3*(Table7[[#This Row],[IOUT (A)]]*Vbat/VACnom)^2/10^-3))</f>
        <v>119.07000000000004</v>
      </c>
      <c r="CE192" s="166"/>
      <c r="CF192" s="156">
        <f>(Table7[[#This Row],[R_AC (mW)]]+Table7[[#This Row],[R_SR (mW)]]+Table7[[#This Row],[Inductor Loss (mW)]])/10^3</f>
        <v>0.18488250000000006</v>
      </c>
      <c r="CG192" s="156">
        <f ca="1">Table7[[#This Row],[Total TI (mW)]]/10^3</f>
        <v>2.4398016552910939</v>
      </c>
      <c r="CH192" s="156">
        <f ca="1">Table7[[#This Row],[Total Sense Loss]]+Table7[[#This Row],[Total MOSFET Loss]]</f>
        <v>2.624684155291094</v>
      </c>
      <c r="CI192" s="161">
        <f ca="1">IF(Table7[[#This Row],[POUT (W)]]=0,0,(Table7[[#This Row],[POUT (W)]])/(Table7[[#This Row],[POUT (W)]]+Table7[[#This Row],[Total Power Loss (W)]]))*100</f>
        <v>89.165249220730018</v>
      </c>
      <c r="CJ192" s="167"/>
      <c r="CK192" s="156">
        <f>(Table7[[#This Row],[R_AC (mW)]]+Table7[[#This Row],[R_SR (mW)]]+Table7[[#This Row],[Inductor Loss (mW)]])/10^3</f>
        <v>0.18488250000000006</v>
      </c>
      <c r="CL192" s="156">
        <f ca="1">Table7[[#This Row],[Total (mW) C]]/10^3</f>
        <v>1.1352225556895783</v>
      </c>
      <c r="CM192" s="156">
        <f ca="1">Table7[[#This Row],[Total Sense Loss C]]+Table7[[#This Row],[Total MOSFET Loss C]]</f>
        <v>1.3201050556895784</v>
      </c>
      <c r="CN192" s="161">
        <f ca="1">IF(Table7[[#This Row],[POUT (W)]]=0,0,(Table7[[#This Row],[POUT (W)]])/(Table7[[#This Row],[POUT (W)]]+Table7[[#This Row],[Total Power Loss (W) C]]))*100</f>
        <v>94.240405737748219</v>
      </c>
      <c r="CO192" s="167"/>
      <c r="CP192" s="161">
        <f>IF(MOSFET_S=Custom_MOSFET,Table7[[#This Row],[Total Sense Loss C]],Table7[[#This Row],[Total Sense Loss]])</f>
        <v>0.18488250000000006</v>
      </c>
      <c r="CQ192" s="161">
        <f ca="1">IF(MOSFET_S=Custom_MOSFET,Table7[[#This Row],[Total MOSFET Loss C]],Table7[[#This Row],[Total MOSFET Loss]])</f>
        <v>2.4398016552910939</v>
      </c>
      <c r="CR192" s="161">
        <f ca="1">IF(MOSFET_S=Custom_MOSFET,Table7[[#This Row],[Efficiency C]],Table7[[#This Row],[Efficiency]])</f>
        <v>89.165249220730018</v>
      </c>
      <c r="CS192" s="167"/>
      <c r="CT192" s="161">
        <f>IF(MOSFET_S=Compare_MOSFET, Table7[[#This Row],[Total Sense Loss C]], -100)</f>
        <v>-100</v>
      </c>
      <c r="CU192" s="161">
        <f>IF(MOSFET_S=Compare_MOSFET, Table7[[#This Row],[Total MOSFET Loss C]], -100)</f>
        <v>-100</v>
      </c>
      <c r="CV192" s="161">
        <f>IF(MOSFET_S=Compare_MOSFET, Table7[[#This Row],[Efficiency C]], -100)</f>
        <v>-100</v>
      </c>
      <c r="CW192" s="167"/>
      <c r="CX192" s="161">
        <f ca="1">IF(Save_Sel=CLR_Save,  Table7[[#This Row],[Total Sense Loss P1]], Table7[[#This Row],[Total Sense Loss P1 Saved]])</f>
        <v>0.18488250000000006</v>
      </c>
      <c r="CY192" s="161">
        <f ca="1">IF(Save_Sel=CLR_Save,  Table7[[#This Row],[Total MOSFET Loss P1]], Table7[[#This Row],[Total MOSFET Loss P1 Saved]] )</f>
        <v>1.7336550888166016</v>
      </c>
      <c r="CZ192" s="161">
        <f ca="1">IF(Save_Sel=CLR_Save, Table7[[#This Row],[Efficiency P1]], Table7[[#This Row],[Efficiency P1 Saved]])</f>
        <v>91.842445213392466</v>
      </c>
      <c r="DA192" s="167"/>
      <c r="DB192" s="161">
        <f ca="1">IF(Save_Sel=CLR_Save,  Table7[[#This Row],[Total Sense Loss P2]], Table7[[#This Row],[Total Sense Loss P2 Saved]])</f>
        <v>0.18488250000000006</v>
      </c>
      <c r="DC192" s="161">
        <f ca="1">IF(Save_Sel=CLR_Save,  Table7[[#This Row],[Total MOSFET Loss P2]], Table7[[#This Row],[Total MOSFET Loss P2 Saved]] )</f>
        <v>1.1476911035475554</v>
      </c>
      <c r="DD192" s="161">
        <f ca="1">IF(Save_Sel=CLR_Save, Table7[[#This Row],[Efficiency P2]], Table7[[#This Row],[Efficiency P2 Saved]])</f>
        <v>94.189166787013335</v>
      </c>
      <c r="DE192" s="167"/>
      <c r="DF192" s="21"/>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c r="FH192" s="21"/>
      <c r="FI192" s="21"/>
    </row>
    <row r="193" spans="1:165" x14ac:dyDescent="0.25">
      <c r="A193" s="34"/>
      <c r="B193" s="51"/>
      <c r="C193" s="51"/>
      <c r="D193" s="34"/>
      <c r="E193" s="69"/>
      <c r="F193" s="69"/>
      <c r="G193" s="51"/>
      <c r="H193" s="31"/>
      <c r="I193" s="31"/>
      <c r="J193" s="31"/>
      <c r="K193" s="31"/>
      <c r="L193" s="31"/>
      <c r="M193" s="31"/>
      <c r="N193" s="31"/>
      <c r="O193" s="31"/>
      <c r="P193" s="31"/>
      <c r="Q193" s="31"/>
      <c r="R193" s="31"/>
      <c r="S193" s="32"/>
      <c r="T193" s="20"/>
      <c r="U193" s="21"/>
      <c r="V193" s="21"/>
      <c r="W193" s="21"/>
      <c r="X193" s="21"/>
      <c r="Y193" s="21"/>
      <c r="Z193" s="21"/>
      <c r="AA193" s="21"/>
      <c r="AB193" s="21"/>
      <c r="AC193" s="21"/>
      <c r="AD193" s="21"/>
      <c r="AE193" s="21"/>
      <c r="AF193" s="154">
        <f t="shared" si="17"/>
        <v>37</v>
      </c>
      <c r="AG193" s="154">
        <f t="shared" si="39"/>
        <v>1.85</v>
      </c>
      <c r="AH193" s="155">
        <f t="shared" si="28"/>
        <v>22.200000000000003</v>
      </c>
      <c r="AI193" s="156">
        <f t="shared" si="29"/>
        <v>0.42857142857142855</v>
      </c>
      <c r="AJ193" s="156">
        <f t="shared" si="30"/>
        <v>3.2375000000000003</v>
      </c>
      <c r="AK193" s="156">
        <f t="shared" si="26"/>
        <v>0.85714285714285721</v>
      </c>
      <c r="AL193" s="156">
        <f t="shared" si="27"/>
        <v>3.2469417518329338</v>
      </c>
      <c r="AM193" s="157"/>
      <c r="AN193" s="156">
        <f>MAX(0,Table7[[#This Row],[I_L]]-0.5*Table7[[#This Row],[I_L pkpk]])</f>
        <v>2.8089285714285719</v>
      </c>
      <c r="AO193" s="156">
        <f>Table7[[#This Row],[I_L]]+0.5*Table7[[#This Row],[I_L pkpk]]</f>
        <v>3.6660714285714286</v>
      </c>
      <c r="AP193" s="156">
        <f ca="1">IF(VACnom&gt;Vbat, (VGS_S-(TI_MOSFET_S_VTH_H_BU+Table7[[#This Row],[I_L]]/TI_MOSFET_S_gFS_H_BU))/3.4, (VGS_S-(TI_MOSFET_S_VTH_L_BO+Table7[[#This Row],[I_L]]/TI_MOSFET_S_gFS_L_BO))/3.4 )</f>
        <v>2.4191459276018099</v>
      </c>
      <c r="AQ193" s="156">
        <f ca="1">IF(VACnom&gt;Vbat, ((TI_MOSFET_S_VTH_H_BU+Table7[[#This Row],[I_L]]/TI_MOSFET_S_gFS_H_BU))/1, ((TI_MOSFET_S_VTH_L_BO+Table7[[#This Row],[I_L]]/TI_MOSFET_S_gFS_L_BO))/1 )</f>
        <v>1.7749038461538462</v>
      </c>
      <c r="AR193" s="156">
        <f ca="1">IF(VACnom&gt;Vbat, (TI_MOSFET_S_QGD_H_BU+TI_MOSFET_S_QGS_H_BU)*10^-9/Table7[[#This Row],[Ion (A)]], (TI_MOSFET_S_QGD_L_BO+TI_MOSFET_S_QGS_L_BO)*10^-9/Table7[[#This Row],[Ion (A)]])/10^-9</f>
        <v>11.905027998269835</v>
      </c>
      <c r="AS193" s="156">
        <f ca="1">IF(VACnom&gt;Vbat, (TI_MOSFET_S_QGD_H_BU+TI_MOSFET_S_QGS_H_BU)*10^-9/Table7[[#This Row],[Ioff (A)]], (TI_MOSFET_S_QGD_L_BO+TI_MOSFET_S_QGS_L_BO)*10^-9/Table7[[#This Row],[Ioff (A)]])/10^-9</f>
        <v>16.226231106777181</v>
      </c>
      <c r="AT193" s="156">
        <f ca="1" xml:space="preserve"> 0.5*VACnom*Table7[[#This Row],[Ivalley (A)]]*Table7[[#This Row],[ton (ns)]]*10^-9*Fsw*10^3+0.5*VACnom*Table7[[#This Row],[Ipeak (A)]]*Table7[[#This Row],[toff (ns)]]*10^-9*Fsw*10^3/10^-3</f>
        <v>214.27186545806683</v>
      </c>
      <c r="AU193" s="156">
        <f t="shared" ca="1" si="31"/>
        <v>262.8</v>
      </c>
      <c r="AV193" s="156">
        <f t="shared" ca="1" si="32"/>
        <v>648</v>
      </c>
      <c r="AW193" s="156">
        <f t="shared" ca="1" si="33"/>
        <v>554.4</v>
      </c>
      <c r="AX193" s="156">
        <f ca="1">IF(VACnom&gt;Vbat, TI_MOSFET_S_VSD_L_BU*Table7[[#This Row],[Ivalley (A)]]*Fsw*10^3*40*10^-9+TI_MOSFET_S_VSD_L_BU*Table7[[#This Row],[Ipeak (A)]]*Fsw*10^3*30*10^-9, TI_MOSFET_S_VSD_H_BO*Table7[[#This Row],[Ivalley (A)]]*Fsw*10^3*40*10^-9+TI_MOSFET_S_VSD_H_BO*Table7[[#This Row],[Ipeak (A)]]*Fsw*10^3*30*10^-9)/10^-3</f>
        <v>96.050571428571445</v>
      </c>
      <c r="AY193" s="156">
        <f t="shared" ca="1" si="34"/>
        <v>648</v>
      </c>
      <c r="AZ193" s="156">
        <f ca="1">IF(VACnom&lt;Vbat, Table7[[#This Row],[Duty Cycle]]*Table7[[#This Row],[I_L RMS]]^2*TI_MOSFET_S_RDSON_H_BU*10^-3, (1-Table7[[#This Row],[Duty Cycle]])*Table7[[#This Row],[I_L RMS]]^2*TI_MOSFET_S_RDSON_H_BO*10^-3)/10^-3</f>
        <v>12.651156887755103</v>
      </c>
      <c r="BA193" s="156">
        <f ca="1">IF(VACnom&gt;Vbat, Table7[[#This Row],[PIV (mW)]]+Table7[[#This Row],[Pqoss (mW)]]+Table7[[#This Row],[Pgate_top (mW)]], Table7[[#This Row],[PRR (mW)]]+Table7[[#This Row],[Pdead (mW)]]+Table7[[#This Row],[Pgate_top (mW)]])</f>
        <v>1298.4505714285715</v>
      </c>
      <c r="BB193" s="156">
        <f ca="1">Table7[[#This Row],[Pcon_top (mW)]]+Table7[[#This Row],[Psw_top (mW)]]</f>
        <v>1311.1017283163267</v>
      </c>
      <c r="BC193" s="156">
        <f ca="1">IF(VACnom&gt;Vbat, (1-Table7[[#This Row],[Duty Cycle]])*Table7[[#This Row],[I_L RMS]]^2*TI_MOSFET_S_RDSON_L_BU*10^-3, Table7[[#This Row],[Duty Cycle]]*Table7[[#This Row],[I_L RMS]]^2*TI_MOSFET_S_RDSON_L_BO*10^-3)/10^-3</f>
        <v>12.651156887755103</v>
      </c>
      <c r="BD193" s="156">
        <f ca="1">IF(VACnom&gt;Vbat, Table7[[#This Row],[PRR (mW)]]+Table7[[#This Row],[Pdead (mW)]]+Table7[[#This Row],[Pgate_bottom (mW)]], Table7[[#This Row],[PIV (mW)]]+Table7[[#This Row],[Pqoss (mW)]]+Table7[[#This Row],[Pgate_bottom (mW)]])</f>
        <v>1125.0718654580669</v>
      </c>
      <c r="BE193" s="158">
        <f ca="1">Table7[[#This Row],[Pcon_bottom (mW)]]+Table7[[#This Row],[Psw_bottom (mW)]]</f>
        <v>1137.7230223458221</v>
      </c>
      <c r="BF193" s="164">
        <f ca="1">Table7[[#This Row],[Pbottom (mW)]]+Table7[[#This Row],[Ptop (mW)]]</f>
        <v>2448.8247506621487</v>
      </c>
      <c r="BG193" s="153"/>
      <c r="BH193" s="156">
        <f>MAX(0,Table7[[#This Row],[I_L]]-0.5*Table7[[#This Row],[I_L pkpk]])</f>
        <v>2.8089285714285719</v>
      </c>
      <c r="BI193" s="156">
        <f>Table7[[#This Row],[I_L]]+0.5*Table7[[#This Row],[I_L pkpk]]</f>
        <v>3.6660714285714286</v>
      </c>
      <c r="BJ193" s="156">
        <f>IF(VACnom&gt;Vbat, (VGS_S-(C_MOSFET_S_VTH_H_BU+Table7[[#This Row],[I_L]]/C_MOSFET_S_gFS_H_BU))/3.4, (VGS_S-(C_MOSFET_S_VTH_L_BO+Table7[[#This Row],[I_L]]/C_MOSFET_S_gFS_L_BO))/3.4 )</f>
        <v>2.346593137254902</v>
      </c>
      <c r="BK193" s="156">
        <f>IF(VACnom&gt;Vbat, ((C_MOSFET_S_VTH_H_BU+Table7[[#This Row],[I_L]]/C_MOSFET_S_gFS_H_BU))/1, ((C_MOSFET_S_VTH_L_BO+Table7[[#This Row],[I_L]]/C_MOSFET_S_gFS_L_BO))/1 )</f>
        <v>2.0215833333333335</v>
      </c>
      <c r="BL193" s="156">
        <f>IF(VACnom&gt;Vbat, (C_MOSFET_S_QGD_H_BU+C_MOSFET_S_QGS_H_BU)*10^-9/Table7[[#This Row],[Ion (A) C]], (C_MOSFET_S_QGD_L_BO+C_MOSFET_S_QGS_L_BO)*10^-9/Table7[[#This Row],[Ion (A) C]])/10^-9</f>
        <v>2.7699731567458037</v>
      </c>
      <c r="BM193" s="156">
        <f>IF(VACnom&gt;Vbat, (C_MOSFET_S_QGD_H_BU+C_MOSFET_S_QGS_H_BU)*10^-9/Table7[[#This Row],[Ioff (A) C]], (C_MOSFET_S_QGD_L_BO+C_MOSFET_S_QGS_L_BO)*10^-9/Table7[[#This Row],[Ioff (A) C]])/10^-9</f>
        <v>3.2153015375736835</v>
      </c>
      <c r="BN193" s="156">
        <f xml:space="preserve"> 0.5*VACnom*Table7[[#This Row],[Ivalley (A) C]]*Table7[[#This Row],[ton (ns) C]]*10^-9*Fsw*10^3+0.5*VACnom*Table7[[#This Row],[Ipeak (A) C]]*Table7[[#This Row],[toff (ns) C]]*10^-9*Fsw*10^3/10^-3</f>
        <v>42.463100728377874</v>
      </c>
      <c r="BO193" s="156">
        <f t="shared" si="35"/>
        <v>129.6</v>
      </c>
      <c r="BP193" s="156">
        <f t="shared" ca="1" si="36"/>
        <v>291.59999999999997</v>
      </c>
      <c r="BQ193" s="156">
        <f t="shared" si="37"/>
        <v>237.6</v>
      </c>
      <c r="BR193" s="156">
        <f>IF(VACnom&gt;Vbat, C_MOSFET_S_VSD_L_BU*Table7[[#This Row],[Ivalley (A) C]]*Fsw*10^3*40*10^-9+C_MOSFET_S_VSD_L_BU*Table7[[#This Row],[Ipeak (A) C]]*Fsw*10^3*30*10^-9, C_MOSFET_S_VSD_H_BO*Table7[[#This Row],[Ivalley (A) C]]*Fsw*10^3*40*10^-9+C_MOSFET_S_VSD_H_BO*Table7[[#This Row],[Ipeak (A) C]]*Fsw*10^3*30*10^-9)/10^-3</f>
        <v>106.72285714285718</v>
      </c>
      <c r="BS193" s="156">
        <f t="shared" ca="1" si="38"/>
        <v>291.59999999999997</v>
      </c>
      <c r="BT193" s="156">
        <f>IF(VACnom&lt;Vbat, Table7[[#This Row],[Duty Cycle]]*Table7[[#This Row],[I_L RMS]]^2*C_MOSFET_S_RDSON_H_BU*10^-3, (1-Table7[[#This Row],[Duty Cycle]])*Table7[[#This Row],[I_L RMS]]^2*C_MOSFET_S_RDSON_H_BO*10^-3)/10^-3</f>
        <v>25.754140807215752</v>
      </c>
      <c r="BU193" s="156">
        <f ca="1">IF(VACnom&gt;Vbat, Table7[[#This Row],[PIV (mW) C]]+Table7[[#This Row],[PQoss (mW) C]]+Table7[[#This Row],[Pgate_top (mW) C]], Table7[[#This Row],[PRR (mW) C]]+Table7[[#This Row],[Pdead (mW) C]]+Table7[[#This Row],[Pgate_top (mW) C]])</f>
        <v>635.92285714285708</v>
      </c>
      <c r="BV193" s="156">
        <f ca="1">Table7[[#This Row],[Pcon_top (mW) C]]+Table7[[#This Row],[Psw_top (mW) C]]</f>
        <v>661.67699795007286</v>
      </c>
      <c r="BW193" s="156">
        <f ca="1">IF(VACnom&gt;Vbat, (1-Table7[[#This Row],[Duty Cycle]])*Table7[[#This Row],[I_L RMS]]^2*C_MOSFET_S_RDSON_L_BU*10^-3, Table7[[#This Row],[Duty Cycle]]*Table7[[#This Row],[I_L RMS]]^2*C_MOSFET_S_RDSON_L_BO*10^-3)/10^-3</f>
        <v>16.039859625546651</v>
      </c>
      <c r="BX193" s="156">
        <f ca="1">IF(VACnom&gt;Vbat, Table7[[#This Row],[PRR (mW) C]]+Table7[[#This Row],[Pdead (mW) C]]+Table7[[#This Row],[Pgate_bottom (mW) C]], Table7[[#This Row],[PIV (mW) C]]+Table7[[#This Row],[PQoss (mW) C]]+Table7[[#This Row],[Pgate_bottom (mW) C]])</f>
        <v>463.6631007283778</v>
      </c>
      <c r="BY193" s="156">
        <f ca="1">Table7[[#This Row],[Pcon_bottom (mW) C]]+Table7[[#This Row],[Psw_bottom (mV) C]]</f>
        <v>479.70296035392442</v>
      </c>
      <c r="BZ193" s="156">
        <f ca="1">Table7[[#This Row],[Pbottom (mW) C]]+Table7[[#This Row],[Ptop (mW) C]]</f>
        <v>1141.3799583039972</v>
      </c>
      <c r="CA193" s="159"/>
      <c r="CB193" s="160">
        <f>(RAC_SNS*10^-3*(Table7[[#This Row],[IOUT (A)]]*Vbat/VACnom)^2/10^-3)</f>
        <v>52.407031250000003</v>
      </c>
      <c r="CC193" s="160">
        <f>(RBAT_SNS*10^-3*Table7[[#This Row],[IOUT (A)]]^2)/10^-3</f>
        <v>17.112500000000001</v>
      </c>
      <c r="CD193" s="160">
        <f>IF(VACnom&gt;Vbat,(L_DRC*10^-3*(Table7[[#This Row],[IOUT (A)]])^2/10^-3),(L_DRC*10^-3*(Table7[[#This Row],[IOUT (A)]]*Vbat/VACnom)^2/10^-3))</f>
        <v>125.776875</v>
      </c>
      <c r="CE193" s="166"/>
      <c r="CF193" s="156">
        <f>(Table7[[#This Row],[R_AC (mW)]]+Table7[[#This Row],[R_SR (mW)]]+Table7[[#This Row],[Inductor Loss (mW)]])/10^3</f>
        <v>0.19529640625000003</v>
      </c>
      <c r="CG193" s="156">
        <f ca="1">Table7[[#This Row],[Total TI (mW)]]/10^3</f>
        <v>2.4488247506621486</v>
      </c>
      <c r="CH193" s="156">
        <f ca="1">Table7[[#This Row],[Total Sense Loss]]+Table7[[#This Row],[Total MOSFET Loss]]</f>
        <v>2.6441211569121488</v>
      </c>
      <c r="CI193" s="161">
        <f ca="1">IF(Table7[[#This Row],[POUT (W)]]=0,0,(Table7[[#This Row],[POUT (W)]])/(Table7[[#This Row],[POUT (W)]]+Table7[[#This Row],[Total Power Loss (W)]]))*100</f>
        <v>89.357155601471135</v>
      </c>
      <c r="CJ193" s="167"/>
      <c r="CK193" s="156">
        <f>(Table7[[#This Row],[R_AC (mW)]]+Table7[[#This Row],[R_SR (mW)]]+Table7[[#This Row],[Inductor Loss (mW)]])/10^3</f>
        <v>0.19529640625000003</v>
      </c>
      <c r="CL193" s="156">
        <f ca="1">Table7[[#This Row],[Total (mW) C]]/10^3</f>
        <v>1.1413799583039972</v>
      </c>
      <c r="CM193" s="156">
        <f ca="1">Table7[[#This Row],[Total Sense Loss C]]+Table7[[#This Row],[Total MOSFET Loss C]]</f>
        <v>1.3366763645539972</v>
      </c>
      <c r="CN193" s="161">
        <f ca="1">IF(Table7[[#This Row],[POUT (W)]]=0,0,(Table7[[#This Row],[POUT (W)]])/(Table7[[#This Row],[POUT (W)]]+Table7[[#This Row],[Total Power Loss (W) C]]))*100</f>
        <v>94.320878853706731</v>
      </c>
      <c r="CO193" s="167"/>
      <c r="CP193" s="161">
        <f>IF(MOSFET_S=Custom_MOSFET,Table7[[#This Row],[Total Sense Loss C]],Table7[[#This Row],[Total Sense Loss]])</f>
        <v>0.19529640625000003</v>
      </c>
      <c r="CQ193" s="161">
        <f ca="1">IF(MOSFET_S=Custom_MOSFET,Table7[[#This Row],[Total MOSFET Loss C]],Table7[[#This Row],[Total MOSFET Loss]])</f>
        <v>2.4488247506621486</v>
      </c>
      <c r="CR193" s="161">
        <f ca="1">IF(MOSFET_S=Custom_MOSFET,Table7[[#This Row],[Efficiency C]],Table7[[#This Row],[Efficiency]])</f>
        <v>89.357155601471135</v>
      </c>
      <c r="CS193" s="167"/>
      <c r="CT193" s="161">
        <f>IF(MOSFET_S=Compare_MOSFET, Table7[[#This Row],[Total Sense Loss C]], -100)</f>
        <v>-100</v>
      </c>
      <c r="CU193" s="161">
        <f>IF(MOSFET_S=Compare_MOSFET, Table7[[#This Row],[Total MOSFET Loss C]], -100)</f>
        <v>-100</v>
      </c>
      <c r="CV193" s="161">
        <f>IF(MOSFET_S=Compare_MOSFET, Table7[[#This Row],[Efficiency C]], -100)</f>
        <v>-100</v>
      </c>
      <c r="CW193" s="167"/>
      <c r="CX193" s="161">
        <f ca="1">IF(Save_Sel=CLR_Save,  Table7[[#This Row],[Total Sense Loss P1]], Table7[[#This Row],[Total Sense Loss P1 Saved]])</f>
        <v>0.19529640625000003</v>
      </c>
      <c r="CY193" s="161">
        <f ca="1">IF(Save_Sel=CLR_Save,  Table7[[#This Row],[Total MOSFET Loss P1]], Table7[[#This Row],[Total MOSFET Loss P1 Saved]] )</f>
        <v>1.7430451271573661</v>
      </c>
      <c r="CZ193" s="161">
        <f ca="1">IF(Save_Sel=CLR_Save, Table7[[#This Row],[Efficiency P1]], Table7[[#This Row],[Efficiency P1 Saved]])</f>
        <v>91.969864496594724</v>
      </c>
      <c r="DA193" s="167"/>
      <c r="DB193" s="161">
        <f ca="1">IF(Save_Sel=CLR_Save,  Table7[[#This Row],[Total Sense Loss P2]], Table7[[#This Row],[Total Sense Loss P2 Saved]])</f>
        <v>0.19529640625000003</v>
      </c>
      <c r="DC193" s="161">
        <f ca="1">IF(Save_Sel=CLR_Save,  Table7[[#This Row],[Total MOSFET Loss P2]], Table7[[#This Row],[Total MOSFET Loss P2 Saved]] )</f>
        <v>1.1545451016680601</v>
      </c>
      <c r="DD193" s="161">
        <f ca="1">IF(Save_Sel=CLR_Save, Table7[[#This Row],[Efficiency P2]], Table7[[#This Row],[Efficiency P2 Saved]])</f>
        <v>94.268150350548169</v>
      </c>
      <c r="DE193" s="167"/>
      <c r="DF193" s="21"/>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c r="FH193" s="21"/>
      <c r="FI193" s="21"/>
    </row>
    <row r="194" spans="1:165" x14ac:dyDescent="0.25">
      <c r="A194" s="34"/>
      <c r="B194" s="51"/>
      <c r="C194" s="51"/>
      <c r="D194" s="34"/>
      <c r="E194" s="69"/>
      <c r="F194" s="69"/>
      <c r="G194" s="51"/>
      <c r="H194" s="31"/>
      <c r="I194" s="31"/>
      <c r="J194" s="31"/>
      <c r="K194" s="31"/>
      <c r="L194" s="31"/>
      <c r="M194" s="31"/>
      <c r="N194" s="31"/>
      <c r="O194" s="31"/>
      <c r="P194" s="31"/>
      <c r="Q194" s="31"/>
      <c r="R194" s="31"/>
      <c r="S194" s="32"/>
      <c r="T194" s="20"/>
      <c r="U194" s="21"/>
      <c r="V194" s="21"/>
      <c r="W194" s="21"/>
      <c r="X194" s="21"/>
      <c r="Y194" s="21"/>
      <c r="Z194" s="21"/>
      <c r="AA194" s="21"/>
      <c r="AB194" s="21"/>
      <c r="AC194" s="21"/>
      <c r="AD194" s="21"/>
      <c r="AE194" s="21"/>
      <c r="AF194" s="154">
        <f t="shared" si="17"/>
        <v>38</v>
      </c>
      <c r="AG194" s="154">
        <f t="shared" si="39"/>
        <v>1.9</v>
      </c>
      <c r="AH194" s="155">
        <f t="shared" si="28"/>
        <v>22.799999999999997</v>
      </c>
      <c r="AI194" s="156">
        <f t="shared" si="29"/>
        <v>0.42857142857142855</v>
      </c>
      <c r="AJ194" s="156">
        <f t="shared" si="30"/>
        <v>3.3250000000000002</v>
      </c>
      <c r="AK194" s="156">
        <f t="shared" si="26"/>
        <v>0.85714285714285721</v>
      </c>
      <c r="AL194" s="156">
        <f t="shared" si="27"/>
        <v>3.3341939790294024</v>
      </c>
      <c r="AM194" s="157"/>
      <c r="AN194" s="156">
        <f>MAX(0,Table7[[#This Row],[I_L]]-0.5*Table7[[#This Row],[I_L pkpk]])</f>
        <v>2.8964285714285714</v>
      </c>
      <c r="AO194" s="156">
        <f>Table7[[#This Row],[I_L]]+0.5*Table7[[#This Row],[I_L pkpk]]</f>
        <v>3.753571428571429</v>
      </c>
      <c r="AP194" s="156">
        <f ca="1">IF(VACnom&gt;Vbat, (VGS_S-(TI_MOSFET_S_VTH_H_BU+Table7[[#This Row],[I_L]]/TI_MOSFET_S_gFS_H_BU))/3.4, (VGS_S-(TI_MOSFET_S_VTH_L_BO+Table7[[#This Row],[I_L]]/TI_MOSFET_S_gFS_L_BO))/3.4 )</f>
        <v>2.418947963800905</v>
      </c>
      <c r="AQ194" s="156">
        <f ca="1">IF(VACnom&gt;Vbat, ((TI_MOSFET_S_VTH_H_BU+Table7[[#This Row],[I_L]]/TI_MOSFET_S_gFS_H_BU))/1, ((TI_MOSFET_S_VTH_L_BO+Table7[[#This Row],[I_L]]/TI_MOSFET_S_gFS_L_BO))/1 )</f>
        <v>1.7755769230769232</v>
      </c>
      <c r="AR194" s="156">
        <f ca="1">IF(VACnom&gt;Vbat, (TI_MOSFET_S_QGD_H_BU+TI_MOSFET_S_QGS_H_BU)*10^-9/Table7[[#This Row],[Ion (A)]], (TI_MOSFET_S_QGD_L_BO+TI_MOSFET_S_QGS_L_BO)*10^-9/Table7[[#This Row],[Ion (A)]])/10^-9</f>
        <v>11.906002291486427</v>
      </c>
      <c r="AS194" s="156">
        <f ca="1">IF(VACnom&gt;Vbat, (TI_MOSFET_S_QGD_H_BU+TI_MOSFET_S_QGS_H_BU)*10^-9/Table7[[#This Row],[Ioff (A)]], (TI_MOSFET_S_QGD_L_BO+TI_MOSFET_S_QGS_L_BO)*10^-9/Table7[[#This Row],[Ioff (A)]])/10^-9</f>
        <v>16.220080147297736</v>
      </c>
      <c r="AT194" s="156">
        <f ca="1" xml:space="preserve"> 0.5*VACnom*Table7[[#This Row],[Ivalley (A)]]*Table7[[#This Row],[ton (ns)]]*10^-9*Fsw*10^3+0.5*VACnom*Table7[[#This Row],[Ipeak (A)]]*Table7[[#This Row],[toff (ns)]]*10^-9*Fsw*10^3/10^-3</f>
        <v>219.30377146287836</v>
      </c>
      <c r="AU194" s="156">
        <f t="shared" ca="1" si="31"/>
        <v>262.8</v>
      </c>
      <c r="AV194" s="156">
        <f t="shared" ca="1" si="32"/>
        <v>648</v>
      </c>
      <c r="AW194" s="156">
        <f t="shared" ca="1" si="33"/>
        <v>554.4</v>
      </c>
      <c r="AX194" s="156">
        <f ca="1">IF(VACnom&gt;Vbat, TI_MOSFET_S_VSD_L_BU*Table7[[#This Row],[Ivalley (A)]]*Fsw*10^3*40*10^-9+TI_MOSFET_S_VSD_L_BU*Table7[[#This Row],[Ipeak (A)]]*Fsw*10^3*30*10^-9, TI_MOSFET_S_VSD_H_BO*Table7[[#This Row],[Ivalley (A)]]*Fsw*10^3*40*10^-9+TI_MOSFET_S_VSD_H_BO*Table7[[#This Row],[Ipeak (A)]]*Fsw*10^3*30*10^-9)/10^-3</f>
        <v>98.696571428571431</v>
      </c>
      <c r="AY194" s="156">
        <f t="shared" ca="1" si="34"/>
        <v>648</v>
      </c>
      <c r="AZ194" s="156">
        <f ca="1">IF(VACnom&lt;Vbat, Table7[[#This Row],[Duty Cycle]]*Table7[[#This Row],[I_L RMS]]^2*TI_MOSFET_S_RDSON_H_BU*10^-3, (1-Table7[[#This Row],[Duty Cycle]])*Table7[[#This Row],[I_L RMS]]^2*TI_MOSFET_S_RDSON_H_BO*10^-3)/10^-3</f>
        <v>13.340219387755102</v>
      </c>
      <c r="BA194" s="156">
        <f ca="1">IF(VACnom&gt;Vbat, Table7[[#This Row],[PIV (mW)]]+Table7[[#This Row],[Pqoss (mW)]]+Table7[[#This Row],[Pgate_top (mW)]], Table7[[#This Row],[PRR (mW)]]+Table7[[#This Row],[Pdead (mW)]]+Table7[[#This Row],[Pgate_top (mW)]])</f>
        <v>1301.0965714285715</v>
      </c>
      <c r="BB194" s="156">
        <f ca="1">Table7[[#This Row],[Pcon_top (mW)]]+Table7[[#This Row],[Psw_top (mW)]]</f>
        <v>1314.4367908163265</v>
      </c>
      <c r="BC194" s="156">
        <f ca="1">IF(VACnom&gt;Vbat, (1-Table7[[#This Row],[Duty Cycle]])*Table7[[#This Row],[I_L RMS]]^2*TI_MOSFET_S_RDSON_L_BU*10^-3, Table7[[#This Row],[Duty Cycle]]*Table7[[#This Row],[I_L RMS]]^2*TI_MOSFET_S_RDSON_L_BO*10^-3)/10^-3</f>
        <v>13.340219387755102</v>
      </c>
      <c r="BD194" s="156">
        <f ca="1">IF(VACnom&gt;Vbat, Table7[[#This Row],[PRR (mW)]]+Table7[[#This Row],[Pdead (mW)]]+Table7[[#This Row],[Pgate_bottom (mW)]], Table7[[#This Row],[PIV (mW)]]+Table7[[#This Row],[Pqoss (mW)]]+Table7[[#This Row],[Pgate_bottom (mW)]])</f>
        <v>1130.1037714628783</v>
      </c>
      <c r="BE194" s="158">
        <f ca="1">Table7[[#This Row],[Pcon_bottom (mW)]]+Table7[[#This Row],[Psw_bottom (mW)]]</f>
        <v>1143.4439908506333</v>
      </c>
      <c r="BF194" s="164">
        <f ca="1">Table7[[#This Row],[Pbottom (mW)]]+Table7[[#This Row],[Ptop (mW)]]</f>
        <v>2457.8807816669596</v>
      </c>
      <c r="BG194" s="153"/>
      <c r="BH194" s="156">
        <f>MAX(0,Table7[[#This Row],[I_L]]-0.5*Table7[[#This Row],[I_L pkpk]])</f>
        <v>2.8964285714285714</v>
      </c>
      <c r="BI194" s="156">
        <f>Table7[[#This Row],[I_L]]+0.5*Table7[[#This Row],[I_L pkpk]]</f>
        <v>3.753571428571429</v>
      </c>
      <c r="BJ194" s="156">
        <f>IF(VACnom&gt;Vbat, (VGS_S-(C_MOSFET_S_VTH_H_BU+Table7[[#This Row],[I_L]]/C_MOSFET_S_gFS_H_BU))/3.4, (VGS_S-(C_MOSFET_S_VTH_L_BO+Table7[[#This Row],[I_L]]/C_MOSFET_S_gFS_L_BO))/3.4 )</f>
        <v>2.3464215686274508</v>
      </c>
      <c r="BK194" s="156">
        <f>IF(VACnom&gt;Vbat, ((C_MOSFET_S_VTH_H_BU+Table7[[#This Row],[I_L]]/C_MOSFET_S_gFS_H_BU))/1, ((C_MOSFET_S_VTH_L_BO+Table7[[#This Row],[I_L]]/C_MOSFET_S_gFS_L_BO))/1 )</f>
        <v>2.0221666666666667</v>
      </c>
      <c r="BL194" s="156">
        <f>IF(VACnom&gt;Vbat, (C_MOSFET_S_QGD_H_BU+C_MOSFET_S_QGS_H_BU)*10^-9/Table7[[#This Row],[Ion (A) C]], (C_MOSFET_S_QGD_L_BO+C_MOSFET_S_QGS_L_BO)*10^-9/Table7[[#This Row],[Ion (A) C]])/10^-9</f>
        <v>2.7701756951553267</v>
      </c>
      <c r="BM194" s="156">
        <f>IF(VACnom&gt;Vbat, (C_MOSFET_S_QGD_H_BU+C_MOSFET_S_QGS_H_BU)*10^-9/Table7[[#This Row],[Ioff (A) C]], (C_MOSFET_S_QGD_L_BO+C_MOSFET_S_QGS_L_BO)*10^-9/Table7[[#This Row],[Ioff (A) C]])/10^-9</f>
        <v>3.2143740212643204</v>
      </c>
      <c r="BN194" s="156">
        <f xml:space="preserve"> 0.5*VACnom*Table7[[#This Row],[Ivalley (A) C]]*Table7[[#This Row],[ton (ns) C]]*10^-9*Fsw*10^3+0.5*VACnom*Table7[[#This Row],[Ipeak (A) C]]*Table7[[#This Row],[toff (ns) C]]*10^-9*Fsw*10^3/10^-3</f>
        <v>43.464261970768774</v>
      </c>
      <c r="BO194" s="156">
        <f t="shared" si="35"/>
        <v>129.6</v>
      </c>
      <c r="BP194" s="156">
        <f t="shared" ca="1" si="36"/>
        <v>291.59999999999997</v>
      </c>
      <c r="BQ194" s="156">
        <f t="shared" si="37"/>
        <v>237.6</v>
      </c>
      <c r="BR194" s="156">
        <f>IF(VACnom&gt;Vbat, C_MOSFET_S_VSD_L_BU*Table7[[#This Row],[Ivalley (A) C]]*Fsw*10^3*40*10^-9+C_MOSFET_S_VSD_L_BU*Table7[[#This Row],[Ipeak (A) C]]*Fsw*10^3*30*10^-9, C_MOSFET_S_VSD_H_BO*Table7[[#This Row],[Ivalley (A) C]]*Fsw*10^3*40*10^-9+C_MOSFET_S_VSD_H_BO*Table7[[#This Row],[Ipeak (A) C]]*Fsw*10^3*30*10^-9)/10^-3</f>
        <v>109.66285714285716</v>
      </c>
      <c r="BS194" s="156">
        <f t="shared" ca="1" si="38"/>
        <v>291.59999999999997</v>
      </c>
      <c r="BT194" s="156">
        <f>IF(VACnom&lt;Vbat, Table7[[#This Row],[Duty Cycle]]*Table7[[#This Row],[I_L RMS]]^2*C_MOSFET_S_RDSON_H_BU*10^-3, (1-Table7[[#This Row],[Duty Cycle]])*Table7[[#This Row],[I_L RMS]]^2*C_MOSFET_S_RDSON_H_BO*10^-3)/10^-3</f>
        <v>27.156875182215746</v>
      </c>
      <c r="BU194" s="156">
        <f ca="1">IF(VACnom&gt;Vbat, Table7[[#This Row],[PIV (mW) C]]+Table7[[#This Row],[PQoss (mW) C]]+Table7[[#This Row],[Pgate_top (mW) C]], Table7[[#This Row],[PRR (mW) C]]+Table7[[#This Row],[Pdead (mW) C]]+Table7[[#This Row],[Pgate_top (mW) C]])</f>
        <v>638.86285714285714</v>
      </c>
      <c r="BV194" s="156">
        <f ca="1">Table7[[#This Row],[Pcon_top (mW) C]]+Table7[[#This Row],[Psw_top (mW) C]]</f>
        <v>666.01973232507294</v>
      </c>
      <c r="BW194" s="156">
        <f ca="1">IF(VACnom&gt;Vbat, (1-Table7[[#This Row],[Duty Cycle]])*Table7[[#This Row],[I_L RMS]]^2*C_MOSFET_S_RDSON_L_BU*10^-3, Table7[[#This Row],[Duty Cycle]]*Table7[[#This Row],[I_L RMS]]^2*C_MOSFET_S_RDSON_L_BO*10^-3)/10^-3</f>
        <v>16.913492438046646</v>
      </c>
      <c r="BX194" s="156">
        <f ca="1">IF(VACnom&gt;Vbat, Table7[[#This Row],[PRR (mW) C]]+Table7[[#This Row],[Pdead (mW) C]]+Table7[[#This Row],[Pgate_bottom (mW) C]], Table7[[#This Row],[PIV (mW) C]]+Table7[[#This Row],[PQoss (mW) C]]+Table7[[#This Row],[Pgate_bottom (mW) C]])</f>
        <v>464.66426197076873</v>
      </c>
      <c r="BY194" s="156">
        <f ca="1">Table7[[#This Row],[Pcon_bottom (mW) C]]+Table7[[#This Row],[Psw_bottom (mV) C]]</f>
        <v>481.57775440881539</v>
      </c>
      <c r="BZ194" s="156">
        <f ca="1">Table7[[#This Row],[Pbottom (mW) C]]+Table7[[#This Row],[Ptop (mW) C]]</f>
        <v>1147.5974867338882</v>
      </c>
      <c r="CA194" s="159"/>
      <c r="CB194" s="160">
        <f>(RAC_SNS*10^-3*(Table7[[#This Row],[IOUT (A)]]*Vbat/VACnom)^2/10^-3)</f>
        <v>55.278124999999989</v>
      </c>
      <c r="CC194" s="160">
        <f>(RBAT_SNS*10^-3*Table7[[#This Row],[IOUT (A)]]^2)/10^-3</f>
        <v>18.05</v>
      </c>
      <c r="CD194" s="160">
        <f>IF(VACnom&gt;Vbat,(L_DRC*10^-3*(Table7[[#This Row],[IOUT (A)]])^2/10^-3),(L_DRC*10^-3*(Table7[[#This Row],[IOUT (A)]]*Vbat/VACnom)^2/10^-3))</f>
        <v>132.66749999999996</v>
      </c>
      <c r="CE194" s="166"/>
      <c r="CF194" s="156">
        <f>(Table7[[#This Row],[R_AC (mW)]]+Table7[[#This Row],[R_SR (mW)]]+Table7[[#This Row],[Inductor Loss (mW)]])/10^3</f>
        <v>0.20599562499999996</v>
      </c>
      <c r="CG194" s="156">
        <f ca="1">Table7[[#This Row],[Total TI (mW)]]/10^3</f>
        <v>2.4578807816669594</v>
      </c>
      <c r="CH194" s="156">
        <f ca="1">Table7[[#This Row],[Total Sense Loss]]+Table7[[#This Row],[Total MOSFET Loss]]</f>
        <v>2.6638764066669594</v>
      </c>
      <c r="CI194" s="161">
        <f ca="1">IF(Table7[[#This Row],[POUT (W)]]=0,0,(Table7[[#This Row],[POUT (W)]])/(Table7[[#This Row],[POUT (W)]]+Table7[[#This Row],[Total Power Loss (W)]]))*100</f>
        <v>89.538606125305023</v>
      </c>
      <c r="CJ194" s="167"/>
      <c r="CK194" s="156">
        <f>(Table7[[#This Row],[R_AC (mW)]]+Table7[[#This Row],[R_SR (mW)]]+Table7[[#This Row],[Inductor Loss (mW)]])/10^3</f>
        <v>0.20599562499999996</v>
      </c>
      <c r="CL194" s="156">
        <f ca="1">Table7[[#This Row],[Total (mW) C]]/10^3</f>
        <v>1.1475974867338883</v>
      </c>
      <c r="CM194" s="156">
        <f ca="1">Table7[[#This Row],[Total Sense Loss C]]+Table7[[#This Row],[Total MOSFET Loss C]]</f>
        <v>1.3535931117338882</v>
      </c>
      <c r="CN194" s="161">
        <f ca="1">IF(Table7[[#This Row],[POUT (W)]]=0,0,(Table7[[#This Row],[POUT (W)]])/(Table7[[#This Row],[POUT (W)]]+Table7[[#This Row],[Total Power Loss (W) C]]))*100</f>
        <v>94.395893375067615</v>
      </c>
      <c r="CO194" s="167"/>
      <c r="CP194" s="161">
        <f>IF(MOSFET_S=Custom_MOSFET,Table7[[#This Row],[Total Sense Loss C]],Table7[[#This Row],[Total Sense Loss]])</f>
        <v>0.20599562499999996</v>
      </c>
      <c r="CQ194" s="161">
        <f ca="1">IF(MOSFET_S=Custom_MOSFET,Table7[[#This Row],[Total MOSFET Loss C]],Table7[[#This Row],[Total MOSFET Loss]])</f>
        <v>2.4578807816669594</v>
      </c>
      <c r="CR194" s="161">
        <f ca="1">IF(MOSFET_S=Custom_MOSFET,Table7[[#This Row],[Efficiency C]],Table7[[#This Row],[Efficiency]])</f>
        <v>89.538606125305023</v>
      </c>
      <c r="CS194" s="167"/>
      <c r="CT194" s="161">
        <f>IF(MOSFET_S=Compare_MOSFET, Table7[[#This Row],[Total Sense Loss C]], -100)</f>
        <v>-100</v>
      </c>
      <c r="CU194" s="161">
        <f>IF(MOSFET_S=Compare_MOSFET, Table7[[#This Row],[Total MOSFET Loss C]], -100)</f>
        <v>-100</v>
      </c>
      <c r="CV194" s="161">
        <f>IF(MOSFET_S=Compare_MOSFET, Table7[[#This Row],[Efficiency C]], -100)</f>
        <v>-100</v>
      </c>
      <c r="CW194" s="167"/>
      <c r="CX194" s="161">
        <f ca="1">IF(Save_Sel=CLR_Save,  Table7[[#This Row],[Total Sense Loss P1]], Table7[[#This Row],[Total Sense Loss P1 Saved]])</f>
        <v>0.20599562499999996</v>
      </c>
      <c r="CY194" s="161">
        <f ca="1">IF(Save_Sel=CLR_Save,  Table7[[#This Row],[Total MOSFET Loss P1]], Table7[[#This Row],[Total MOSFET Loss P1 Saved]] )</f>
        <v>1.7524779499021568</v>
      </c>
      <c r="CZ194" s="161">
        <f ca="1">IF(Save_Sel=CLR_Save, Table7[[#This Row],[Efficiency P1]], Table7[[#This Row],[Efficiency P1 Saved]])</f>
        <v>92.08968368353905</v>
      </c>
      <c r="DA194" s="167"/>
      <c r="DB194" s="161">
        <f ca="1">IF(Save_Sel=CLR_Save,  Table7[[#This Row],[Total Sense Loss P2]], Table7[[#This Row],[Total Sense Loss P2 Saved]])</f>
        <v>0.20599562499999996</v>
      </c>
      <c r="DC194" s="161">
        <f ca="1">IF(Save_Sel=CLR_Save,  Table7[[#This Row],[Total MOSFET Loss P2]], Table7[[#This Row],[Total MOSFET Loss P2 Saved]] )</f>
        <v>1.1614782580583496</v>
      </c>
      <c r="DD194" s="161">
        <f ca="1">IF(Save_Sel=CLR_Save, Table7[[#This Row],[Efficiency P2]], Table7[[#This Row],[Efficiency P2 Saved]])</f>
        <v>94.341676380099599</v>
      </c>
      <c r="DE194" s="167"/>
      <c r="DF194" s="21"/>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c r="FH194" s="21"/>
      <c r="FI194" s="21"/>
    </row>
    <row r="195" spans="1:165" x14ac:dyDescent="0.25">
      <c r="A195" s="34"/>
      <c r="B195" s="51"/>
      <c r="C195" s="51"/>
      <c r="D195" s="34"/>
      <c r="E195" s="69"/>
      <c r="F195" s="69"/>
      <c r="G195" s="51"/>
      <c r="H195" s="31"/>
      <c r="I195" s="31"/>
      <c r="J195" s="31"/>
      <c r="K195" s="31"/>
      <c r="L195" s="31"/>
      <c r="M195" s="31"/>
      <c r="N195" s="31"/>
      <c r="O195" s="31"/>
      <c r="P195" s="31"/>
      <c r="Q195" s="31"/>
      <c r="R195" s="31"/>
      <c r="S195" s="32"/>
      <c r="T195" s="20"/>
      <c r="U195" s="21"/>
      <c r="V195" s="21"/>
      <c r="W195" s="21"/>
      <c r="X195" s="21"/>
      <c r="Y195" s="21"/>
      <c r="Z195" s="21"/>
      <c r="AA195" s="21"/>
      <c r="AB195" s="21"/>
      <c r="AC195" s="21"/>
      <c r="AD195" s="21"/>
      <c r="AE195" s="21"/>
      <c r="AF195" s="154">
        <f t="shared" si="17"/>
        <v>39</v>
      </c>
      <c r="AG195" s="154">
        <f t="shared" si="39"/>
        <v>1.95</v>
      </c>
      <c r="AH195" s="155">
        <f t="shared" si="28"/>
        <v>23.4</v>
      </c>
      <c r="AI195" s="156">
        <f t="shared" si="29"/>
        <v>0.42857142857142855</v>
      </c>
      <c r="AJ195" s="156">
        <f t="shared" si="30"/>
        <v>3.4125000000000001</v>
      </c>
      <c r="AK195" s="156">
        <f t="shared" si="26"/>
        <v>0.85714285714285721</v>
      </c>
      <c r="AL195" s="156">
        <f t="shared" si="27"/>
        <v>3.4214588613332646</v>
      </c>
      <c r="AM195" s="157"/>
      <c r="AN195" s="156">
        <f>MAX(0,Table7[[#This Row],[I_L]]-0.5*Table7[[#This Row],[I_L pkpk]])</f>
        <v>2.9839285714285717</v>
      </c>
      <c r="AO195" s="156">
        <f>Table7[[#This Row],[I_L]]+0.5*Table7[[#This Row],[I_L pkpk]]</f>
        <v>3.8410714285714285</v>
      </c>
      <c r="AP195" s="156">
        <f ca="1">IF(VACnom&gt;Vbat, (VGS_S-(TI_MOSFET_S_VTH_H_BU+Table7[[#This Row],[I_L]]/TI_MOSFET_S_gFS_H_BU))/3.4, (VGS_S-(TI_MOSFET_S_VTH_L_BO+Table7[[#This Row],[I_L]]/TI_MOSFET_S_gFS_L_BO))/3.4 )</f>
        <v>2.4187499999999997</v>
      </c>
      <c r="AQ195" s="156">
        <f ca="1">IF(VACnom&gt;Vbat, ((TI_MOSFET_S_VTH_H_BU+Table7[[#This Row],[I_L]]/TI_MOSFET_S_gFS_H_BU))/1, ((TI_MOSFET_S_VTH_L_BO+Table7[[#This Row],[I_L]]/TI_MOSFET_S_gFS_L_BO))/1 )</f>
        <v>1.7762500000000001</v>
      </c>
      <c r="AR195" s="156">
        <f ca="1">IF(VACnom&gt;Vbat, (TI_MOSFET_S_QGD_H_BU+TI_MOSFET_S_QGS_H_BU)*10^-9/Table7[[#This Row],[Ion (A)]], (TI_MOSFET_S_QGD_L_BO+TI_MOSFET_S_QGS_L_BO)*10^-9/Table7[[#This Row],[Ion (A)]])/10^-9</f>
        <v>11.906976744186048</v>
      </c>
      <c r="AS195" s="156">
        <f ca="1">IF(VACnom&gt;Vbat, (TI_MOSFET_S_QGD_H_BU+TI_MOSFET_S_QGS_H_BU)*10^-9/Table7[[#This Row],[Ioff (A)]], (TI_MOSFET_S_QGD_L_BO+TI_MOSFET_S_QGS_L_BO)*10^-9/Table7[[#This Row],[Ioff (A)]])/10^-9</f>
        <v>16.21393384940183</v>
      </c>
      <c r="AT195" s="156">
        <f ca="1" xml:space="preserve"> 0.5*VACnom*Table7[[#This Row],[Ivalley (A)]]*Table7[[#This Row],[ton (ns)]]*10^-9*Fsw*10^3+0.5*VACnom*Table7[[#This Row],[Ipeak (A)]]*Table7[[#This Row],[toff (ns)]]*10^-9*Fsw*10^3/10^-3</f>
        <v>224.33186743844703</v>
      </c>
      <c r="AU195" s="156">
        <f t="shared" ca="1" si="31"/>
        <v>262.8</v>
      </c>
      <c r="AV195" s="156">
        <f t="shared" ca="1" si="32"/>
        <v>648</v>
      </c>
      <c r="AW195" s="156">
        <f t="shared" ca="1" si="33"/>
        <v>554.4</v>
      </c>
      <c r="AX195" s="156">
        <f ca="1">IF(VACnom&gt;Vbat, TI_MOSFET_S_VSD_L_BU*Table7[[#This Row],[Ivalley (A)]]*Fsw*10^3*40*10^-9+TI_MOSFET_S_VSD_L_BU*Table7[[#This Row],[Ipeak (A)]]*Fsw*10^3*30*10^-9, TI_MOSFET_S_VSD_H_BO*Table7[[#This Row],[Ivalley (A)]]*Fsw*10^3*40*10^-9+TI_MOSFET_S_VSD_H_BO*Table7[[#This Row],[Ipeak (A)]]*Fsw*10^3*30*10^-9)/10^-3</f>
        <v>101.34257142857143</v>
      </c>
      <c r="AY195" s="156">
        <f t="shared" ca="1" si="34"/>
        <v>648</v>
      </c>
      <c r="AZ195" s="156">
        <f ca="1">IF(VACnom&lt;Vbat, Table7[[#This Row],[Duty Cycle]]*Table7[[#This Row],[I_L RMS]]^2*TI_MOSFET_S_RDSON_H_BU*10^-3, (1-Table7[[#This Row],[Duty Cycle]])*Table7[[#This Row],[I_L RMS]]^2*TI_MOSFET_S_RDSON_H_BO*10^-3)/10^-3</f>
        <v>14.047656887755101</v>
      </c>
      <c r="BA195" s="156">
        <f ca="1">IF(VACnom&gt;Vbat, Table7[[#This Row],[PIV (mW)]]+Table7[[#This Row],[Pqoss (mW)]]+Table7[[#This Row],[Pgate_top (mW)]], Table7[[#This Row],[PRR (mW)]]+Table7[[#This Row],[Pdead (mW)]]+Table7[[#This Row],[Pgate_top (mW)]])</f>
        <v>1303.7425714285714</v>
      </c>
      <c r="BB195" s="156">
        <f ca="1">Table7[[#This Row],[Pcon_top (mW)]]+Table7[[#This Row],[Psw_top (mW)]]</f>
        <v>1317.7902283163264</v>
      </c>
      <c r="BC195" s="156">
        <f ca="1">IF(VACnom&gt;Vbat, (1-Table7[[#This Row],[Duty Cycle]])*Table7[[#This Row],[I_L RMS]]^2*TI_MOSFET_S_RDSON_L_BU*10^-3, Table7[[#This Row],[Duty Cycle]]*Table7[[#This Row],[I_L RMS]]^2*TI_MOSFET_S_RDSON_L_BO*10^-3)/10^-3</f>
        <v>14.047656887755101</v>
      </c>
      <c r="BD195" s="156">
        <f ca="1">IF(VACnom&gt;Vbat, Table7[[#This Row],[PRR (mW)]]+Table7[[#This Row],[Pdead (mW)]]+Table7[[#This Row],[Pgate_bottom (mW)]], Table7[[#This Row],[PIV (mW)]]+Table7[[#This Row],[Pqoss (mW)]]+Table7[[#This Row],[Pgate_bottom (mW)]])</f>
        <v>1135.131867438447</v>
      </c>
      <c r="BE195" s="158">
        <f ca="1">Table7[[#This Row],[Pcon_bottom (mW)]]+Table7[[#This Row],[Psw_bottom (mW)]]</f>
        <v>1149.179524326202</v>
      </c>
      <c r="BF195" s="164">
        <f ca="1">Table7[[#This Row],[Pbottom (mW)]]+Table7[[#This Row],[Ptop (mW)]]</f>
        <v>2466.9697526425284</v>
      </c>
      <c r="BG195" s="153"/>
      <c r="BH195" s="156">
        <f>MAX(0,Table7[[#This Row],[I_L]]-0.5*Table7[[#This Row],[I_L pkpk]])</f>
        <v>2.9839285714285717</v>
      </c>
      <c r="BI195" s="156">
        <f>Table7[[#This Row],[I_L]]+0.5*Table7[[#This Row],[I_L pkpk]]</f>
        <v>3.8410714285714285</v>
      </c>
      <c r="BJ195" s="156">
        <f>IF(VACnom&gt;Vbat, (VGS_S-(C_MOSFET_S_VTH_H_BU+Table7[[#This Row],[I_L]]/C_MOSFET_S_gFS_H_BU))/3.4, (VGS_S-(C_MOSFET_S_VTH_L_BO+Table7[[#This Row],[I_L]]/C_MOSFET_S_gFS_L_BO))/3.4 )</f>
        <v>2.3462499999999999</v>
      </c>
      <c r="BK195" s="156">
        <f>IF(VACnom&gt;Vbat, ((C_MOSFET_S_VTH_H_BU+Table7[[#This Row],[I_L]]/C_MOSFET_S_gFS_H_BU))/1, ((C_MOSFET_S_VTH_L_BO+Table7[[#This Row],[I_L]]/C_MOSFET_S_gFS_L_BO))/1 )</f>
        <v>2.0227499999999998</v>
      </c>
      <c r="BL195" s="156">
        <f>IF(VACnom&gt;Vbat, (C_MOSFET_S_QGD_H_BU+C_MOSFET_S_QGS_H_BU)*10^-9/Table7[[#This Row],[Ion (A) C]], (C_MOSFET_S_QGD_L_BO+C_MOSFET_S_QGS_L_BO)*10^-9/Table7[[#This Row],[Ion (A) C]])/10^-9</f>
        <v>2.7703782631859348</v>
      </c>
      <c r="BM195" s="156">
        <f>IF(VACnom&gt;Vbat, (C_MOSFET_S_QGD_H_BU+C_MOSFET_S_QGS_H_BU)*10^-9/Table7[[#This Row],[Ioff (A) C]], (C_MOSFET_S_QGD_L_BO+C_MOSFET_S_QGS_L_BO)*10^-9/Table7[[#This Row],[Ioff (A) C]])/10^-9</f>
        <v>3.2134470399209003</v>
      </c>
      <c r="BN195" s="156">
        <f xml:space="preserve"> 0.5*VACnom*Table7[[#This Row],[Ivalley (A) C]]*Table7[[#This Row],[ton (ns) C]]*10^-9*Fsw*10^3+0.5*VACnom*Table7[[#This Row],[Ipeak (A) C]]*Table7[[#This Row],[toff (ns) C]]*10^-9*Fsw*10^3/10^-3</f>
        <v>44.464846403234823</v>
      </c>
      <c r="BO195" s="156">
        <f t="shared" si="35"/>
        <v>129.6</v>
      </c>
      <c r="BP195" s="156">
        <f t="shared" ca="1" si="36"/>
        <v>291.59999999999997</v>
      </c>
      <c r="BQ195" s="156">
        <f t="shared" si="37"/>
        <v>237.6</v>
      </c>
      <c r="BR195" s="156">
        <f>IF(VACnom&gt;Vbat, C_MOSFET_S_VSD_L_BU*Table7[[#This Row],[Ivalley (A) C]]*Fsw*10^3*40*10^-9+C_MOSFET_S_VSD_L_BU*Table7[[#This Row],[Ipeak (A) C]]*Fsw*10^3*30*10^-9, C_MOSFET_S_VSD_H_BO*Table7[[#This Row],[Ivalley (A) C]]*Fsw*10^3*40*10^-9+C_MOSFET_S_VSD_H_BO*Table7[[#This Row],[Ipeak (A) C]]*Fsw*10^3*30*10^-9)/10^-3</f>
        <v>112.60285714285716</v>
      </c>
      <c r="BS195" s="156">
        <f t="shared" ca="1" si="38"/>
        <v>291.59999999999997</v>
      </c>
      <c r="BT195" s="156">
        <f>IF(VACnom&lt;Vbat, Table7[[#This Row],[Duty Cycle]]*Table7[[#This Row],[I_L RMS]]^2*C_MOSFET_S_RDSON_H_BU*10^-3, (1-Table7[[#This Row],[Duty Cycle]])*Table7[[#This Row],[I_L RMS]]^2*C_MOSFET_S_RDSON_H_BO*10^-3)/10^-3</f>
        <v>28.597015807215747</v>
      </c>
      <c r="BU195" s="156">
        <f ca="1">IF(VACnom&gt;Vbat, Table7[[#This Row],[PIV (mW) C]]+Table7[[#This Row],[PQoss (mW) C]]+Table7[[#This Row],[Pgate_top (mW) C]], Table7[[#This Row],[PRR (mW) C]]+Table7[[#This Row],[Pdead (mW) C]]+Table7[[#This Row],[Pgate_top (mW) C]])</f>
        <v>641.80285714285719</v>
      </c>
      <c r="BV195" s="156">
        <f ca="1">Table7[[#This Row],[Pcon_top (mW) C]]+Table7[[#This Row],[Psw_top (mW) C]]</f>
        <v>670.3998729500729</v>
      </c>
      <c r="BW195" s="156">
        <f ca="1">IF(VACnom&gt;Vbat, (1-Table7[[#This Row],[Duty Cycle]])*Table7[[#This Row],[I_L RMS]]^2*C_MOSFET_S_RDSON_L_BU*10^-3, Table7[[#This Row],[Duty Cycle]]*Table7[[#This Row],[I_L RMS]]^2*C_MOSFET_S_RDSON_L_BO*10^-3)/10^-3</f>
        <v>17.810422125546648</v>
      </c>
      <c r="BX195" s="156">
        <f ca="1">IF(VACnom&gt;Vbat, Table7[[#This Row],[PRR (mW) C]]+Table7[[#This Row],[Pdead (mW) C]]+Table7[[#This Row],[Pgate_bottom (mW) C]], Table7[[#This Row],[PIV (mW) C]]+Table7[[#This Row],[PQoss (mW) C]]+Table7[[#This Row],[Pgate_bottom (mW) C]])</f>
        <v>465.66484640323478</v>
      </c>
      <c r="BY195" s="156">
        <f ca="1">Table7[[#This Row],[Pcon_bottom (mW) C]]+Table7[[#This Row],[Psw_bottom (mV) C]]</f>
        <v>483.47526852878144</v>
      </c>
      <c r="BZ195" s="156">
        <f ca="1">Table7[[#This Row],[Pbottom (mW) C]]+Table7[[#This Row],[Ptop (mW) C]]</f>
        <v>1153.8751414788544</v>
      </c>
      <c r="CA195" s="159"/>
      <c r="CB195" s="160">
        <f>(RAC_SNS*10^-3*(Table7[[#This Row],[IOUT (A)]]*Vbat/VACnom)^2/10^-3)</f>
        <v>58.22578124999999</v>
      </c>
      <c r="CC195" s="160">
        <f>(RBAT_SNS*10^-3*Table7[[#This Row],[IOUT (A)]]^2)/10^-3</f>
        <v>19.012499999999999</v>
      </c>
      <c r="CD195" s="160">
        <f>IF(VACnom&gt;Vbat,(L_DRC*10^-3*(Table7[[#This Row],[IOUT (A)]])^2/10^-3),(L_DRC*10^-3*(Table7[[#This Row],[IOUT (A)]]*Vbat/VACnom)^2/10^-3))</f>
        <v>139.74187499999999</v>
      </c>
      <c r="CE195" s="166"/>
      <c r="CF195" s="156">
        <f>(Table7[[#This Row],[R_AC (mW)]]+Table7[[#This Row],[R_SR (mW)]]+Table7[[#This Row],[Inductor Loss (mW)]])/10^3</f>
        <v>0.21698015625</v>
      </c>
      <c r="CG195" s="156">
        <f ca="1">Table7[[#This Row],[Total TI (mW)]]/10^3</f>
        <v>2.4669697526425285</v>
      </c>
      <c r="CH195" s="156">
        <f ca="1">Table7[[#This Row],[Total Sense Loss]]+Table7[[#This Row],[Total MOSFET Loss]]</f>
        <v>2.6839499088925285</v>
      </c>
      <c r="CI195" s="161">
        <f ca="1">IF(Table7[[#This Row],[POUT (W)]]=0,0,(Table7[[#This Row],[POUT (W)]])/(Table7[[#This Row],[POUT (W)]]+Table7[[#This Row],[Total Power Loss (W)]]))*100</f>
        <v>89.710339429928439</v>
      </c>
      <c r="CJ195" s="167"/>
      <c r="CK195" s="156">
        <f>(Table7[[#This Row],[R_AC (mW)]]+Table7[[#This Row],[R_SR (mW)]]+Table7[[#This Row],[Inductor Loss (mW)]])/10^3</f>
        <v>0.21698015625</v>
      </c>
      <c r="CL195" s="156">
        <f ca="1">Table7[[#This Row],[Total (mW) C]]/10^3</f>
        <v>1.1538751414788544</v>
      </c>
      <c r="CM195" s="156">
        <f ca="1">Table7[[#This Row],[Total Sense Loss C]]+Table7[[#This Row],[Total MOSFET Loss C]]</f>
        <v>1.3708552977288544</v>
      </c>
      <c r="CN195" s="161">
        <f ca="1">IF(Table7[[#This Row],[POUT (W)]]=0,0,(Table7[[#This Row],[POUT (W)]])/(Table7[[#This Row],[POUT (W)]]+Table7[[#This Row],[Total Power Loss (W) C]]))*100</f>
        <v>94.465853999580943</v>
      </c>
      <c r="CO195" s="167"/>
      <c r="CP195" s="161">
        <f>IF(MOSFET_S=Custom_MOSFET,Table7[[#This Row],[Total Sense Loss C]],Table7[[#This Row],[Total Sense Loss]])</f>
        <v>0.21698015625</v>
      </c>
      <c r="CQ195" s="161">
        <f ca="1">IF(MOSFET_S=Custom_MOSFET,Table7[[#This Row],[Total MOSFET Loss C]],Table7[[#This Row],[Total MOSFET Loss]])</f>
        <v>2.4669697526425285</v>
      </c>
      <c r="CR195" s="161">
        <f ca="1">IF(MOSFET_S=Custom_MOSFET,Table7[[#This Row],[Efficiency C]],Table7[[#This Row],[Efficiency]])</f>
        <v>89.710339429928439</v>
      </c>
      <c r="CS195" s="167"/>
      <c r="CT195" s="161">
        <f>IF(MOSFET_S=Compare_MOSFET, Table7[[#This Row],[Total Sense Loss C]], -100)</f>
        <v>-100</v>
      </c>
      <c r="CU195" s="161">
        <f>IF(MOSFET_S=Compare_MOSFET, Table7[[#This Row],[Total MOSFET Loss C]], -100)</f>
        <v>-100</v>
      </c>
      <c r="CV195" s="161">
        <f>IF(MOSFET_S=Compare_MOSFET, Table7[[#This Row],[Efficiency C]], -100)</f>
        <v>-100</v>
      </c>
      <c r="CW195" s="167"/>
      <c r="CX195" s="161">
        <f ca="1">IF(Save_Sel=CLR_Save,  Table7[[#This Row],[Total Sense Loss P1]], Table7[[#This Row],[Total Sense Loss P1 Saved]])</f>
        <v>0.21698015625</v>
      </c>
      <c r="CY195" s="161">
        <f ca="1">IF(Save_Sel=CLR_Save,  Table7[[#This Row],[Total MOSFET Loss P1]], Table7[[#This Row],[Total MOSFET Loss P1 Saved]] )</f>
        <v>1.7619535613920008</v>
      </c>
      <c r="CZ195" s="161">
        <f ca="1">IF(Save_Sel=CLR_Save, Table7[[#This Row],[Efficiency P1]], Table7[[#This Row],[Efficiency P1 Saved]])</f>
        <v>92.202455234490969</v>
      </c>
      <c r="DA195" s="167"/>
      <c r="DB195" s="161">
        <f ca="1">IF(Save_Sel=CLR_Save,  Table7[[#This Row],[Total Sense Loss P2]], Table7[[#This Row],[Total Sense Loss P2 Saved]])</f>
        <v>0.21698015625</v>
      </c>
      <c r="DC195" s="161">
        <f ca="1">IF(Save_Sel=CLR_Save,  Table7[[#This Row],[Total MOSFET Loss P2]], Table7[[#This Row],[Total MOSFET Loss P2 Saved]] )</f>
        <v>1.1684905732189399</v>
      </c>
      <c r="DD195" s="161">
        <f ca="1">IF(Save_Sel=CLR_Save, Table7[[#This Row],[Efficiency P2]], Table7[[#This Row],[Efficiency P2 Saved]])</f>
        <v>94.410149621158212</v>
      </c>
      <c r="DE195" s="167"/>
      <c r="DF195" s="21"/>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c r="FH195" s="21"/>
      <c r="FI195" s="21"/>
    </row>
    <row r="196" spans="1:165" x14ac:dyDescent="0.25">
      <c r="A196" s="34"/>
      <c r="B196" s="51"/>
      <c r="C196" s="51"/>
      <c r="D196" s="34"/>
      <c r="E196" s="69"/>
      <c r="F196" s="69"/>
      <c r="G196" s="51"/>
      <c r="H196" s="31"/>
      <c r="I196" s="31"/>
      <c r="J196" s="31"/>
      <c r="K196" s="31"/>
      <c r="L196" s="31"/>
      <c r="M196" s="31"/>
      <c r="N196" s="31"/>
      <c r="O196" s="31"/>
      <c r="P196" s="31"/>
      <c r="Q196" s="31"/>
      <c r="R196" s="31"/>
      <c r="S196" s="32"/>
      <c r="T196" s="20"/>
      <c r="U196" s="21"/>
      <c r="V196" s="21"/>
      <c r="W196" s="21"/>
      <c r="X196" s="21"/>
      <c r="Y196" s="21"/>
      <c r="Z196" s="21"/>
      <c r="AA196" s="21"/>
      <c r="AB196" s="21"/>
      <c r="AC196" s="21"/>
      <c r="AD196" s="21"/>
      <c r="AE196" s="21"/>
      <c r="AF196" s="154">
        <f t="shared" si="17"/>
        <v>40</v>
      </c>
      <c r="AG196" s="154">
        <f t="shared" si="39"/>
        <v>2</v>
      </c>
      <c r="AH196" s="155">
        <f t="shared" si="28"/>
        <v>24</v>
      </c>
      <c r="AI196" s="156">
        <f t="shared" si="29"/>
        <v>0.42857142857142855</v>
      </c>
      <c r="AJ196" s="156">
        <f t="shared" si="30"/>
        <v>3.5</v>
      </c>
      <c r="AK196" s="156">
        <f t="shared" si="26"/>
        <v>0.85714285714285721</v>
      </c>
      <c r="AL196" s="156">
        <f t="shared" si="27"/>
        <v>3.5087354545186105</v>
      </c>
      <c r="AM196" s="157"/>
      <c r="AN196" s="156">
        <f>MAX(0,Table7[[#This Row],[I_L]]-0.5*Table7[[#This Row],[I_L pkpk]])</f>
        <v>3.0714285714285712</v>
      </c>
      <c r="AO196" s="156">
        <f>Table7[[#This Row],[I_L]]+0.5*Table7[[#This Row],[I_L pkpk]]</f>
        <v>3.9285714285714288</v>
      </c>
      <c r="AP196" s="156">
        <f ca="1">IF(VACnom&gt;Vbat, (VGS_S-(TI_MOSFET_S_VTH_H_BU+Table7[[#This Row],[I_L]]/TI_MOSFET_S_gFS_H_BU))/3.4, (VGS_S-(TI_MOSFET_S_VTH_L_BO+Table7[[#This Row],[I_L]]/TI_MOSFET_S_gFS_L_BO))/3.4 )</f>
        <v>2.4185520361990953</v>
      </c>
      <c r="AQ196" s="156">
        <f ca="1">IF(VACnom&gt;Vbat, ((TI_MOSFET_S_VTH_H_BU+Table7[[#This Row],[I_L]]/TI_MOSFET_S_gFS_H_BU))/1, ((TI_MOSFET_S_VTH_L_BO+Table7[[#This Row],[I_L]]/TI_MOSFET_S_gFS_L_BO))/1 )</f>
        <v>1.7769230769230768</v>
      </c>
      <c r="AR196" s="156">
        <f ca="1">IF(VACnom&gt;Vbat, (TI_MOSFET_S_QGD_H_BU+TI_MOSFET_S_QGS_H_BU)*10^-9/Table7[[#This Row],[Ion (A)]], (TI_MOSFET_S_QGD_L_BO+TI_MOSFET_S_QGS_L_BO)*10^-9/Table7[[#This Row],[Ion (A)]])/10^-9</f>
        <v>11.907951356407857</v>
      </c>
      <c r="AS196" s="156">
        <f ca="1">IF(VACnom&gt;Vbat, (TI_MOSFET_S_QGD_H_BU+TI_MOSFET_S_QGS_H_BU)*10^-9/Table7[[#This Row],[Ioff (A)]], (TI_MOSFET_S_QGD_L_BO+TI_MOSFET_S_QGS_L_BO)*10^-9/Table7[[#This Row],[Ioff (A)]])/10^-9</f>
        <v>16.20779220779221</v>
      </c>
      <c r="AT196" s="156">
        <f ca="1" xml:space="preserve"> 0.5*VACnom*Table7[[#This Row],[Ivalley (A)]]*Table7[[#This Row],[ton (ns)]]*10^-9*Fsw*10^3+0.5*VACnom*Table7[[#This Row],[Ipeak (A)]]*Table7[[#This Row],[toff (ns)]]*10^-9*Fsw*10^3/10^-3</f>
        <v>229.3561577152021</v>
      </c>
      <c r="AU196" s="156">
        <f t="shared" ca="1" si="31"/>
        <v>262.8</v>
      </c>
      <c r="AV196" s="156">
        <f t="shared" ca="1" si="32"/>
        <v>648</v>
      </c>
      <c r="AW196" s="156">
        <f t="shared" ca="1" si="33"/>
        <v>554.4</v>
      </c>
      <c r="AX196" s="156">
        <f ca="1">IF(VACnom&gt;Vbat, TI_MOSFET_S_VSD_L_BU*Table7[[#This Row],[Ivalley (A)]]*Fsw*10^3*40*10^-9+TI_MOSFET_S_VSD_L_BU*Table7[[#This Row],[Ipeak (A)]]*Fsw*10^3*30*10^-9, TI_MOSFET_S_VSD_H_BO*Table7[[#This Row],[Ivalley (A)]]*Fsw*10^3*40*10^-9+TI_MOSFET_S_VSD_H_BO*Table7[[#This Row],[Ipeak (A)]]*Fsw*10^3*30*10^-9)/10^-3</f>
        <v>103.98857142857143</v>
      </c>
      <c r="AY196" s="156">
        <f t="shared" ca="1" si="34"/>
        <v>648</v>
      </c>
      <c r="AZ196" s="156">
        <f ca="1">IF(VACnom&lt;Vbat, Table7[[#This Row],[Duty Cycle]]*Table7[[#This Row],[I_L RMS]]^2*TI_MOSFET_S_RDSON_H_BU*10^-3, (1-Table7[[#This Row],[Duty Cycle]])*Table7[[#This Row],[I_L RMS]]^2*TI_MOSFET_S_RDSON_H_BO*10^-3)/10^-3</f>
        <v>14.773469387755103</v>
      </c>
      <c r="BA196" s="156">
        <f ca="1">IF(VACnom&gt;Vbat, Table7[[#This Row],[PIV (mW)]]+Table7[[#This Row],[Pqoss (mW)]]+Table7[[#This Row],[Pgate_top (mW)]], Table7[[#This Row],[PRR (mW)]]+Table7[[#This Row],[Pdead (mW)]]+Table7[[#This Row],[Pgate_top (mW)]])</f>
        <v>1306.3885714285714</v>
      </c>
      <c r="BB196" s="156">
        <f ca="1">Table7[[#This Row],[Pcon_top (mW)]]+Table7[[#This Row],[Psw_top (mW)]]</f>
        <v>1321.1620408163265</v>
      </c>
      <c r="BC196" s="156">
        <f ca="1">IF(VACnom&gt;Vbat, (1-Table7[[#This Row],[Duty Cycle]])*Table7[[#This Row],[I_L RMS]]^2*TI_MOSFET_S_RDSON_L_BU*10^-3, Table7[[#This Row],[Duty Cycle]]*Table7[[#This Row],[I_L RMS]]^2*TI_MOSFET_S_RDSON_L_BO*10^-3)/10^-3</f>
        <v>14.773469387755103</v>
      </c>
      <c r="BD196" s="156">
        <f ca="1">IF(VACnom&gt;Vbat, Table7[[#This Row],[PRR (mW)]]+Table7[[#This Row],[Pdead (mW)]]+Table7[[#This Row],[Pgate_bottom (mW)]], Table7[[#This Row],[PIV (mW)]]+Table7[[#This Row],[Pqoss (mW)]]+Table7[[#This Row],[Pgate_bottom (mW)]])</f>
        <v>1140.156157715202</v>
      </c>
      <c r="BE196" s="158">
        <f ca="1">Table7[[#This Row],[Pcon_bottom (mW)]]+Table7[[#This Row],[Psw_bottom (mW)]]</f>
        <v>1154.9296271029571</v>
      </c>
      <c r="BF196" s="164">
        <f ca="1">Table7[[#This Row],[Pbottom (mW)]]+Table7[[#This Row],[Ptop (mW)]]</f>
        <v>2476.0916679192833</v>
      </c>
      <c r="BG196" s="153"/>
      <c r="BH196" s="156">
        <f>MAX(0,Table7[[#This Row],[I_L]]-0.5*Table7[[#This Row],[I_L pkpk]])</f>
        <v>3.0714285714285712</v>
      </c>
      <c r="BI196" s="156">
        <f>Table7[[#This Row],[I_L]]+0.5*Table7[[#This Row],[I_L pkpk]]</f>
        <v>3.9285714285714288</v>
      </c>
      <c r="BJ196" s="156">
        <f>IF(VACnom&gt;Vbat, (VGS_S-(C_MOSFET_S_VTH_H_BU+Table7[[#This Row],[I_L]]/C_MOSFET_S_gFS_H_BU))/3.4, (VGS_S-(C_MOSFET_S_VTH_L_BO+Table7[[#This Row],[I_L]]/C_MOSFET_S_gFS_L_BO))/3.4 )</f>
        <v>2.3460784313725491</v>
      </c>
      <c r="BK196" s="156">
        <f>IF(VACnom&gt;Vbat, ((C_MOSFET_S_VTH_H_BU+Table7[[#This Row],[I_L]]/C_MOSFET_S_gFS_H_BU))/1, ((C_MOSFET_S_VTH_L_BO+Table7[[#This Row],[I_L]]/C_MOSFET_S_gFS_L_BO))/1 )</f>
        <v>2.0233333333333334</v>
      </c>
      <c r="BL196" s="156">
        <f>IF(VACnom&gt;Vbat, (C_MOSFET_S_QGD_H_BU+C_MOSFET_S_QGS_H_BU)*10^-9/Table7[[#This Row],[Ion (A) C]], (C_MOSFET_S_QGD_L_BO+C_MOSFET_S_QGS_L_BO)*10^-9/Table7[[#This Row],[Ion (A) C]])/10^-9</f>
        <v>2.7705808608441282</v>
      </c>
      <c r="BM196" s="156">
        <f>IF(VACnom&gt;Vbat, (C_MOSFET_S_QGD_H_BU+C_MOSFET_S_QGS_H_BU)*10^-9/Table7[[#This Row],[Ioff (A) C]], (C_MOSFET_S_QGD_L_BO+C_MOSFET_S_QGS_L_BO)*10^-9/Table7[[#This Row],[Ioff (A) C]])/10^-9</f>
        <v>3.2125205930807246</v>
      </c>
      <c r="BN196" s="156">
        <f xml:space="preserve"> 0.5*VACnom*Table7[[#This Row],[Ivalley (A) C]]*Table7[[#This Row],[ton (ns) C]]*10^-9*Fsw*10^3+0.5*VACnom*Table7[[#This Row],[Ipeak (A) C]]*Table7[[#This Row],[toff (ns) C]]*10^-9*Fsw*10^3/10^-3</f>
        <v>45.464854524803016</v>
      </c>
      <c r="BO196" s="156">
        <f t="shared" si="35"/>
        <v>129.6</v>
      </c>
      <c r="BP196" s="156">
        <f t="shared" ca="1" si="36"/>
        <v>291.59999999999997</v>
      </c>
      <c r="BQ196" s="156">
        <f t="shared" si="37"/>
        <v>237.6</v>
      </c>
      <c r="BR196" s="156">
        <f>IF(VACnom&gt;Vbat, C_MOSFET_S_VSD_L_BU*Table7[[#This Row],[Ivalley (A) C]]*Fsw*10^3*40*10^-9+C_MOSFET_S_VSD_L_BU*Table7[[#This Row],[Ipeak (A) C]]*Fsw*10^3*30*10^-9, C_MOSFET_S_VSD_H_BO*Table7[[#This Row],[Ivalley (A) C]]*Fsw*10^3*40*10^-9+C_MOSFET_S_VSD_H_BO*Table7[[#This Row],[Ipeak (A) C]]*Fsw*10^3*30*10^-9)/10^-3</f>
        <v>115.54285714285717</v>
      </c>
      <c r="BS196" s="156">
        <f t="shared" ca="1" si="38"/>
        <v>291.59999999999997</v>
      </c>
      <c r="BT196" s="156">
        <f>IF(VACnom&lt;Vbat, Table7[[#This Row],[Duty Cycle]]*Table7[[#This Row],[I_L RMS]]^2*C_MOSFET_S_RDSON_H_BU*10^-3, (1-Table7[[#This Row],[Duty Cycle]])*Table7[[#This Row],[I_L RMS]]^2*C_MOSFET_S_RDSON_H_BO*10^-3)/10^-3</f>
        <v>30.074562682215749</v>
      </c>
      <c r="BU196" s="156">
        <f ca="1">IF(VACnom&gt;Vbat, Table7[[#This Row],[PIV (mW) C]]+Table7[[#This Row],[PQoss (mW) C]]+Table7[[#This Row],[Pgate_top (mW) C]], Table7[[#This Row],[PRR (mW) C]]+Table7[[#This Row],[Pdead (mW) C]]+Table7[[#This Row],[Pgate_top (mW) C]])</f>
        <v>644.74285714285713</v>
      </c>
      <c r="BV196" s="156">
        <f ca="1">Table7[[#This Row],[Pcon_top (mW) C]]+Table7[[#This Row],[Psw_top (mW) C]]</f>
        <v>674.81741982507288</v>
      </c>
      <c r="BW196" s="156">
        <f ca="1">IF(VACnom&gt;Vbat, (1-Table7[[#This Row],[Duty Cycle]])*Table7[[#This Row],[I_L RMS]]^2*C_MOSFET_S_RDSON_L_BU*10^-3, Table7[[#This Row],[Duty Cycle]]*Table7[[#This Row],[I_L RMS]]^2*C_MOSFET_S_RDSON_L_BO*10^-3)/10^-3</f>
        <v>18.730648688046649</v>
      </c>
      <c r="BX196" s="156">
        <f ca="1">IF(VACnom&gt;Vbat, Table7[[#This Row],[PRR (mW) C]]+Table7[[#This Row],[Pdead (mW) C]]+Table7[[#This Row],[Pgate_bottom (mW) C]], Table7[[#This Row],[PIV (mW) C]]+Table7[[#This Row],[PQoss (mW) C]]+Table7[[#This Row],[Pgate_bottom (mW) C]])</f>
        <v>466.66485452480299</v>
      </c>
      <c r="BY196" s="156">
        <f ca="1">Table7[[#This Row],[Pcon_bottom (mW) C]]+Table7[[#This Row],[Psw_bottom (mV) C]]</f>
        <v>485.39550321284963</v>
      </c>
      <c r="BZ196" s="156">
        <f ca="1">Table7[[#This Row],[Pbottom (mW) C]]+Table7[[#This Row],[Ptop (mW) C]]</f>
        <v>1160.2129230379226</v>
      </c>
      <c r="CA196" s="159"/>
      <c r="CB196" s="160">
        <f>(RAC_SNS*10^-3*(Table7[[#This Row],[IOUT (A)]]*Vbat/VACnom)^2/10^-3)</f>
        <v>61.25</v>
      </c>
      <c r="CC196" s="160">
        <f>(RBAT_SNS*10^-3*Table7[[#This Row],[IOUT (A)]]^2)/10^-3</f>
        <v>20</v>
      </c>
      <c r="CD196" s="160">
        <f>IF(VACnom&gt;Vbat,(L_DRC*10^-3*(Table7[[#This Row],[IOUT (A)]])^2/10^-3),(L_DRC*10^-3*(Table7[[#This Row],[IOUT (A)]]*Vbat/VACnom)^2/10^-3))</f>
        <v>147</v>
      </c>
      <c r="CE196" s="166"/>
      <c r="CF196" s="156">
        <f>(Table7[[#This Row],[R_AC (mW)]]+Table7[[#This Row],[R_SR (mW)]]+Table7[[#This Row],[Inductor Loss (mW)]])/10^3</f>
        <v>0.22825000000000001</v>
      </c>
      <c r="CG196" s="156">
        <f ca="1">Table7[[#This Row],[Total TI (mW)]]/10^3</f>
        <v>2.4760916679192833</v>
      </c>
      <c r="CH196" s="156">
        <f ca="1">Table7[[#This Row],[Total Sense Loss]]+Table7[[#This Row],[Total MOSFET Loss]]</f>
        <v>2.7043416679192833</v>
      </c>
      <c r="CI196" s="161">
        <f ca="1">IF(Table7[[#This Row],[POUT (W)]]=0,0,(Table7[[#This Row],[POUT (W)]])/(Table7[[#This Row],[POUT (W)]]+Table7[[#This Row],[Total Power Loss (W)]]))*100</f>
        <v>89.873026260864208</v>
      </c>
      <c r="CJ196" s="167"/>
      <c r="CK196" s="156">
        <f>(Table7[[#This Row],[R_AC (mW)]]+Table7[[#This Row],[R_SR (mW)]]+Table7[[#This Row],[Inductor Loss (mW)]])/10^3</f>
        <v>0.22825000000000001</v>
      </c>
      <c r="CL196" s="156">
        <f ca="1">Table7[[#This Row],[Total (mW) C]]/10^3</f>
        <v>1.1602129230379226</v>
      </c>
      <c r="CM196" s="156">
        <f ca="1">Table7[[#This Row],[Total Sense Loss C]]+Table7[[#This Row],[Total MOSFET Loss C]]</f>
        <v>1.3884629230379226</v>
      </c>
      <c r="CN196" s="161">
        <f ca="1">IF(Table7[[#This Row],[POUT (W)]]=0,0,(Table7[[#This Row],[POUT (W)]])/(Table7[[#This Row],[POUT (W)]]+Table7[[#This Row],[Total Power Loss (W) C]]))*100</f>
        <v>94.531126491403271</v>
      </c>
      <c r="CO196" s="167"/>
      <c r="CP196" s="161">
        <f>IF(MOSFET_S=Custom_MOSFET,Table7[[#This Row],[Total Sense Loss C]],Table7[[#This Row],[Total Sense Loss]])</f>
        <v>0.22825000000000001</v>
      </c>
      <c r="CQ196" s="161">
        <f ca="1">IF(MOSFET_S=Custom_MOSFET,Table7[[#This Row],[Total MOSFET Loss C]],Table7[[#This Row],[Total MOSFET Loss]])</f>
        <v>2.4760916679192833</v>
      </c>
      <c r="CR196" s="161">
        <f ca="1">IF(MOSFET_S=Custom_MOSFET,Table7[[#This Row],[Efficiency C]],Table7[[#This Row],[Efficiency]])</f>
        <v>89.873026260864208</v>
      </c>
      <c r="CS196" s="167"/>
      <c r="CT196" s="161">
        <f>IF(MOSFET_S=Compare_MOSFET, Table7[[#This Row],[Total Sense Loss C]], -100)</f>
        <v>-100</v>
      </c>
      <c r="CU196" s="161">
        <f>IF(MOSFET_S=Compare_MOSFET, Table7[[#This Row],[Total MOSFET Loss C]], -100)</f>
        <v>-100</v>
      </c>
      <c r="CV196" s="161">
        <f>IF(MOSFET_S=Compare_MOSFET, Table7[[#This Row],[Efficiency C]], -100)</f>
        <v>-100</v>
      </c>
      <c r="CW196" s="167"/>
      <c r="CX196" s="161">
        <f ca="1">IF(Save_Sel=CLR_Save,  Table7[[#This Row],[Total Sense Loss P1]], Table7[[#This Row],[Total Sense Loss P1 Saved]])</f>
        <v>0.22825000000000001</v>
      </c>
      <c r="CY196" s="161">
        <f ca="1">IF(Save_Sel=CLR_Save,  Table7[[#This Row],[Total MOSFET Loss P1]], Table7[[#This Row],[Total MOSFET Loss P1 Saved]] )</f>
        <v>1.7714719659613578</v>
      </c>
      <c r="CZ196" s="161">
        <f ca="1">IF(Save_Sel=CLR_Save, Table7[[#This Row],[Efficiency P1]], Table7[[#This Row],[Efficiency P1 Saved]])</f>
        <v>92.308679421343896</v>
      </c>
      <c r="DA196" s="167"/>
      <c r="DB196" s="161">
        <f ca="1">IF(Save_Sel=CLR_Save,  Table7[[#This Row],[Total Sense Loss P2]], Table7[[#This Row],[Total Sense Loss P2 Saved]])</f>
        <v>0.22825000000000001</v>
      </c>
      <c r="DC196" s="161">
        <f ca="1">IF(Save_Sel=CLR_Save,  Table7[[#This Row],[Total MOSFET Loss P2]], Table7[[#This Row],[Total MOSFET Loss P2 Saved]] )</f>
        <v>1.1755820476497718</v>
      </c>
      <c r="DD196" s="161">
        <f ca="1">IF(Save_Sel=CLR_Save, Table7[[#This Row],[Efficiency P2]], Table7[[#This Row],[Efficiency P2 Saved]])</f>
        <v>94.47393588094657</v>
      </c>
      <c r="DE196" s="167"/>
      <c r="DF196" s="21"/>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c r="FH196" s="21"/>
      <c r="FI196" s="21"/>
    </row>
    <row r="197" spans="1:165" x14ac:dyDescent="0.25">
      <c r="A197" s="34"/>
      <c r="B197" s="51"/>
      <c r="C197" s="51"/>
      <c r="D197" s="34"/>
      <c r="E197" s="69"/>
      <c r="F197" s="69"/>
      <c r="G197" s="51"/>
      <c r="H197" s="31"/>
      <c r="I197" s="31"/>
      <c r="J197" s="31"/>
      <c r="K197" s="31"/>
      <c r="L197" s="31"/>
      <c r="M197" s="31"/>
      <c r="N197" s="31"/>
      <c r="O197" s="31"/>
      <c r="P197" s="31"/>
      <c r="Q197" s="31"/>
      <c r="R197" s="31"/>
      <c r="S197" s="32"/>
      <c r="T197" s="20"/>
      <c r="U197" s="21"/>
      <c r="V197" s="21"/>
      <c r="W197" s="21"/>
      <c r="X197" s="21"/>
      <c r="Y197" s="21"/>
      <c r="Z197" s="21"/>
      <c r="AA197" s="21"/>
      <c r="AB197" s="21"/>
      <c r="AC197" s="21"/>
      <c r="AD197" s="21"/>
      <c r="AE197" s="21"/>
      <c r="AF197" s="154">
        <f t="shared" si="17"/>
        <v>41</v>
      </c>
      <c r="AG197" s="154">
        <f t="shared" si="39"/>
        <v>2.0499999999999998</v>
      </c>
      <c r="AH197" s="155">
        <f t="shared" si="28"/>
        <v>24.599999999999998</v>
      </c>
      <c r="AI197" s="156">
        <f t="shared" si="29"/>
        <v>0.42857142857142855</v>
      </c>
      <c r="AJ197" s="156">
        <f t="shared" si="30"/>
        <v>3.5874999999999999</v>
      </c>
      <c r="AK197" s="156">
        <f t="shared" si="26"/>
        <v>0.85714285714285721</v>
      </c>
      <c r="AL197" s="156">
        <f t="shared" si="27"/>
        <v>3.5960229059053446</v>
      </c>
      <c r="AM197" s="157"/>
      <c r="AN197" s="156">
        <f>MAX(0,Table7[[#This Row],[I_L]]-0.5*Table7[[#This Row],[I_L pkpk]])</f>
        <v>3.1589285714285715</v>
      </c>
      <c r="AO197" s="156">
        <f>Table7[[#This Row],[I_L]]+0.5*Table7[[#This Row],[I_L pkpk]]</f>
        <v>4.0160714285714283</v>
      </c>
      <c r="AP197" s="156">
        <f ca="1">IF(VACnom&gt;Vbat, (VGS_S-(TI_MOSFET_S_VTH_H_BU+Table7[[#This Row],[I_L]]/TI_MOSFET_S_gFS_H_BU))/3.4, (VGS_S-(TI_MOSFET_S_VTH_L_BO+Table7[[#This Row],[I_L]]/TI_MOSFET_S_gFS_L_BO))/3.4 )</f>
        <v>2.41835407239819</v>
      </c>
      <c r="AQ197" s="156">
        <f ca="1">IF(VACnom&gt;Vbat, ((TI_MOSFET_S_VTH_H_BU+Table7[[#This Row],[I_L]]/TI_MOSFET_S_gFS_H_BU))/1, ((TI_MOSFET_S_VTH_L_BO+Table7[[#This Row],[I_L]]/TI_MOSFET_S_gFS_L_BO))/1 )</f>
        <v>1.7775961538461538</v>
      </c>
      <c r="AR197" s="156">
        <f ca="1">IF(VACnom&gt;Vbat, (TI_MOSFET_S_QGD_H_BU+TI_MOSFET_S_QGS_H_BU)*10^-9/Table7[[#This Row],[Ion (A)]], (TI_MOSFET_S_QGD_L_BO+TI_MOSFET_S_QGS_L_BO)*10^-9/Table7[[#This Row],[Ion (A)]])/10^-9</f>
        <v>11.908926128191036</v>
      </c>
      <c r="AS197" s="156">
        <f ca="1">IF(VACnom&gt;Vbat, (TI_MOSFET_S_QGD_H_BU+TI_MOSFET_S_QGS_H_BU)*10^-9/Table7[[#This Row],[Ioff (A)]], (TI_MOSFET_S_QGD_L_BO+TI_MOSFET_S_QGS_L_BO)*10^-9/Table7[[#This Row],[Ioff (A)]])/10^-9</f>
        <v>16.201655217179642</v>
      </c>
      <c r="AT197" s="156">
        <f ca="1" xml:space="preserve"> 0.5*VACnom*Table7[[#This Row],[Ivalley (A)]]*Table7[[#This Row],[ton (ns)]]*10^-9*Fsw*10^3+0.5*VACnom*Table7[[#This Row],[Ipeak (A)]]*Table7[[#This Row],[toff (ns)]]*10^-9*Fsw*10^3/10^-3</f>
        <v>234.3766466170143</v>
      </c>
      <c r="AU197" s="156">
        <f t="shared" ca="1" si="31"/>
        <v>262.8</v>
      </c>
      <c r="AV197" s="156">
        <f t="shared" ca="1" si="32"/>
        <v>648</v>
      </c>
      <c r="AW197" s="156">
        <f t="shared" ca="1" si="33"/>
        <v>554.4</v>
      </c>
      <c r="AX197" s="156">
        <f ca="1">IF(VACnom&gt;Vbat, TI_MOSFET_S_VSD_L_BU*Table7[[#This Row],[Ivalley (A)]]*Fsw*10^3*40*10^-9+TI_MOSFET_S_VSD_L_BU*Table7[[#This Row],[Ipeak (A)]]*Fsw*10^3*30*10^-9, TI_MOSFET_S_VSD_H_BO*Table7[[#This Row],[Ivalley (A)]]*Fsw*10^3*40*10^-9+TI_MOSFET_S_VSD_H_BO*Table7[[#This Row],[Ipeak (A)]]*Fsw*10^3*30*10^-9)/10^-3</f>
        <v>106.63457142857143</v>
      </c>
      <c r="AY197" s="156">
        <f t="shared" ca="1" si="34"/>
        <v>648</v>
      </c>
      <c r="AZ197" s="156">
        <f ca="1">IF(VACnom&lt;Vbat, Table7[[#This Row],[Duty Cycle]]*Table7[[#This Row],[I_L RMS]]^2*TI_MOSFET_S_RDSON_H_BU*10^-3, (1-Table7[[#This Row],[Duty Cycle]])*Table7[[#This Row],[I_L RMS]]^2*TI_MOSFET_S_RDSON_H_BO*10^-3)/10^-3</f>
        <v>15.5176568877551</v>
      </c>
      <c r="BA197" s="156">
        <f ca="1">IF(VACnom&gt;Vbat, Table7[[#This Row],[PIV (mW)]]+Table7[[#This Row],[Pqoss (mW)]]+Table7[[#This Row],[Pgate_top (mW)]], Table7[[#This Row],[PRR (mW)]]+Table7[[#This Row],[Pdead (mW)]]+Table7[[#This Row],[Pgate_top (mW)]])</f>
        <v>1309.0345714285713</v>
      </c>
      <c r="BB197" s="156">
        <f ca="1">Table7[[#This Row],[Pcon_top (mW)]]+Table7[[#This Row],[Psw_top (mW)]]</f>
        <v>1324.5522283163264</v>
      </c>
      <c r="BC197" s="156">
        <f ca="1">IF(VACnom&gt;Vbat, (1-Table7[[#This Row],[Duty Cycle]])*Table7[[#This Row],[I_L RMS]]^2*TI_MOSFET_S_RDSON_L_BU*10^-3, Table7[[#This Row],[Duty Cycle]]*Table7[[#This Row],[I_L RMS]]^2*TI_MOSFET_S_RDSON_L_BO*10^-3)/10^-3</f>
        <v>15.5176568877551</v>
      </c>
      <c r="BD197" s="156">
        <f ca="1">IF(VACnom&gt;Vbat, Table7[[#This Row],[PRR (mW)]]+Table7[[#This Row],[Pdead (mW)]]+Table7[[#This Row],[Pgate_bottom (mW)]], Table7[[#This Row],[PIV (mW)]]+Table7[[#This Row],[Pqoss (mW)]]+Table7[[#This Row],[Pgate_bottom (mW)]])</f>
        <v>1145.1766466170143</v>
      </c>
      <c r="BE197" s="158">
        <f ca="1">Table7[[#This Row],[Pcon_bottom (mW)]]+Table7[[#This Row],[Psw_bottom (mW)]]</f>
        <v>1160.6943035047693</v>
      </c>
      <c r="BF197" s="164">
        <f ca="1">Table7[[#This Row],[Pbottom (mW)]]+Table7[[#This Row],[Ptop (mW)]]</f>
        <v>2485.2465318210957</v>
      </c>
      <c r="BG197" s="153"/>
      <c r="BH197" s="156">
        <f>MAX(0,Table7[[#This Row],[I_L]]-0.5*Table7[[#This Row],[I_L pkpk]])</f>
        <v>3.1589285714285715</v>
      </c>
      <c r="BI197" s="156">
        <f>Table7[[#This Row],[I_L]]+0.5*Table7[[#This Row],[I_L pkpk]]</f>
        <v>4.0160714285714283</v>
      </c>
      <c r="BJ197" s="156">
        <f>IF(VACnom&gt;Vbat, (VGS_S-(C_MOSFET_S_VTH_H_BU+Table7[[#This Row],[I_L]]/C_MOSFET_S_gFS_H_BU))/3.4, (VGS_S-(C_MOSFET_S_VTH_L_BO+Table7[[#This Row],[I_L]]/C_MOSFET_S_gFS_L_BO))/3.4 )</f>
        <v>2.3459068627450983</v>
      </c>
      <c r="BK197" s="156">
        <f>IF(VACnom&gt;Vbat, ((C_MOSFET_S_VTH_H_BU+Table7[[#This Row],[I_L]]/C_MOSFET_S_gFS_H_BU))/1, ((C_MOSFET_S_VTH_L_BO+Table7[[#This Row],[I_L]]/C_MOSFET_S_gFS_L_BO))/1 )</f>
        <v>2.0239166666666666</v>
      </c>
      <c r="BL197" s="156">
        <f>IF(VACnom&gt;Vbat, (C_MOSFET_S_QGD_H_BU+C_MOSFET_S_QGS_H_BU)*10^-9/Table7[[#This Row],[Ion (A) C]], (C_MOSFET_S_QGD_L_BO+C_MOSFET_S_QGS_L_BO)*10^-9/Table7[[#This Row],[Ion (A) C]])/10^-9</f>
        <v>2.7707834881364071</v>
      </c>
      <c r="BM197" s="156">
        <f>IF(VACnom&gt;Vbat, (C_MOSFET_S_QGD_H_BU+C_MOSFET_S_QGS_H_BU)*10^-9/Table7[[#This Row],[Ioff (A) C]], (C_MOSFET_S_QGD_L_BO+C_MOSFET_S_QGS_L_BO)*10^-9/Table7[[#This Row],[Ioff (A) C]])/10^-9</f>
        <v>3.2115946802816322</v>
      </c>
      <c r="BN197" s="156">
        <f xml:space="preserve"> 0.5*VACnom*Table7[[#This Row],[Ivalley (A) C]]*Table7[[#This Row],[ton (ns) C]]*10^-9*Fsw*10^3+0.5*VACnom*Table7[[#This Row],[Ipeak (A) C]]*Table7[[#This Row],[toff (ns) C]]*10^-9*Fsw*10^3/10^-3</f>
        <v>46.464286833925101</v>
      </c>
      <c r="BO197" s="156">
        <f t="shared" si="35"/>
        <v>129.6</v>
      </c>
      <c r="BP197" s="156">
        <f t="shared" ca="1" si="36"/>
        <v>291.59999999999997</v>
      </c>
      <c r="BQ197" s="156">
        <f t="shared" si="37"/>
        <v>237.6</v>
      </c>
      <c r="BR197" s="156">
        <f>IF(VACnom&gt;Vbat, C_MOSFET_S_VSD_L_BU*Table7[[#This Row],[Ivalley (A) C]]*Fsw*10^3*40*10^-9+C_MOSFET_S_VSD_L_BU*Table7[[#This Row],[Ipeak (A) C]]*Fsw*10^3*30*10^-9, C_MOSFET_S_VSD_H_BO*Table7[[#This Row],[Ivalley (A) C]]*Fsw*10^3*40*10^-9+C_MOSFET_S_VSD_H_BO*Table7[[#This Row],[Ipeak (A) C]]*Fsw*10^3*30*10^-9)/10^-3</f>
        <v>118.48285714285716</v>
      </c>
      <c r="BS197" s="156">
        <f t="shared" ca="1" si="38"/>
        <v>291.59999999999997</v>
      </c>
      <c r="BT197" s="156">
        <f>IF(VACnom&lt;Vbat, Table7[[#This Row],[Duty Cycle]]*Table7[[#This Row],[I_L RMS]]^2*C_MOSFET_S_RDSON_H_BU*10^-3, (1-Table7[[#This Row],[Duty Cycle]])*Table7[[#This Row],[I_L RMS]]^2*C_MOSFET_S_RDSON_H_BO*10^-3)/10^-3</f>
        <v>31.589515807215744</v>
      </c>
      <c r="BU197" s="156">
        <f ca="1">IF(VACnom&gt;Vbat, Table7[[#This Row],[PIV (mW) C]]+Table7[[#This Row],[PQoss (mW) C]]+Table7[[#This Row],[Pgate_top (mW) C]], Table7[[#This Row],[PRR (mW) C]]+Table7[[#This Row],[Pdead (mW) C]]+Table7[[#This Row],[Pgate_top (mW) C]])</f>
        <v>647.68285714285707</v>
      </c>
      <c r="BV197" s="156">
        <f ca="1">Table7[[#This Row],[Pcon_top (mW) C]]+Table7[[#This Row],[Psw_top (mW) C]]</f>
        <v>679.27237295007285</v>
      </c>
      <c r="BW197" s="156">
        <f ca="1">IF(VACnom&gt;Vbat, (1-Table7[[#This Row],[Duty Cycle]])*Table7[[#This Row],[I_L RMS]]^2*C_MOSFET_S_RDSON_L_BU*10^-3, Table7[[#This Row],[Duty Cycle]]*Table7[[#This Row],[I_L RMS]]^2*C_MOSFET_S_RDSON_L_BO*10^-3)/10^-3</f>
        <v>19.674172125546647</v>
      </c>
      <c r="BX197" s="156">
        <f ca="1">IF(VACnom&gt;Vbat, Table7[[#This Row],[PRR (mW) C]]+Table7[[#This Row],[Pdead (mW) C]]+Table7[[#This Row],[Pgate_bottom (mW) C]], Table7[[#This Row],[PIV (mW) C]]+Table7[[#This Row],[PQoss (mW) C]]+Table7[[#This Row],[Pgate_bottom (mW) C]])</f>
        <v>467.66428683392508</v>
      </c>
      <c r="BY197" s="156">
        <f ca="1">Table7[[#This Row],[Pcon_bottom (mW) C]]+Table7[[#This Row],[Psw_bottom (mV) C]]</f>
        <v>487.33845895947172</v>
      </c>
      <c r="BZ197" s="156">
        <f ca="1">Table7[[#This Row],[Pbottom (mW) C]]+Table7[[#This Row],[Ptop (mW) C]]</f>
        <v>1166.6108319095447</v>
      </c>
      <c r="CA197" s="159"/>
      <c r="CB197" s="160">
        <f>(RAC_SNS*10^-3*(Table7[[#This Row],[IOUT (A)]]*Vbat/VACnom)^2/10^-3)</f>
        <v>64.350781249999997</v>
      </c>
      <c r="CC197" s="160">
        <f>(RBAT_SNS*10^-3*Table7[[#This Row],[IOUT (A)]]^2)/10^-3</f>
        <v>21.012499999999999</v>
      </c>
      <c r="CD197" s="160">
        <f>IF(VACnom&gt;Vbat,(L_DRC*10^-3*(Table7[[#This Row],[IOUT (A)]])^2/10^-3),(L_DRC*10^-3*(Table7[[#This Row],[IOUT (A)]]*Vbat/VACnom)^2/10^-3))</f>
        <v>154.44187499999998</v>
      </c>
      <c r="CE197" s="166"/>
      <c r="CF197" s="156">
        <f>(Table7[[#This Row],[R_AC (mW)]]+Table7[[#This Row],[R_SR (mW)]]+Table7[[#This Row],[Inductor Loss (mW)]])/10^3</f>
        <v>0.23980515624999998</v>
      </c>
      <c r="CG197" s="156">
        <f ca="1">Table7[[#This Row],[Total TI (mW)]]/10^3</f>
        <v>2.4852465318210957</v>
      </c>
      <c r="CH197" s="156">
        <f ca="1">Table7[[#This Row],[Total Sense Loss]]+Table7[[#This Row],[Total MOSFET Loss]]</f>
        <v>2.7250516880710958</v>
      </c>
      <c r="CI197" s="161">
        <f ca="1">IF(Table7[[#This Row],[POUT (W)]]=0,0,(Table7[[#This Row],[POUT (W)]])/(Table7[[#This Row],[POUT (W)]]+Table7[[#This Row],[Total Power Loss (W)]]))*100</f>
        <v>90.027277096567275</v>
      </c>
      <c r="CJ197" s="167"/>
      <c r="CK197" s="156">
        <f>(Table7[[#This Row],[R_AC (mW)]]+Table7[[#This Row],[R_SR (mW)]]+Table7[[#This Row],[Inductor Loss (mW)]])/10^3</f>
        <v>0.23980515624999998</v>
      </c>
      <c r="CL197" s="156">
        <f ca="1">Table7[[#This Row],[Total (mW) C]]/10^3</f>
        <v>1.1666108319095447</v>
      </c>
      <c r="CM197" s="156">
        <f ca="1">Table7[[#This Row],[Total Sense Loss C]]+Table7[[#This Row],[Total MOSFET Loss C]]</f>
        <v>1.4064159881595448</v>
      </c>
      <c r="CN197" s="161">
        <f ca="1">IF(Table7[[#This Row],[POUT (W)]]=0,0,(Table7[[#This Row],[POUT (W)]])/(Table7[[#This Row],[POUT (W)]]+Table7[[#This Row],[Total Power Loss (W) C]]))*100</f>
        <v>94.592042252958379</v>
      </c>
      <c r="CO197" s="167"/>
      <c r="CP197" s="161">
        <f>IF(MOSFET_S=Custom_MOSFET,Table7[[#This Row],[Total Sense Loss C]],Table7[[#This Row],[Total Sense Loss]])</f>
        <v>0.23980515624999998</v>
      </c>
      <c r="CQ197" s="161">
        <f ca="1">IF(MOSFET_S=Custom_MOSFET,Table7[[#This Row],[Total MOSFET Loss C]],Table7[[#This Row],[Total MOSFET Loss]])</f>
        <v>2.4852465318210957</v>
      </c>
      <c r="CR197" s="161">
        <f ca="1">IF(MOSFET_S=Custom_MOSFET,Table7[[#This Row],[Efficiency C]],Table7[[#This Row],[Efficiency]])</f>
        <v>90.027277096567275</v>
      </c>
      <c r="CS197" s="167"/>
      <c r="CT197" s="161">
        <f>IF(MOSFET_S=Compare_MOSFET, Table7[[#This Row],[Total Sense Loss C]], -100)</f>
        <v>-100</v>
      </c>
      <c r="CU197" s="161">
        <f>IF(MOSFET_S=Compare_MOSFET, Table7[[#This Row],[Total MOSFET Loss C]], -100)</f>
        <v>-100</v>
      </c>
      <c r="CV197" s="161">
        <f>IF(MOSFET_S=Compare_MOSFET, Table7[[#This Row],[Efficiency C]], -100)</f>
        <v>-100</v>
      </c>
      <c r="CW197" s="167"/>
      <c r="CX197" s="161">
        <f ca="1">IF(Save_Sel=CLR_Save,  Table7[[#This Row],[Total Sense Loss P1]], Table7[[#This Row],[Total Sense Loss P1 Saved]])</f>
        <v>0.23980515624999998</v>
      </c>
      <c r="CY197" s="161">
        <f ca="1">IF(Save_Sel=CLR_Save,  Table7[[#This Row],[Total MOSFET Loss P1]], Table7[[#This Row],[Total MOSFET Loss P1 Saved]] )</f>
        <v>1.7810331679381344</v>
      </c>
      <c r="CZ197" s="161">
        <f ca="1">IF(Save_Sel=CLR_Save, Table7[[#This Row],[Efficiency P1]], Table7[[#This Row],[Efficiency P1 Saved]])</f>
        <v>92.408810347824527</v>
      </c>
      <c r="DA197" s="167"/>
      <c r="DB197" s="161">
        <f ca="1">IF(Save_Sel=CLR_Save,  Table7[[#This Row],[Total Sense Loss P2]], Table7[[#This Row],[Total Sense Loss P2 Saved]])</f>
        <v>0.23980515624999998</v>
      </c>
      <c r="DC197" s="161">
        <f ca="1">IF(Save_Sel=CLR_Save,  Table7[[#This Row],[Total MOSFET Loss P2]], Table7[[#This Row],[Total MOSFET Loss P2 Saved]] )</f>
        <v>1.1827526818502119</v>
      </c>
      <c r="DD197" s="161">
        <f ca="1">IF(Save_Sel=CLR_Save, Table7[[#This Row],[Efficiency P2]], Table7[[#This Row],[Efficiency P2 Saved]])</f>
        <v>94.533366600813494</v>
      </c>
      <c r="DE197" s="167"/>
      <c r="DF197" s="21"/>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c r="FH197" s="21"/>
      <c r="FI197" s="21"/>
    </row>
    <row r="198" spans="1:165" x14ac:dyDescent="0.25">
      <c r="A198" s="34"/>
      <c r="B198" s="51"/>
      <c r="C198" s="51"/>
      <c r="D198" s="34"/>
      <c r="E198" s="69"/>
      <c r="F198" s="69"/>
      <c r="G198" s="51"/>
      <c r="H198" s="31"/>
      <c r="I198" s="31"/>
      <c r="J198" s="31"/>
      <c r="K198" s="31"/>
      <c r="L198" s="31"/>
      <c r="M198" s="31"/>
      <c r="N198" s="31"/>
      <c r="O198" s="31"/>
      <c r="P198" s="31"/>
      <c r="Q198" s="31"/>
      <c r="R198" s="31"/>
      <c r="S198" s="32"/>
      <c r="T198" s="20"/>
      <c r="U198" s="21"/>
      <c r="V198" s="21"/>
      <c r="W198" s="21"/>
      <c r="X198" s="21"/>
      <c r="Y198" s="21"/>
      <c r="Z198" s="21"/>
      <c r="AA198" s="21"/>
      <c r="AB198" s="21"/>
      <c r="AC198" s="21"/>
      <c r="AD198" s="21"/>
      <c r="AE198" s="21"/>
      <c r="AF198" s="154">
        <f t="shared" si="17"/>
        <v>42</v>
      </c>
      <c r="AG198" s="154">
        <f t="shared" si="39"/>
        <v>2.1</v>
      </c>
      <c r="AH198" s="155">
        <f t="shared" si="28"/>
        <v>25.200000000000003</v>
      </c>
      <c r="AI198" s="156">
        <f t="shared" si="29"/>
        <v>0.42857142857142855</v>
      </c>
      <c r="AJ198" s="156">
        <f t="shared" si="30"/>
        <v>3.6750000000000003</v>
      </c>
      <c r="AK198" s="156">
        <f t="shared" si="26"/>
        <v>0.85714285714285721</v>
      </c>
      <c r="AL198" s="156">
        <f t="shared" si="27"/>
        <v>3.6833204435394866</v>
      </c>
      <c r="AM198" s="157"/>
      <c r="AN198" s="156">
        <f>MAX(0,Table7[[#This Row],[I_L]]-0.5*Table7[[#This Row],[I_L pkpk]])</f>
        <v>3.2464285714285719</v>
      </c>
      <c r="AO198" s="156">
        <f>Table7[[#This Row],[I_L]]+0.5*Table7[[#This Row],[I_L pkpk]]</f>
        <v>4.1035714285714286</v>
      </c>
      <c r="AP198" s="156">
        <f ca="1">IF(VACnom&gt;Vbat, (VGS_S-(TI_MOSFET_S_VTH_H_BU+Table7[[#This Row],[I_L]]/TI_MOSFET_S_gFS_H_BU))/3.4, (VGS_S-(TI_MOSFET_S_VTH_L_BO+Table7[[#This Row],[I_L]]/TI_MOSFET_S_gFS_L_BO))/3.4 )</f>
        <v>2.4181561085972851</v>
      </c>
      <c r="AQ198" s="156">
        <f ca="1">IF(VACnom&gt;Vbat, ((TI_MOSFET_S_VTH_H_BU+Table7[[#This Row],[I_L]]/TI_MOSFET_S_gFS_H_BU))/1, ((TI_MOSFET_S_VTH_L_BO+Table7[[#This Row],[I_L]]/TI_MOSFET_S_gFS_L_BO))/1 )</f>
        <v>1.7782692307692307</v>
      </c>
      <c r="AR198" s="156">
        <f ca="1">IF(VACnom&gt;Vbat, (TI_MOSFET_S_QGD_H_BU+TI_MOSFET_S_QGS_H_BU)*10^-9/Table7[[#This Row],[Ion (A)]], (TI_MOSFET_S_QGD_L_BO+TI_MOSFET_S_QGS_L_BO)*10^-9/Table7[[#This Row],[Ion (A)]])/10^-9</f>
        <v>11.909901059574766</v>
      </c>
      <c r="AS198" s="156">
        <f ca="1">IF(VACnom&gt;Vbat, (TI_MOSFET_S_QGD_H_BU+TI_MOSFET_S_QGS_H_BU)*10^-9/Table7[[#This Row],[Ioff (A)]], (TI_MOSFET_S_QGD_L_BO+TI_MOSFET_S_QGS_L_BO)*10^-9/Table7[[#This Row],[Ioff (A)]])/10^-9</f>
        <v>16.195522872282904</v>
      </c>
      <c r="AT198" s="156">
        <f ca="1" xml:space="preserve"> 0.5*VACnom*Table7[[#This Row],[Ivalley (A)]]*Table7[[#This Row],[ton (ns)]]*10^-9*Fsw*10^3+0.5*VACnom*Table7[[#This Row],[Ipeak (A)]]*Table7[[#This Row],[toff (ns)]]*10^-9*Fsw*10^3/10^-3</f>
        <v>239.39333846120846</v>
      </c>
      <c r="AU198" s="156">
        <f t="shared" ca="1" si="31"/>
        <v>262.8</v>
      </c>
      <c r="AV198" s="156">
        <f t="shared" ca="1" si="32"/>
        <v>648</v>
      </c>
      <c r="AW198" s="156">
        <f t="shared" ca="1" si="33"/>
        <v>554.4</v>
      </c>
      <c r="AX198" s="156">
        <f ca="1">IF(VACnom&gt;Vbat, TI_MOSFET_S_VSD_L_BU*Table7[[#This Row],[Ivalley (A)]]*Fsw*10^3*40*10^-9+TI_MOSFET_S_VSD_L_BU*Table7[[#This Row],[Ipeak (A)]]*Fsw*10^3*30*10^-9, TI_MOSFET_S_VSD_H_BO*Table7[[#This Row],[Ivalley (A)]]*Fsw*10^3*40*10^-9+TI_MOSFET_S_VSD_H_BO*Table7[[#This Row],[Ipeak (A)]]*Fsw*10^3*30*10^-9)/10^-3</f>
        <v>109.28057142857143</v>
      </c>
      <c r="AY198" s="156">
        <f t="shared" ca="1" si="34"/>
        <v>648</v>
      </c>
      <c r="AZ198" s="156">
        <f ca="1">IF(VACnom&lt;Vbat, Table7[[#This Row],[Duty Cycle]]*Table7[[#This Row],[I_L RMS]]^2*TI_MOSFET_S_RDSON_H_BU*10^-3, (1-Table7[[#This Row],[Duty Cycle]])*Table7[[#This Row],[I_L RMS]]^2*TI_MOSFET_S_RDSON_H_BO*10^-3)/10^-3</f>
        <v>16.280219387755103</v>
      </c>
      <c r="BA198" s="156">
        <f ca="1">IF(VACnom&gt;Vbat, Table7[[#This Row],[PIV (mW)]]+Table7[[#This Row],[Pqoss (mW)]]+Table7[[#This Row],[Pgate_top (mW)]], Table7[[#This Row],[PRR (mW)]]+Table7[[#This Row],[Pdead (mW)]]+Table7[[#This Row],[Pgate_top (mW)]])</f>
        <v>1311.6805714285715</v>
      </c>
      <c r="BB198" s="156">
        <f ca="1">Table7[[#This Row],[Pcon_top (mW)]]+Table7[[#This Row],[Psw_top (mW)]]</f>
        <v>1327.9607908163266</v>
      </c>
      <c r="BC198" s="156">
        <f ca="1">IF(VACnom&gt;Vbat, (1-Table7[[#This Row],[Duty Cycle]])*Table7[[#This Row],[I_L RMS]]^2*TI_MOSFET_S_RDSON_L_BU*10^-3, Table7[[#This Row],[Duty Cycle]]*Table7[[#This Row],[I_L RMS]]^2*TI_MOSFET_S_RDSON_L_BO*10^-3)/10^-3</f>
        <v>16.280219387755103</v>
      </c>
      <c r="BD198" s="156">
        <f ca="1">IF(VACnom&gt;Vbat, Table7[[#This Row],[PRR (mW)]]+Table7[[#This Row],[Pdead (mW)]]+Table7[[#This Row],[Pgate_bottom (mW)]], Table7[[#This Row],[PIV (mW)]]+Table7[[#This Row],[Pqoss (mW)]]+Table7[[#This Row],[Pgate_bottom (mW)]])</f>
        <v>1150.1933384612084</v>
      </c>
      <c r="BE198" s="158">
        <f ca="1">Table7[[#This Row],[Pcon_bottom (mW)]]+Table7[[#This Row],[Psw_bottom (mW)]]</f>
        <v>1166.4735578489635</v>
      </c>
      <c r="BF198" s="164">
        <f ca="1">Table7[[#This Row],[Pbottom (mW)]]+Table7[[#This Row],[Ptop (mW)]]</f>
        <v>2494.4343486652901</v>
      </c>
      <c r="BG198" s="153"/>
      <c r="BH198" s="156">
        <f>MAX(0,Table7[[#This Row],[I_L]]-0.5*Table7[[#This Row],[I_L pkpk]])</f>
        <v>3.2464285714285719</v>
      </c>
      <c r="BI198" s="156">
        <f>Table7[[#This Row],[I_L]]+0.5*Table7[[#This Row],[I_L pkpk]]</f>
        <v>4.1035714285714286</v>
      </c>
      <c r="BJ198" s="156">
        <f>IF(VACnom&gt;Vbat, (VGS_S-(C_MOSFET_S_VTH_H_BU+Table7[[#This Row],[I_L]]/C_MOSFET_S_gFS_H_BU))/3.4, (VGS_S-(C_MOSFET_S_VTH_L_BO+Table7[[#This Row],[I_L]]/C_MOSFET_S_gFS_L_BO))/3.4 )</f>
        <v>2.345735294117647</v>
      </c>
      <c r="BK198" s="156">
        <f>IF(VACnom&gt;Vbat, ((C_MOSFET_S_VTH_H_BU+Table7[[#This Row],[I_L]]/C_MOSFET_S_gFS_H_BU))/1, ((C_MOSFET_S_VTH_L_BO+Table7[[#This Row],[I_L]]/C_MOSFET_S_gFS_L_BO))/1 )</f>
        <v>2.0245000000000002</v>
      </c>
      <c r="BL198" s="156">
        <f>IF(VACnom&gt;Vbat, (C_MOSFET_S_QGD_H_BU+C_MOSFET_S_QGS_H_BU)*10^-9/Table7[[#This Row],[Ion (A) C]], (C_MOSFET_S_QGD_L_BO+C_MOSFET_S_QGS_L_BO)*10^-9/Table7[[#This Row],[Ion (A) C]])/10^-9</f>
        <v>2.770986145069275</v>
      </c>
      <c r="BM198" s="156">
        <f>IF(VACnom&gt;Vbat, (C_MOSFET_S_QGD_H_BU+C_MOSFET_S_QGS_H_BU)*10^-9/Table7[[#This Row],[Ioff (A) C]], (C_MOSFET_S_QGD_L_BO+C_MOSFET_S_QGS_L_BO)*10^-9/Table7[[#This Row],[Ioff (A) C]])/10^-9</f>
        <v>3.2106693010619902</v>
      </c>
      <c r="BN198" s="156">
        <f xml:space="preserve"> 0.5*VACnom*Table7[[#This Row],[Ivalley (A) C]]*Table7[[#This Row],[ton (ns) C]]*10^-9*Fsw*10^3+0.5*VACnom*Table7[[#This Row],[Ipeak (A) C]]*Table7[[#This Row],[toff (ns) C]]*10^-9*Fsw*10^3/10^-3</f>
        <v>47.463143828478366</v>
      </c>
      <c r="BO198" s="156">
        <f t="shared" si="35"/>
        <v>129.6</v>
      </c>
      <c r="BP198" s="156">
        <f t="shared" ca="1" si="36"/>
        <v>291.59999999999997</v>
      </c>
      <c r="BQ198" s="156">
        <f t="shared" si="37"/>
        <v>237.6</v>
      </c>
      <c r="BR198" s="156">
        <f>IF(VACnom&gt;Vbat, C_MOSFET_S_VSD_L_BU*Table7[[#This Row],[Ivalley (A) C]]*Fsw*10^3*40*10^-9+C_MOSFET_S_VSD_L_BU*Table7[[#This Row],[Ipeak (A) C]]*Fsw*10^3*30*10^-9, C_MOSFET_S_VSD_H_BO*Table7[[#This Row],[Ivalley (A) C]]*Fsw*10^3*40*10^-9+C_MOSFET_S_VSD_H_BO*Table7[[#This Row],[Ipeak (A) C]]*Fsw*10^3*30*10^-9)/10^-3</f>
        <v>121.42285714285717</v>
      </c>
      <c r="BS198" s="156">
        <f t="shared" ca="1" si="38"/>
        <v>291.59999999999997</v>
      </c>
      <c r="BT198" s="156">
        <f>IF(VACnom&lt;Vbat, Table7[[#This Row],[Duty Cycle]]*Table7[[#This Row],[I_L RMS]]^2*C_MOSFET_S_RDSON_H_BU*10^-3, (1-Table7[[#This Row],[Duty Cycle]])*Table7[[#This Row],[I_L RMS]]^2*C_MOSFET_S_RDSON_H_BO*10^-3)/10^-3</f>
        <v>33.141875182215749</v>
      </c>
      <c r="BU198" s="156">
        <f ca="1">IF(VACnom&gt;Vbat, Table7[[#This Row],[PIV (mW) C]]+Table7[[#This Row],[PQoss (mW) C]]+Table7[[#This Row],[Pgate_top (mW) C]], Table7[[#This Row],[PRR (mW) C]]+Table7[[#This Row],[Pdead (mW) C]]+Table7[[#This Row],[Pgate_top (mW) C]])</f>
        <v>650.62285714285713</v>
      </c>
      <c r="BV198" s="156">
        <f ca="1">Table7[[#This Row],[Pcon_top (mW) C]]+Table7[[#This Row],[Psw_top (mW) C]]</f>
        <v>683.76473232507283</v>
      </c>
      <c r="BW198" s="156">
        <f ca="1">IF(VACnom&gt;Vbat, (1-Table7[[#This Row],[Duty Cycle]])*Table7[[#This Row],[I_L RMS]]^2*C_MOSFET_S_RDSON_L_BU*10^-3, Table7[[#This Row],[Duty Cycle]]*Table7[[#This Row],[I_L RMS]]^2*C_MOSFET_S_RDSON_L_BO*10^-3)/10^-3</f>
        <v>20.640992438046649</v>
      </c>
      <c r="BX198" s="156">
        <f ca="1">IF(VACnom&gt;Vbat, Table7[[#This Row],[PRR (mW) C]]+Table7[[#This Row],[Pdead (mW) C]]+Table7[[#This Row],[Pgate_bottom (mW) C]], Table7[[#This Row],[PIV (mW) C]]+Table7[[#This Row],[PQoss (mW) C]]+Table7[[#This Row],[Pgate_bottom (mW) C]])</f>
        <v>468.66314382847833</v>
      </c>
      <c r="BY198" s="156">
        <f ca="1">Table7[[#This Row],[Pcon_bottom (mW) C]]+Table7[[#This Row],[Psw_bottom (mV) C]]</f>
        <v>489.30413626652495</v>
      </c>
      <c r="BZ198" s="156">
        <f ca="1">Table7[[#This Row],[Pbottom (mW) C]]+Table7[[#This Row],[Ptop (mW) C]]</f>
        <v>1173.0688685915977</v>
      </c>
      <c r="CA198" s="159"/>
      <c r="CB198" s="160">
        <f>(RAC_SNS*10^-3*(Table7[[#This Row],[IOUT (A)]]*Vbat/VACnom)^2/10^-3)</f>
        <v>67.528125000000003</v>
      </c>
      <c r="CC198" s="160">
        <f>(RBAT_SNS*10^-3*Table7[[#This Row],[IOUT (A)]]^2)/10^-3</f>
        <v>22.05</v>
      </c>
      <c r="CD198" s="160">
        <f>IF(VACnom&gt;Vbat,(L_DRC*10^-3*(Table7[[#This Row],[IOUT (A)]])^2/10^-3),(L_DRC*10^-3*(Table7[[#This Row],[IOUT (A)]]*Vbat/VACnom)^2/10^-3))</f>
        <v>162.06750000000002</v>
      </c>
      <c r="CE198" s="166"/>
      <c r="CF198" s="156">
        <f>(Table7[[#This Row],[R_AC (mW)]]+Table7[[#This Row],[R_SR (mW)]]+Table7[[#This Row],[Inductor Loss (mW)]])/10^3</f>
        <v>0.25164562500000004</v>
      </c>
      <c r="CG198" s="156">
        <f ca="1">Table7[[#This Row],[Total TI (mW)]]/10^3</f>
        <v>2.49443434866529</v>
      </c>
      <c r="CH198" s="156">
        <f ca="1">Table7[[#This Row],[Total Sense Loss]]+Table7[[#This Row],[Total MOSFET Loss]]</f>
        <v>2.7460799736652901</v>
      </c>
      <c r="CI198" s="161">
        <f ca="1">IF(Table7[[#This Row],[POUT (W)]]=0,0,(Table7[[#This Row],[POUT (W)]])/(Table7[[#This Row],[POUT (W)]]+Table7[[#This Row],[Total Power Loss (W)]]))*100</f>
        <v>90.17364876843898</v>
      </c>
      <c r="CJ198" s="167"/>
      <c r="CK198" s="156">
        <f>(Table7[[#This Row],[R_AC (mW)]]+Table7[[#This Row],[R_SR (mW)]]+Table7[[#This Row],[Inductor Loss (mW)]])/10^3</f>
        <v>0.25164562500000004</v>
      </c>
      <c r="CL198" s="156">
        <f ca="1">Table7[[#This Row],[Total (mW) C]]/10^3</f>
        <v>1.1730688685915978</v>
      </c>
      <c r="CM198" s="156">
        <f ca="1">Table7[[#This Row],[Total Sense Loss C]]+Table7[[#This Row],[Total MOSFET Loss C]]</f>
        <v>1.4247144935915979</v>
      </c>
      <c r="CN198" s="161">
        <f ca="1">IF(Table7[[#This Row],[POUT (W)]]=0,0,(Table7[[#This Row],[POUT (W)]])/(Table7[[#This Row],[POUT (W)]]+Table7[[#This Row],[Total Power Loss (W) C]]))*100</f>
        <v>94.648902267348191</v>
      </c>
      <c r="CO198" s="167"/>
      <c r="CP198" s="161">
        <f>IF(MOSFET_S=Custom_MOSFET,Table7[[#This Row],[Total Sense Loss C]],Table7[[#This Row],[Total Sense Loss]])</f>
        <v>0.25164562500000004</v>
      </c>
      <c r="CQ198" s="161">
        <f ca="1">IF(MOSFET_S=Custom_MOSFET,Table7[[#This Row],[Total MOSFET Loss C]],Table7[[#This Row],[Total MOSFET Loss]])</f>
        <v>2.49443434866529</v>
      </c>
      <c r="CR198" s="161">
        <f ca="1">IF(MOSFET_S=Custom_MOSFET,Table7[[#This Row],[Efficiency C]],Table7[[#This Row],[Efficiency]])</f>
        <v>90.17364876843898</v>
      </c>
      <c r="CS198" s="167"/>
      <c r="CT198" s="161">
        <f>IF(MOSFET_S=Compare_MOSFET, Table7[[#This Row],[Total Sense Loss C]], -100)</f>
        <v>-100</v>
      </c>
      <c r="CU198" s="161">
        <f>IF(MOSFET_S=Compare_MOSFET, Table7[[#This Row],[Total MOSFET Loss C]], -100)</f>
        <v>-100</v>
      </c>
      <c r="CV198" s="161">
        <f>IF(MOSFET_S=Compare_MOSFET, Table7[[#This Row],[Efficiency C]], -100)</f>
        <v>-100</v>
      </c>
      <c r="CW198" s="167"/>
      <c r="CX198" s="161">
        <f ca="1">IF(Save_Sel=CLR_Save,  Table7[[#This Row],[Total Sense Loss P1]], Table7[[#This Row],[Total Sense Loss P1 Saved]])</f>
        <v>0.25164562500000004</v>
      </c>
      <c r="CY198" s="161">
        <f ca="1">IF(Save_Sel=CLR_Save,  Table7[[#This Row],[Total MOSFET Loss P1]], Table7[[#This Row],[Total MOSFET Loss P1 Saved]] )</f>
        <v>1.7906371716436935</v>
      </c>
      <c r="CZ198" s="161">
        <f ca="1">IF(Save_Sel=CLR_Save, Table7[[#This Row],[Efficiency P1]], Table7[[#This Row],[Efficiency P1 Saved]])</f>
        <v>92.503261155135988</v>
      </c>
      <c r="DA198" s="167"/>
      <c r="DB198" s="161">
        <f ca="1">IF(Save_Sel=CLR_Save,  Table7[[#This Row],[Total Sense Loss P2]], Table7[[#This Row],[Total Sense Loss P2 Saved]])</f>
        <v>0.25164562500000004</v>
      </c>
      <c r="DC198" s="161">
        <f ca="1">IF(Save_Sel=CLR_Save,  Table7[[#This Row],[Total MOSFET Loss P2]], Table7[[#This Row],[Total MOSFET Loss P2 Saved]] )</f>
        <v>1.1900024763190535</v>
      </c>
      <c r="DD198" s="161">
        <f ca="1">IF(Save_Sel=CLR_Save, Table7[[#This Row],[Efficiency P2]], Table7[[#This Row],[Efficiency P2 Saved]])</f>
        <v>94.58874279910755</v>
      </c>
      <c r="DE198" s="167"/>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c r="FH198" s="21"/>
      <c r="FI198" s="21"/>
    </row>
    <row r="199" spans="1:165" x14ac:dyDescent="0.25">
      <c r="A199" s="34"/>
      <c r="B199" s="51"/>
      <c r="C199" s="51"/>
      <c r="D199" s="34"/>
      <c r="E199" s="69"/>
      <c r="F199" s="69"/>
      <c r="G199" s="51"/>
      <c r="H199" s="31"/>
      <c r="I199" s="31"/>
      <c r="J199" s="31"/>
      <c r="K199" s="31"/>
      <c r="L199" s="31"/>
      <c r="M199" s="31"/>
      <c r="N199" s="31"/>
      <c r="O199" s="31"/>
      <c r="P199" s="31"/>
      <c r="Q199" s="31"/>
      <c r="R199" s="31"/>
      <c r="S199" s="32"/>
      <c r="T199" s="20"/>
      <c r="U199" s="21"/>
      <c r="V199" s="21"/>
      <c r="W199" s="21"/>
      <c r="X199" s="21"/>
      <c r="Y199" s="21"/>
      <c r="Z199" s="21"/>
      <c r="AA199" s="21"/>
      <c r="AB199" s="21"/>
      <c r="AC199" s="21"/>
      <c r="AD199" s="21"/>
      <c r="AE199" s="21"/>
      <c r="AF199" s="154">
        <f t="shared" si="17"/>
        <v>43</v>
      </c>
      <c r="AG199" s="154">
        <f t="shared" si="39"/>
        <v>2.15</v>
      </c>
      <c r="AH199" s="155">
        <f t="shared" si="28"/>
        <v>25.799999999999997</v>
      </c>
      <c r="AI199" s="156">
        <f t="shared" si="29"/>
        <v>0.42857142857142855</v>
      </c>
      <c r="AJ199" s="156">
        <f t="shared" si="30"/>
        <v>3.7625000000000002</v>
      </c>
      <c r="AK199" s="156">
        <f t="shared" si="26"/>
        <v>0.85714285714285721</v>
      </c>
      <c r="AL199" s="156">
        <f t="shared" si="27"/>
        <v>3.7706273668709192</v>
      </c>
      <c r="AM199" s="157"/>
      <c r="AN199" s="156">
        <f>MAX(0,Table7[[#This Row],[I_L]]-0.5*Table7[[#This Row],[I_L pkpk]])</f>
        <v>3.3339285714285714</v>
      </c>
      <c r="AO199" s="156">
        <f>Table7[[#This Row],[I_L]]+0.5*Table7[[#This Row],[I_L pkpk]]</f>
        <v>4.191071428571429</v>
      </c>
      <c r="AP199" s="156">
        <f ca="1">IF(VACnom&gt;Vbat, (VGS_S-(TI_MOSFET_S_VTH_H_BU+Table7[[#This Row],[I_L]]/TI_MOSFET_S_gFS_H_BU))/3.4, (VGS_S-(TI_MOSFET_S_VTH_L_BO+Table7[[#This Row],[I_L]]/TI_MOSFET_S_gFS_L_BO))/3.4 )</f>
        <v>2.4179581447963803</v>
      </c>
      <c r="AQ199" s="156">
        <f ca="1">IF(VACnom&gt;Vbat, ((TI_MOSFET_S_VTH_H_BU+Table7[[#This Row],[I_L]]/TI_MOSFET_S_gFS_H_BU))/1, ((TI_MOSFET_S_VTH_L_BO+Table7[[#This Row],[I_L]]/TI_MOSFET_S_gFS_L_BO))/1 )</f>
        <v>1.7789423076923077</v>
      </c>
      <c r="AR199" s="156">
        <f ca="1">IF(VACnom&gt;Vbat, (TI_MOSFET_S_QGD_H_BU+TI_MOSFET_S_QGS_H_BU)*10^-9/Table7[[#This Row],[Ion (A)]], (TI_MOSFET_S_QGD_L_BO+TI_MOSFET_S_QGS_L_BO)*10^-9/Table7[[#This Row],[Ion (A)]])/10^-9</f>
        <v>11.910876150598252</v>
      </c>
      <c r="AS199" s="156">
        <f ca="1">IF(VACnom&gt;Vbat, (TI_MOSFET_S_QGD_H_BU+TI_MOSFET_S_QGS_H_BU)*10^-9/Table7[[#This Row],[Ioff (A)]], (TI_MOSFET_S_QGD_L_BO+TI_MOSFET_S_QGS_L_BO)*10^-9/Table7[[#This Row],[Ioff (A)]])/10^-9</f>
        <v>16.189395167828767</v>
      </c>
      <c r="AT199" s="156">
        <f ca="1" xml:space="preserve"> 0.5*VACnom*Table7[[#This Row],[Ivalley (A)]]*Table7[[#This Row],[ton (ns)]]*10^-9*Fsw*10^3+0.5*VACnom*Table7[[#This Row],[Ipeak (A)]]*Table7[[#This Row],[toff (ns)]]*10^-9*Fsw*10^3/10^-3</f>
        <v>244.40623755857536</v>
      </c>
      <c r="AU199" s="156">
        <f t="shared" ca="1" si="31"/>
        <v>262.8</v>
      </c>
      <c r="AV199" s="156">
        <f t="shared" ca="1" si="32"/>
        <v>648</v>
      </c>
      <c r="AW199" s="156">
        <f t="shared" ca="1" si="33"/>
        <v>554.4</v>
      </c>
      <c r="AX199" s="156">
        <f ca="1">IF(VACnom&gt;Vbat, TI_MOSFET_S_VSD_L_BU*Table7[[#This Row],[Ivalley (A)]]*Fsw*10^3*40*10^-9+TI_MOSFET_S_VSD_L_BU*Table7[[#This Row],[Ipeak (A)]]*Fsw*10^3*30*10^-9, TI_MOSFET_S_VSD_H_BO*Table7[[#This Row],[Ivalley (A)]]*Fsw*10^3*40*10^-9+TI_MOSFET_S_VSD_H_BO*Table7[[#This Row],[Ipeak (A)]]*Fsw*10^3*30*10^-9)/10^-3</f>
        <v>111.92657142857144</v>
      </c>
      <c r="AY199" s="156">
        <f t="shared" ca="1" si="34"/>
        <v>648</v>
      </c>
      <c r="AZ199" s="156">
        <f ca="1">IF(VACnom&lt;Vbat, Table7[[#This Row],[Duty Cycle]]*Table7[[#This Row],[I_L RMS]]^2*TI_MOSFET_S_RDSON_H_BU*10^-3, (1-Table7[[#This Row],[Duty Cycle]])*Table7[[#This Row],[I_L RMS]]^2*TI_MOSFET_S_RDSON_H_BO*10^-3)/10^-3</f>
        <v>17.0611568877551</v>
      </c>
      <c r="BA199" s="156">
        <f ca="1">IF(VACnom&gt;Vbat, Table7[[#This Row],[PIV (mW)]]+Table7[[#This Row],[Pqoss (mW)]]+Table7[[#This Row],[Pgate_top (mW)]], Table7[[#This Row],[PRR (mW)]]+Table7[[#This Row],[Pdead (mW)]]+Table7[[#This Row],[Pgate_top (mW)]])</f>
        <v>1314.3265714285715</v>
      </c>
      <c r="BB199" s="156">
        <f ca="1">Table7[[#This Row],[Pcon_top (mW)]]+Table7[[#This Row],[Psw_top (mW)]]</f>
        <v>1331.3877283163265</v>
      </c>
      <c r="BC199" s="156">
        <f ca="1">IF(VACnom&gt;Vbat, (1-Table7[[#This Row],[Duty Cycle]])*Table7[[#This Row],[I_L RMS]]^2*TI_MOSFET_S_RDSON_L_BU*10^-3, Table7[[#This Row],[Duty Cycle]]*Table7[[#This Row],[I_L RMS]]^2*TI_MOSFET_S_RDSON_L_BO*10^-3)/10^-3</f>
        <v>17.0611568877551</v>
      </c>
      <c r="BD199" s="156">
        <f ca="1">IF(VACnom&gt;Vbat, Table7[[#This Row],[PRR (mW)]]+Table7[[#This Row],[Pdead (mW)]]+Table7[[#This Row],[Pgate_bottom (mW)]], Table7[[#This Row],[PIV (mW)]]+Table7[[#This Row],[Pqoss (mW)]]+Table7[[#This Row],[Pgate_bottom (mW)]])</f>
        <v>1155.2062375585754</v>
      </c>
      <c r="BE199" s="158">
        <f ca="1">Table7[[#This Row],[Pcon_bottom (mW)]]+Table7[[#This Row],[Psw_bottom (mW)]]</f>
        <v>1172.2673944463304</v>
      </c>
      <c r="BF199" s="164">
        <f ca="1">Table7[[#This Row],[Pbottom (mW)]]+Table7[[#This Row],[Ptop (mW)]]</f>
        <v>2503.6551227626569</v>
      </c>
      <c r="BG199" s="153"/>
      <c r="BH199" s="156">
        <f>MAX(0,Table7[[#This Row],[I_L]]-0.5*Table7[[#This Row],[I_L pkpk]])</f>
        <v>3.3339285714285714</v>
      </c>
      <c r="BI199" s="156">
        <f>Table7[[#This Row],[I_L]]+0.5*Table7[[#This Row],[I_L pkpk]]</f>
        <v>4.191071428571429</v>
      </c>
      <c r="BJ199" s="156">
        <f>IF(VACnom&gt;Vbat, (VGS_S-(C_MOSFET_S_VTH_H_BU+Table7[[#This Row],[I_L]]/C_MOSFET_S_gFS_H_BU))/3.4, (VGS_S-(C_MOSFET_S_VTH_L_BO+Table7[[#This Row],[I_L]]/C_MOSFET_S_gFS_L_BO))/3.4 )</f>
        <v>2.3455637254901962</v>
      </c>
      <c r="BK199" s="156">
        <f>IF(VACnom&gt;Vbat, ((C_MOSFET_S_VTH_H_BU+Table7[[#This Row],[I_L]]/C_MOSFET_S_gFS_H_BU))/1, ((C_MOSFET_S_VTH_L_BO+Table7[[#This Row],[I_L]]/C_MOSFET_S_gFS_L_BO))/1 )</f>
        <v>2.0250833333333333</v>
      </c>
      <c r="BL199" s="156">
        <f>IF(VACnom&gt;Vbat, (C_MOSFET_S_QGD_H_BU+C_MOSFET_S_QGS_H_BU)*10^-9/Table7[[#This Row],[Ion (A) C]], (C_MOSFET_S_QGD_L_BO+C_MOSFET_S_QGS_L_BO)*10^-9/Table7[[#This Row],[Ion (A) C]])/10^-9</f>
        <v>2.771188831649233</v>
      </c>
      <c r="BM199" s="156">
        <f>IF(VACnom&gt;Vbat, (C_MOSFET_S_QGD_H_BU+C_MOSFET_S_QGS_H_BU)*10^-9/Table7[[#This Row],[Ioff (A) C]], (C_MOSFET_S_QGD_L_BO+C_MOSFET_S_QGS_L_BO)*10^-9/Table7[[#This Row],[Ioff (A) C]])/10^-9</f>
        <v>3.2097444549607013</v>
      </c>
      <c r="BN199" s="156">
        <f xml:space="preserve"> 0.5*VACnom*Table7[[#This Row],[Ivalley (A) C]]*Table7[[#This Row],[ton (ns) C]]*10^-9*Fsw*10^3+0.5*VACnom*Table7[[#This Row],[Ipeak (A) C]]*Table7[[#This Row],[toff (ns) C]]*10^-9*Fsw*10^3/10^-3</f>
        <v>48.461426005766505</v>
      </c>
      <c r="BO199" s="156">
        <f t="shared" si="35"/>
        <v>129.6</v>
      </c>
      <c r="BP199" s="156">
        <f t="shared" ca="1" si="36"/>
        <v>291.59999999999997</v>
      </c>
      <c r="BQ199" s="156">
        <f t="shared" si="37"/>
        <v>237.6</v>
      </c>
      <c r="BR199" s="156">
        <f>IF(VACnom&gt;Vbat, C_MOSFET_S_VSD_L_BU*Table7[[#This Row],[Ivalley (A) C]]*Fsw*10^3*40*10^-9+C_MOSFET_S_VSD_L_BU*Table7[[#This Row],[Ipeak (A) C]]*Fsw*10^3*30*10^-9, C_MOSFET_S_VSD_H_BO*Table7[[#This Row],[Ivalley (A) C]]*Fsw*10^3*40*10^-9+C_MOSFET_S_VSD_H_BO*Table7[[#This Row],[Ipeak (A) C]]*Fsw*10^3*30*10^-9)/10^-3</f>
        <v>124.36285714285717</v>
      </c>
      <c r="BS199" s="156">
        <f t="shared" ca="1" si="38"/>
        <v>291.59999999999997</v>
      </c>
      <c r="BT199" s="156">
        <f>IF(VACnom&lt;Vbat, Table7[[#This Row],[Duty Cycle]]*Table7[[#This Row],[I_L RMS]]^2*C_MOSFET_S_RDSON_H_BU*10^-3, (1-Table7[[#This Row],[Duty Cycle]])*Table7[[#This Row],[I_L RMS]]^2*C_MOSFET_S_RDSON_H_BO*10^-3)/10^-3</f>
        <v>34.731640807215747</v>
      </c>
      <c r="BU199" s="156">
        <f ca="1">IF(VACnom&gt;Vbat, Table7[[#This Row],[PIV (mW) C]]+Table7[[#This Row],[PQoss (mW) C]]+Table7[[#This Row],[Pgate_top (mW) C]], Table7[[#This Row],[PRR (mW) C]]+Table7[[#This Row],[Pdead (mW) C]]+Table7[[#This Row],[Pgate_top (mW) C]])</f>
        <v>653.56285714285718</v>
      </c>
      <c r="BV199" s="156">
        <f ca="1">Table7[[#This Row],[Pcon_top (mW) C]]+Table7[[#This Row],[Psw_top (mW) C]]</f>
        <v>688.29449795007292</v>
      </c>
      <c r="BW199" s="156">
        <f ca="1">IF(VACnom&gt;Vbat, (1-Table7[[#This Row],[Duty Cycle]])*Table7[[#This Row],[I_L RMS]]^2*C_MOSFET_S_RDSON_L_BU*10^-3, Table7[[#This Row],[Duty Cycle]]*Table7[[#This Row],[I_L RMS]]^2*C_MOSFET_S_RDSON_L_BO*10^-3)/10^-3</f>
        <v>21.631109625546646</v>
      </c>
      <c r="BX199" s="156">
        <f ca="1">IF(VACnom&gt;Vbat, Table7[[#This Row],[PRR (mW) C]]+Table7[[#This Row],[Pdead (mW) C]]+Table7[[#This Row],[Pgate_bottom (mW) C]], Table7[[#This Row],[PIV (mW) C]]+Table7[[#This Row],[PQoss (mW) C]]+Table7[[#This Row],[Pgate_bottom (mW) C]])</f>
        <v>469.66142600576643</v>
      </c>
      <c r="BY199" s="156">
        <f ca="1">Table7[[#This Row],[Pcon_bottom (mW) C]]+Table7[[#This Row],[Psw_bottom (mV) C]]</f>
        <v>491.29253563131306</v>
      </c>
      <c r="BZ199" s="156">
        <f ca="1">Table7[[#This Row],[Pbottom (mW) C]]+Table7[[#This Row],[Ptop (mW) C]]</f>
        <v>1179.5870335813861</v>
      </c>
      <c r="CA199" s="159"/>
      <c r="CB199" s="160">
        <f>(RAC_SNS*10^-3*(Table7[[#This Row],[IOUT (A)]]*Vbat/VACnom)^2/10^-3)</f>
        <v>70.782031249999989</v>
      </c>
      <c r="CC199" s="160">
        <f>(RBAT_SNS*10^-3*Table7[[#This Row],[IOUT (A)]]^2)/10^-3</f>
        <v>23.112499999999997</v>
      </c>
      <c r="CD199" s="160">
        <f>IF(VACnom&gt;Vbat,(L_DRC*10^-3*(Table7[[#This Row],[IOUT (A)]])^2/10^-3),(L_DRC*10^-3*(Table7[[#This Row],[IOUT (A)]]*Vbat/VACnom)^2/10^-3))</f>
        <v>169.87687499999998</v>
      </c>
      <c r="CE199" s="166"/>
      <c r="CF199" s="156">
        <f>(Table7[[#This Row],[R_AC (mW)]]+Table7[[#This Row],[R_SR (mW)]]+Table7[[#This Row],[Inductor Loss (mW)]])/10^3</f>
        <v>0.26377140625000001</v>
      </c>
      <c r="CG199" s="156">
        <f ca="1">Table7[[#This Row],[Total TI (mW)]]/10^3</f>
        <v>2.5036551227626571</v>
      </c>
      <c r="CH199" s="156">
        <f ca="1">Table7[[#This Row],[Total Sense Loss]]+Table7[[#This Row],[Total MOSFET Loss]]</f>
        <v>2.7674265290126572</v>
      </c>
      <c r="CI199" s="161">
        <f ca="1">IF(Table7[[#This Row],[POUT (W)]]=0,0,(Table7[[#This Row],[POUT (W)]])/(Table7[[#This Row],[POUT (W)]]+Table7[[#This Row],[Total Power Loss (W)]]))*100</f>
        <v>90.312650226991579</v>
      </c>
      <c r="CJ199" s="167"/>
      <c r="CK199" s="156">
        <f>(Table7[[#This Row],[R_AC (mW)]]+Table7[[#This Row],[R_SR (mW)]]+Table7[[#This Row],[Inductor Loss (mW)]])/10^3</f>
        <v>0.26377140625000001</v>
      </c>
      <c r="CL199" s="156">
        <f ca="1">Table7[[#This Row],[Total (mW) C]]/10^3</f>
        <v>1.1795870335813861</v>
      </c>
      <c r="CM199" s="156">
        <f ca="1">Table7[[#This Row],[Total Sense Loss C]]+Table7[[#This Row],[Total MOSFET Loss C]]</f>
        <v>1.4433584398313861</v>
      </c>
      <c r="CN199" s="161">
        <f ca="1">IF(Table7[[#This Row],[POUT (W)]]=0,0,(Table7[[#This Row],[POUT (W)]])/(Table7[[#This Row],[POUT (W)]]+Table7[[#This Row],[Total Power Loss (W) C]]))*100</f>
        <v>94.701980510152111</v>
      </c>
      <c r="CO199" s="167"/>
      <c r="CP199" s="161">
        <f>IF(MOSFET_S=Custom_MOSFET,Table7[[#This Row],[Total Sense Loss C]],Table7[[#This Row],[Total Sense Loss]])</f>
        <v>0.26377140625000001</v>
      </c>
      <c r="CQ199" s="161">
        <f ca="1">IF(MOSFET_S=Custom_MOSFET,Table7[[#This Row],[Total MOSFET Loss C]],Table7[[#This Row],[Total MOSFET Loss]])</f>
        <v>2.5036551227626571</v>
      </c>
      <c r="CR199" s="161">
        <f ca="1">IF(MOSFET_S=Custom_MOSFET,Table7[[#This Row],[Efficiency C]],Table7[[#This Row],[Efficiency]])</f>
        <v>90.312650226991579</v>
      </c>
      <c r="CS199" s="167"/>
      <c r="CT199" s="161">
        <f>IF(MOSFET_S=Compare_MOSFET, Table7[[#This Row],[Total Sense Loss C]], -100)</f>
        <v>-100</v>
      </c>
      <c r="CU199" s="161">
        <f>IF(MOSFET_S=Compare_MOSFET, Table7[[#This Row],[Total MOSFET Loss C]], -100)</f>
        <v>-100</v>
      </c>
      <c r="CV199" s="161">
        <f>IF(MOSFET_S=Compare_MOSFET, Table7[[#This Row],[Efficiency C]], -100)</f>
        <v>-100</v>
      </c>
      <c r="CW199" s="167"/>
      <c r="CX199" s="161">
        <f ca="1">IF(Save_Sel=CLR_Save,  Table7[[#This Row],[Total Sense Loss P1]], Table7[[#This Row],[Total Sense Loss P1 Saved]])</f>
        <v>0.26377140625000001</v>
      </c>
      <c r="CY199" s="161">
        <f ca="1">IF(Save_Sel=CLR_Save,  Table7[[#This Row],[Total MOSFET Loss P1]], Table7[[#This Row],[Total MOSFET Loss P1 Saved]] )</f>
        <v>1.8002839813928699</v>
      </c>
      <c r="CZ199" s="161">
        <f ca="1">IF(Save_Sel=CLR_Save, Table7[[#This Row],[Efficiency P1]], Table7[[#This Row],[Efficiency P1 Saved]])</f>
        <v>92.592408538786358</v>
      </c>
      <c r="DA199" s="167"/>
      <c r="DB199" s="161">
        <f ca="1">IF(Save_Sel=CLR_Save,  Table7[[#This Row],[Total Sense Loss P2]], Table7[[#This Row],[Total Sense Loss P2 Saved]])</f>
        <v>0.26377140625000001</v>
      </c>
      <c r="DC199" s="161">
        <f ca="1">IF(Save_Sel=CLR_Save,  Table7[[#This Row],[Total MOSFET Loss P2]], Table7[[#This Row],[Total MOSFET Loss P2 Saved]] )</f>
        <v>1.1973314315545167</v>
      </c>
      <c r="DD199" s="161">
        <f ca="1">IF(Save_Sel=CLR_Save, Table7[[#This Row],[Efficiency P2]], Table7[[#This Row],[Efficiency P2 Saved]])</f>
        <v>94.640338483378144</v>
      </c>
      <c r="DE199" s="167"/>
      <c r="DF199" s="21"/>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c r="FH199" s="21"/>
      <c r="FI199" s="21"/>
    </row>
    <row r="200" spans="1:165" x14ac:dyDescent="0.25">
      <c r="A200" s="34"/>
      <c r="B200" s="51"/>
      <c r="C200" s="51"/>
      <c r="D200" s="34"/>
      <c r="E200" s="69"/>
      <c r="F200" s="69"/>
      <c r="G200" s="51"/>
      <c r="H200" s="31"/>
      <c r="I200" s="31"/>
      <c r="J200" s="31"/>
      <c r="K200" s="31"/>
      <c r="L200" s="31"/>
      <c r="M200" s="31"/>
      <c r="N200" s="31"/>
      <c r="O200" s="31"/>
      <c r="P200" s="31"/>
      <c r="Q200" s="31"/>
      <c r="R200" s="31"/>
      <c r="S200" s="32"/>
      <c r="T200" s="20"/>
      <c r="U200" s="21"/>
      <c r="V200" s="21"/>
      <c r="W200" s="21"/>
      <c r="X200" s="21"/>
      <c r="Y200" s="21"/>
      <c r="Z200" s="21"/>
      <c r="AA200" s="21"/>
      <c r="AB200" s="21"/>
      <c r="AC200" s="21"/>
      <c r="AD200" s="21"/>
      <c r="AE200" s="21"/>
      <c r="AF200" s="154">
        <f t="shared" si="17"/>
        <v>44</v>
      </c>
      <c r="AG200" s="154">
        <f t="shared" si="39"/>
        <v>2.2000000000000002</v>
      </c>
      <c r="AH200" s="155">
        <f t="shared" si="28"/>
        <v>26.400000000000002</v>
      </c>
      <c r="AI200" s="156">
        <f t="shared" si="29"/>
        <v>0.42857142857142855</v>
      </c>
      <c r="AJ200" s="156">
        <f t="shared" si="30"/>
        <v>3.8500000000000005</v>
      </c>
      <c r="AK200" s="156">
        <f t="shared" si="26"/>
        <v>0.85714285714285721</v>
      </c>
      <c r="AL200" s="156">
        <f t="shared" si="27"/>
        <v>3.8579430386925</v>
      </c>
      <c r="AM200" s="157"/>
      <c r="AN200" s="156">
        <f>MAX(0,Table7[[#This Row],[I_L]]-0.5*Table7[[#This Row],[I_L pkpk]])</f>
        <v>3.4214285714285717</v>
      </c>
      <c r="AO200" s="156">
        <f>Table7[[#This Row],[I_L]]+0.5*Table7[[#This Row],[I_L pkpk]]</f>
        <v>4.2785714285714294</v>
      </c>
      <c r="AP200" s="156">
        <f ca="1">IF(VACnom&gt;Vbat, (VGS_S-(TI_MOSFET_S_VTH_H_BU+Table7[[#This Row],[I_L]]/TI_MOSFET_S_gFS_H_BU))/3.4, (VGS_S-(TI_MOSFET_S_VTH_L_BO+Table7[[#This Row],[I_L]]/TI_MOSFET_S_gFS_L_BO))/3.4 )</f>
        <v>2.417760180995475</v>
      </c>
      <c r="AQ200" s="156">
        <f ca="1">IF(VACnom&gt;Vbat, ((TI_MOSFET_S_VTH_H_BU+Table7[[#This Row],[I_L]]/TI_MOSFET_S_gFS_H_BU))/1, ((TI_MOSFET_S_VTH_L_BO+Table7[[#This Row],[I_L]]/TI_MOSFET_S_gFS_L_BO))/1 )</f>
        <v>1.7796153846153846</v>
      </c>
      <c r="AR200" s="156">
        <f ca="1">IF(VACnom&gt;Vbat, (TI_MOSFET_S_QGD_H_BU+TI_MOSFET_S_QGS_H_BU)*10^-9/Table7[[#This Row],[Ion (A)]], (TI_MOSFET_S_QGD_L_BO+TI_MOSFET_S_QGS_L_BO)*10^-9/Table7[[#This Row],[Ion (A)]])/10^-9</f>
        <v>11.911851401300707</v>
      </c>
      <c r="AS200" s="156">
        <f ca="1">IF(VACnom&gt;Vbat, (TI_MOSFET_S_QGD_H_BU+TI_MOSFET_S_QGS_H_BU)*10^-9/Table7[[#This Row],[Ioff (A)]], (TI_MOSFET_S_QGD_L_BO+TI_MOSFET_S_QGS_L_BO)*10^-9/Table7[[#This Row],[Ioff (A)]])/10^-9</f>
        <v>16.183272098551978</v>
      </c>
      <c r="AT200" s="156">
        <f ca="1" xml:space="preserve"> 0.5*VACnom*Table7[[#This Row],[Ivalley (A)]]*Table7[[#This Row],[ton (ns)]]*10^-9*Fsw*10^3+0.5*VACnom*Table7[[#This Row],[Ipeak (A)]]*Table7[[#This Row],[toff (ns)]]*10^-9*Fsw*10^3/10^-3</f>
        <v>249.41534821338499</v>
      </c>
      <c r="AU200" s="156">
        <f t="shared" ca="1" si="31"/>
        <v>262.8</v>
      </c>
      <c r="AV200" s="156">
        <f t="shared" ca="1" si="32"/>
        <v>648</v>
      </c>
      <c r="AW200" s="156">
        <f t="shared" ca="1" si="33"/>
        <v>554.4</v>
      </c>
      <c r="AX200" s="156">
        <f ca="1">IF(VACnom&gt;Vbat, TI_MOSFET_S_VSD_L_BU*Table7[[#This Row],[Ivalley (A)]]*Fsw*10^3*40*10^-9+TI_MOSFET_S_VSD_L_BU*Table7[[#This Row],[Ipeak (A)]]*Fsw*10^3*30*10^-9, TI_MOSFET_S_VSD_H_BO*Table7[[#This Row],[Ivalley (A)]]*Fsw*10^3*40*10^-9+TI_MOSFET_S_VSD_H_BO*Table7[[#This Row],[Ipeak (A)]]*Fsw*10^3*30*10^-9)/10^-3</f>
        <v>114.57257142857144</v>
      </c>
      <c r="AY200" s="156">
        <f t="shared" ca="1" si="34"/>
        <v>648</v>
      </c>
      <c r="AZ200" s="156">
        <f ca="1">IF(VACnom&lt;Vbat, Table7[[#This Row],[Duty Cycle]]*Table7[[#This Row],[I_L RMS]]^2*TI_MOSFET_S_RDSON_H_BU*10^-3, (1-Table7[[#This Row],[Duty Cycle]])*Table7[[#This Row],[I_L RMS]]^2*TI_MOSFET_S_RDSON_H_BO*10^-3)/10^-3</f>
        <v>17.860469387755099</v>
      </c>
      <c r="BA200" s="156">
        <f ca="1">IF(VACnom&gt;Vbat, Table7[[#This Row],[PIV (mW)]]+Table7[[#This Row],[Pqoss (mW)]]+Table7[[#This Row],[Pgate_top (mW)]], Table7[[#This Row],[PRR (mW)]]+Table7[[#This Row],[Pdead (mW)]]+Table7[[#This Row],[Pgate_top (mW)]])</f>
        <v>1316.9725714285714</v>
      </c>
      <c r="BB200" s="156">
        <f ca="1">Table7[[#This Row],[Pcon_top (mW)]]+Table7[[#This Row],[Psw_top (mW)]]</f>
        <v>1334.8330408163265</v>
      </c>
      <c r="BC200" s="156">
        <f ca="1">IF(VACnom&gt;Vbat, (1-Table7[[#This Row],[Duty Cycle]])*Table7[[#This Row],[I_L RMS]]^2*TI_MOSFET_S_RDSON_L_BU*10^-3, Table7[[#This Row],[Duty Cycle]]*Table7[[#This Row],[I_L RMS]]^2*TI_MOSFET_S_RDSON_L_BO*10^-3)/10^-3</f>
        <v>17.860469387755099</v>
      </c>
      <c r="BD200" s="156">
        <f ca="1">IF(VACnom&gt;Vbat, Table7[[#This Row],[PRR (mW)]]+Table7[[#This Row],[Pdead (mW)]]+Table7[[#This Row],[Pgate_bottom (mW)]], Table7[[#This Row],[PIV (mW)]]+Table7[[#This Row],[Pqoss (mW)]]+Table7[[#This Row],[Pgate_bottom (mW)]])</f>
        <v>1160.2153482133849</v>
      </c>
      <c r="BE200" s="158">
        <f ca="1">Table7[[#This Row],[Pcon_bottom (mW)]]+Table7[[#This Row],[Psw_bottom (mW)]]</f>
        <v>1178.07581760114</v>
      </c>
      <c r="BF200" s="164">
        <f ca="1">Table7[[#This Row],[Pbottom (mW)]]+Table7[[#This Row],[Ptop (mW)]]</f>
        <v>2512.9088584174665</v>
      </c>
      <c r="BG200" s="153"/>
      <c r="BH200" s="156">
        <f>MAX(0,Table7[[#This Row],[I_L]]-0.5*Table7[[#This Row],[I_L pkpk]])</f>
        <v>3.4214285714285717</v>
      </c>
      <c r="BI200" s="156">
        <f>Table7[[#This Row],[I_L]]+0.5*Table7[[#This Row],[I_L pkpk]]</f>
        <v>4.2785714285714294</v>
      </c>
      <c r="BJ200" s="156">
        <f>IF(VACnom&gt;Vbat, (VGS_S-(C_MOSFET_S_VTH_H_BU+Table7[[#This Row],[I_L]]/C_MOSFET_S_gFS_H_BU))/3.4, (VGS_S-(C_MOSFET_S_VTH_L_BO+Table7[[#This Row],[I_L]]/C_MOSFET_S_gFS_L_BO))/3.4 )</f>
        <v>2.3453921568627454</v>
      </c>
      <c r="BK200" s="156">
        <f>IF(VACnom&gt;Vbat, ((C_MOSFET_S_VTH_H_BU+Table7[[#This Row],[I_L]]/C_MOSFET_S_gFS_H_BU))/1, ((C_MOSFET_S_VTH_L_BO+Table7[[#This Row],[I_L]]/C_MOSFET_S_gFS_L_BO))/1 )</f>
        <v>2.0256666666666665</v>
      </c>
      <c r="BL200" s="156">
        <f>IF(VACnom&gt;Vbat, (C_MOSFET_S_QGD_H_BU+C_MOSFET_S_QGS_H_BU)*10^-9/Table7[[#This Row],[Ion (A) C]], (C_MOSFET_S_QGD_L_BO+C_MOSFET_S_QGS_L_BO)*10^-9/Table7[[#This Row],[Ion (A) C]])/10^-9</f>
        <v>2.7713915478827902</v>
      </c>
      <c r="BM200" s="156">
        <f>IF(VACnom&gt;Vbat, (C_MOSFET_S_QGD_H_BU+C_MOSFET_S_QGS_H_BU)*10^-9/Table7[[#This Row],[Ioff (A) C]], (C_MOSFET_S_QGD_L_BO+C_MOSFET_S_QGS_L_BO)*10^-9/Table7[[#This Row],[Ioff (A) C]])/10^-9</f>
        <v>3.208820141517196</v>
      </c>
      <c r="BN200" s="156">
        <f xml:space="preserve"> 0.5*VACnom*Table7[[#This Row],[Ivalley (A) C]]*Table7[[#This Row],[ton (ns) C]]*10^-9*Fsw*10^3+0.5*VACnom*Table7[[#This Row],[Ipeak (A) C]]*Table7[[#This Row],[toff (ns) C]]*10^-9*Fsw*10^3/10^-3</f>
        <v>49.459133862520375</v>
      </c>
      <c r="BO200" s="156">
        <f t="shared" si="35"/>
        <v>129.6</v>
      </c>
      <c r="BP200" s="156">
        <f t="shared" ca="1" si="36"/>
        <v>291.59999999999997</v>
      </c>
      <c r="BQ200" s="156">
        <f t="shared" si="37"/>
        <v>237.6</v>
      </c>
      <c r="BR200" s="156">
        <f>IF(VACnom&gt;Vbat, C_MOSFET_S_VSD_L_BU*Table7[[#This Row],[Ivalley (A) C]]*Fsw*10^3*40*10^-9+C_MOSFET_S_VSD_L_BU*Table7[[#This Row],[Ipeak (A) C]]*Fsw*10^3*30*10^-9, C_MOSFET_S_VSD_H_BO*Table7[[#This Row],[Ivalley (A) C]]*Fsw*10^3*40*10^-9+C_MOSFET_S_VSD_H_BO*Table7[[#This Row],[Ipeak (A) C]]*Fsw*10^3*30*10^-9)/10^-3</f>
        <v>127.30285714285716</v>
      </c>
      <c r="BS200" s="156">
        <f t="shared" ca="1" si="38"/>
        <v>291.59999999999997</v>
      </c>
      <c r="BT200" s="156">
        <f>IF(VACnom&lt;Vbat, Table7[[#This Row],[Duty Cycle]]*Table7[[#This Row],[I_L RMS]]^2*C_MOSFET_S_RDSON_H_BU*10^-3, (1-Table7[[#This Row],[Duty Cycle]])*Table7[[#This Row],[I_L RMS]]^2*C_MOSFET_S_RDSON_H_BO*10^-3)/10^-3</f>
        <v>36.358812682215742</v>
      </c>
      <c r="BU200" s="156">
        <f ca="1">IF(VACnom&gt;Vbat, Table7[[#This Row],[PIV (mW) C]]+Table7[[#This Row],[PQoss (mW) C]]+Table7[[#This Row],[Pgate_top (mW) C]], Table7[[#This Row],[PRR (mW) C]]+Table7[[#This Row],[Pdead (mW) C]]+Table7[[#This Row],[Pgate_top (mW) C]])</f>
        <v>656.50285714285712</v>
      </c>
      <c r="BV200" s="156">
        <f ca="1">Table7[[#This Row],[Pcon_top (mW) C]]+Table7[[#This Row],[Psw_top (mW) C]]</f>
        <v>692.86166982507291</v>
      </c>
      <c r="BW200" s="156">
        <f ca="1">IF(VACnom&gt;Vbat, (1-Table7[[#This Row],[Duty Cycle]])*Table7[[#This Row],[I_L RMS]]^2*C_MOSFET_S_RDSON_L_BU*10^-3, Table7[[#This Row],[Duty Cycle]]*Table7[[#This Row],[I_L RMS]]^2*C_MOSFET_S_RDSON_L_BO*10^-3)/10^-3</f>
        <v>22.644523688046647</v>
      </c>
      <c r="BX200" s="156">
        <f ca="1">IF(VACnom&gt;Vbat, Table7[[#This Row],[PRR (mW) C]]+Table7[[#This Row],[Pdead (mW) C]]+Table7[[#This Row],[Pgate_bottom (mW) C]], Table7[[#This Row],[PIV (mW) C]]+Table7[[#This Row],[PQoss (mW) C]]+Table7[[#This Row],[Pgate_bottom (mW) C]])</f>
        <v>470.65913386252032</v>
      </c>
      <c r="BY200" s="156">
        <f ca="1">Table7[[#This Row],[Pcon_bottom (mW) C]]+Table7[[#This Row],[Psw_bottom (mV) C]]</f>
        <v>493.30365755056698</v>
      </c>
      <c r="BZ200" s="156">
        <f ca="1">Table7[[#This Row],[Pbottom (mW) C]]+Table7[[#This Row],[Ptop (mW) C]]</f>
        <v>1186.1653273756399</v>
      </c>
      <c r="CA200" s="159"/>
      <c r="CB200" s="160">
        <f>(RAC_SNS*10^-3*(Table7[[#This Row],[IOUT (A)]]*Vbat/VACnom)^2/10^-3)</f>
        <v>74.112500000000011</v>
      </c>
      <c r="CC200" s="160">
        <f>(RBAT_SNS*10^-3*Table7[[#This Row],[IOUT (A)]]^2)/10^-3</f>
        <v>24.200000000000003</v>
      </c>
      <c r="CD200" s="160">
        <f>IF(VACnom&gt;Vbat,(L_DRC*10^-3*(Table7[[#This Row],[IOUT (A)]])^2/10^-3),(L_DRC*10^-3*(Table7[[#This Row],[IOUT (A)]]*Vbat/VACnom)^2/10^-3))</f>
        <v>177.87000000000003</v>
      </c>
      <c r="CE200" s="166"/>
      <c r="CF200" s="156">
        <f>(Table7[[#This Row],[R_AC (mW)]]+Table7[[#This Row],[R_SR (mW)]]+Table7[[#This Row],[Inductor Loss (mW)]])/10^3</f>
        <v>0.27618250000000005</v>
      </c>
      <c r="CG200" s="156">
        <f ca="1">Table7[[#This Row],[Total TI (mW)]]/10^3</f>
        <v>2.5129088584174664</v>
      </c>
      <c r="CH200" s="156">
        <f ca="1">Table7[[#This Row],[Total Sense Loss]]+Table7[[#This Row],[Total MOSFET Loss]]</f>
        <v>2.7890913584174664</v>
      </c>
      <c r="CI200" s="161">
        <f ca="1">IF(Table7[[#This Row],[POUT (W)]]=0,0,(Table7[[#This Row],[POUT (W)]])/(Table7[[#This Row],[POUT (W)]]+Table7[[#This Row],[Total Power Loss (W)]]))*100</f>
        <v>90.444747579944263</v>
      </c>
      <c r="CJ200" s="167"/>
      <c r="CK200" s="156">
        <f>(Table7[[#This Row],[R_AC (mW)]]+Table7[[#This Row],[R_SR (mW)]]+Table7[[#This Row],[Inductor Loss (mW)]])/10^3</f>
        <v>0.27618250000000005</v>
      </c>
      <c r="CL200" s="156">
        <f ca="1">Table7[[#This Row],[Total (mW) C]]/10^3</f>
        <v>1.1861653273756398</v>
      </c>
      <c r="CM200" s="156">
        <f ca="1">Table7[[#This Row],[Total Sense Loss C]]+Table7[[#This Row],[Total MOSFET Loss C]]</f>
        <v>1.4623478273756398</v>
      </c>
      <c r="CN200" s="161">
        <f ca="1">IF(Table7[[#This Row],[POUT (W)]]=0,0,(Table7[[#This Row],[POUT (W)]])/(Table7[[#This Row],[POUT (W)]]+Table7[[#This Row],[Total Power Loss (W) C]]))*100</f>
        <v>94.751526912104524</v>
      </c>
      <c r="CO200" s="167"/>
      <c r="CP200" s="161">
        <f>IF(MOSFET_S=Custom_MOSFET,Table7[[#This Row],[Total Sense Loss C]],Table7[[#This Row],[Total Sense Loss]])</f>
        <v>0.27618250000000005</v>
      </c>
      <c r="CQ200" s="161">
        <f ca="1">IF(MOSFET_S=Custom_MOSFET,Table7[[#This Row],[Total MOSFET Loss C]],Table7[[#This Row],[Total MOSFET Loss]])</f>
        <v>2.5129088584174664</v>
      </c>
      <c r="CR200" s="161">
        <f ca="1">IF(MOSFET_S=Custom_MOSFET,Table7[[#This Row],[Efficiency C]],Table7[[#This Row],[Efficiency]])</f>
        <v>90.444747579944263</v>
      </c>
      <c r="CS200" s="167"/>
      <c r="CT200" s="161">
        <f>IF(MOSFET_S=Compare_MOSFET, Table7[[#This Row],[Total Sense Loss C]], -100)</f>
        <v>-100</v>
      </c>
      <c r="CU200" s="161">
        <f>IF(MOSFET_S=Compare_MOSFET, Table7[[#This Row],[Total MOSFET Loss C]], -100)</f>
        <v>-100</v>
      </c>
      <c r="CV200" s="161">
        <f>IF(MOSFET_S=Compare_MOSFET, Table7[[#This Row],[Efficiency C]], -100)</f>
        <v>-100</v>
      </c>
      <c r="CW200" s="167"/>
      <c r="CX200" s="161">
        <f ca="1">IF(Save_Sel=CLR_Save,  Table7[[#This Row],[Total Sense Loss P1]], Table7[[#This Row],[Total Sense Loss P1 Saved]])</f>
        <v>0.27618250000000005</v>
      </c>
      <c r="CY200" s="161">
        <f ca="1">IF(Save_Sel=CLR_Save,  Table7[[#This Row],[Total MOSFET Loss P1]], Table7[[#This Row],[Total MOSFET Loss P1 Saved]] )</f>
        <v>1.8099736014939809</v>
      </c>
      <c r="CZ200" s="161">
        <f ca="1">IF(Save_Sel=CLR_Save, Table7[[#This Row],[Efficiency P1]], Table7[[#This Row],[Efficiency P1 Saved]])</f>
        <v>92.676596680643158</v>
      </c>
      <c r="DA200" s="167"/>
      <c r="DB200" s="161">
        <f ca="1">IF(Save_Sel=CLR_Save,  Table7[[#This Row],[Total Sense Loss P2]], Table7[[#This Row],[Total Sense Loss P2 Saved]])</f>
        <v>0.27618250000000005</v>
      </c>
      <c r="DC200" s="161">
        <f ca="1">IF(Save_Sel=CLR_Save,  Table7[[#This Row],[Total MOSFET Loss P2]], Table7[[#This Row],[Total MOSFET Loss P2 Saved]] )</f>
        <v>1.2047395480542495</v>
      </c>
      <c r="DD200" s="161">
        <f ca="1">IF(Save_Sel=CLR_Save, Table7[[#This Row],[Efficiency P2]], Table7[[#This Row],[Efficiency P2 Saved]])</f>
        <v>94.688403613403452</v>
      </c>
      <c r="DE200" s="167"/>
      <c r="DF200" s="21"/>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c r="FH200" s="21"/>
      <c r="FI200" s="21"/>
    </row>
    <row r="201" spans="1:165" x14ac:dyDescent="0.25">
      <c r="A201" s="34"/>
      <c r="B201" s="51"/>
      <c r="C201" s="51"/>
      <c r="D201" s="34"/>
      <c r="E201" s="69"/>
      <c r="F201" s="69"/>
      <c r="G201" s="51"/>
      <c r="H201" s="31"/>
      <c r="I201" s="31"/>
      <c r="J201" s="31"/>
      <c r="K201" s="31"/>
      <c r="L201" s="31"/>
      <c r="M201" s="31"/>
      <c r="N201" s="31"/>
      <c r="O201" s="31"/>
      <c r="P201" s="31"/>
      <c r="Q201" s="31"/>
      <c r="R201" s="31"/>
      <c r="S201" s="32"/>
      <c r="T201" s="20"/>
      <c r="U201" s="21"/>
      <c r="V201" s="21"/>
      <c r="W201" s="21"/>
      <c r="X201" s="21"/>
      <c r="Y201" s="21"/>
      <c r="Z201" s="21"/>
      <c r="AA201" s="21"/>
      <c r="AB201" s="21"/>
      <c r="AC201" s="21"/>
      <c r="AD201" s="21"/>
      <c r="AE201" s="21"/>
      <c r="AF201" s="154">
        <f t="shared" si="17"/>
        <v>45</v>
      </c>
      <c r="AG201" s="154">
        <f t="shared" si="39"/>
        <v>2.25</v>
      </c>
      <c r="AH201" s="155">
        <f t="shared" si="28"/>
        <v>27</v>
      </c>
      <c r="AI201" s="156">
        <f t="shared" si="29"/>
        <v>0.42857142857142855</v>
      </c>
      <c r="AJ201" s="156">
        <f t="shared" si="30"/>
        <v>3.9375</v>
      </c>
      <c r="AK201" s="156">
        <f t="shared" si="26"/>
        <v>0.85714285714285721</v>
      </c>
      <c r="AL201" s="156">
        <f t="shared" si="27"/>
        <v>3.9452668781460041</v>
      </c>
      <c r="AM201" s="157"/>
      <c r="AN201" s="156">
        <f>MAX(0,Table7[[#This Row],[I_L]]-0.5*Table7[[#This Row],[I_L pkpk]])</f>
        <v>3.5089285714285712</v>
      </c>
      <c r="AO201" s="156">
        <f>Table7[[#This Row],[I_L]]+0.5*Table7[[#This Row],[I_L pkpk]]</f>
        <v>4.3660714285714288</v>
      </c>
      <c r="AP201" s="156">
        <f ca="1">IF(VACnom&gt;Vbat, (VGS_S-(TI_MOSFET_S_VTH_H_BU+Table7[[#This Row],[I_L]]/TI_MOSFET_S_gFS_H_BU))/3.4, (VGS_S-(TI_MOSFET_S_VTH_L_BO+Table7[[#This Row],[I_L]]/TI_MOSFET_S_gFS_L_BO))/3.4 )</f>
        <v>2.4175622171945701</v>
      </c>
      <c r="AQ201" s="156">
        <f ca="1">IF(VACnom&gt;Vbat, ((TI_MOSFET_S_VTH_H_BU+Table7[[#This Row],[I_L]]/TI_MOSFET_S_gFS_H_BU))/1, ((TI_MOSFET_S_VTH_L_BO+Table7[[#This Row],[I_L]]/TI_MOSFET_S_gFS_L_BO))/1 )</f>
        <v>1.7802884615384615</v>
      </c>
      <c r="AR201" s="156">
        <f ca="1">IF(VACnom&gt;Vbat, (TI_MOSFET_S_QGD_H_BU+TI_MOSFET_S_QGS_H_BU)*10^-9/Table7[[#This Row],[Ion (A)]], (TI_MOSFET_S_QGD_L_BO+TI_MOSFET_S_QGS_L_BO)*10^-9/Table7[[#This Row],[Ion (A)]])/10^-9</f>
        <v>11.912826811721356</v>
      </c>
      <c r="AS201" s="156">
        <f ca="1">IF(VACnom&gt;Vbat, (TI_MOSFET_S_QGD_H_BU+TI_MOSFET_S_QGS_H_BU)*10^-9/Table7[[#This Row],[Ioff (A)]], (TI_MOSFET_S_QGD_L_BO+TI_MOSFET_S_QGS_L_BO)*10^-9/Table7[[#This Row],[Ioff (A)]])/10^-9</f>
        <v>16.177153659195245</v>
      </c>
      <c r="AT201" s="156">
        <f ca="1" xml:space="preserve"> 0.5*VACnom*Table7[[#This Row],[Ivalley (A)]]*Table7[[#This Row],[ton (ns)]]*10^-9*Fsw*10^3+0.5*VACnom*Table7[[#This Row],[Ipeak (A)]]*Table7[[#This Row],[toff (ns)]]*10^-9*Fsw*10^3/10^-3</f>
        <v>254.42067472339764</v>
      </c>
      <c r="AU201" s="156">
        <f t="shared" ca="1" si="31"/>
        <v>262.8</v>
      </c>
      <c r="AV201" s="156">
        <f t="shared" ca="1" si="32"/>
        <v>648</v>
      </c>
      <c r="AW201" s="156">
        <f t="shared" ca="1" si="33"/>
        <v>554.4</v>
      </c>
      <c r="AX201" s="156">
        <f ca="1">IF(VACnom&gt;Vbat, TI_MOSFET_S_VSD_L_BU*Table7[[#This Row],[Ivalley (A)]]*Fsw*10^3*40*10^-9+TI_MOSFET_S_VSD_L_BU*Table7[[#This Row],[Ipeak (A)]]*Fsw*10^3*30*10^-9, TI_MOSFET_S_VSD_H_BO*Table7[[#This Row],[Ivalley (A)]]*Fsw*10^3*40*10^-9+TI_MOSFET_S_VSD_H_BO*Table7[[#This Row],[Ipeak (A)]]*Fsw*10^3*30*10^-9)/10^-3</f>
        <v>117.21857142857142</v>
      </c>
      <c r="AY201" s="156">
        <f t="shared" ca="1" si="34"/>
        <v>648</v>
      </c>
      <c r="AZ201" s="156">
        <f ca="1">IF(VACnom&lt;Vbat, Table7[[#This Row],[Duty Cycle]]*Table7[[#This Row],[I_L RMS]]^2*TI_MOSFET_S_RDSON_H_BU*10^-3, (1-Table7[[#This Row],[Duty Cycle]])*Table7[[#This Row],[I_L RMS]]^2*TI_MOSFET_S_RDSON_H_BO*10^-3)/10^-3</f>
        <v>18.678156887755097</v>
      </c>
      <c r="BA201" s="156">
        <f ca="1">IF(VACnom&gt;Vbat, Table7[[#This Row],[PIV (mW)]]+Table7[[#This Row],[Pqoss (mW)]]+Table7[[#This Row],[Pgate_top (mW)]], Table7[[#This Row],[PRR (mW)]]+Table7[[#This Row],[Pdead (mW)]]+Table7[[#This Row],[Pgate_top (mW)]])</f>
        <v>1319.6185714285714</v>
      </c>
      <c r="BB201" s="156">
        <f ca="1">Table7[[#This Row],[Pcon_top (mW)]]+Table7[[#This Row],[Psw_top (mW)]]</f>
        <v>1338.2967283163264</v>
      </c>
      <c r="BC201" s="156">
        <f ca="1">IF(VACnom&gt;Vbat, (1-Table7[[#This Row],[Duty Cycle]])*Table7[[#This Row],[I_L RMS]]^2*TI_MOSFET_S_RDSON_L_BU*10^-3, Table7[[#This Row],[Duty Cycle]]*Table7[[#This Row],[I_L RMS]]^2*TI_MOSFET_S_RDSON_L_BO*10^-3)/10^-3</f>
        <v>18.678156887755097</v>
      </c>
      <c r="BD201" s="156">
        <f ca="1">IF(VACnom&gt;Vbat, Table7[[#This Row],[PRR (mW)]]+Table7[[#This Row],[Pdead (mW)]]+Table7[[#This Row],[Pgate_bottom (mW)]], Table7[[#This Row],[PIV (mW)]]+Table7[[#This Row],[Pqoss (mW)]]+Table7[[#This Row],[Pgate_bottom (mW)]])</f>
        <v>1165.2206747233977</v>
      </c>
      <c r="BE201" s="158">
        <f ca="1">Table7[[#This Row],[Pcon_bottom (mW)]]+Table7[[#This Row],[Psw_bottom (mW)]]</f>
        <v>1183.8988316111527</v>
      </c>
      <c r="BF201" s="164">
        <f ca="1">Table7[[#This Row],[Pbottom (mW)]]+Table7[[#This Row],[Ptop (mW)]]</f>
        <v>2522.1955599274788</v>
      </c>
      <c r="BG201" s="153"/>
      <c r="BH201" s="156">
        <f>MAX(0,Table7[[#This Row],[I_L]]-0.5*Table7[[#This Row],[I_L pkpk]])</f>
        <v>3.5089285714285712</v>
      </c>
      <c r="BI201" s="156">
        <f>Table7[[#This Row],[I_L]]+0.5*Table7[[#This Row],[I_L pkpk]]</f>
        <v>4.3660714285714288</v>
      </c>
      <c r="BJ201" s="156">
        <f>IF(VACnom&gt;Vbat, (VGS_S-(C_MOSFET_S_VTH_H_BU+Table7[[#This Row],[I_L]]/C_MOSFET_S_gFS_H_BU))/3.4, (VGS_S-(C_MOSFET_S_VTH_L_BO+Table7[[#This Row],[I_L]]/C_MOSFET_S_gFS_L_BO))/3.4 )</f>
        <v>2.3452205882352941</v>
      </c>
      <c r="BK201" s="156">
        <f>IF(VACnom&gt;Vbat, ((C_MOSFET_S_VTH_H_BU+Table7[[#This Row],[I_L]]/C_MOSFET_S_gFS_H_BU))/1, ((C_MOSFET_S_VTH_L_BO+Table7[[#This Row],[I_L]]/C_MOSFET_S_gFS_L_BO))/1 )</f>
        <v>2.0262500000000001</v>
      </c>
      <c r="BL201" s="156">
        <f>IF(VACnom&gt;Vbat, (C_MOSFET_S_QGD_H_BU+C_MOSFET_S_QGS_H_BU)*10^-9/Table7[[#This Row],[Ion (A) C]], (C_MOSFET_S_QGD_L_BO+C_MOSFET_S_QGS_L_BO)*10^-9/Table7[[#This Row],[Ion (A) C]])/10^-9</f>
        <v>2.7715942937764537</v>
      </c>
      <c r="BM201" s="156">
        <f>IF(VACnom&gt;Vbat, (C_MOSFET_S_QGD_H_BU+C_MOSFET_S_QGS_H_BU)*10^-9/Table7[[#This Row],[Ioff (A) C]], (C_MOSFET_S_QGD_L_BO+C_MOSFET_S_QGS_L_BO)*10^-9/Table7[[#This Row],[Ioff (A) C]])/10^-9</f>
        <v>3.207896360271437</v>
      </c>
      <c r="BN201" s="156">
        <f xml:space="preserve"> 0.5*VACnom*Table7[[#This Row],[Ivalley (A) C]]*Table7[[#This Row],[ton (ns) C]]*10^-9*Fsw*10^3+0.5*VACnom*Table7[[#This Row],[Ipeak (A) C]]*Table7[[#This Row],[toff (ns) C]]*10^-9*Fsw*10^3/10^-3</f>
        <v>50.456267894898872</v>
      </c>
      <c r="BO201" s="156">
        <f t="shared" si="35"/>
        <v>129.6</v>
      </c>
      <c r="BP201" s="156">
        <f t="shared" ca="1" si="36"/>
        <v>291.59999999999997</v>
      </c>
      <c r="BQ201" s="156">
        <f t="shared" si="37"/>
        <v>237.6</v>
      </c>
      <c r="BR201" s="156">
        <f>IF(VACnom&gt;Vbat, C_MOSFET_S_VSD_L_BU*Table7[[#This Row],[Ivalley (A) C]]*Fsw*10^3*40*10^-9+C_MOSFET_S_VSD_L_BU*Table7[[#This Row],[Ipeak (A) C]]*Fsw*10^3*30*10^-9, C_MOSFET_S_VSD_H_BO*Table7[[#This Row],[Ivalley (A) C]]*Fsw*10^3*40*10^-9+C_MOSFET_S_VSD_H_BO*Table7[[#This Row],[Ipeak (A) C]]*Fsw*10^3*30*10^-9)/10^-3</f>
        <v>130.24285714285713</v>
      </c>
      <c r="BS201" s="156">
        <f t="shared" ca="1" si="38"/>
        <v>291.59999999999997</v>
      </c>
      <c r="BT201" s="156">
        <f>IF(VACnom&lt;Vbat, Table7[[#This Row],[Duty Cycle]]*Table7[[#This Row],[I_L RMS]]^2*C_MOSFET_S_RDSON_H_BU*10^-3, (1-Table7[[#This Row],[Duty Cycle]])*Table7[[#This Row],[I_L RMS]]^2*C_MOSFET_S_RDSON_H_BO*10^-3)/10^-3</f>
        <v>38.02339080721574</v>
      </c>
      <c r="BU201" s="156">
        <f ca="1">IF(VACnom&gt;Vbat, Table7[[#This Row],[PIV (mW) C]]+Table7[[#This Row],[PQoss (mW) C]]+Table7[[#This Row],[Pgate_top (mW) C]], Table7[[#This Row],[PRR (mW) C]]+Table7[[#This Row],[Pdead (mW) C]]+Table7[[#This Row],[Pgate_top (mW) C]])</f>
        <v>659.44285714285706</v>
      </c>
      <c r="BV201" s="156">
        <f ca="1">Table7[[#This Row],[Pcon_top (mW) C]]+Table7[[#This Row],[Psw_top (mW) C]]</f>
        <v>697.46624795007278</v>
      </c>
      <c r="BW201" s="156">
        <f ca="1">IF(VACnom&gt;Vbat, (1-Table7[[#This Row],[Duty Cycle]])*Table7[[#This Row],[I_L RMS]]^2*C_MOSFET_S_RDSON_L_BU*10^-3, Table7[[#This Row],[Duty Cycle]]*Table7[[#This Row],[I_L RMS]]^2*C_MOSFET_S_RDSON_L_BO*10^-3)/10^-3</f>
        <v>23.681234625546644</v>
      </c>
      <c r="BX201" s="156">
        <f ca="1">IF(VACnom&gt;Vbat, Table7[[#This Row],[PRR (mW) C]]+Table7[[#This Row],[Pdead (mW) C]]+Table7[[#This Row],[Pgate_bottom (mW) C]], Table7[[#This Row],[PIV (mW) C]]+Table7[[#This Row],[PQoss (mW) C]]+Table7[[#This Row],[Pgate_bottom (mW) C]])</f>
        <v>471.65626789489886</v>
      </c>
      <c r="BY201" s="156">
        <f ca="1">Table7[[#This Row],[Pcon_bottom (mW) C]]+Table7[[#This Row],[Psw_bottom (mV) C]]</f>
        <v>495.33750252044553</v>
      </c>
      <c r="BZ201" s="156">
        <f ca="1">Table7[[#This Row],[Pbottom (mW) C]]+Table7[[#This Row],[Ptop (mW) C]]</f>
        <v>1192.8037504705183</v>
      </c>
      <c r="CA201" s="159"/>
      <c r="CB201" s="160">
        <f>(RAC_SNS*10^-3*(Table7[[#This Row],[IOUT (A)]]*Vbat/VACnom)^2/10^-3)</f>
        <v>77.51953125</v>
      </c>
      <c r="CC201" s="160">
        <f>(RBAT_SNS*10^-3*Table7[[#This Row],[IOUT (A)]]^2)/10^-3</f>
        <v>25.3125</v>
      </c>
      <c r="CD201" s="160">
        <f>IF(VACnom&gt;Vbat,(L_DRC*10^-3*(Table7[[#This Row],[IOUT (A)]])^2/10^-3),(L_DRC*10^-3*(Table7[[#This Row],[IOUT (A)]]*Vbat/VACnom)^2/10^-3))</f>
        <v>186.046875</v>
      </c>
      <c r="CE201" s="166"/>
      <c r="CF201" s="156">
        <f>(Table7[[#This Row],[R_AC (mW)]]+Table7[[#This Row],[R_SR (mW)]]+Table7[[#This Row],[Inductor Loss (mW)]])/10^3</f>
        <v>0.28887890625000001</v>
      </c>
      <c r="CG201" s="156">
        <f ca="1">Table7[[#This Row],[Total TI (mW)]]/10^3</f>
        <v>2.522195559927479</v>
      </c>
      <c r="CH201" s="156">
        <f ca="1">Table7[[#This Row],[Total Sense Loss]]+Table7[[#This Row],[Total MOSFET Loss]]</f>
        <v>2.8110744661774789</v>
      </c>
      <c r="CI201" s="161">
        <f ca="1">IF(Table7[[#This Row],[POUT (W)]]=0,0,(Table7[[#This Row],[POUT (W)]])/(Table7[[#This Row],[POUT (W)]]+Table7[[#This Row],[Total Power Loss (W)]]))*100</f>
        <v>90.570368507291406</v>
      </c>
      <c r="CJ201" s="167"/>
      <c r="CK201" s="156">
        <f>(Table7[[#This Row],[R_AC (mW)]]+Table7[[#This Row],[R_SR (mW)]]+Table7[[#This Row],[Inductor Loss (mW)]])/10^3</f>
        <v>0.28887890625000001</v>
      </c>
      <c r="CL201" s="156">
        <f ca="1">Table7[[#This Row],[Total (mW) C]]/10^3</f>
        <v>1.1928037504705182</v>
      </c>
      <c r="CM201" s="156">
        <f ca="1">Table7[[#This Row],[Total Sense Loss C]]+Table7[[#This Row],[Total MOSFET Loss C]]</f>
        <v>1.4816826567205181</v>
      </c>
      <c r="CN201" s="161">
        <f ca="1">IF(Table7[[#This Row],[POUT (W)]]=0,0,(Table7[[#This Row],[POUT (W)]])/(Table7[[#This Row],[POUT (W)]]+Table7[[#This Row],[Total Power Loss (W) C]]))*100</f>
        <v>94.797769940144661</v>
      </c>
      <c r="CO201" s="167"/>
      <c r="CP201" s="161">
        <f>IF(MOSFET_S=Custom_MOSFET,Table7[[#This Row],[Total Sense Loss C]],Table7[[#This Row],[Total Sense Loss]])</f>
        <v>0.28887890625000001</v>
      </c>
      <c r="CQ201" s="161">
        <f ca="1">IF(MOSFET_S=Custom_MOSFET,Table7[[#This Row],[Total MOSFET Loss C]],Table7[[#This Row],[Total MOSFET Loss]])</f>
        <v>2.522195559927479</v>
      </c>
      <c r="CR201" s="161">
        <f ca="1">IF(MOSFET_S=Custom_MOSFET,Table7[[#This Row],[Efficiency C]],Table7[[#This Row],[Efficiency]])</f>
        <v>90.570368507291406</v>
      </c>
      <c r="CS201" s="167"/>
      <c r="CT201" s="161">
        <f>IF(MOSFET_S=Compare_MOSFET, Table7[[#This Row],[Total Sense Loss C]], -100)</f>
        <v>-100</v>
      </c>
      <c r="CU201" s="161">
        <f>IF(MOSFET_S=Compare_MOSFET, Table7[[#This Row],[Total MOSFET Loss C]], -100)</f>
        <v>-100</v>
      </c>
      <c r="CV201" s="161">
        <f>IF(MOSFET_S=Compare_MOSFET, Table7[[#This Row],[Efficiency C]], -100)</f>
        <v>-100</v>
      </c>
      <c r="CW201" s="167"/>
      <c r="CX201" s="161">
        <f ca="1">IF(Save_Sel=CLR_Save,  Table7[[#This Row],[Total Sense Loss P1]], Table7[[#This Row],[Total Sense Loss P1 Saved]])</f>
        <v>0.28887890625000001</v>
      </c>
      <c r="CY201" s="161">
        <f ca="1">IF(Save_Sel=CLR_Save,  Table7[[#This Row],[Total MOSFET Loss P1]], Table7[[#This Row],[Total MOSFET Loss P1 Saved]] )</f>
        <v>1.8197060362488373</v>
      </c>
      <c r="CZ201" s="161">
        <f ca="1">IF(Save_Sel=CLR_Save, Table7[[#This Row],[Efficiency P1]], Table7[[#This Row],[Efficiency P1 Saved]])</f>
        <v>92.756140682674399</v>
      </c>
      <c r="DA201" s="167"/>
      <c r="DB201" s="161">
        <f ca="1">IF(Save_Sel=CLR_Save,  Table7[[#This Row],[Total Sense Loss P2]], Table7[[#This Row],[Total Sense Loss P2 Saved]])</f>
        <v>0.28887890625000001</v>
      </c>
      <c r="DC201" s="161">
        <f ca="1">IF(Save_Sel=CLR_Save,  Table7[[#This Row],[Total MOSFET Loss P2]], Table7[[#This Row],[Total MOSFET Loss P2 Saved]] )</f>
        <v>1.2122268263153293</v>
      </c>
      <c r="DD201" s="161">
        <f ca="1">IF(Save_Sel=CLR_Save, Table7[[#This Row],[Efficiency P2]], Table7[[#This Row],[Efficiency P2 Saved]])</f>
        <v>94.733166682546752</v>
      </c>
      <c r="DE201" s="167"/>
      <c r="DF201" s="21"/>
      <c r="DG201" s="21"/>
      <c r="DH201" s="21"/>
      <c r="DI201" s="21"/>
      <c r="DJ201" s="21"/>
      <c r="DK201" s="21"/>
      <c r="DL201" s="21"/>
      <c r="DM201" s="21"/>
      <c r="DN201" s="21"/>
      <c r="DO201" s="21"/>
      <c r="DP201" s="21"/>
      <c r="DQ201" s="21"/>
      <c r="DR201" s="21"/>
      <c r="DS201" s="21"/>
      <c r="DT201" s="21"/>
      <c r="DU201" s="21"/>
      <c r="DV201" s="21"/>
      <c r="DW201" s="21"/>
      <c r="DX201" s="21"/>
      <c r="DY201" s="21"/>
      <c r="DZ201" s="21"/>
      <c r="EA201" s="21"/>
      <c r="EB201" s="21"/>
      <c r="EC201" s="21"/>
      <c r="ED201" s="21"/>
      <c r="EE201" s="21"/>
      <c r="EF201" s="21"/>
      <c r="EG201" s="21"/>
      <c r="EH201" s="21"/>
      <c r="EI201" s="21"/>
      <c r="EJ201" s="21"/>
      <c r="EK201" s="21"/>
      <c r="EL201" s="21"/>
      <c r="EM201" s="21"/>
      <c r="EN201" s="21"/>
      <c r="EO201" s="21"/>
      <c r="EP201" s="21"/>
      <c r="EQ201" s="21"/>
      <c r="ER201" s="21"/>
      <c r="ES201" s="21"/>
      <c r="ET201" s="21"/>
      <c r="EU201" s="21"/>
      <c r="EV201" s="21"/>
      <c r="EW201" s="21"/>
      <c r="EX201" s="21"/>
      <c r="EY201" s="21"/>
      <c r="EZ201" s="21"/>
      <c r="FA201" s="21"/>
      <c r="FB201" s="21"/>
      <c r="FC201" s="21"/>
      <c r="FD201" s="21"/>
      <c r="FE201" s="21"/>
      <c r="FF201" s="21"/>
      <c r="FG201" s="21"/>
      <c r="FH201" s="21"/>
      <c r="FI201" s="21"/>
    </row>
    <row r="202" spans="1:165" x14ac:dyDescent="0.25">
      <c r="A202" s="34"/>
      <c r="B202" s="51"/>
      <c r="C202" s="51"/>
      <c r="D202" s="34"/>
      <c r="E202" s="69"/>
      <c r="F202" s="69"/>
      <c r="G202" s="51"/>
      <c r="H202" s="31"/>
      <c r="I202" s="31"/>
      <c r="J202" s="31"/>
      <c r="K202" s="31"/>
      <c r="L202" s="31"/>
      <c r="M202" s="31"/>
      <c r="N202" s="31"/>
      <c r="O202" s="31"/>
      <c r="P202" s="31"/>
      <c r="Q202" s="31"/>
      <c r="R202" s="31"/>
      <c r="S202" s="32"/>
      <c r="T202" s="20"/>
      <c r="U202" s="21"/>
      <c r="V202" s="21"/>
      <c r="W202" s="21"/>
      <c r="X202" s="21"/>
      <c r="Y202" s="21"/>
      <c r="Z202" s="21"/>
      <c r="AA202" s="21"/>
      <c r="AB202" s="21"/>
      <c r="AC202" s="21"/>
      <c r="AD202" s="21"/>
      <c r="AE202" s="21"/>
      <c r="AF202" s="154">
        <f t="shared" si="17"/>
        <v>46</v>
      </c>
      <c r="AG202" s="154">
        <f t="shared" si="39"/>
        <v>2.2999999999999998</v>
      </c>
      <c r="AH202" s="155">
        <f t="shared" si="28"/>
        <v>27.599999999999998</v>
      </c>
      <c r="AI202" s="156">
        <f t="shared" si="29"/>
        <v>0.42857142857142855</v>
      </c>
      <c r="AJ202" s="156">
        <f t="shared" si="30"/>
        <v>4.0250000000000004</v>
      </c>
      <c r="AK202" s="156">
        <f t="shared" si="26"/>
        <v>0.85714285714285721</v>
      </c>
      <c r="AL202" s="156">
        <f t="shared" si="27"/>
        <v>4.0325983546338859</v>
      </c>
      <c r="AM202" s="157"/>
      <c r="AN202" s="156">
        <f>MAX(0,Table7[[#This Row],[I_L]]-0.5*Table7[[#This Row],[I_L pkpk]])</f>
        <v>3.5964285714285715</v>
      </c>
      <c r="AO202" s="156">
        <f>Table7[[#This Row],[I_L]]+0.5*Table7[[#This Row],[I_L pkpk]]</f>
        <v>4.4535714285714292</v>
      </c>
      <c r="AP202" s="156">
        <f ca="1">IF(VACnom&gt;Vbat, (VGS_S-(TI_MOSFET_S_VTH_H_BU+Table7[[#This Row],[I_L]]/TI_MOSFET_S_gFS_H_BU))/3.4, (VGS_S-(TI_MOSFET_S_VTH_L_BO+Table7[[#This Row],[I_L]]/TI_MOSFET_S_gFS_L_BO))/3.4 )</f>
        <v>2.4173642533936652</v>
      </c>
      <c r="AQ202" s="156">
        <f ca="1">IF(VACnom&gt;Vbat, ((TI_MOSFET_S_VTH_H_BU+Table7[[#This Row],[I_L]]/TI_MOSFET_S_gFS_H_BU))/1, ((TI_MOSFET_S_VTH_L_BO+Table7[[#This Row],[I_L]]/TI_MOSFET_S_gFS_L_BO))/1 )</f>
        <v>1.7809615384615385</v>
      </c>
      <c r="AR202" s="156">
        <f ca="1">IF(VACnom&gt;Vbat, (TI_MOSFET_S_QGD_H_BU+TI_MOSFET_S_QGS_H_BU)*10^-9/Table7[[#This Row],[Ion (A)]], (TI_MOSFET_S_QGD_L_BO+TI_MOSFET_S_QGS_L_BO)*10^-9/Table7[[#This Row],[Ion (A)]])/10^-9</f>
        <v>11.913802381899437</v>
      </c>
      <c r="AS202" s="156">
        <f ca="1">IF(VACnom&gt;Vbat, (TI_MOSFET_S_QGD_H_BU+TI_MOSFET_S_QGS_H_BU)*10^-9/Table7[[#This Row],[Ioff (A)]], (TI_MOSFET_S_QGD_L_BO+TI_MOSFET_S_QGS_L_BO)*10^-9/Table7[[#This Row],[Ioff (A)]])/10^-9</f>
        <v>16.171039844509234</v>
      </c>
      <c r="AT202" s="156">
        <f ca="1" xml:space="preserve"> 0.5*VACnom*Table7[[#This Row],[Ivalley (A)]]*Table7[[#This Row],[ton (ns)]]*10^-9*Fsw*10^3+0.5*VACnom*Table7[[#This Row],[Ipeak (A)]]*Table7[[#This Row],[toff (ns)]]*10^-9*Fsw*10^3/10^-3</f>
        <v>259.42222137987756</v>
      </c>
      <c r="AU202" s="156">
        <f t="shared" ca="1" si="31"/>
        <v>262.8</v>
      </c>
      <c r="AV202" s="156">
        <f t="shared" ca="1" si="32"/>
        <v>648</v>
      </c>
      <c r="AW202" s="156">
        <f t="shared" ca="1" si="33"/>
        <v>554.4</v>
      </c>
      <c r="AX202" s="156">
        <f ca="1">IF(VACnom&gt;Vbat, TI_MOSFET_S_VSD_L_BU*Table7[[#This Row],[Ivalley (A)]]*Fsw*10^3*40*10^-9+TI_MOSFET_S_VSD_L_BU*Table7[[#This Row],[Ipeak (A)]]*Fsw*10^3*30*10^-9, TI_MOSFET_S_VSD_H_BO*Table7[[#This Row],[Ivalley (A)]]*Fsw*10^3*40*10^-9+TI_MOSFET_S_VSD_H_BO*Table7[[#This Row],[Ipeak (A)]]*Fsw*10^3*30*10^-9)/10^-3</f>
        <v>119.86457142857144</v>
      </c>
      <c r="AY202" s="156">
        <f t="shared" ca="1" si="34"/>
        <v>648</v>
      </c>
      <c r="AZ202" s="156">
        <f ca="1">IF(VACnom&lt;Vbat, Table7[[#This Row],[Duty Cycle]]*Table7[[#This Row],[I_L RMS]]^2*TI_MOSFET_S_RDSON_H_BU*10^-3, (1-Table7[[#This Row],[Duty Cycle]])*Table7[[#This Row],[I_L RMS]]^2*TI_MOSFET_S_RDSON_H_BO*10^-3)/10^-3</f>
        <v>19.514219387755105</v>
      </c>
      <c r="BA202" s="156">
        <f ca="1">IF(VACnom&gt;Vbat, Table7[[#This Row],[PIV (mW)]]+Table7[[#This Row],[Pqoss (mW)]]+Table7[[#This Row],[Pgate_top (mW)]], Table7[[#This Row],[PRR (mW)]]+Table7[[#This Row],[Pdead (mW)]]+Table7[[#This Row],[Pgate_top (mW)]])</f>
        <v>1322.2645714285713</v>
      </c>
      <c r="BB202" s="156">
        <f ca="1">Table7[[#This Row],[Pcon_top (mW)]]+Table7[[#This Row],[Psw_top (mW)]]</f>
        <v>1341.7787908163264</v>
      </c>
      <c r="BC202" s="156">
        <f ca="1">IF(VACnom&gt;Vbat, (1-Table7[[#This Row],[Duty Cycle]])*Table7[[#This Row],[I_L RMS]]^2*TI_MOSFET_S_RDSON_L_BU*10^-3, Table7[[#This Row],[Duty Cycle]]*Table7[[#This Row],[I_L RMS]]^2*TI_MOSFET_S_RDSON_L_BO*10^-3)/10^-3</f>
        <v>19.514219387755105</v>
      </c>
      <c r="BD202" s="156">
        <f ca="1">IF(VACnom&gt;Vbat, Table7[[#This Row],[PRR (mW)]]+Table7[[#This Row],[Pdead (mW)]]+Table7[[#This Row],[Pgate_bottom (mW)]], Table7[[#This Row],[PIV (mW)]]+Table7[[#This Row],[Pqoss (mW)]]+Table7[[#This Row],[Pgate_bottom (mW)]])</f>
        <v>1170.2222213798775</v>
      </c>
      <c r="BE202" s="158">
        <f ca="1">Table7[[#This Row],[Pcon_bottom (mW)]]+Table7[[#This Row],[Psw_bottom (mW)]]</f>
        <v>1189.7364407676325</v>
      </c>
      <c r="BF202" s="164">
        <f ca="1">Table7[[#This Row],[Pbottom (mW)]]+Table7[[#This Row],[Ptop (mW)]]</f>
        <v>2531.5152315839587</v>
      </c>
      <c r="BG202" s="153"/>
      <c r="BH202" s="156">
        <f>MAX(0,Table7[[#This Row],[I_L]]-0.5*Table7[[#This Row],[I_L pkpk]])</f>
        <v>3.5964285714285715</v>
      </c>
      <c r="BI202" s="156">
        <f>Table7[[#This Row],[I_L]]+0.5*Table7[[#This Row],[I_L pkpk]]</f>
        <v>4.4535714285714292</v>
      </c>
      <c r="BJ202" s="156">
        <f>IF(VACnom&gt;Vbat, (VGS_S-(C_MOSFET_S_VTH_H_BU+Table7[[#This Row],[I_L]]/C_MOSFET_S_gFS_H_BU))/3.4, (VGS_S-(C_MOSFET_S_VTH_L_BO+Table7[[#This Row],[I_L]]/C_MOSFET_S_gFS_L_BO))/3.4 )</f>
        <v>2.3450490196078433</v>
      </c>
      <c r="BK202" s="156">
        <f>IF(VACnom&gt;Vbat, ((C_MOSFET_S_VTH_H_BU+Table7[[#This Row],[I_L]]/C_MOSFET_S_gFS_H_BU))/1, ((C_MOSFET_S_VTH_L_BO+Table7[[#This Row],[I_L]]/C_MOSFET_S_gFS_L_BO))/1 )</f>
        <v>2.0268333333333333</v>
      </c>
      <c r="BL202" s="156">
        <f>IF(VACnom&gt;Vbat, (C_MOSFET_S_QGD_H_BU+C_MOSFET_S_QGS_H_BU)*10^-9/Table7[[#This Row],[Ion (A) C]], (C_MOSFET_S_QGD_L_BO+C_MOSFET_S_QGS_L_BO)*10^-9/Table7[[#This Row],[Ion (A) C]])/10^-9</f>
        <v>2.7717970693367335</v>
      </c>
      <c r="BM202" s="156">
        <f>IF(VACnom&gt;Vbat, (C_MOSFET_S_QGD_H_BU+C_MOSFET_S_QGS_H_BU)*10^-9/Table7[[#This Row],[Ioff (A) C]], (C_MOSFET_S_QGD_L_BO+C_MOSFET_S_QGS_L_BO)*10^-9/Table7[[#This Row],[Ioff (A) C]])/10^-9</f>
        <v>3.2069731107639172</v>
      </c>
      <c r="BN202" s="156">
        <f xml:space="preserve"> 0.5*VACnom*Table7[[#This Row],[Ivalley (A) C]]*Table7[[#This Row],[ton (ns) C]]*10^-9*Fsw*10^3+0.5*VACnom*Table7[[#This Row],[Ipeak (A) C]]*Table7[[#This Row],[toff (ns) C]]*10^-9*Fsw*10^3/10^-3</f>
        <v>51.452828598489781</v>
      </c>
      <c r="BO202" s="156">
        <f t="shared" si="35"/>
        <v>129.6</v>
      </c>
      <c r="BP202" s="156">
        <f t="shared" ca="1" si="36"/>
        <v>291.59999999999997</v>
      </c>
      <c r="BQ202" s="156">
        <f t="shared" si="37"/>
        <v>237.6</v>
      </c>
      <c r="BR202" s="156">
        <f>IF(VACnom&gt;Vbat, C_MOSFET_S_VSD_L_BU*Table7[[#This Row],[Ivalley (A) C]]*Fsw*10^3*40*10^-9+C_MOSFET_S_VSD_L_BU*Table7[[#This Row],[Ipeak (A) C]]*Fsw*10^3*30*10^-9, C_MOSFET_S_VSD_H_BO*Table7[[#This Row],[Ivalley (A) C]]*Fsw*10^3*40*10^-9+C_MOSFET_S_VSD_H_BO*Table7[[#This Row],[Ipeak (A) C]]*Fsw*10^3*30*10^-9)/10^-3</f>
        <v>133.18285714285716</v>
      </c>
      <c r="BS202" s="156">
        <f t="shared" ca="1" si="38"/>
        <v>291.59999999999997</v>
      </c>
      <c r="BT202" s="156">
        <f>IF(VACnom&lt;Vbat, Table7[[#This Row],[Duty Cycle]]*Table7[[#This Row],[I_L RMS]]^2*C_MOSFET_S_RDSON_H_BU*10^-3, (1-Table7[[#This Row],[Duty Cycle]])*Table7[[#This Row],[I_L RMS]]^2*C_MOSFET_S_RDSON_H_BO*10^-3)/10^-3</f>
        <v>39.725375182215757</v>
      </c>
      <c r="BU202" s="156">
        <f ca="1">IF(VACnom&gt;Vbat, Table7[[#This Row],[PIV (mW) C]]+Table7[[#This Row],[PQoss (mW) C]]+Table7[[#This Row],[Pgate_top (mW) C]], Table7[[#This Row],[PRR (mW) C]]+Table7[[#This Row],[Pdead (mW) C]]+Table7[[#This Row],[Pgate_top (mW) C]])</f>
        <v>662.38285714285712</v>
      </c>
      <c r="BV202" s="156">
        <f ca="1">Table7[[#This Row],[Pcon_top (mW) C]]+Table7[[#This Row],[Psw_top (mW) C]]</f>
        <v>702.10823232507289</v>
      </c>
      <c r="BW202" s="156">
        <f ca="1">IF(VACnom&gt;Vbat, (1-Table7[[#This Row],[Duty Cycle]])*Table7[[#This Row],[I_L RMS]]^2*C_MOSFET_S_RDSON_L_BU*10^-3, Table7[[#This Row],[Duty Cycle]]*Table7[[#This Row],[I_L RMS]]^2*C_MOSFET_S_RDSON_L_BO*10^-3)/10^-3</f>
        <v>24.741242438046655</v>
      </c>
      <c r="BX202" s="156">
        <f ca="1">IF(VACnom&gt;Vbat, Table7[[#This Row],[PRR (mW) C]]+Table7[[#This Row],[Pdead (mW) C]]+Table7[[#This Row],[Pgate_bottom (mW) C]], Table7[[#This Row],[PIV (mW) C]]+Table7[[#This Row],[PQoss (mW) C]]+Table7[[#This Row],[Pgate_bottom (mW) C]])</f>
        <v>472.65282859848975</v>
      </c>
      <c r="BY202" s="156">
        <f ca="1">Table7[[#This Row],[Pcon_bottom (mW) C]]+Table7[[#This Row],[Psw_bottom (mV) C]]</f>
        <v>497.39407103653639</v>
      </c>
      <c r="BZ202" s="156">
        <f ca="1">Table7[[#This Row],[Pbottom (mW) C]]+Table7[[#This Row],[Ptop (mW) C]]</f>
        <v>1199.5023033616094</v>
      </c>
      <c r="CA202" s="159"/>
      <c r="CB202" s="160">
        <f>(RAC_SNS*10^-3*(Table7[[#This Row],[IOUT (A)]]*Vbat/VACnom)^2/10^-3)</f>
        <v>81.003124999999983</v>
      </c>
      <c r="CC202" s="160">
        <f>(RBAT_SNS*10^-3*Table7[[#This Row],[IOUT (A)]]^2)/10^-3</f>
        <v>26.449999999999996</v>
      </c>
      <c r="CD202" s="160">
        <f>IF(VACnom&gt;Vbat,(L_DRC*10^-3*(Table7[[#This Row],[IOUT (A)]])^2/10^-3),(L_DRC*10^-3*(Table7[[#This Row],[IOUT (A)]]*Vbat/VACnom)^2/10^-3))</f>
        <v>194.40749999999994</v>
      </c>
      <c r="CE202" s="166"/>
      <c r="CF202" s="156">
        <f>(Table7[[#This Row],[R_AC (mW)]]+Table7[[#This Row],[R_SR (mW)]]+Table7[[#This Row],[Inductor Loss (mW)]])/10^3</f>
        <v>0.30186062499999994</v>
      </c>
      <c r="CG202" s="156">
        <f ca="1">Table7[[#This Row],[Total TI (mW)]]/10^3</f>
        <v>2.5315152315839589</v>
      </c>
      <c r="CH202" s="156">
        <f ca="1">Table7[[#This Row],[Total Sense Loss]]+Table7[[#This Row],[Total MOSFET Loss]]</f>
        <v>2.8333758565839586</v>
      </c>
      <c r="CI202" s="161">
        <f ca="1">IF(Table7[[#This Row],[POUT (W)]]=0,0,(Table7[[#This Row],[POUT (W)]])/(Table7[[#This Row],[POUT (W)]]+Table7[[#This Row],[Total Power Loss (W)]]))*100</f>
        <v>90.689906141414838</v>
      </c>
      <c r="CJ202" s="167"/>
      <c r="CK202" s="156">
        <f>(Table7[[#This Row],[R_AC (mW)]]+Table7[[#This Row],[R_SR (mW)]]+Table7[[#This Row],[Inductor Loss (mW)]])/10^3</f>
        <v>0.30186062499999994</v>
      </c>
      <c r="CL202" s="156">
        <f ca="1">Table7[[#This Row],[Total (mW) C]]/10^3</f>
        <v>1.1995023033616095</v>
      </c>
      <c r="CM202" s="156">
        <f ca="1">Table7[[#This Row],[Total Sense Loss C]]+Table7[[#This Row],[Total MOSFET Loss C]]</f>
        <v>1.5013629283616095</v>
      </c>
      <c r="CN202" s="161">
        <f ca="1">IF(Table7[[#This Row],[POUT (W)]]=0,0,(Table7[[#This Row],[POUT (W)]])/(Table7[[#This Row],[POUT (W)]]+Table7[[#This Row],[Total Power Loss (W) C]]))*100</f>
        <v>94.840918852984686</v>
      </c>
      <c r="CO202" s="167"/>
      <c r="CP202" s="161">
        <f>IF(MOSFET_S=Custom_MOSFET,Table7[[#This Row],[Total Sense Loss C]],Table7[[#This Row],[Total Sense Loss]])</f>
        <v>0.30186062499999994</v>
      </c>
      <c r="CQ202" s="161">
        <f ca="1">IF(MOSFET_S=Custom_MOSFET,Table7[[#This Row],[Total MOSFET Loss C]],Table7[[#This Row],[Total MOSFET Loss]])</f>
        <v>2.5315152315839589</v>
      </c>
      <c r="CR202" s="161">
        <f ca="1">IF(MOSFET_S=Custom_MOSFET,Table7[[#This Row],[Efficiency C]],Table7[[#This Row],[Efficiency]])</f>
        <v>90.689906141414838</v>
      </c>
      <c r="CS202" s="167"/>
      <c r="CT202" s="161">
        <f>IF(MOSFET_S=Compare_MOSFET, Table7[[#This Row],[Total Sense Loss C]], -100)</f>
        <v>-100</v>
      </c>
      <c r="CU202" s="161">
        <f>IF(MOSFET_S=Compare_MOSFET, Table7[[#This Row],[Total MOSFET Loss C]], -100)</f>
        <v>-100</v>
      </c>
      <c r="CV202" s="161">
        <f>IF(MOSFET_S=Compare_MOSFET, Table7[[#This Row],[Efficiency C]], -100)</f>
        <v>-100</v>
      </c>
      <c r="CW202" s="167"/>
      <c r="CX202" s="161">
        <f ca="1">IF(Save_Sel=CLR_Save,  Table7[[#This Row],[Total Sense Loss P1]], Table7[[#This Row],[Total Sense Loss P1 Saved]])</f>
        <v>0.30186062499999994</v>
      </c>
      <c r="CY202" s="161">
        <f ca="1">IF(Save_Sel=CLR_Save,  Table7[[#This Row],[Total MOSFET Loss P1]], Table7[[#This Row],[Total MOSFET Loss P1 Saved]] )</f>
        <v>1.8294812899527604</v>
      </c>
      <c r="CZ202" s="161">
        <f ca="1">IF(Save_Sel=CLR_Save, Table7[[#This Row],[Efficiency P1]], Table7[[#This Row],[Efficiency P1 Saved]])</f>
        <v>92.831329574529406</v>
      </c>
      <c r="DA202" s="167"/>
      <c r="DB202" s="161">
        <f ca="1">IF(Save_Sel=CLR_Save,  Table7[[#This Row],[Total Sense Loss P2]], Table7[[#This Row],[Total Sense Loss P2 Saved]])</f>
        <v>0.30186062499999994</v>
      </c>
      <c r="DC202" s="161">
        <f ca="1">IF(Save_Sel=CLR_Save,  Table7[[#This Row],[Total MOSFET Loss P2]], Table7[[#This Row],[Total MOSFET Loss P2 Saved]] )</f>
        <v>1.2197932668342635</v>
      </c>
      <c r="DD202" s="161">
        <f ca="1">IF(Save_Sel=CLR_Save, Table7[[#This Row],[Efficiency P2]], Table7[[#This Row],[Efficiency P2 Saved]])</f>
        <v>94.774836973593267</v>
      </c>
      <c r="DE202" s="167"/>
      <c r="DF202" s="21"/>
      <c r="DG202" s="21"/>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c r="FH202" s="21"/>
      <c r="FI202" s="21"/>
    </row>
    <row r="203" spans="1:165" x14ac:dyDescent="0.25">
      <c r="A203" s="34"/>
      <c r="B203" s="51"/>
      <c r="C203" s="51"/>
      <c r="D203" s="34"/>
      <c r="E203" s="69"/>
      <c r="F203" s="69"/>
      <c r="G203" s="51"/>
      <c r="H203" s="31"/>
      <c r="I203" s="31"/>
      <c r="J203" s="31"/>
      <c r="K203" s="31"/>
      <c r="L203" s="31"/>
      <c r="M203" s="31"/>
      <c r="N203" s="31"/>
      <c r="O203" s="31"/>
      <c r="P203" s="31"/>
      <c r="Q203" s="31"/>
      <c r="R203" s="31"/>
      <c r="S203" s="32"/>
      <c r="T203" s="20"/>
      <c r="U203" s="21"/>
      <c r="V203" s="21"/>
      <c r="W203" s="21"/>
      <c r="X203" s="21"/>
      <c r="Y203" s="21"/>
      <c r="Z203" s="21"/>
      <c r="AA203" s="21"/>
      <c r="AB203" s="21"/>
      <c r="AC203" s="21"/>
      <c r="AD203" s="21"/>
      <c r="AE203" s="21"/>
      <c r="AF203" s="154">
        <f t="shared" si="17"/>
        <v>47</v>
      </c>
      <c r="AG203" s="154">
        <f t="shared" si="39"/>
        <v>2.35</v>
      </c>
      <c r="AH203" s="155">
        <f t="shared" si="28"/>
        <v>28.200000000000003</v>
      </c>
      <c r="AI203" s="156">
        <f t="shared" si="29"/>
        <v>0.42857142857142855</v>
      </c>
      <c r="AJ203" s="156">
        <f t="shared" si="30"/>
        <v>4.1125000000000007</v>
      </c>
      <c r="AK203" s="156">
        <f t="shared" si="26"/>
        <v>0.85714285714285721</v>
      </c>
      <c r="AL203" s="156">
        <f t="shared" si="27"/>
        <v>4.1199369825029999</v>
      </c>
      <c r="AM203" s="157"/>
      <c r="AN203" s="156">
        <f>MAX(0,Table7[[#This Row],[I_L]]-0.5*Table7[[#This Row],[I_L pkpk]])</f>
        <v>3.6839285714285719</v>
      </c>
      <c r="AO203" s="156">
        <f>Table7[[#This Row],[I_L]]+0.5*Table7[[#This Row],[I_L pkpk]]</f>
        <v>4.5410714285714295</v>
      </c>
      <c r="AP203" s="156">
        <f ca="1">IF(VACnom&gt;Vbat, (VGS_S-(TI_MOSFET_S_VTH_H_BU+Table7[[#This Row],[I_L]]/TI_MOSFET_S_gFS_H_BU))/3.4, (VGS_S-(TI_MOSFET_S_VTH_L_BO+Table7[[#This Row],[I_L]]/TI_MOSFET_S_gFS_L_BO))/3.4 )</f>
        <v>2.4171662895927604</v>
      </c>
      <c r="AQ203" s="156">
        <f ca="1">IF(VACnom&gt;Vbat, ((TI_MOSFET_S_VTH_H_BU+Table7[[#This Row],[I_L]]/TI_MOSFET_S_gFS_H_BU))/1, ((TI_MOSFET_S_VTH_L_BO+Table7[[#This Row],[I_L]]/TI_MOSFET_S_gFS_L_BO))/1 )</f>
        <v>1.7816346153846154</v>
      </c>
      <c r="AR203" s="156">
        <f ca="1">IF(VACnom&gt;Vbat, (TI_MOSFET_S_QGD_H_BU+TI_MOSFET_S_QGS_H_BU)*10^-9/Table7[[#This Row],[Ion (A)]], (TI_MOSFET_S_QGD_L_BO+TI_MOSFET_S_QGS_L_BO)*10^-9/Table7[[#This Row],[Ion (A)]])/10^-9</f>
        <v>11.914778111874202</v>
      </c>
      <c r="AS203" s="156">
        <f ca="1">IF(VACnom&gt;Vbat, (TI_MOSFET_S_QGD_H_BU+TI_MOSFET_S_QGS_H_BU)*10^-9/Table7[[#This Row],[Ioff (A)]], (TI_MOSFET_S_QGD_L_BO+TI_MOSFET_S_QGS_L_BO)*10^-9/Table7[[#This Row],[Ioff (A)]])/10^-9</f>
        <v>16.164930649252522</v>
      </c>
      <c r="AT203" s="156">
        <f ca="1" xml:space="preserve"> 0.5*VACnom*Table7[[#This Row],[Ivalley (A)]]*Table7[[#This Row],[ton (ns)]]*10^-9*Fsw*10^3+0.5*VACnom*Table7[[#This Row],[Ipeak (A)]]*Table7[[#This Row],[toff (ns)]]*10^-9*Fsw*10^3/10^-3</f>
        <v>264.41999246760412</v>
      </c>
      <c r="AU203" s="156">
        <f t="shared" ca="1" si="31"/>
        <v>262.8</v>
      </c>
      <c r="AV203" s="156">
        <f t="shared" ca="1" si="32"/>
        <v>648</v>
      </c>
      <c r="AW203" s="156">
        <f t="shared" ca="1" si="33"/>
        <v>554.4</v>
      </c>
      <c r="AX203" s="156">
        <f ca="1">IF(VACnom&gt;Vbat, TI_MOSFET_S_VSD_L_BU*Table7[[#This Row],[Ivalley (A)]]*Fsw*10^3*40*10^-9+TI_MOSFET_S_VSD_L_BU*Table7[[#This Row],[Ipeak (A)]]*Fsw*10^3*30*10^-9, TI_MOSFET_S_VSD_H_BO*Table7[[#This Row],[Ivalley (A)]]*Fsw*10^3*40*10^-9+TI_MOSFET_S_VSD_H_BO*Table7[[#This Row],[Ipeak (A)]]*Fsw*10^3*30*10^-9)/10^-3</f>
        <v>122.51057142857144</v>
      </c>
      <c r="AY203" s="156">
        <f t="shared" ca="1" si="34"/>
        <v>648</v>
      </c>
      <c r="AZ203" s="156">
        <f ca="1">IF(VACnom&lt;Vbat, Table7[[#This Row],[Duty Cycle]]*Table7[[#This Row],[I_L RMS]]^2*TI_MOSFET_S_RDSON_H_BU*10^-3, (1-Table7[[#This Row],[Duty Cycle]])*Table7[[#This Row],[I_L RMS]]^2*TI_MOSFET_S_RDSON_H_BO*10^-3)/10^-3</f>
        <v>20.368656887755105</v>
      </c>
      <c r="BA203" s="156">
        <f ca="1">IF(VACnom&gt;Vbat, Table7[[#This Row],[PIV (mW)]]+Table7[[#This Row],[Pqoss (mW)]]+Table7[[#This Row],[Pgate_top (mW)]], Table7[[#This Row],[PRR (mW)]]+Table7[[#This Row],[Pdead (mW)]]+Table7[[#This Row],[Pgate_top (mW)]])</f>
        <v>1324.9105714285715</v>
      </c>
      <c r="BB203" s="156">
        <f ca="1">Table7[[#This Row],[Pcon_top (mW)]]+Table7[[#This Row],[Psw_top (mW)]]</f>
        <v>1345.2792283163267</v>
      </c>
      <c r="BC203" s="156">
        <f ca="1">IF(VACnom&gt;Vbat, (1-Table7[[#This Row],[Duty Cycle]])*Table7[[#This Row],[I_L RMS]]^2*TI_MOSFET_S_RDSON_L_BU*10^-3, Table7[[#This Row],[Duty Cycle]]*Table7[[#This Row],[I_L RMS]]^2*TI_MOSFET_S_RDSON_L_BO*10^-3)/10^-3</f>
        <v>20.368656887755105</v>
      </c>
      <c r="BD203" s="156">
        <f ca="1">IF(VACnom&gt;Vbat, Table7[[#This Row],[PRR (mW)]]+Table7[[#This Row],[Pdead (mW)]]+Table7[[#This Row],[Pgate_bottom (mW)]], Table7[[#This Row],[PIV (mW)]]+Table7[[#This Row],[Pqoss (mW)]]+Table7[[#This Row],[Pgate_bottom (mW)]])</f>
        <v>1175.2199924676042</v>
      </c>
      <c r="BE203" s="158">
        <f ca="1">Table7[[#This Row],[Pcon_bottom (mW)]]+Table7[[#This Row],[Psw_bottom (mW)]]</f>
        <v>1195.5886493553594</v>
      </c>
      <c r="BF203" s="164">
        <f ca="1">Table7[[#This Row],[Pbottom (mW)]]+Table7[[#This Row],[Ptop (mW)]]</f>
        <v>2540.8678776716861</v>
      </c>
      <c r="BG203" s="153"/>
      <c r="BH203" s="156">
        <f>MAX(0,Table7[[#This Row],[I_L]]-0.5*Table7[[#This Row],[I_L pkpk]])</f>
        <v>3.6839285714285719</v>
      </c>
      <c r="BI203" s="156">
        <f>Table7[[#This Row],[I_L]]+0.5*Table7[[#This Row],[I_L pkpk]]</f>
        <v>4.5410714285714295</v>
      </c>
      <c r="BJ203" s="156">
        <f>IF(VACnom&gt;Vbat, (VGS_S-(C_MOSFET_S_VTH_H_BU+Table7[[#This Row],[I_L]]/C_MOSFET_S_gFS_H_BU))/3.4, (VGS_S-(C_MOSFET_S_VTH_L_BO+Table7[[#This Row],[I_L]]/C_MOSFET_S_gFS_L_BO))/3.4 )</f>
        <v>2.344877450980392</v>
      </c>
      <c r="BK203" s="156">
        <f>IF(VACnom&gt;Vbat, ((C_MOSFET_S_VTH_H_BU+Table7[[#This Row],[I_L]]/C_MOSFET_S_gFS_H_BU))/1, ((C_MOSFET_S_VTH_L_BO+Table7[[#This Row],[I_L]]/C_MOSFET_S_gFS_L_BO))/1 )</f>
        <v>2.0274166666666669</v>
      </c>
      <c r="BL203" s="156">
        <f>IF(VACnom&gt;Vbat, (C_MOSFET_S_QGD_H_BU+C_MOSFET_S_QGS_H_BU)*10^-9/Table7[[#This Row],[Ion (A) C]], (C_MOSFET_S_QGD_L_BO+C_MOSFET_S_QGS_L_BO)*10^-9/Table7[[#This Row],[Ion (A) C]])/10^-9</f>
        <v>2.7719998745701417</v>
      </c>
      <c r="BM203" s="156">
        <f>IF(VACnom&gt;Vbat, (C_MOSFET_S_QGD_H_BU+C_MOSFET_S_QGS_H_BU)*10^-9/Table7[[#This Row],[Ioff (A) C]], (C_MOSFET_S_QGD_L_BO+C_MOSFET_S_QGS_L_BO)*10^-9/Table7[[#This Row],[Ioff (A) C]])/10^-9</f>
        <v>3.2060503925356567</v>
      </c>
      <c r="BN203" s="156">
        <f xml:space="preserve"> 0.5*VACnom*Table7[[#This Row],[Ivalley (A) C]]*Table7[[#This Row],[ton (ns) C]]*10^-9*Fsw*10^3+0.5*VACnom*Table7[[#This Row],[Ipeak (A) C]]*Table7[[#This Row],[toff (ns) C]]*10^-9*Fsw*10^3/10^-3</f>
        <v>52.448816468310518</v>
      </c>
      <c r="BO203" s="156">
        <f t="shared" si="35"/>
        <v>129.6</v>
      </c>
      <c r="BP203" s="156">
        <f t="shared" ca="1" si="36"/>
        <v>291.59999999999997</v>
      </c>
      <c r="BQ203" s="156">
        <f t="shared" si="37"/>
        <v>237.6</v>
      </c>
      <c r="BR203" s="156">
        <f>IF(VACnom&gt;Vbat, C_MOSFET_S_VSD_L_BU*Table7[[#This Row],[Ivalley (A) C]]*Fsw*10^3*40*10^-9+C_MOSFET_S_VSD_L_BU*Table7[[#This Row],[Ipeak (A) C]]*Fsw*10^3*30*10^-9, C_MOSFET_S_VSD_H_BO*Table7[[#This Row],[Ivalley (A) C]]*Fsw*10^3*40*10^-9+C_MOSFET_S_VSD_H_BO*Table7[[#This Row],[Ipeak (A) C]]*Fsw*10^3*30*10^-9)/10^-3</f>
        <v>136.12285714285719</v>
      </c>
      <c r="BS203" s="156">
        <f t="shared" ca="1" si="38"/>
        <v>291.59999999999997</v>
      </c>
      <c r="BT203" s="156">
        <f>IF(VACnom&lt;Vbat, Table7[[#This Row],[Duty Cycle]]*Table7[[#This Row],[I_L RMS]]^2*C_MOSFET_S_RDSON_H_BU*10^-3, (1-Table7[[#This Row],[Duty Cycle]])*Table7[[#This Row],[I_L RMS]]^2*C_MOSFET_S_RDSON_H_BO*10^-3)/10^-3</f>
        <v>41.464765807215755</v>
      </c>
      <c r="BU203" s="156">
        <f ca="1">IF(VACnom&gt;Vbat, Table7[[#This Row],[PIV (mW) C]]+Table7[[#This Row],[PQoss (mW) C]]+Table7[[#This Row],[Pgate_top (mW) C]], Table7[[#This Row],[PRR (mW) C]]+Table7[[#This Row],[Pdead (mW) C]]+Table7[[#This Row],[Pgate_top (mW) C]])</f>
        <v>665.32285714285717</v>
      </c>
      <c r="BV203" s="156">
        <f ca="1">Table7[[#This Row],[Pcon_top (mW) C]]+Table7[[#This Row],[Psw_top (mW) C]]</f>
        <v>706.78762295007289</v>
      </c>
      <c r="BW203" s="156">
        <f ca="1">IF(VACnom&gt;Vbat, (1-Table7[[#This Row],[Duty Cycle]])*Table7[[#This Row],[I_L RMS]]^2*C_MOSFET_S_RDSON_L_BU*10^-3, Table7[[#This Row],[Duty Cycle]]*Table7[[#This Row],[I_L RMS]]^2*C_MOSFET_S_RDSON_L_BO*10^-3)/10^-3</f>
        <v>25.824547125546651</v>
      </c>
      <c r="BX203" s="156">
        <f ca="1">IF(VACnom&gt;Vbat, Table7[[#This Row],[PRR (mW) C]]+Table7[[#This Row],[Pdead (mW) C]]+Table7[[#This Row],[Pgate_bottom (mW) C]], Table7[[#This Row],[PIV (mW) C]]+Table7[[#This Row],[PQoss (mW) C]]+Table7[[#This Row],[Pgate_bottom (mW) C]])</f>
        <v>473.64881646831049</v>
      </c>
      <c r="BY203" s="156">
        <f ca="1">Table7[[#This Row],[Pcon_bottom (mW) C]]+Table7[[#This Row],[Psw_bottom (mV) C]]</f>
        <v>499.47336359385713</v>
      </c>
      <c r="BZ203" s="156">
        <f ca="1">Table7[[#This Row],[Pbottom (mW) C]]+Table7[[#This Row],[Ptop (mW) C]]</f>
        <v>1206.2609865439299</v>
      </c>
      <c r="CA203" s="159"/>
      <c r="CB203" s="160">
        <f>(RAC_SNS*10^-3*(Table7[[#This Row],[IOUT (A)]]*Vbat/VACnom)^2/10^-3)</f>
        <v>84.563281249999989</v>
      </c>
      <c r="CC203" s="160">
        <f>(RBAT_SNS*10^-3*Table7[[#This Row],[IOUT (A)]]^2)/10^-3</f>
        <v>27.612500000000004</v>
      </c>
      <c r="CD203" s="160">
        <f>IF(VACnom&gt;Vbat,(L_DRC*10^-3*(Table7[[#This Row],[IOUT (A)]])^2/10^-3),(L_DRC*10^-3*(Table7[[#This Row],[IOUT (A)]]*Vbat/VACnom)^2/10^-3))</f>
        <v>202.95187499999997</v>
      </c>
      <c r="CE203" s="166"/>
      <c r="CF203" s="156">
        <f>(Table7[[#This Row],[R_AC (mW)]]+Table7[[#This Row],[R_SR (mW)]]+Table7[[#This Row],[Inductor Loss (mW)]])/10^3</f>
        <v>0.31512765625</v>
      </c>
      <c r="CG203" s="156">
        <f ca="1">Table7[[#This Row],[Total TI (mW)]]/10^3</f>
        <v>2.540867877671686</v>
      </c>
      <c r="CH203" s="156">
        <f ca="1">Table7[[#This Row],[Total Sense Loss]]+Table7[[#This Row],[Total MOSFET Loss]]</f>
        <v>2.855995533921686</v>
      </c>
      <c r="CI203" s="161">
        <f ca="1">IF(Table7[[#This Row],[POUT (W)]]=0,0,(Table7[[#This Row],[POUT (W)]])/(Table7[[#This Row],[POUT (W)]]+Table7[[#This Row],[Total Power Loss (W)]]))*100</f>
        <v>90.803722486364506</v>
      </c>
      <c r="CJ203" s="167"/>
      <c r="CK203" s="156">
        <f>(Table7[[#This Row],[R_AC (mW)]]+Table7[[#This Row],[R_SR (mW)]]+Table7[[#This Row],[Inductor Loss (mW)]])/10^3</f>
        <v>0.31512765625</v>
      </c>
      <c r="CL203" s="156">
        <f ca="1">Table7[[#This Row],[Total (mW) C]]/10^3</f>
        <v>1.20626098654393</v>
      </c>
      <c r="CM203" s="156">
        <f ca="1">Table7[[#This Row],[Total Sense Loss C]]+Table7[[#This Row],[Total MOSFET Loss C]]</f>
        <v>1.52138864279393</v>
      </c>
      <c r="CN203" s="161">
        <f ca="1">IF(Table7[[#This Row],[POUT (W)]]=0,0,(Table7[[#This Row],[POUT (W)]])/(Table7[[#This Row],[POUT (W)]]+Table7[[#This Row],[Total Power Loss (W) C]]))*100</f>
        <v>94.881165678095599</v>
      </c>
      <c r="CO203" s="167"/>
      <c r="CP203" s="161">
        <f>IF(MOSFET_S=Custom_MOSFET,Table7[[#This Row],[Total Sense Loss C]],Table7[[#This Row],[Total Sense Loss]])</f>
        <v>0.31512765625</v>
      </c>
      <c r="CQ203" s="161">
        <f ca="1">IF(MOSFET_S=Custom_MOSFET,Table7[[#This Row],[Total MOSFET Loss C]],Table7[[#This Row],[Total MOSFET Loss]])</f>
        <v>2.540867877671686</v>
      </c>
      <c r="CR203" s="161">
        <f ca="1">IF(MOSFET_S=Custom_MOSFET,Table7[[#This Row],[Efficiency C]],Table7[[#This Row],[Efficiency]])</f>
        <v>90.803722486364506</v>
      </c>
      <c r="CS203" s="167"/>
      <c r="CT203" s="161">
        <f>IF(MOSFET_S=Compare_MOSFET, Table7[[#This Row],[Total Sense Loss C]], -100)</f>
        <v>-100</v>
      </c>
      <c r="CU203" s="161">
        <f>IF(MOSFET_S=Compare_MOSFET, Table7[[#This Row],[Total MOSFET Loss C]], -100)</f>
        <v>-100</v>
      </c>
      <c r="CV203" s="161">
        <f>IF(MOSFET_S=Compare_MOSFET, Table7[[#This Row],[Efficiency C]], -100)</f>
        <v>-100</v>
      </c>
      <c r="CW203" s="167"/>
      <c r="CX203" s="161">
        <f ca="1">IF(Save_Sel=CLR_Save,  Table7[[#This Row],[Total Sense Loss P1]], Table7[[#This Row],[Total Sense Loss P1 Saved]])</f>
        <v>0.31512765625</v>
      </c>
      <c r="CY203" s="161">
        <f ca="1">IF(Save_Sel=CLR_Save,  Table7[[#This Row],[Total MOSFET Loss P1]], Table7[[#This Row],[Total MOSFET Loss P1 Saved]] )</f>
        <v>1.8392993668945874</v>
      </c>
      <c r="CZ203" s="161">
        <f ca="1">IF(Save_Sel=CLR_Save, Table7[[#This Row],[Efficiency P1]], Table7[[#This Row],[Efficiency P1 Saved]])</f>
        <v>92.902428955414365</v>
      </c>
      <c r="DA203" s="167"/>
      <c r="DB203" s="161">
        <f ca="1">IF(Save_Sel=CLR_Save,  Table7[[#This Row],[Total Sense Loss P2]], Table7[[#This Row],[Total Sense Loss P2 Saved]])</f>
        <v>0.31512765625</v>
      </c>
      <c r="DC203" s="161">
        <f ca="1">IF(Save_Sel=CLR_Save,  Table7[[#This Row],[Total MOSFET Loss P2]], Table7[[#This Row],[Total MOSFET Loss P2 Saved]] )</f>
        <v>1.2274388701069894</v>
      </c>
      <c r="DD203" s="161">
        <f ca="1">IF(Save_Sel=CLR_Save, Table7[[#This Row],[Efficiency P2]], Table7[[#This Row],[Efficiency P2 Saved]])</f>
        <v>94.813606535972568</v>
      </c>
      <c r="DE203" s="167"/>
      <c r="DF203" s="21"/>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c r="FH203" s="21"/>
      <c r="FI203" s="21"/>
    </row>
    <row r="204" spans="1:165" x14ac:dyDescent="0.25">
      <c r="A204" s="34"/>
      <c r="B204" s="51"/>
      <c r="C204" s="51"/>
      <c r="D204" s="34"/>
      <c r="E204" s="69"/>
      <c r="F204" s="69"/>
      <c r="G204" s="51"/>
      <c r="H204" s="31"/>
      <c r="I204" s="31"/>
      <c r="J204" s="31"/>
      <c r="K204" s="31"/>
      <c r="L204" s="31"/>
      <c r="M204" s="31"/>
      <c r="N204" s="31"/>
      <c r="O204" s="31"/>
      <c r="P204" s="31"/>
      <c r="Q204" s="31"/>
      <c r="R204" s="31"/>
      <c r="S204" s="32"/>
      <c r="T204" s="20"/>
      <c r="U204" s="21"/>
      <c r="V204" s="21"/>
      <c r="W204" s="21"/>
      <c r="X204" s="21"/>
      <c r="Y204" s="21"/>
      <c r="Z204" s="21"/>
      <c r="AA204" s="21"/>
      <c r="AB204" s="21"/>
      <c r="AC204" s="21"/>
      <c r="AD204" s="21"/>
      <c r="AE204" s="21"/>
      <c r="AF204" s="154">
        <f t="shared" si="17"/>
        <v>48</v>
      </c>
      <c r="AG204" s="154">
        <f t="shared" si="39"/>
        <v>2.4</v>
      </c>
      <c r="AH204" s="155">
        <f t="shared" si="28"/>
        <v>28.799999999999997</v>
      </c>
      <c r="AI204" s="156">
        <f t="shared" si="29"/>
        <v>0.42857142857142855</v>
      </c>
      <c r="AJ204" s="156">
        <f t="shared" si="30"/>
        <v>4.2</v>
      </c>
      <c r="AK204" s="156">
        <f t="shared" si="26"/>
        <v>0.85714285714285721</v>
      </c>
      <c r="AL204" s="156">
        <f t="shared" si="27"/>
        <v>4.2072823163885635</v>
      </c>
      <c r="AM204" s="157"/>
      <c r="AN204" s="156">
        <f>MAX(0,Table7[[#This Row],[I_L]]-0.5*Table7[[#This Row],[I_L pkpk]])</f>
        <v>3.7714285714285714</v>
      </c>
      <c r="AO204" s="156">
        <f>Table7[[#This Row],[I_L]]+0.5*Table7[[#This Row],[I_L pkpk]]</f>
        <v>4.628571428571429</v>
      </c>
      <c r="AP204" s="156">
        <f ca="1">IF(VACnom&gt;Vbat, (VGS_S-(TI_MOSFET_S_VTH_H_BU+Table7[[#This Row],[I_L]]/TI_MOSFET_S_gFS_H_BU))/3.4, (VGS_S-(TI_MOSFET_S_VTH_L_BO+Table7[[#This Row],[I_L]]/TI_MOSFET_S_gFS_L_BO))/3.4 )</f>
        <v>2.4169683257918551</v>
      </c>
      <c r="AQ204" s="156">
        <f ca="1">IF(VACnom&gt;Vbat, ((TI_MOSFET_S_VTH_H_BU+Table7[[#This Row],[I_L]]/TI_MOSFET_S_gFS_H_BU))/1, ((TI_MOSFET_S_VTH_L_BO+Table7[[#This Row],[I_L]]/TI_MOSFET_S_gFS_L_BO))/1 )</f>
        <v>1.7823076923076924</v>
      </c>
      <c r="AR204" s="156">
        <f ca="1">IF(VACnom&gt;Vbat, (TI_MOSFET_S_QGD_H_BU+TI_MOSFET_S_QGS_H_BU)*10^-9/Table7[[#This Row],[Ion (A)]], (TI_MOSFET_S_QGD_L_BO+TI_MOSFET_S_QGS_L_BO)*10^-9/Table7[[#This Row],[Ion (A)]])/10^-9</f>
        <v>11.915754001684922</v>
      </c>
      <c r="AS204" s="156">
        <f ca="1">IF(VACnom&gt;Vbat, (TI_MOSFET_S_QGD_H_BU+TI_MOSFET_S_QGS_H_BU)*10^-9/Table7[[#This Row],[Ioff (A)]], (TI_MOSFET_S_QGD_L_BO+TI_MOSFET_S_QGS_L_BO)*10^-9/Table7[[#This Row],[Ioff (A)]])/10^-9</f>
        <v>16.158826068191626</v>
      </c>
      <c r="AT204" s="156">
        <f ca="1" xml:space="preserve"> 0.5*VACnom*Table7[[#This Row],[Ivalley (A)]]*Table7[[#This Row],[ton (ns)]]*10^-9*Fsw*10^3+0.5*VACnom*Table7[[#This Row],[Ipeak (A)]]*Table7[[#This Row],[toff (ns)]]*10^-9*Fsw*10^3/10^-3</f>
        <v>269.41399226488454</v>
      </c>
      <c r="AU204" s="156">
        <f t="shared" ca="1" si="31"/>
        <v>262.8</v>
      </c>
      <c r="AV204" s="156">
        <f t="shared" ca="1" si="32"/>
        <v>648</v>
      </c>
      <c r="AW204" s="156">
        <f t="shared" ca="1" si="33"/>
        <v>554.4</v>
      </c>
      <c r="AX204" s="156">
        <f ca="1">IF(VACnom&gt;Vbat, TI_MOSFET_S_VSD_L_BU*Table7[[#This Row],[Ivalley (A)]]*Fsw*10^3*40*10^-9+TI_MOSFET_S_VSD_L_BU*Table7[[#This Row],[Ipeak (A)]]*Fsw*10^3*30*10^-9, TI_MOSFET_S_VSD_H_BO*Table7[[#This Row],[Ivalley (A)]]*Fsw*10^3*40*10^-9+TI_MOSFET_S_VSD_H_BO*Table7[[#This Row],[Ipeak (A)]]*Fsw*10^3*30*10^-9)/10^-3</f>
        <v>125.15657142857143</v>
      </c>
      <c r="AY204" s="156">
        <f t="shared" ca="1" si="34"/>
        <v>648</v>
      </c>
      <c r="AZ204" s="156">
        <f ca="1">IF(VACnom&lt;Vbat, Table7[[#This Row],[Duty Cycle]]*Table7[[#This Row],[I_L RMS]]^2*TI_MOSFET_S_RDSON_H_BU*10^-3, (1-Table7[[#This Row],[Duty Cycle]])*Table7[[#This Row],[I_L RMS]]^2*TI_MOSFET_S_RDSON_H_BO*10^-3)/10^-3</f>
        <v>21.241469387755096</v>
      </c>
      <c r="BA204" s="156">
        <f ca="1">IF(VACnom&gt;Vbat, Table7[[#This Row],[PIV (mW)]]+Table7[[#This Row],[Pqoss (mW)]]+Table7[[#This Row],[Pgate_top (mW)]], Table7[[#This Row],[PRR (mW)]]+Table7[[#This Row],[Pdead (mW)]]+Table7[[#This Row],[Pgate_top (mW)]])</f>
        <v>1327.5565714285713</v>
      </c>
      <c r="BB204" s="156">
        <f ca="1">Table7[[#This Row],[Pcon_top (mW)]]+Table7[[#This Row],[Psw_top (mW)]]</f>
        <v>1348.7980408163264</v>
      </c>
      <c r="BC204" s="156">
        <f ca="1">IF(VACnom&gt;Vbat, (1-Table7[[#This Row],[Duty Cycle]])*Table7[[#This Row],[I_L RMS]]^2*TI_MOSFET_S_RDSON_L_BU*10^-3, Table7[[#This Row],[Duty Cycle]]*Table7[[#This Row],[I_L RMS]]^2*TI_MOSFET_S_RDSON_L_BO*10^-3)/10^-3</f>
        <v>21.241469387755096</v>
      </c>
      <c r="BD204" s="156">
        <f ca="1">IF(VACnom&gt;Vbat, Table7[[#This Row],[PRR (mW)]]+Table7[[#This Row],[Pdead (mW)]]+Table7[[#This Row],[Pgate_bottom (mW)]], Table7[[#This Row],[PIV (mW)]]+Table7[[#This Row],[Pqoss (mW)]]+Table7[[#This Row],[Pgate_bottom (mW)]])</f>
        <v>1180.2139922648846</v>
      </c>
      <c r="BE204" s="158">
        <f ca="1">Table7[[#This Row],[Pcon_bottom (mW)]]+Table7[[#This Row],[Psw_bottom (mW)]]</f>
        <v>1201.4554616526398</v>
      </c>
      <c r="BF204" s="164">
        <f ca="1">Table7[[#This Row],[Pbottom (mW)]]+Table7[[#This Row],[Ptop (mW)]]</f>
        <v>2550.253502468966</v>
      </c>
      <c r="BG204" s="153"/>
      <c r="BH204" s="156">
        <f>MAX(0,Table7[[#This Row],[I_L]]-0.5*Table7[[#This Row],[I_L pkpk]])</f>
        <v>3.7714285714285714</v>
      </c>
      <c r="BI204" s="156">
        <f>Table7[[#This Row],[I_L]]+0.5*Table7[[#This Row],[I_L pkpk]]</f>
        <v>4.628571428571429</v>
      </c>
      <c r="BJ204" s="156">
        <f>IF(VACnom&gt;Vbat, (VGS_S-(C_MOSFET_S_VTH_H_BU+Table7[[#This Row],[I_L]]/C_MOSFET_S_gFS_H_BU))/3.4, (VGS_S-(C_MOSFET_S_VTH_L_BO+Table7[[#This Row],[I_L]]/C_MOSFET_S_gFS_L_BO))/3.4 )</f>
        <v>2.3447058823529412</v>
      </c>
      <c r="BK204" s="156">
        <f>IF(VACnom&gt;Vbat, ((C_MOSFET_S_VTH_H_BU+Table7[[#This Row],[I_L]]/C_MOSFET_S_gFS_H_BU))/1, ((C_MOSFET_S_VTH_L_BO+Table7[[#This Row],[I_L]]/C_MOSFET_S_gFS_L_BO))/1 )</f>
        <v>2.028</v>
      </c>
      <c r="BL204" s="156">
        <f>IF(VACnom&gt;Vbat, (C_MOSFET_S_QGD_H_BU+C_MOSFET_S_QGS_H_BU)*10^-9/Table7[[#This Row],[Ion (A) C]], (C_MOSFET_S_QGD_L_BO+C_MOSFET_S_QGS_L_BO)*10^-9/Table7[[#This Row],[Ion (A) C]])/10^-9</f>
        <v>2.7722027094831909</v>
      </c>
      <c r="BM204" s="156">
        <f>IF(VACnom&gt;Vbat, (C_MOSFET_S_QGD_H_BU+C_MOSFET_S_QGS_H_BU)*10^-9/Table7[[#This Row],[Ioff (A) C]], (C_MOSFET_S_QGD_L_BO+C_MOSFET_S_QGS_L_BO)*10^-9/Table7[[#This Row],[Ioff (A) C]])/10^-9</f>
        <v>3.2051282051282053</v>
      </c>
      <c r="BN204" s="156">
        <f xml:space="preserve"> 0.5*VACnom*Table7[[#This Row],[Ivalley (A) C]]*Table7[[#This Row],[ton (ns) C]]*10^-9*Fsw*10^3+0.5*VACnom*Table7[[#This Row],[Ipeak (A) C]]*Table7[[#This Row],[toff (ns) C]]*10^-9*Fsw*10^3/10^-3</f>
        <v>53.44423199880903</v>
      </c>
      <c r="BO204" s="156">
        <f t="shared" si="35"/>
        <v>129.6</v>
      </c>
      <c r="BP204" s="156">
        <f t="shared" ca="1" si="36"/>
        <v>291.59999999999997</v>
      </c>
      <c r="BQ204" s="156">
        <f t="shared" si="37"/>
        <v>237.6</v>
      </c>
      <c r="BR204" s="156">
        <f>IF(VACnom&gt;Vbat, C_MOSFET_S_VSD_L_BU*Table7[[#This Row],[Ivalley (A) C]]*Fsw*10^3*40*10^-9+C_MOSFET_S_VSD_L_BU*Table7[[#This Row],[Ipeak (A) C]]*Fsw*10^3*30*10^-9, C_MOSFET_S_VSD_H_BO*Table7[[#This Row],[Ivalley (A) C]]*Fsw*10^3*40*10^-9+C_MOSFET_S_VSD_H_BO*Table7[[#This Row],[Ipeak (A) C]]*Fsw*10^3*30*10^-9)/10^-3</f>
        <v>139.06285714285715</v>
      </c>
      <c r="BS204" s="156">
        <f t="shared" ca="1" si="38"/>
        <v>291.59999999999997</v>
      </c>
      <c r="BT204" s="156">
        <f>IF(VACnom&lt;Vbat, Table7[[#This Row],[Duty Cycle]]*Table7[[#This Row],[I_L RMS]]^2*C_MOSFET_S_RDSON_H_BU*10^-3, (1-Table7[[#This Row],[Duty Cycle]])*Table7[[#This Row],[I_L RMS]]^2*C_MOSFET_S_RDSON_H_BO*10^-3)/10^-3</f>
        <v>43.241562682215736</v>
      </c>
      <c r="BU204" s="156">
        <f ca="1">IF(VACnom&gt;Vbat, Table7[[#This Row],[PIV (mW) C]]+Table7[[#This Row],[PQoss (mW) C]]+Table7[[#This Row],[Pgate_top (mW) C]], Table7[[#This Row],[PRR (mW) C]]+Table7[[#This Row],[Pdead (mW) C]]+Table7[[#This Row],[Pgate_top (mW) C]])</f>
        <v>668.26285714285711</v>
      </c>
      <c r="BV204" s="156">
        <f ca="1">Table7[[#This Row],[Pcon_top (mW) C]]+Table7[[#This Row],[Psw_top (mW) C]]</f>
        <v>711.50441982507289</v>
      </c>
      <c r="BW204" s="156">
        <f ca="1">IF(VACnom&gt;Vbat, (1-Table7[[#This Row],[Duty Cycle]])*Table7[[#This Row],[I_L RMS]]^2*C_MOSFET_S_RDSON_L_BU*10^-3, Table7[[#This Row],[Duty Cycle]]*Table7[[#This Row],[I_L RMS]]^2*C_MOSFET_S_RDSON_L_BO*10^-3)/10^-3</f>
        <v>26.93114868804664</v>
      </c>
      <c r="BX204" s="156">
        <f ca="1">IF(VACnom&gt;Vbat, Table7[[#This Row],[PRR (mW) C]]+Table7[[#This Row],[Pdead (mW) C]]+Table7[[#This Row],[Pgate_bottom (mW) C]], Table7[[#This Row],[PIV (mW) C]]+Table7[[#This Row],[PQoss (mW) C]]+Table7[[#This Row],[Pgate_bottom (mW) C]])</f>
        <v>474.644231998809</v>
      </c>
      <c r="BY204" s="156">
        <f ca="1">Table7[[#This Row],[Pcon_bottom (mW) C]]+Table7[[#This Row],[Psw_bottom (mV) C]]</f>
        <v>501.57538068685562</v>
      </c>
      <c r="BZ204" s="156">
        <f ca="1">Table7[[#This Row],[Pbottom (mW) C]]+Table7[[#This Row],[Ptop (mW) C]]</f>
        <v>1213.0798005119286</v>
      </c>
      <c r="CA204" s="159"/>
      <c r="CB204" s="160">
        <f>(RAC_SNS*10^-3*(Table7[[#This Row],[IOUT (A)]]*Vbat/VACnom)^2/10^-3)</f>
        <v>88.2</v>
      </c>
      <c r="CC204" s="160">
        <f>(RBAT_SNS*10^-3*Table7[[#This Row],[IOUT (A)]]^2)/10^-3</f>
        <v>28.799999999999997</v>
      </c>
      <c r="CD204" s="160">
        <f>IF(VACnom&gt;Vbat,(L_DRC*10^-3*(Table7[[#This Row],[IOUT (A)]])^2/10^-3),(L_DRC*10^-3*(Table7[[#This Row],[IOUT (A)]]*Vbat/VACnom)^2/10^-3))</f>
        <v>211.68</v>
      </c>
      <c r="CE204" s="166"/>
      <c r="CF204" s="156">
        <f>(Table7[[#This Row],[R_AC (mW)]]+Table7[[#This Row],[R_SR (mW)]]+Table7[[#This Row],[Inductor Loss (mW)]])/10^3</f>
        <v>0.32868000000000003</v>
      </c>
      <c r="CG204" s="156">
        <f ca="1">Table7[[#This Row],[Total TI (mW)]]/10^3</f>
        <v>2.5502535024689661</v>
      </c>
      <c r="CH204" s="156">
        <f ca="1">Table7[[#This Row],[Total Sense Loss]]+Table7[[#This Row],[Total MOSFET Loss]]</f>
        <v>2.878933502468966</v>
      </c>
      <c r="CI204" s="161">
        <f ca="1">IF(Table7[[#This Row],[POUT (W)]]=0,0,(Table7[[#This Row],[POUT (W)]])/(Table7[[#This Row],[POUT (W)]]+Table7[[#This Row],[Total Power Loss (W)]]))*100</f>
        <v>90.912151438922052</v>
      </c>
      <c r="CJ204" s="167"/>
      <c r="CK204" s="156">
        <f>(Table7[[#This Row],[R_AC (mW)]]+Table7[[#This Row],[R_SR (mW)]]+Table7[[#This Row],[Inductor Loss (mW)]])/10^3</f>
        <v>0.32868000000000003</v>
      </c>
      <c r="CL204" s="156">
        <f ca="1">Table7[[#This Row],[Total (mW) C]]/10^3</f>
        <v>1.2130798005119285</v>
      </c>
      <c r="CM204" s="156">
        <f ca="1">Table7[[#This Row],[Total Sense Loss C]]+Table7[[#This Row],[Total MOSFET Loss C]]</f>
        <v>1.5417598005119286</v>
      </c>
      <c r="CN204" s="161">
        <f ca="1">IF(Table7[[#This Row],[POUT (W)]]=0,0,(Table7[[#This Row],[POUT (W)]])/(Table7[[#This Row],[POUT (W)]]+Table7[[#This Row],[Total Power Loss (W) C]]))*100</f>
        <v>94.918686949443469</v>
      </c>
      <c r="CO204" s="167"/>
      <c r="CP204" s="161">
        <f>IF(MOSFET_S=Custom_MOSFET,Table7[[#This Row],[Total Sense Loss C]],Table7[[#This Row],[Total Sense Loss]])</f>
        <v>0.32868000000000003</v>
      </c>
      <c r="CQ204" s="161">
        <f ca="1">IF(MOSFET_S=Custom_MOSFET,Table7[[#This Row],[Total MOSFET Loss C]],Table7[[#This Row],[Total MOSFET Loss]])</f>
        <v>2.5502535024689661</v>
      </c>
      <c r="CR204" s="161">
        <f ca="1">IF(MOSFET_S=Custom_MOSFET,Table7[[#This Row],[Efficiency C]],Table7[[#This Row],[Efficiency]])</f>
        <v>90.912151438922052</v>
      </c>
      <c r="CS204" s="167"/>
      <c r="CT204" s="161">
        <f>IF(MOSFET_S=Compare_MOSFET, Table7[[#This Row],[Total Sense Loss C]], -100)</f>
        <v>-100</v>
      </c>
      <c r="CU204" s="161">
        <f>IF(MOSFET_S=Compare_MOSFET, Table7[[#This Row],[Total MOSFET Loss C]], -100)</f>
        <v>-100</v>
      </c>
      <c r="CV204" s="161">
        <f>IF(MOSFET_S=Compare_MOSFET, Table7[[#This Row],[Efficiency C]], -100)</f>
        <v>-100</v>
      </c>
      <c r="CW204" s="167"/>
      <c r="CX204" s="161">
        <f ca="1">IF(Save_Sel=CLR_Save,  Table7[[#This Row],[Total Sense Loss P1]], Table7[[#This Row],[Total Sense Loss P1 Saved]])</f>
        <v>0.32868000000000003</v>
      </c>
      <c r="CY204" s="161">
        <f ca="1">IF(Save_Sel=CLR_Save,  Table7[[#This Row],[Total MOSFET Loss P1]], Table7[[#This Row],[Total MOSFET Loss P1 Saved]] )</f>
        <v>1.8491602713566904</v>
      </c>
      <c r="CZ204" s="161">
        <f ca="1">IF(Save_Sel=CLR_Save, Table7[[#This Row],[Efficiency P1]], Table7[[#This Row],[Efficiency P1 Saved]])</f>
        <v>92.96968332111129</v>
      </c>
      <c r="DA204" s="167"/>
      <c r="DB204" s="161">
        <f ca="1">IF(Save_Sel=CLR_Save,  Table7[[#This Row],[Total Sense Loss P2]], Table7[[#This Row],[Total Sense Loss P2 Saved]])</f>
        <v>0.32868000000000003</v>
      </c>
      <c r="DC204" s="161">
        <f ca="1">IF(Save_Sel=CLR_Save,  Table7[[#This Row],[Total MOSFET Loss P2]], Table7[[#This Row],[Total MOSFET Loss P2 Saved]] )</f>
        <v>1.2351636366288754</v>
      </c>
      <c r="DD204" s="161">
        <f ca="1">IF(Save_Sel=CLR_Save, Table7[[#This Row],[Efficiency P2]], Table7[[#This Row],[Efficiency P2 Saved]])</f>
        <v>94.84965192370322</v>
      </c>
      <c r="DE204" s="167"/>
      <c r="DF204" s="21"/>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c r="FH204" s="21"/>
      <c r="FI204" s="21"/>
    </row>
    <row r="205" spans="1:165" x14ac:dyDescent="0.25">
      <c r="A205" s="34"/>
      <c r="B205" s="51"/>
      <c r="C205" s="51"/>
      <c r="D205" s="34"/>
      <c r="E205" s="69"/>
      <c r="F205" s="69"/>
      <c r="G205" s="51"/>
      <c r="H205" s="31"/>
      <c r="I205" s="31"/>
      <c r="J205" s="31"/>
      <c r="K205" s="31"/>
      <c r="L205" s="31"/>
      <c r="M205" s="31"/>
      <c r="N205" s="31"/>
      <c r="O205" s="31"/>
      <c r="P205" s="31"/>
      <c r="Q205" s="31"/>
      <c r="R205" s="31"/>
      <c r="S205" s="32"/>
      <c r="T205" s="20"/>
      <c r="U205" s="21"/>
      <c r="V205" s="21"/>
      <c r="W205" s="21"/>
      <c r="X205" s="21"/>
      <c r="Y205" s="21"/>
      <c r="Z205" s="21"/>
      <c r="AA205" s="21"/>
      <c r="AB205" s="21"/>
      <c r="AC205" s="21"/>
      <c r="AD205" s="21"/>
      <c r="AE205" s="21"/>
      <c r="AF205" s="154">
        <f t="shared" si="17"/>
        <v>49</v>
      </c>
      <c r="AG205" s="154">
        <f t="shared" si="39"/>
        <v>2.4500000000000002</v>
      </c>
      <c r="AH205" s="155">
        <f t="shared" si="28"/>
        <v>29.400000000000002</v>
      </c>
      <c r="AI205" s="156">
        <f t="shared" si="29"/>
        <v>0.42857142857142855</v>
      </c>
      <c r="AJ205" s="156">
        <f t="shared" si="30"/>
        <v>4.2875000000000005</v>
      </c>
      <c r="AK205" s="156">
        <f t="shared" si="26"/>
        <v>0.85714285714285721</v>
      </c>
      <c r="AL205" s="156">
        <f t="shared" si="27"/>
        <v>4.294633947124705</v>
      </c>
      <c r="AM205" s="157"/>
      <c r="AN205" s="156">
        <f>MAX(0,Table7[[#This Row],[I_L]]-0.5*Table7[[#This Row],[I_L pkpk]])</f>
        <v>3.8589285714285717</v>
      </c>
      <c r="AO205" s="156">
        <f>Table7[[#This Row],[I_L]]+0.5*Table7[[#This Row],[I_L pkpk]]</f>
        <v>4.7160714285714294</v>
      </c>
      <c r="AP205" s="156">
        <f ca="1">IF(VACnom&gt;Vbat, (VGS_S-(TI_MOSFET_S_VTH_H_BU+Table7[[#This Row],[I_L]]/TI_MOSFET_S_gFS_H_BU))/3.4, (VGS_S-(TI_MOSFET_S_VTH_L_BO+Table7[[#This Row],[I_L]]/TI_MOSFET_S_gFS_L_BO))/3.4 )</f>
        <v>2.4167703619909502</v>
      </c>
      <c r="AQ205" s="156">
        <f ca="1">IF(VACnom&gt;Vbat, ((TI_MOSFET_S_VTH_H_BU+Table7[[#This Row],[I_L]]/TI_MOSFET_S_gFS_H_BU))/1, ((TI_MOSFET_S_VTH_L_BO+Table7[[#This Row],[I_L]]/TI_MOSFET_S_gFS_L_BO))/1 )</f>
        <v>1.7829807692307693</v>
      </c>
      <c r="AR205" s="156">
        <f ca="1">IF(VACnom&gt;Vbat, (TI_MOSFET_S_QGD_H_BU+TI_MOSFET_S_QGS_H_BU)*10^-9/Table7[[#This Row],[Ion (A)]], (TI_MOSFET_S_QGD_L_BO+TI_MOSFET_S_QGS_L_BO)*10^-9/Table7[[#This Row],[Ion (A)]])/10^-9</f>
        <v>11.916730051370864</v>
      </c>
      <c r="AS205" s="156">
        <f ca="1">IF(VACnom&gt;Vbat, (TI_MOSFET_S_QGD_H_BU+TI_MOSFET_S_QGS_H_BU)*10^-9/Table7[[#This Row],[Ioff (A)]], (TI_MOSFET_S_QGD_L_BO+TI_MOSFET_S_QGS_L_BO)*10^-9/Table7[[#This Row],[Ioff (A)]])/10^-9</f>
        <v>16.152726096100952</v>
      </c>
      <c r="AT205" s="156">
        <f ca="1" xml:space="preserve"> 0.5*VACnom*Table7[[#This Row],[Ivalley (A)]]*Table7[[#This Row],[ton (ns)]]*10^-9*Fsw*10^3+0.5*VACnom*Table7[[#This Row],[Ipeak (A)]]*Table7[[#This Row],[toff (ns)]]*10^-9*Fsw*10^3/10^-3</f>
        <v>274.40422504356621</v>
      </c>
      <c r="AU205" s="156">
        <f t="shared" ca="1" si="31"/>
        <v>262.8</v>
      </c>
      <c r="AV205" s="156">
        <f t="shared" ca="1" si="32"/>
        <v>648</v>
      </c>
      <c r="AW205" s="156">
        <f t="shared" ca="1" si="33"/>
        <v>554.4</v>
      </c>
      <c r="AX205" s="156">
        <f ca="1">IF(VACnom&gt;Vbat, TI_MOSFET_S_VSD_L_BU*Table7[[#This Row],[Ivalley (A)]]*Fsw*10^3*40*10^-9+TI_MOSFET_S_VSD_L_BU*Table7[[#This Row],[Ipeak (A)]]*Fsw*10^3*30*10^-9, TI_MOSFET_S_VSD_H_BO*Table7[[#This Row],[Ivalley (A)]]*Fsw*10^3*40*10^-9+TI_MOSFET_S_VSD_H_BO*Table7[[#This Row],[Ipeak (A)]]*Fsw*10^3*30*10^-9)/10^-3</f>
        <v>127.80257142857143</v>
      </c>
      <c r="AY205" s="156">
        <f t="shared" ca="1" si="34"/>
        <v>648</v>
      </c>
      <c r="AZ205" s="156">
        <f ca="1">IF(VACnom&lt;Vbat, Table7[[#This Row],[Duty Cycle]]*Table7[[#This Row],[I_L RMS]]^2*TI_MOSFET_S_RDSON_H_BU*10^-3, (1-Table7[[#This Row],[Duty Cycle]])*Table7[[#This Row],[I_L RMS]]^2*TI_MOSFET_S_RDSON_H_BO*10^-3)/10^-3</f>
        <v>22.132656887755104</v>
      </c>
      <c r="BA205" s="156">
        <f ca="1">IF(VACnom&gt;Vbat, Table7[[#This Row],[PIV (mW)]]+Table7[[#This Row],[Pqoss (mW)]]+Table7[[#This Row],[Pgate_top (mW)]], Table7[[#This Row],[PRR (mW)]]+Table7[[#This Row],[Pdead (mW)]]+Table7[[#This Row],[Pgate_top (mW)]])</f>
        <v>1330.2025714285714</v>
      </c>
      <c r="BB205" s="156">
        <f ca="1">Table7[[#This Row],[Pcon_top (mW)]]+Table7[[#This Row],[Psw_top (mW)]]</f>
        <v>1352.3352283163265</v>
      </c>
      <c r="BC205" s="156">
        <f ca="1">IF(VACnom&gt;Vbat, (1-Table7[[#This Row],[Duty Cycle]])*Table7[[#This Row],[I_L RMS]]^2*TI_MOSFET_S_RDSON_L_BU*10^-3, Table7[[#This Row],[Duty Cycle]]*Table7[[#This Row],[I_L RMS]]^2*TI_MOSFET_S_RDSON_L_BO*10^-3)/10^-3</f>
        <v>22.132656887755104</v>
      </c>
      <c r="BD205" s="156">
        <f ca="1">IF(VACnom&gt;Vbat, Table7[[#This Row],[PRR (mW)]]+Table7[[#This Row],[Pdead (mW)]]+Table7[[#This Row],[Pgate_bottom (mW)]], Table7[[#This Row],[PIV (mW)]]+Table7[[#This Row],[Pqoss (mW)]]+Table7[[#This Row],[Pgate_bottom (mW)]])</f>
        <v>1185.2042250435661</v>
      </c>
      <c r="BE205" s="158">
        <f ca="1">Table7[[#This Row],[Pcon_bottom (mW)]]+Table7[[#This Row],[Psw_bottom (mW)]]</f>
        <v>1207.3368819313212</v>
      </c>
      <c r="BF205" s="164">
        <f ca="1">Table7[[#This Row],[Pbottom (mW)]]+Table7[[#This Row],[Ptop (mW)]]</f>
        <v>2559.6721102476477</v>
      </c>
      <c r="BG205" s="153"/>
      <c r="BH205" s="156">
        <f>MAX(0,Table7[[#This Row],[I_L]]-0.5*Table7[[#This Row],[I_L pkpk]])</f>
        <v>3.8589285714285717</v>
      </c>
      <c r="BI205" s="156">
        <f>Table7[[#This Row],[I_L]]+0.5*Table7[[#This Row],[I_L pkpk]]</f>
        <v>4.7160714285714294</v>
      </c>
      <c r="BJ205" s="156">
        <f>IF(VACnom&gt;Vbat, (VGS_S-(C_MOSFET_S_VTH_H_BU+Table7[[#This Row],[I_L]]/C_MOSFET_S_gFS_H_BU))/3.4, (VGS_S-(C_MOSFET_S_VTH_L_BO+Table7[[#This Row],[I_L]]/C_MOSFET_S_gFS_L_BO))/3.4 )</f>
        <v>2.3445343137254904</v>
      </c>
      <c r="BK205" s="156">
        <f>IF(VACnom&gt;Vbat, ((C_MOSFET_S_VTH_H_BU+Table7[[#This Row],[I_L]]/C_MOSFET_S_gFS_H_BU))/1, ((C_MOSFET_S_VTH_L_BO+Table7[[#This Row],[I_L]]/C_MOSFET_S_gFS_L_BO))/1 )</f>
        <v>2.0285833333333332</v>
      </c>
      <c r="BL205" s="156">
        <f>IF(VACnom&gt;Vbat, (C_MOSFET_S_QGD_H_BU+C_MOSFET_S_QGS_H_BU)*10^-9/Table7[[#This Row],[Ion (A) C]], (C_MOSFET_S_QGD_L_BO+C_MOSFET_S_QGS_L_BO)*10^-9/Table7[[#This Row],[Ion (A) C]])/10^-9</f>
        <v>2.7724055740823981</v>
      </c>
      <c r="BM205" s="156">
        <f>IF(VACnom&gt;Vbat, (C_MOSFET_S_QGD_H_BU+C_MOSFET_S_QGS_H_BU)*10^-9/Table7[[#This Row],[Ioff (A) C]], (C_MOSFET_S_QGD_L_BO+C_MOSFET_S_QGS_L_BO)*10^-9/Table7[[#This Row],[Ioff (A) C]])/10^-9</f>
        <v>3.2042065480836386</v>
      </c>
      <c r="BN205" s="156">
        <f xml:space="preserve"> 0.5*VACnom*Table7[[#This Row],[Ivalley (A) C]]*Table7[[#This Row],[ton (ns) C]]*10^-9*Fsw*10^3+0.5*VACnom*Table7[[#This Row],[Ipeak (A) C]]*Table7[[#This Row],[toff (ns) C]]*10^-9*Fsw*10^3/10^-3</f>
        <v>54.439075683864544</v>
      </c>
      <c r="BO205" s="156">
        <f t="shared" si="35"/>
        <v>129.6</v>
      </c>
      <c r="BP205" s="156">
        <f t="shared" ca="1" si="36"/>
        <v>291.59999999999997</v>
      </c>
      <c r="BQ205" s="156">
        <f t="shared" si="37"/>
        <v>237.6</v>
      </c>
      <c r="BR205" s="156">
        <f>IF(VACnom&gt;Vbat, C_MOSFET_S_VSD_L_BU*Table7[[#This Row],[Ivalley (A) C]]*Fsw*10^3*40*10^-9+C_MOSFET_S_VSD_L_BU*Table7[[#This Row],[Ipeak (A) C]]*Fsw*10^3*30*10^-9, C_MOSFET_S_VSD_H_BO*Table7[[#This Row],[Ivalley (A) C]]*Fsw*10^3*40*10^-9+C_MOSFET_S_VSD_H_BO*Table7[[#This Row],[Ipeak (A) C]]*Fsw*10^3*30*10^-9)/10^-3</f>
        <v>142.00285714285721</v>
      </c>
      <c r="BS205" s="156">
        <f t="shared" ca="1" si="38"/>
        <v>291.59999999999997</v>
      </c>
      <c r="BT205" s="156">
        <f>IF(VACnom&lt;Vbat, Table7[[#This Row],[Duty Cycle]]*Table7[[#This Row],[I_L RMS]]^2*C_MOSFET_S_RDSON_H_BU*10^-3, (1-Table7[[#This Row],[Duty Cycle]])*Table7[[#This Row],[I_L RMS]]^2*C_MOSFET_S_RDSON_H_BO*10^-3)/10^-3</f>
        <v>45.055765807215757</v>
      </c>
      <c r="BU205" s="156">
        <f ca="1">IF(VACnom&gt;Vbat, Table7[[#This Row],[PIV (mW) C]]+Table7[[#This Row],[PQoss (mW) C]]+Table7[[#This Row],[Pgate_top (mW) C]], Table7[[#This Row],[PRR (mW) C]]+Table7[[#This Row],[Pdead (mW) C]]+Table7[[#This Row],[Pgate_top (mW) C]])</f>
        <v>671.20285714285717</v>
      </c>
      <c r="BV205" s="156">
        <f ca="1">Table7[[#This Row],[Pcon_top (mW) C]]+Table7[[#This Row],[Psw_top (mW) C]]</f>
        <v>716.25862295007289</v>
      </c>
      <c r="BW205" s="156">
        <f ca="1">IF(VACnom&gt;Vbat, (1-Table7[[#This Row],[Duty Cycle]])*Table7[[#This Row],[I_L RMS]]^2*C_MOSFET_S_RDSON_L_BU*10^-3, Table7[[#This Row],[Duty Cycle]]*Table7[[#This Row],[I_L RMS]]^2*C_MOSFET_S_RDSON_L_BO*10^-3)/10^-3</f>
        <v>28.061047125546651</v>
      </c>
      <c r="BX205" s="156">
        <f ca="1">IF(VACnom&gt;Vbat, Table7[[#This Row],[PRR (mW) C]]+Table7[[#This Row],[Pdead (mW) C]]+Table7[[#This Row],[Pgate_bottom (mW) C]], Table7[[#This Row],[PIV (mW) C]]+Table7[[#This Row],[PQoss (mW) C]]+Table7[[#This Row],[Pgate_bottom (mW) C]])</f>
        <v>475.63907568386452</v>
      </c>
      <c r="BY205" s="156">
        <f ca="1">Table7[[#This Row],[Pcon_bottom (mW) C]]+Table7[[#This Row],[Psw_bottom (mV) C]]</f>
        <v>503.70012280941114</v>
      </c>
      <c r="BZ205" s="156">
        <f ca="1">Table7[[#This Row],[Pbottom (mW) C]]+Table7[[#This Row],[Ptop (mW) C]]</f>
        <v>1219.9587457594839</v>
      </c>
      <c r="CA205" s="159"/>
      <c r="CB205" s="160">
        <f>(RAC_SNS*10^-3*(Table7[[#This Row],[IOUT (A)]]*Vbat/VACnom)^2/10^-3)</f>
        <v>91.913281250000011</v>
      </c>
      <c r="CC205" s="160">
        <f>(RBAT_SNS*10^-3*Table7[[#This Row],[IOUT (A)]]^2)/10^-3</f>
        <v>30.012500000000006</v>
      </c>
      <c r="CD205" s="160">
        <f>IF(VACnom&gt;Vbat,(L_DRC*10^-3*(Table7[[#This Row],[IOUT (A)]])^2/10^-3),(L_DRC*10^-3*(Table7[[#This Row],[IOUT (A)]]*Vbat/VACnom)^2/10^-3))</f>
        <v>220.59187500000004</v>
      </c>
      <c r="CE205" s="166"/>
      <c r="CF205" s="156">
        <f>(Table7[[#This Row],[R_AC (mW)]]+Table7[[#This Row],[R_SR (mW)]]+Table7[[#This Row],[Inductor Loss (mW)]])/10^3</f>
        <v>0.34251765625000008</v>
      </c>
      <c r="CG205" s="156">
        <f ca="1">Table7[[#This Row],[Total TI (mW)]]/10^3</f>
        <v>2.5596721102476478</v>
      </c>
      <c r="CH205" s="156">
        <f ca="1">Table7[[#This Row],[Total Sense Loss]]+Table7[[#This Row],[Total MOSFET Loss]]</f>
        <v>2.9021897664976479</v>
      </c>
      <c r="CI205" s="161">
        <f ca="1">IF(Table7[[#This Row],[POUT (W)]]=0,0,(Table7[[#This Row],[POUT (W)]])/(Table7[[#This Row],[POUT (W)]]+Table7[[#This Row],[Total Power Loss (W)]]))*100</f>
        <v>91.015501464524036</v>
      </c>
      <c r="CJ205" s="167"/>
      <c r="CK205" s="156">
        <f>(Table7[[#This Row],[R_AC (mW)]]+Table7[[#This Row],[R_SR (mW)]]+Table7[[#This Row],[Inductor Loss (mW)]])/10^3</f>
        <v>0.34251765625000008</v>
      </c>
      <c r="CL205" s="156">
        <f ca="1">Table7[[#This Row],[Total (mW) C]]/10^3</f>
        <v>1.2199587457594838</v>
      </c>
      <c r="CM205" s="156">
        <f ca="1">Table7[[#This Row],[Total Sense Loss C]]+Table7[[#This Row],[Total MOSFET Loss C]]</f>
        <v>1.5624764020094839</v>
      </c>
      <c r="CN205" s="161">
        <f ca="1">IF(Table7[[#This Row],[POUT (W)]]=0,0,(Table7[[#This Row],[POUT (W)]])/(Table7[[#This Row],[POUT (W)]]+Table7[[#This Row],[Total Power Loss (W) C]]))*100</f>
        <v>94.95364523908664</v>
      </c>
      <c r="CO205" s="167"/>
      <c r="CP205" s="161">
        <f>IF(MOSFET_S=Custom_MOSFET,Table7[[#This Row],[Total Sense Loss C]],Table7[[#This Row],[Total Sense Loss]])</f>
        <v>0.34251765625000008</v>
      </c>
      <c r="CQ205" s="161">
        <f ca="1">IF(MOSFET_S=Custom_MOSFET,Table7[[#This Row],[Total MOSFET Loss C]],Table7[[#This Row],[Total MOSFET Loss]])</f>
        <v>2.5596721102476478</v>
      </c>
      <c r="CR205" s="161">
        <f ca="1">IF(MOSFET_S=Custom_MOSFET,Table7[[#This Row],[Efficiency C]],Table7[[#This Row],[Efficiency]])</f>
        <v>91.015501464524036</v>
      </c>
      <c r="CS205" s="167"/>
      <c r="CT205" s="161">
        <f>IF(MOSFET_S=Compare_MOSFET, Table7[[#This Row],[Total Sense Loss C]], -100)</f>
        <v>-100</v>
      </c>
      <c r="CU205" s="161">
        <f>IF(MOSFET_S=Compare_MOSFET, Table7[[#This Row],[Total MOSFET Loss C]], -100)</f>
        <v>-100</v>
      </c>
      <c r="CV205" s="161">
        <f>IF(MOSFET_S=Compare_MOSFET, Table7[[#This Row],[Efficiency C]], -100)</f>
        <v>-100</v>
      </c>
      <c r="CW205" s="167"/>
      <c r="CX205" s="161">
        <f ca="1">IF(Save_Sel=CLR_Save,  Table7[[#This Row],[Total Sense Loss P1]], Table7[[#This Row],[Total Sense Loss P1 Saved]])</f>
        <v>0.34251765625000008</v>
      </c>
      <c r="CY205" s="161">
        <f ca="1">IF(Save_Sel=CLR_Save,  Table7[[#This Row],[Total MOSFET Loss P1]], Table7[[#This Row],[Total MOSFET Loss P1 Saved]] )</f>
        <v>1.8590640076149842</v>
      </c>
      <c r="CZ205" s="161">
        <f ca="1">IF(Save_Sel=CLR_Save, Table7[[#This Row],[Efficiency P1]], Table7[[#This Row],[Efficiency P1 Saved]])</f>
        <v>93.033318119066195</v>
      </c>
      <c r="DA205" s="167"/>
      <c r="DB205" s="161">
        <f ca="1">IF(Save_Sel=CLR_Save,  Table7[[#This Row],[Total Sense Loss P2]], Table7[[#This Row],[Total Sense Loss P2 Saved]])</f>
        <v>0.34251765625000008</v>
      </c>
      <c r="DC205" s="161">
        <f ca="1">IF(Save_Sel=CLR_Save,  Table7[[#This Row],[Total MOSFET Loss P2]], Table7[[#This Row],[Total MOSFET Loss P2 Saved]] )</f>
        <v>1.2429675668947233</v>
      </c>
      <c r="DD205" s="161">
        <f ca="1">IF(Save_Sel=CLR_Save, Table7[[#This Row],[Efficiency P2]], Table7[[#This Row],[Efficiency P2 Saved]])</f>
        <v>94.883135727174476</v>
      </c>
      <c r="DE205" s="167"/>
      <c r="DF205" s="21"/>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c r="FH205" s="21"/>
      <c r="FI205" s="21"/>
    </row>
    <row r="206" spans="1:165" x14ac:dyDescent="0.25">
      <c r="A206" s="34"/>
      <c r="B206" s="51"/>
      <c r="C206" s="51"/>
      <c r="D206" s="34"/>
      <c r="E206" s="69"/>
      <c r="F206" s="69"/>
      <c r="G206" s="51"/>
      <c r="H206" s="31"/>
      <c r="I206" s="31"/>
      <c r="J206" s="31"/>
      <c r="K206" s="31"/>
      <c r="L206" s="31"/>
      <c r="M206" s="31"/>
      <c r="N206" s="31"/>
      <c r="O206" s="31"/>
      <c r="P206" s="31"/>
      <c r="Q206" s="31"/>
      <c r="R206" s="31"/>
      <c r="S206" s="32"/>
      <c r="T206" s="20"/>
      <c r="U206" s="21"/>
      <c r="V206" s="21"/>
      <c r="W206" s="21"/>
      <c r="X206" s="21"/>
      <c r="Y206" s="21"/>
      <c r="Z206" s="21"/>
      <c r="AA206" s="21"/>
      <c r="AB206" s="21"/>
      <c r="AC206" s="21"/>
      <c r="AD206" s="21"/>
      <c r="AE206" s="21"/>
      <c r="AF206" s="154">
        <f t="shared" si="17"/>
        <v>50</v>
      </c>
      <c r="AG206" s="154">
        <f t="shared" si="39"/>
        <v>2.5</v>
      </c>
      <c r="AH206" s="155">
        <f t="shared" si="28"/>
        <v>30</v>
      </c>
      <c r="AI206" s="156">
        <f t="shared" si="29"/>
        <v>0.42857142857142855</v>
      </c>
      <c r="AJ206" s="156">
        <f t="shared" si="30"/>
        <v>4.375</v>
      </c>
      <c r="AK206" s="156">
        <f t="shared" si="26"/>
        <v>0.85714285714285721</v>
      </c>
      <c r="AL206" s="156">
        <f t="shared" si="27"/>
        <v>4.3819914981428161</v>
      </c>
      <c r="AM206" s="157"/>
      <c r="AN206" s="156">
        <f>MAX(0,Table7[[#This Row],[I_L]]-0.5*Table7[[#This Row],[I_L pkpk]])</f>
        <v>3.9464285714285712</v>
      </c>
      <c r="AO206" s="156">
        <f>Table7[[#This Row],[I_L]]+0.5*Table7[[#This Row],[I_L pkpk]]</f>
        <v>4.8035714285714288</v>
      </c>
      <c r="AP206" s="156">
        <f ca="1">IF(VACnom&gt;Vbat, (VGS_S-(TI_MOSFET_S_VTH_H_BU+Table7[[#This Row],[I_L]]/TI_MOSFET_S_gFS_H_BU))/3.4, (VGS_S-(TI_MOSFET_S_VTH_L_BO+Table7[[#This Row],[I_L]]/TI_MOSFET_S_gFS_L_BO))/3.4 )</f>
        <v>2.4165723981900453</v>
      </c>
      <c r="AQ206" s="156">
        <f ca="1">IF(VACnom&gt;Vbat, ((TI_MOSFET_S_VTH_H_BU+Table7[[#This Row],[I_L]]/TI_MOSFET_S_gFS_H_BU))/1, ((TI_MOSFET_S_VTH_L_BO+Table7[[#This Row],[I_L]]/TI_MOSFET_S_gFS_L_BO))/1 )</f>
        <v>1.7836538461538463</v>
      </c>
      <c r="AR206" s="156">
        <f ca="1">IF(VACnom&gt;Vbat, (TI_MOSFET_S_QGD_H_BU+TI_MOSFET_S_QGS_H_BU)*10^-9/Table7[[#This Row],[Ion (A)]], (TI_MOSFET_S_QGD_L_BO+TI_MOSFET_S_QGS_L_BO)*10^-9/Table7[[#This Row],[Ion (A)]])/10^-9</f>
        <v>11.917706260971329</v>
      </c>
      <c r="AS206" s="156">
        <f ca="1">IF(VACnom&gt;Vbat, (TI_MOSFET_S_QGD_H_BU+TI_MOSFET_S_QGS_H_BU)*10^-9/Table7[[#This Row],[Ioff (A)]], (TI_MOSFET_S_QGD_L_BO+TI_MOSFET_S_QGS_L_BO)*10^-9/Table7[[#This Row],[Ioff (A)]])/10^-9</f>
        <v>16.146630727762801</v>
      </c>
      <c r="AT206" s="156">
        <f ca="1" xml:space="preserve"> 0.5*VACnom*Table7[[#This Row],[Ivalley (A)]]*Table7[[#This Row],[ton (ns)]]*10^-9*Fsw*10^3+0.5*VACnom*Table7[[#This Row],[Ipeak (A)]]*Table7[[#This Row],[toff (ns)]]*10^-9*Fsw*10^3/10^-3</f>
        <v>279.39069506904872</v>
      </c>
      <c r="AU206" s="156">
        <f t="shared" ca="1" si="31"/>
        <v>262.8</v>
      </c>
      <c r="AV206" s="156">
        <f t="shared" ca="1" si="32"/>
        <v>648</v>
      </c>
      <c r="AW206" s="156">
        <f t="shared" ca="1" si="33"/>
        <v>554.4</v>
      </c>
      <c r="AX206" s="156">
        <f ca="1">IF(VACnom&gt;Vbat, TI_MOSFET_S_VSD_L_BU*Table7[[#This Row],[Ivalley (A)]]*Fsw*10^3*40*10^-9+TI_MOSFET_S_VSD_L_BU*Table7[[#This Row],[Ipeak (A)]]*Fsw*10^3*30*10^-9, TI_MOSFET_S_VSD_H_BO*Table7[[#This Row],[Ivalley (A)]]*Fsw*10^3*40*10^-9+TI_MOSFET_S_VSD_H_BO*Table7[[#This Row],[Ipeak (A)]]*Fsw*10^3*30*10^-9)/10^-3</f>
        <v>130.4485714285714</v>
      </c>
      <c r="AY206" s="156">
        <f t="shared" ca="1" si="34"/>
        <v>648</v>
      </c>
      <c r="AZ206" s="156">
        <f ca="1">IF(VACnom&lt;Vbat, Table7[[#This Row],[Duty Cycle]]*Table7[[#This Row],[I_L RMS]]^2*TI_MOSFET_S_RDSON_H_BU*10^-3, (1-Table7[[#This Row],[Duty Cycle]])*Table7[[#This Row],[I_L RMS]]^2*TI_MOSFET_S_RDSON_H_BO*10^-3)/10^-3</f>
        <v>23.042219387755104</v>
      </c>
      <c r="BA206" s="156">
        <f ca="1">IF(VACnom&gt;Vbat, Table7[[#This Row],[PIV (mW)]]+Table7[[#This Row],[Pqoss (mW)]]+Table7[[#This Row],[Pgate_top (mW)]], Table7[[#This Row],[PRR (mW)]]+Table7[[#This Row],[Pdead (mW)]]+Table7[[#This Row],[Pgate_top (mW)]])</f>
        <v>1332.8485714285714</v>
      </c>
      <c r="BB206" s="156">
        <f ca="1">Table7[[#This Row],[Pcon_top (mW)]]+Table7[[#This Row],[Psw_top (mW)]]</f>
        <v>1355.8907908163264</v>
      </c>
      <c r="BC206" s="156">
        <f ca="1">IF(VACnom&gt;Vbat, (1-Table7[[#This Row],[Duty Cycle]])*Table7[[#This Row],[I_L RMS]]^2*TI_MOSFET_S_RDSON_L_BU*10^-3, Table7[[#This Row],[Duty Cycle]]*Table7[[#This Row],[I_L RMS]]^2*TI_MOSFET_S_RDSON_L_BO*10^-3)/10^-3</f>
        <v>23.042219387755104</v>
      </c>
      <c r="BD206" s="156">
        <f ca="1">IF(VACnom&gt;Vbat, Table7[[#This Row],[PRR (mW)]]+Table7[[#This Row],[Pdead (mW)]]+Table7[[#This Row],[Pgate_bottom (mW)]], Table7[[#This Row],[PIV (mW)]]+Table7[[#This Row],[Pqoss (mW)]]+Table7[[#This Row],[Pgate_bottom (mW)]])</f>
        <v>1190.1906950690486</v>
      </c>
      <c r="BE206" s="158">
        <f ca="1">Table7[[#This Row],[Pcon_bottom (mW)]]+Table7[[#This Row],[Psw_bottom (mW)]]</f>
        <v>1213.2329144568037</v>
      </c>
      <c r="BF206" s="164">
        <f ca="1">Table7[[#This Row],[Pbottom (mW)]]+Table7[[#This Row],[Ptop (mW)]]</f>
        <v>2569.1237052731303</v>
      </c>
      <c r="BG206" s="153"/>
      <c r="BH206" s="156">
        <f>MAX(0,Table7[[#This Row],[I_L]]-0.5*Table7[[#This Row],[I_L pkpk]])</f>
        <v>3.9464285714285712</v>
      </c>
      <c r="BI206" s="156">
        <f>Table7[[#This Row],[I_L]]+0.5*Table7[[#This Row],[I_L pkpk]]</f>
        <v>4.8035714285714288</v>
      </c>
      <c r="BJ206" s="156">
        <f>IF(VACnom&gt;Vbat, (VGS_S-(C_MOSFET_S_VTH_H_BU+Table7[[#This Row],[I_L]]/C_MOSFET_S_gFS_H_BU))/3.4, (VGS_S-(C_MOSFET_S_VTH_L_BO+Table7[[#This Row],[I_L]]/C_MOSFET_S_gFS_L_BO))/3.4 )</f>
        <v>2.3443627450980391</v>
      </c>
      <c r="BK206" s="156">
        <f>IF(VACnom&gt;Vbat, ((C_MOSFET_S_VTH_H_BU+Table7[[#This Row],[I_L]]/C_MOSFET_S_gFS_H_BU))/1, ((C_MOSFET_S_VTH_L_BO+Table7[[#This Row],[I_L]]/C_MOSFET_S_gFS_L_BO))/1 )</f>
        <v>2.0291666666666668</v>
      </c>
      <c r="BL206" s="156">
        <f>IF(VACnom&gt;Vbat, (C_MOSFET_S_QGD_H_BU+C_MOSFET_S_QGS_H_BU)*10^-9/Table7[[#This Row],[Ion (A) C]], (C_MOSFET_S_QGD_L_BO+C_MOSFET_S_QGS_L_BO)*10^-9/Table7[[#This Row],[Ion (A) C]])/10^-9</f>
        <v>2.7726084683742815</v>
      </c>
      <c r="BM206" s="156">
        <f>IF(VACnom&gt;Vbat, (C_MOSFET_S_QGD_H_BU+C_MOSFET_S_QGS_H_BU)*10^-9/Table7[[#This Row],[Ioff (A) C]], (C_MOSFET_S_QGD_L_BO+C_MOSFET_S_QGS_L_BO)*10^-9/Table7[[#This Row],[Ioff (A) C]])/10^-9</f>
        <v>3.2032854209445585</v>
      </c>
      <c r="BN206" s="156">
        <f xml:space="preserve"> 0.5*VACnom*Table7[[#This Row],[Ivalley (A) C]]*Table7[[#This Row],[ton (ns) C]]*10^-9*Fsw*10^3+0.5*VACnom*Table7[[#This Row],[Ipeak (A) C]]*Table7[[#This Row],[toff (ns) C]]*10^-9*Fsw*10^3/10^-3</f>
        <v>55.433348016788379</v>
      </c>
      <c r="BO206" s="156">
        <f t="shared" si="35"/>
        <v>129.6</v>
      </c>
      <c r="BP206" s="156">
        <f t="shared" ca="1" si="36"/>
        <v>291.59999999999997</v>
      </c>
      <c r="BQ206" s="156">
        <f t="shared" si="37"/>
        <v>237.6</v>
      </c>
      <c r="BR206" s="156">
        <f>IF(VACnom&gt;Vbat, C_MOSFET_S_VSD_L_BU*Table7[[#This Row],[Ivalley (A) C]]*Fsw*10^3*40*10^-9+C_MOSFET_S_VSD_L_BU*Table7[[#This Row],[Ipeak (A) C]]*Fsw*10^3*30*10^-9, C_MOSFET_S_VSD_H_BO*Table7[[#This Row],[Ivalley (A) C]]*Fsw*10^3*40*10^-9+C_MOSFET_S_VSD_H_BO*Table7[[#This Row],[Ipeak (A) C]]*Fsw*10^3*30*10^-9)/10^-3</f>
        <v>144.94285714285718</v>
      </c>
      <c r="BS206" s="156">
        <f t="shared" ca="1" si="38"/>
        <v>291.59999999999997</v>
      </c>
      <c r="BT206" s="156">
        <f>IF(VACnom&lt;Vbat, Table7[[#This Row],[Duty Cycle]]*Table7[[#This Row],[I_L RMS]]^2*C_MOSFET_S_RDSON_H_BU*10^-3, (1-Table7[[#This Row],[Duty Cycle]])*Table7[[#This Row],[I_L RMS]]^2*C_MOSFET_S_RDSON_H_BO*10^-3)/10^-3</f>
        <v>46.907375182215752</v>
      </c>
      <c r="BU206" s="156">
        <f ca="1">IF(VACnom&gt;Vbat, Table7[[#This Row],[PIV (mW) C]]+Table7[[#This Row],[PQoss (mW) C]]+Table7[[#This Row],[Pgate_top (mW) C]], Table7[[#This Row],[PRR (mW) C]]+Table7[[#This Row],[Pdead (mW) C]]+Table7[[#This Row],[Pgate_top (mW) C]])</f>
        <v>674.14285714285711</v>
      </c>
      <c r="BV206" s="156">
        <f ca="1">Table7[[#This Row],[Pcon_top (mW) C]]+Table7[[#This Row],[Psw_top (mW) C]]</f>
        <v>721.0502323250729</v>
      </c>
      <c r="BW206" s="156">
        <f ca="1">IF(VACnom&gt;Vbat, (1-Table7[[#This Row],[Duty Cycle]])*Table7[[#This Row],[I_L RMS]]^2*C_MOSFET_S_RDSON_L_BU*10^-3, Table7[[#This Row],[Duty Cycle]]*Table7[[#This Row],[I_L RMS]]^2*C_MOSFET_S_RDSON_L_BO*10^-3)/10^-3</f>
        <v>29.21424243804665</v>
      </c>
      <c r="BX206" s="156">
        <f ca="1">IF(VACnom&gt;Vbat, Table7[[#This Row],[PRR (mW) C]]+Table7[[#This Row],[Pdead (mW) C]]+Table7[[#This Row],[Pgate_bottom (mW) C]], Table7[[#This Row],[PIV (mW) C]]+Table7[[#This Row],[PQoss (mW) C]]+Table7[[#This Row],[Pgate_bottom (mW) C]])</f>
        <v>476.63334801678832</v>
      </c>
      <c r="BY206" s="156">
        <f ca="1">Table7[[#This Row],[Pcon_bottom (mW) C]]+Table7[[#This Row],[Psw_bottom (mV) C]]</f>
        <v>505.84759045483497</v>
      </c>
      <c r="BZ206" s="156">
        <f ca="1">Table7[[#This Row],[Pbottom (mW) C]]+Table7[[#This Row],[Ptop (mW) C]]</f>
        <v>1226.897822779908</v>
      </c>
      <c r="CA206" s="159"/>
      <c r="CB206" s="160">
        <f>(RAC_SNS*10^-3*(Table7[[#This Row],[IOUT (A)]]*Vbat/VACnom)^2/10^-3)</f>
        <v>95.703125</v>
      </c>
      <c r="CC206" s="160">
        <f>(RBAT_SNS*10^-3*Table7[[#This Row],[IOUT (A)]]^2)/10^-3</f>
        <v>31.25</v>
      </c>
      <c r="CD206" s="160">
        <f>IF(VACnom&gt;Vbat,(L_DRC*10^-3*(Table7[[#This Row],[IOUT (A)]])^2/10^-3),(L_DRC*10^-3*(Table7[[#This Row],[IOUT (A)]]*Vbat/VACnom)^2/10^-3))</f>
        <v>229.6875</v>
      </c>
      <c r="CE206" s="166"/>
      <c r="CF206" s="156">
        <f>(Table7[[#This Row],[R_AC (mW)]]+Table7[[#This Row],[R_SR (mW)]]+Table7[[#This Row],[Inductor Loss (mW)]])/10^3</f>
        <v>0.35664062499999999</v>
      </c>
      <c r="CG206" s="156">
        <f ca="1">Table7[[#This Row],[Total TI (mW)]]/10^3</f>
        <v>2.5691237052731304</v>
      </c>
      <c r="CH206" s="156">
        <f ca="1">Table7[[#This Row],[Total Sense Loss]]+Table7[[#This Row],[Total MOSFET Loss]]</f>
        <v>2.9257643302731302</v>
      </c>
      <c r="CI206" s="161">
        <f ca="1">IF(Table7[[#This Row],[POUT (W)]]=0,0,(Table7[[#This Row],[POUT (W)]])/(Table7[[#This Row],[POUT (W)]]+Table7[[#This Row],[Total Power Loss (W)]]))*100</f>
        <v>91.11405797318703</v>
      </c>
      <c r="CJ206" s="167"/>
      <c r="CK206" s="156">
        <f>(Table7[[#This Row],[R_AC (mW)]]+Table7[[#This Row],[R_SR (mW)]]+Table7[[#This Row],[Inductor Loss (mW)]])/10^3</f>
        <v>0.35664062499999999</v>
      </c>
      <c r="CL206" s="156">
        <f ca="1">Table7[[#This Row],[Total (mW) C]]/10^3</f>
        <v>1.2268978227799079</v>
      </c>
      <c r="CM206" s="156">
        <f ca="1">Table7[[#This Row],[Total Sense Loss C]]+Table7[[#This Row],[Total MOSFET Loss C]]</f>
        <v>1.5835384477799079</v>
      </c>
      <c r="CN206" s="161">
        <f ca="1">IF(Table7[[#This Row],[POUT (W)]]=0,0,(Table7[[#This Row],[POUT (W)]])/(Table7[[#This Row],[POUT (W)]]+Table7[[#This Row],[Total Power Loss (W) C]]))*100</f>
        <v>94.986190510610058</v>
      </c>
      <c r="CO206" s="167"/>
      <c r="CP206" s="161">
        <f>IF(MOSFET_S=Custom_MOSFET,Table7[[#This Row],[Total Sense Loss C]],Table7[[#This Row],[Total Sense Loss]])</f>
        <v>0.35664062499999999</v>
      </c>
      <c r="CQ206" s="161">
        <f ca="1">IF(MOSFET_S=Custom_MOSFET,Table7[[#This Row],[Total MOSFET Loss C]],Table7[[#This Row],[Total MOSFET Loss]])</f>
        <v>2.5691237052731304</v>
      </c>
      <c r="CR206" s="161">
        <f ca="1">IF(MOSFET_S=Custom_MOSFET,Table7[[#This Row],[Efficiency C]],Table7[[#This Row],[Efficiency]])</f>
        <v>91.11405797318703</v>
      </c>
      <c r="CS206" s="167"/>
      <c r="CT206" s="161">
        <f>IF(MOSFET_S=Compare_MOSFET, Table7[[#This Row],[Total Sense Loss C]], -100)</f>
        <v>-100</v>
      </c>
      <c r="CU206" s="161">
        <f>IF(MOSFET_S=Compare_MOSFET, Table7[[#This Row],[Total MOSFET Loss C]], -100)</f>
        <v>-100</v>
      </c>
      <c r="CV206" s="161">
        <f>IF(MOSFET_S=Compare_MOSFET, Table7[[#This Row],[Efficiency C]], -100)</f>
        <v>-100</v>
      </c>
      <c r="CW206" s="167"/>
      <c r="CX206" s="161">
        <f ca="1">IF(Save_Sel=CLR_Save,  Table7[[#This Row],[Total Sense Loss P1]], Table7[[#This Row],[Total Sense Loss P1 Saved]])</f>
        <v>0.35664062499999999</v>
      </c>
      <c r="CY206" s="161">
        <f ca="1">IF(Save_Sel=CLR_Save,  Table7[[#This Row],[Total MOSFET Loss P1]], Table7[[#This Row],[Total MOSFET Loss P1 Saved]] )</f>
        <v>1.8690105799389409</v>
      </c>
      <c r="CZ206" s="161">
        <f ca="1">IF(Save_Sel=CLR_Save, Table7[[#This Row],[Efficiency P1]], Table7[[#This Row],[Efficiency P1 Saved]])</f>
        <v>93.093541567911473</v>
      </c>
      <c r="DA206" s="167"/>
      <c r="DB206" s="161">
        <f ca="1">IF(Save_Sel=CLR_Save,  Table7[[#This Row],[Total Sense Loss P2]], Table7[[#This Row],[Total Sense Loss P2 Saved]])</f>
        <v>0.35664062499999999</v>
      </c>
      <c r="DC206" s="161">
        <f ca="1">IF(Save_Sel=CLR_Save,  Table7[[#This Row],[Total MOSFET Loss P2]], Table7[[#This Row],[Total MOSFET Loss P2 Saved]] )</f>
        <v>1.2508506613987667</v>
      </c>
      <c r="DD206" s="161">
        <f ca="1">IF(Save_Sel=CLR_Save, Table7[[#This Row],[Efficiency P2]], Table7[[#This Row],[Efficiency P2 Saved]])</f>
        <v>94.914207926743941</v>
      </c>
      <c r="DE206" s="167"/>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c r="FH206" s="21"/>
      <c r="FI206" s="21"/>
    </row>
    <row r="207" spans="1:165" x14ac:dyDescent="0.25">
      <c r="A207" s="34"/>
      <c r="B207" s="51"/>
      <c r="C207" s="51"/>
      <c r="D207" s="34"/>
      <c r="E207" s="69"/>
      <c r="F207" s="69"/>
      <c r="G207" s="51"/>
      <c r="H207" s="31"/>
      <c r="I207" s="31"/>
      <c r="J207" s="31"/>
      <c r="K207" s="31"/>
      <c r="L207" s="31"/>
      <c r="M207" s="31"/>
      <c r="N207" s="31"/>
      <c r="O207" s="31"/>
      <c r="P207" s="31"/>
      <c r="Q207" s="31"/>
      <c r="R207" s="31"/>
      <c r="S207" s="32"/>
      <c r="T207" s="20"/>
      <c r="U207" s="21"/>
      <c r="V207" s="21"/>
      <c r="W207" s="21"/>
      <c r="X207" s="21"/>
      <c r="Y207" s="21"/>
      <c r="Z207" s="21"/>
      <c r="AA207" s="21"/>
      <c r="AB207" s="21"/>
      <c r="AC207" s="21"/>
      <c r="AD207" s="21"/>
      <c r="AE207" s="21"/>
      <c r="AF207" s="154">
        <f t="shared" si="17"/>
        <v>51</v>
      </c>
      <c r="AG207" s="154">
        <f t="shared" si="39"/>
        <v>2.5499999999999998</v>
      </c>
      <c r="AH207" s="155">
        <f t="shared" si="28"/>
        <v>30.599999999999998</v>
      </c>
      <c r="AI207" s="156">
        <f t="shared" si="29"/>
        <v>0.42857142857142855</v>
      </c>
      <c r="AJ207" s="156">
        <f t="shared" si="30"/>
        <v>4.4625000000000004</v>
      </c>
      <c r="AK207" s="156">
        <f t="shared" si="26"/>
        <v>0.85714285714285721</v>
      </c>
      <c r="AL207" s="156">
        <f t="shared" si="27"/>
        <v>4.469354622291223</v>
      </c>
      <c r="AM207" s="157"/>
      <c r="AN207" s="156">
        <f>MAX(0,Table7[[#This Row],[I_L]]-0.5*Table7[[#This Row],[I_L pkpk]])</f>
        <v>4.0339285714285715</v>
      </c>
      <c r="AO207" s="156">
        <f>Table7[[#This Row],[I_L]]+0.5*Table7[[#This Row],[I_L pkpk]]</f>
        <v>4.8910714285714292</v>
      </c>
      <c r="AP207" s="156">
        <f ca="1">IF(VACnom&gt;Vbat, (VGS_S-(TI_MOSFET_S_VTH_H_BU+Table7[[#This Row],[I_L]]/TI_MOSFET_S_gFS_H_BU))/3.4, (VGS_S-(TI_MOSFET_S_VTH_L_BO+Table7[[#This Row],[I_L]]/TI_MOSFET_S_gFS_L_BO))/3.4 )</f>
        <v>2.41637443438914</v>
      </c>
      <c r="AQ207" s="156">
        <f ca="1">IF(VACnom&gt;Vbat, ((TI_MOSFET_S_VTH_H_BU+Table7[[#This Row],[I_L]]/TI_MOSFET_S_gFS_H_BU))/1, ((TI_MOSFET_S_VTH_L_BO+Table7[[#This Row],[I_L]]/TI_MOSFET_S_gFS_L_BO))/1 )</f>
        <v>1.784326923076923</v>
      </c>
      <c r="AR207" s="156">
        <f ca="1">IF(VACnom&gt;Vbat, (TI_MOSFET_S_QGD_H_BU+TI_MOSFET_S_QGS_H_BU)*10^-9/Table7[[#This Row],[Ion (A)]], (TI_MOSFET_S_QGD_L_BO+TI_MOSFET_S_QGS_L_BO)*10^-9/Table7[[#This Row],[Ion (A)]])/10^-9</f>
        <v>11.918682630525614</v>
      </c>
      <c r="AS207" s="156">
        <f ca="1">IF(VACnom&gt;Vbat, (TI_MOSFET_S_QGD_H_BU+TI_MOSFET_S_QGS_H_BU)*10^-9/Table7[[#This Row],[Ioff (A)]], (TI_MOSFET_S_QGD_L_BO+TI_MOSFET_S_QGS_L_BO)*10^-9/Table7[[#This Row],[Ioff (A)]])/10^-9</f>
        <v>16.140539957967345</v>
      </c>
      <c r="AT207" s="156">
        <f ca="1" xml:space="preserve"> 0.5*VACnom*Table7[[#This Row],[Ivalley (A)]]*Table7[[#This Row],[ton (ns)]]*10^-9*Fsw*10^3+0.5*VACnom*Table7[[#This Row],[Ipeak (A)]]*Table7[[#This Row],[toff (ns)]]*10^-9*Fsw*10^3/10^-3</f>
        <v>284.37340660029594</v>
      </c>
      <c r="AU207" s="156">
        <f t="shared" ca="1" si="31"/>
        <v>262.8</v>
      </c>
      <c r="AV207" s="156">
        <f t="shared" ca="1" si="32"/>
        <v>648</v>
      </c>
      <c r="AW207" s="156">
        <f t="shared" ca="1" si="33"/>
        <v>554.4</v>
      </c>
      <c r="AX207" s="156">
        <f ca="1">IF(VACnom&gt;Vbat, TI_MOSFET_S_VSD_L_BU*Table7[[#This Row],[Ivalley (A)]]*Fsw*10^3*40*10^-9+TI_MOSFET_S_VSD_L_BU*Table7[[#This Row],[Ipeak (A)]]*Fsw*10^3*30*10^-9, TI_MOSFET_S_VSD_H_BO*Table7[[#This Row],[Ivalley (A)]]*Fsw*10^3*40*10^-9+TI_MOSFET_S_VSD_H_BO*Table7[[#This Row],[Ipeak (A)]]*Fsw*10^3*30*10^-9)/10^-3</f>
        <v>133.09457142857144</v>
      </c>
      <c r="AY207" s="156">
        <f t="shared" ca="1" si="34"/>
        <v>648</v>
      </c>
      <c r="AZ207" s="156">
        <f ca="1">IF(VACnom&lt;Vbat, Table7[[#This Row],[Duty Cycle]]*Table7[[#This Row],[I_L RMS]]^2*TI_MOSFET_S_RDSON_H_BU*10^-3, (1-Table7[[#This Row],[Duty Cycle]])*Table7[[#This Row],[I_L RMS]]^2*TI_MOSFET_S_RDSON_H_BO*10^-3)/10^-3</f>
        <v>23.970156887755106</v>
      </c>
      <c r="BA207" s="156">
        <f ca="1">IF(VACnom&gt;Vbat, Table7[[#This Row],[PIV (mW)]]+Table7[[#This Row],[Pqoss (mW)]]+Table7[[#This Row],[Pgate_top (mW)]], Table7[[#This Row],[PRR (mW)]]+Table7[[#This Row],[Pdead (mW)]]+Table7[[#This Row],[Pgate_top (mW)]])</f>
        <v>1335.4945714285714</v>
      </c>
      <c r="BB207" s="156">
        <f ca="1">Table7[[#This Row],[Pcon_top (mW)]]+Table7[[#This Row],[Psw_top (mW)]]</f>
        <v>1359.4647283163265</v>
      </c>
      <c r="BC207" s="156">
        <f ca="1">IF(VACnom&gt;Vbat, (1-Table7[[#This Row],[Duty Cycle]])*Table7[[#This Row],[I_L RMS]]^2*TI_MOSFET_S_RDSON_L_BU*10^-3, Table7[[#This Row],[Duty Cycle]]*Table7[[#This Row],[I_L RMS]]^2*TI_MOSFET_S_RDSON_L_BO*10^-3)/10^-3</f>
        <v>23.970156887755106</v>
      </c>
      <c r="BD207" s="156">
        <f ca="1">IF(VACnom&gt;Vbat, Table7[[#This Row],[PRR (mW)]]+Table7[[#This Row],[Pdead (mW)]]+Table7[[#This Row],[Pgate_bottom (mW)]], Table7[[#This Row],[PIV (mW)]]+Table7[[#This Row],[Pqoss (mW)]]+Table7[[#This Row],[Pgate_bottom (mW)]])</f>
        <v>1195.1734066002959</v>
      </c>
      <c r="BE207" s="158">
        <f ca="1">Table7[[#This Row],[Pcon_bottom (mW)]]+Table7[[#This Row],[Psw_bottom (mW)]]</f>
        <v>1219.1435634880511</v>
      </c>
      <c r="BF207" s="164">
        <f ca="1">Table7[[#This Row],[Pbottom (mW)]]+Table7[[#This Row],[Ptop (mW)]]</f>
        <v>2578.6082918043776</v>
      </c>
      <c r="BG207" s="153"/>
      <c r="BH207" s="156">
        <f>MAX(0,Table7[[#This Row],[I_L]]-0.5*Table7[[#This Row],[I_L pkpk]])</f>
        <v>4.0339285714285715</v>
      </c>
      <c r="BI207" s="156">
        <f>Table7[[#This Row],[I_L]]+0.5*Table7[[#This Row],[I_L pkpk]]</f>
        <v>4.8910714285714292</v>
      </c>
      <c r="BJ207" s="156">
        <f>IF(VACnom&gt;Vbat, (VGS_S-(C_MOSFET_S_VTH_H_BU+Table7[[#This Row],[I_L]]/C_MOSFET_S_gFS_H_BU))/3.4, (VGS_S-(C_MOSFET_S_VTH_L_BO+Table7[[#This Row],[I_L]]/C_MOSFET_S_gFS_L_BO))/3.4 )</f>
        <v>2.3441911764705883</v>
      </c>
      <c r="BK207" s="156">
        <f>IF(VACnom&gt;Vbat, ((C_MOSFET_S_VTH_H_BU+Table7[[#This Row],[I_L]]/C_MOSFET_S_gFS_H_BU))/1, ((C_MOSFET_S_VTH_L_BO+Table7[[#This Row],[I_L]]/C_MOSFET_S_gFS_L_BO))/1 )</f>
        <v>2.0297499999999999</v>
      </c>
      <c r="BL207" s="156">
        <f>IF(VACnom&gt;Vbat, (C_MOSFET_S_QGD_H_BU+C_MOSFET_S_QGS_H_BU)*10^-9/Table7[[#This Row],[Ion (A) C]], (C_MOSFET_S_QGD_L_BO+C_MOSFET_S_QGS_L_BO)*10^-9/Table7[[#This Row],[Ion (A) C]])/10^-9</f>
        <v>2.7728113923653588</v>
      </c>
      <c r="BM207" s="156">
        <f>IF(VACnom&gt;Vbat, (C_MOSFET_S_QGD_H_BU+C_MOSFET_S_QGS_H_BU)*10^-9/Table7[[#This Row],[Ioff (A) C]], (C_MOSFET_S_QGD_L_BO+C_MOSFET_S_QGS_L_BO)*10^-9/Table7[[#This Row],[Ioff (A) C]])/10^-9</f>
        <v>3.2023648232540953</v>
      </c>
      <c r="BN207" s="156">
        <f xml:space="preserve"> 0.5*VACnom*Table7[[#This Row],[Ivalley (A) C]]*Table7[[#This Row],[ton (ns) C]]*10^-9*Fsw*10^3+0.5*VACnom*Table7[[#This Row],[Ipeak (A) C]]*Table7[[#This Row],[toff (ns) C]]*10^-9*Fsw*10^3/10^-3</f>
        <v>56.427049490324926</v>
      </c>
      <c r="BO207" s="156">
        <f t="shared" si="35"/>
        <v>129.6</v>
      </c>
      <c r="BP207" s="156">
        <f t="shared" ca="1" si="36"/>
        <v>291.59999999999997</v>
      </c>
      <c r="BQ207" s="156">
        <f t="shared" si="37"/>
        <v>237.6</v>
      </c>
      <c r="BR207" s="156">
        <f>IF(VACnom&gt;Vbat, C_MOSFET_S_VSD_L_BU*Table7[[#This Row],[Ivalley (A) C]]*Fsw*10^3*40*10^-9+C_MOSFET_S_VSD_L_BU*Table7[[#This Row],[Ipeak (A) C]]*Fsw*10^3*30*10^-9, C_MOSFET_S_VSD_H_BO*Table7[[#This Row],[Ivalley (A) C]]*Fsw*10^3*40*10^-9+C_MOSFET_S_VSD_H_BO*Table7[[#This Row],[Ipeak (A) C]]*Fsw*10^3*30*10^-9)/10^-3</f>
        <v>147.8828571428572</v>
      </c>
      <c r="BS207" s="156">
        <f t="shared" ca="1" si="38"/>
        <v>291.59999999999997</v>
      </c>
      <c r="BT207" s="156">
        <f>IF(VACnom&lt;Vbat, Table7[[#This Row],[Duty Cycle]]*Table7[[#This Row],[I_L RMS]]^2*C_MOSFET_S_RDSON_H_BU*10^-3, (1-Table7[[#This Row],[Duty Cycle]])*Table7[[#This Row],[I_L RMS]]^2*C_MOSFET_S_RDSON_H_BO*10^-3)/10^-3</f>
        <v>48.796390807215751</v>
      </c>
      <c r="BU207" s="156">
        <f ca="1">IF(VACnom&gt;Vbat, Table7[[#This Row],[PIV (mW) C]]+Table7[[#This Row],[PQoss (mW) C]]+Table7[[#This Row],[Pgate_top (mW) C]], Table7[[#This Row],[PRR (mW) C]]+Table7[[#This Row],[Pdead (mW) C]]+Table7[[#This Row],[Pgate_top (mW) C]])</f>
        <v>677.08285714285716</v>
      </c>
      <c r="BV207" s="156">
        <f ca="1">Table7[[#This Row],[Pcon_top (mW) C]]+Table7[[#This Row],[Psw_top (mW) C]]</f>
        <v>725.87924795007291</v>
      </c>
      <c r="BW207" s="156">
        <f ca="1">IF(VACnom&gt;Vbat, (1-Table7[[#This Row],[Duty Cycle]])*Table7[[#This Row],[I_L RMS]]^2*C_MOSFET_S_RDSON_L_BU*10^-3, Table7[[#This Row],[Duty Cycle]]*Table7[[#This Row],[I_L RMS]]^2*C_MOSFET_S_RDSON_L_BO*10^-3)/10^-3</f>
        <v>30.390734625546649</v>
      </c>
      <c r="BX207" s="156">
        <f ca="1">IF(VACnom&gt;Vbat, Table7[[#This Row],[PRR (mW) C]]+Table7[[#This Row],[Pdead (mW) C]]+Table7[[#This Row],[Pgate_bottom (mW) C]], Table7[[#This Row],[PIV (mW) C]]+Table7[[#This Row],[PQoss (mW) C]]+Table7[[#This Row],[Pgate_bottom (mW) C]])</f>
        <v>477.62704949032491</v>
      </c>
      <c r="BY207" s="156">
        <f ca="1">Table7[[#This Row],[Pcon_bottom (mW) C]]+Table7[[#This Row],[Psw_bottom (mV) C]]</f>
        <v>508.01778411587156</v>
      </c>
      <c r="BZ207" s="156">
        <f ca="1">Table7[[#This Row],[Pbottom (mW) C]]+Table7[[#This Row],[Ptop (mW) C]]</f>
        <v>1233.8970320659446</v>
      </c>
      <c r="CA207" s="159"/>
      <c r="CB207" s="160">
        <f>(RAC_SNS*10^-3*(Table7[[#This Row],[IOUT (A)]]*Vbat/VACnom)^2/10^-3)</f>
        <v>99.569531249999983</v>
      </c>
      <c r="CC207" s="160">
        <f>(RBAT_SNS*10^-3*Table7[[#This Row],[IOUT (A)]]^2)/10^-3</f>
        <v>32.512499999999996</v>
      </c>
      <c r="CD207" s="160">
        <f>IF(VACnom&gt;Vbat,(L_DRC*10^-3*(Table7[[#This Row],[IOUT (A)]])^2/10^-3),(L_DRC*10^-3*(Table7[[#This Row],[IOUT (A)]]*Vbat/VACnom)^2/10^-3))</f>
        <v>238.96687499999996</v>
      </c>
      <c r="CE207" s="166"/>
      <c r="CF207" s="156">
        <f>(Table7[[#This Row],[R_AC (mW)]]+Table7[[#This Row],[R_SR (mW)]]+Table7[[#This Row],[Inductor Loss (mW)]])/10^3</f>
        <v>0.37104890624999998</v>
      </c>
      <c r="CG207" s="156">
        <f ca="1">Table7[[#This Row],[Total TI (mW)]]/10^3</f>
        <v>2.5786082918043776</v>
      </c>
      <c r="CH207" s="156">
        <f ca="1">Table7[[#This Row],[Total Sense Loss]]+Table7[[#This Row],[Total MOSFET Loss]]</f>
        <v>2.9496571980543775</v>
      </c>
      <c r="CI207" s="161">
        <f ca="1">IF(Table7[[#This Row],[POUT (W)]]=0,0,(Table7[[#This Row],[POUT (W)]])/(Table7[[#This Row],[POUT (W)]]+Table7[[#This Row],[Total Power Loss (W)]]))*100</f>
        <v>91.208085433953599</v>
      </c>
      <c r="CJ207" s="167"/>
      <c r="CK207" s="156">
        <f>(Table7[[#This Row],[R_AC (mW)]]+Table7[[#This Row],[R_SR (mW)]]+Table7[[#This Row],[Inductor Loss (mW)]])/10^3</f>
        <v>0.37104890624999998</v>
      </c>
      <c r="CL207" s="156">
        <f ca="1">Table7[[#This Row],[Total (mW) C]]/10^3</f>
        <v>1.2338970320659446</v>
      </c>
      <c r="CM207" s="156">
        <f ca="1">Table7[[#This Row],[Total Sense Loss C]]+Table7[[#This Row],[Total MOSFET Loss C]]</f>
        <v>1.6049459383159446</v>
      </c>
      <c r="CN207" s="161">
        <f ca="1">IF(Table7[[#This Row],[POUT (W)]]=0,0,(Table7[[#This Row],[POUT (W)]])/(Table7[[#This Row],[POUT (W)]]+Table7[[#This Row],[Total Power Loss (W) C]]))*100</f>
        <v>95.01646131811556</v>
      </c>
      <c r="CO207" s="167"/>
      <c r="CP207" s="161">
        <f>IF(MOSFET_S=Custom_MOSFET,Table7[[#This Row],[Total Sense Loss C]],Table7[[#This Row],[Total Sense Loss]])</f>
        <v>0.37104890624999998</v>
      </c>
      <c r="CQ207" s="161">
        <f ca="1">IF(MOSFET_S=Custom_MOSFET,Table7[[#This Row],[Total MOSFET Loss C]],Table7[[#This Row],[Total MOSFET Loss]])</f>
        <v>2.5786082918043776</v>
      </c>
      <c r="CR207" s="161">
        <f ca="1">IF(MOSFET_S=Custom_MOSFET,Table7[[#This Row],[Efficiency C]],Table7[[#This Row],[Efficiency]])</f>
        <v>91.208085433953599</v>
      </c>
      <c r="CS207" s="167"/>
      <c r="CT207" s="161">
        <f>IF(MOSFET_S=Compare_MOSFET, Table7[[#This Row],[Total Sense Loss C]], -100)</f>
        <v>-100</v>
      </c>
      <c r="CU207" s="161">
        <f>IF(MOSFET_S=Compare_MOSFET, Table7[[#This Row],[Total MOSFET Loss C]], -100)</f>
        <v>-100</v>
      </c>
      <c r="CV207" s="161">
        <f>IF(MOSFET_S=Compare_MOSFET, Table7[[#This Row],[Efficiency C]], -100)</f>
        <v>-100</v>
      </c>
      <c r="CW207" s="167"/>
      <c r="CX207" s="161">
        <f ca="1">IF(Save_Sel=CLR_Save,  Table7[[#This Row],[Total Sense Loss P1]], Table7[[#This Row],[Total Sense Loss P1 Saved]])</f>
        <v>0.37104890624999998</v>
      </c>
      <c r="CY207" s="161">
        <f ca="1">IF(Save_Sel=CLR_Save,  Table7[[#This Row],[Total MOSFET Loss P1]], Table7[[#This Row],[Total MOSFET Loss P1 Saved]] )</f>
        <v>1.8789999925916003</v>
      </c>
      <c r="CZ207" s="161">
        <f ca="1">IF(Save_Sel=CLR_Save, Table7[[#This Row],[Efficiency P1]], Table7[[#This Row],[Efficiency P1 Saved]])</f>
        <v>93.150546272334637</v>
      </c>
      <c r="DA207" s="167"/>
      <c r="DB207" s="161">
        <f ca="1">IF(Save_Sel=CLR_Save,  Table7[[#This Row],[Total Sense Loss P2]], Table7[[#This Row],[Total Sense Loss P2 Saved]])</f>
        <v>0.37104890624999998</v>
      </c>
      <c r="DC207" s="161">
        <f ca="1">IF(Save_Sel=CLR_Save,  Table7[[#This Row],[Total MOSFET Loss P2]], Table7[[#This Row],[Total MOSFET Loss P2 Saved]] )</f>
        <v>1.2588129206346743</v>
      </c>
      <c r="DD207" s="161">
        <f ca="1">IF(Save_Sel=CLR_Save, Table7[[#This Row],[Efficiency P2]], Table7[[#This Row],[Efficiency P2 Saved]])</f>
        <v>94.943007091873042</v>
      </c>
      <c r="DE207" s="167"/>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c r="FH207" s="21"/>
      <c r="FI207" s="21"/>
    </row>
    <row r="208" spans="1:165" x14ac:dyDescent="0.25">
      <c r="A208" s="34"/>
      <c r="B208" s="51"/>
      <c r="C208" s="51"/>
      <c r="D208" s="34"/>
      <c r="E208" s="69"/>
      <c r="F208" s="69"/>
      <c r="G208" s="51"/>
      <c r="H208" s="31"/>
      <c r="I208" s="31"/>
      <c r="J208" s="31"/>
      <c r="K208" s="31"/>
      <c r="L208" s="31"/>
      <c r="M208" s="31"/>
      <c r="N208" s="31"/>
      <c r="O208" s="31"/>
      <c r="P208" s="31"/>
      <c r="Q208" s="31"/>
      <c r="R208" s="31"/>
      <c r="S208" s="32"/>
      <c r="T208" s="20"/>
      <c r="U208" s="21"/>
      <c r="V208" s="21"/>
      <c r="W208" s="21"/>
      <c r="X208" s="21"/>
      <c r="Y208" s="21"/>
      <c r="Z208" s="21"/>
      <c r="AA208" s="21"/>
      <c r="AB208" s="21"/>
      <c r="AC208" s="21"/>
      <c r="AD208" s="21"/>
      <c r="AE208" s="21"/>
      <c r="AF208" s="154">
        <f t="shared" si="17"/>
        <v>52</v>
      </c>
      <c r="AG208" s="154">
        <f t="shared" si="39"/>
        <v>2.6</v>
      </c>
      <c r="AH208" s="155">
        <f t="shared" si="28"/>
        <v>31.200000000000003</v>
      </c>
      <c r="AI208" s="156">
        <f t="shared" si="29"/>
        <v>0.42857142857142855</v>
      </c>
      <c r="AJ208" s="156">
        <f t="shared" si="30"/>
        <v>4.5500000000000007</v>
      </c>
      <c r="AK208" s="156">
        <f t="shared" si="26"/>
        <v>0.85714285714285721</v>
      </c>
      <c r="AL208" s="156">
        <f t="shared" si="27"/>
        <v>4.5567229990197919</v>
      </c>
      <c r="AM208" s="157"/>
      <c r="AN208" s="156">
        <f>MAX(0,Table7[[#This Row],[I_L]]-0.5*Table7[[#This Row],[I_L pkpk]])</f>
        <v>4.1214285714285719</v>
      </c>
      <c r="AO208" s="156">
        <f>Table7[[#This Row],[I_L]]+0.5*Table7[[#This Row],[I_L pkpk]]</f>
        <v>4.9785714285714295</v>
      </c>
      <c r="AP208" s="156">
        <f ca="1">IF(VACnom&gt;Vbat, (VGS_S-(TI_MOSFET_S_VTH_H_BU+Table7[[#This Row],[I_L]]/TI_MOSFET_S_gFS_H_BU))/3.4, (VGS_S-(TI_MOSFET_S_VTH_L_BO+Table7[[#This Row],[I_L]]/TI_MOSFET_S_gFS_L_BO))/3.4 )</f>
        <v>2.4161764705882351</v>
      </c>
      <c r="AQ208" s="156">
        <f ca="1">IF(VACnom&gt;Vbat, ((TI_MOSFET_S_VTH_H_BU+Table7[[#This Row],[I_L]]/TI_MOSFET_S_gFS_H_BU))/1, ((TI_MOSFET_S_VTH_L_BO+Table7[[#This Row],[I_L]]/TI_MOSFET_S_gFS_L_BO))/1 )</f>
        <v>1.7849999999999999</v>
      </c>
      <c r="AR208" s="156">
        <f ca="1">IF(VACnom&gt;Vbat, (TI_MOSFET_S_QGD_H_BU+TI_MOSFET_S_QGS_H_BU)*10^-9/Table7[[#This Row],[Ion (A)]], (TI_MOSFET_S_QGD_L_BO+TI_MOSFET_S_QGS_L_BO)*10^-9/Table7[[#This Row],[Ion (A)]])/10^-9</f>
        <v>11.919659160073039</v>
      </c>
      <c r="AS208" s="156">
        <f ca="1">IF(VACnom&gt;Vbat, (TI_MOSFET_S_QGD_H_BU+TI_MOSFET_S_QGS_H_BU)*10^-9/Table7[[#This Row],[Ioff (A)]], (TI_MOSFET_S_QGD_L_BO+TI_MOSFET_S_QGS_L_BO)*10^-9/Table7[[#This Row],[Ioff (A)]])/10^-9</f>
        <v>16.134453781512608</v>
      </c>
      <c r="AT208" s="156">
        <f ca="1" xml:space="preserve"> 0.5*VACnom*Table7[[#This Row],[Ivalley (A)]]*Table7[[#This Row],[ton (ns)]]*10^-9*Fsw*10^3+0.5*VACnom*Table7[[#This Row],[Ipeak (A)]]*Table7[[#This Row],[toff (ns)]]*10^-9*Fsw*10^3/10^-3</f>
        <v>289.35236388984822</v>
      </c>
      <c r="AU208" s="156">
        <f t="shared" ca="1" si="31"/>
        <v>262.8</v>
      </c>
      <c r="AV208" s="156">
        <f t="shared" ca="1" si="32"/>
        <v>648</v>
      </c>
      <c r="AW208" s="156">
        <f t="shared" ca="1" si="33"/>
        <v>554.4</v>
      </c>
      <c r="AX208" s="156">
        <f ca="1">IF(VACnom&gt;Vbat, TI_MOSFET_S_VSD_L_BU*Table7[[#This Row],[Ivalley (A)]]*Fsw*10^3*40*10^-9+TI_MOSFET_S_VSD_L_BU*Table7[[#This Row],[Ipeak (A)]]*Fsw*10^3*30*10^-9, TI_MOSFET_S_VSD_H_BO*Table7[[#This Row],[Ivalley (A)]]*Fsw*10^3*40*10^-9+TI_MOSFET_S_VSD_H_BO*Table7[[#This Row],[Ipeak (A)]]*Fsw*10^3*30*10^-9)/10^-3</f>
        <v>135.74057142857143</v>
      </c>
      <c r="AY208" s="156">
        <f t="shared" ca="1" si="34"/>
        <v>648</v>
      </c>
      <c r="AZ208" s="156">
        <f ca="1">IF(VACnom&lt;Vbat, Table7[[#This Row],[Duty Cycle]]*Table7[[#This Row],[I_L RMS]]^2*TI_MOSFET_S_RDSON_H_BU*10^-3, (1-Table7[[#This Row],[Duty Cycle]])*Table7[[#This Row],[I_L RMS]]^2*TI_MOSFET_S_RDSON_H_BO*10^-3)/10^-3</f>
        <v>24.916469387755111</v>
      </c>
      <c r="BA208" s="156">
        <f ca="1">IF(VACnom&gt;Vbat, Table7[[#This Row],[PIV (mW)]]+Table7[[#This Row],[Pqoss (mW)]]+Table7[[#This Row],[Pgate_top (mW)]], Table7[[#This Row],[PRR (mW)]]+Table7[[#This Row],[Pdead (mW)]]+Table7[[#This Row],[Pgate_top (mW)]])</f>
        <v>1338.1405714285715</v>
      </c>
      <c r="BB208" s="156">
        <f ca="1">Table7[[#This Row],[Pcon_top (mW)]]+Table7[[#This Row],[Psw_top (mW)]]</f>
        <v>1363.0570408163267</v>
      </c>
      <c r="BC208" s="156">
        <f ca="1">IF(VACnom&gt;Vbat, (1-Table7[[#This Row],[Duty Cycle]])*Table7[[#This Row],[I_L RMS]]^2*TI_MOSFET_S_RDSON_L_BU*10^-3, Table7[[#This Row],[Duty Cycle]]*Table7[[#This Row],[I_L RMS]]^2*TI_MOSFET_S_RDSON_L_BO*10^-3)/10^-3</f>
        <v>24.916469387755111</v>
      </c>
      <c r="BD208" s="156">
        <f ca="1">IF(VACnom&gt;Vbat, Table7[[#This Row],[PRR (mW)]]+Table7[[#This Row],[Pdead (mW)]]+Table7[[#This Row],[Pgate_bottom (mW)]], Table7[[#This Row],[PIV (mW)]]+Table7[[#This Row],[Pqoss (mW)]]+Table7[[#This Row],[Pgate_bottom (mW)]])</f>
        <v>1200.1523638898482</v>
      </c>
      <c r="BE208" s="158">
        <f ca="1">Table7[[#This Row],[Pcon_bottom (mW)]]+Table7[[#This Row],[Psw_bottom (mW)]]</f>
        <v>1225.0688332776033</v>
      </c>
      <c r="BF208" s="164">
        <f ca="1">Table7[[#This Row],[Pbottom (mW)]]+Table7[[#This Row],[Ptop (mW)]]</f>
        <v>2588.1258740939302</v>
      </c>
      <c r="BG208" s="153"/>
      <c r="BH208" s="156">
        <f>MAX(0,Table7[[#This Row],[I_L]]-0.5*Table7[[#This Row],[I_L pkpk]])</f>
        <v>4.1214285714285719</v>
      </c>
      <c r="BI208" s="156">
        <f>Table7[[#This Row],[I_L]]+0.5*Table7[[#This Row],[I_L pkpk]]</f>
        <v>4.9785714285714295</v>
      </c>
      <c r="BJ208" s="156">
        <f>IF(VACnom&gt;Vbat, (VGS_S-(C_MOSFET_S_VTH_H_BU+Table7[[#This Row],[I_L]]/C_MOSFET_S_gFS_H_BU))/3.4, (VGS_S-(C_MOSFET_S_VTH_L_BO+Table7[[#This Row],[I_L]]/C_MOSFET_S_gFS_L_BO))/3.4 )</f>
        <v>2.3440196078431375</v>
      </c>
      <c r="BK208" s="156">
        <f>IF(VACnom&gt;Vbat, ((C_MOSFET_S_VTH_H_BU+Table7[[#This Row],[I_L]]/C_MOSFET_S_gFS_H_BU))/1, ((C_MOSFET_S_VTH_L_BO+Table7[[#This Row],[I_L]]/C_MOSFET_S_gFS_L_BO))/1 )</f>
        <v>2.0303333333333335</v>
      </c>
      <c r="BL208" s="156">
        <f>IF(VACnom&gt;Vbat, (C_MOSFET_S_QGD_H_BU+C_MOSFET_S_QGS_H_BU)*10^-9/Table7[[#This Row],[Ion (A) C]], (C_MOSFET_S_QGD_L_BO+C_MOSFET_S_QGS_L_BO)*10^-9/Table7[[#This Row],[Ion (A) C]])/10^-9</f>
        <v>2.7730143460621521</v>
      </c>
      <c r="BM208" s="156">
        <f>IF(VACnom&gt;Vbat, (C_MOSFET_S_QGD_H_BU+C_MOSFET_S_QGS_H_BU)*10^-9/Table7[[#This Row],[Ioff (A) C]], (C_MOSFET_S_QGD_L_BO+C_MOSFET_S_QGS_L_BO)*10^-9/Table7[[#This Row],[Ioff (A) C]])/10^-9</f>
        <v>3.2014447545559017</v>
      </c>
      <c r="BN208" s="156">
        <f xml:space="preserve"> 0.5*VACnom*Table7[[#This Row],[Ivalley (A) C]]*Table7[[#This Row],[ton (ns) C]]*10^-9*Fsw*10^3+0.5*VACnom*Table7[[#This Row],[Ipeak (A) C]]*Table7[[#This Row],[toff (ns) C]]*10^-9*Fsw*10^3/10^-3</f>
        <v>57.420180596652223</v>
      </c>
      <c r="BO208" s="156">
        <f t="shared" si="35"/>
        <v>129.6</v>
      </c>
      <c r="BP208" s="156">
        <f t="shared" ca="1" si="36"/>
        <v>291.59999999999997</v>
      </c>
      <c r="BQ208" s="156">
        <f t="shared" si="37"/>
        <v>237.6</v>
      </c>
      <c r="BR208" s="156">
        <f>IF(VACnom&gt;Vbat, C_MOSFET_S_VSD_L_BU*Table7[[#This Row],[Ivalley (A) C]]*Fsw*10^3*40*10^-9+C_MOSFET_S_VSD_L_BU*Table7[[#This Row],[Ipeak (A) C]]*Fsw*10^3*30*10^-9, C_MOSFET_S_VSD_H_BO*Table7[[#This Row],[Ivalley (A) C]]*Fsw*10^3*40*10^-9+C_MOSFET_S_VSD_H_BO*Table7[[#This Row],[Ipeak (A) C]]*Fsw*10^3*30*10^-9)/10^-3</f>
        <v>150.8228571428572</v>
      </c>
      <c r="BS208" s="156">
        <f t="shared" ca="1" si="38"/>
        <v>291.59999999999997</v>
      </c>
      <c r="BT208" s="156">
        <f>IF(VACnom&lt;Vbat, Table7[[#This Row],[Duty Cycle]]*Table7[[#This Row],[I_L RMS]]^2*C_MOSFET_S_RDSON_H_BU*10^-3, (1-Table7[[#This Row],[Duty Cycle]])*Table7[[#This Row],[I_L RMS]]^2*C_MOSFET_S_RDSON_H_BO*10^-3)/10^-3</f>
        <v>50.722812682215761</v>
      </c>
      <c r="BU208" s="156">
        <f ca="1">IF(VACnom&gt;Vbat, Table7[[#This Row],[PIV (mW) C]]+Table7[[#This Row],[PQoss (mW) C]]+Table7[[#This Row],[Pgate_top (mW) C]], Table7[[#This Row],[PRR (mW) C]]+Table7[[#This Row],[Pdead (mW) C]]+Table7[[#This Row],[Pgate_top (mW) C]])</f>
        <v>680.02285714285722</v>
      </c>
      <c r="BV208" s="156">
        <f ca="1">Table7[[#This Row],[Pcon_top (mW) C]]+Table7[[#This Row],[Psw_top (mW) C]]</f>
        <v>730.74566982507304</v>
      </c>
      <c r="BW208" s="156">
        <f ca="1">IF(VACnom&gt;Vbat, (1-Table7[[#This Row],[Duty Cycle]])*Table7[[#This Row],[I_L RMS]]^2*C_MOSFET_S_RDSON_L_BU*10^-3, Table7[[#This Row],[Duty Cycle]]*Table7[[#This Row],[I_L RMS]]^2*C_MOSFET_S_RDSON_L_BO*10^-3)/10^-3</f>
        <v>31.590523688046655</v>
      </c>
      <c r="BX208" s="156">
        <f ca="1">IF(VACnom&gt;Vbat, Table7[[#This Row],[PRR (mW) C]]+Table7[[#This Row],[Pdead (mW) C]]+Table7[[#This Row],[Pgate_bottom (mW) C]], Table7[[#This Row],[PIV (mW) C]]+Table7[[#This Row],[PQoss (mW) C]]+Table7[[#This Row],[Pgate_bottom (mW) C]])</f>
        <v>478.62018059665218</v>
      </c>
      <c r="BY208" s="156">
        <f ca="1">Table7[[#This Row],[Pcon_bottom (mW) C]]+Table7[[#This Row],[Psw_bottom (mV) C]]</f>
        <v>510.21070428469881</v>
      </c>
      <c r="BZ208" s="156">
        <f ca="1">Table7[[#This Row],[Pbottom (mW) C]]+Table7[[#This Row],[Ptop (mW) C]]</f>
        <v>1240.9563741097718</v>
      </c>
      <c r="CA208" s="159"/>
      <c r="CB208" s="160">
        <f>(RAC_SNS*10^-3*(Table7[[#This Row],[IOUT (A)]]*Vbat/VACnom)^2/10^-3)</f>
        <v>103.51249999999999</v>
      </c>
      <c r="CC208" s="160">
        <f>(RBAT_SNS*10^-3*Table7[[#This Row],[IOUT (A)]]^2)/10^-3</f>
        <v>33.800000000000004</v>
      </c>
      <c r="CD208" s="160">
        <f>IF(VACnom&gt;Vbat,(L_DRC*10^-3*(Table7[[#This Row],[IOUT (A)]])^2/10^-3),(L_DRC*10^-3*(Table7[[#This Row],[IOUT (A)]]*Vbat/VACnom)^2/10^-3))</f>
        <v>248.42999999999995</v>
      </c>
      <c r="CE208" s="166"/>
      <c r="CF208" s="156">
        <f>(Table7[[#This Row],[R_AC (mW)]]+Table7[[#This Row],[R_SR (mW)]]+Table7[[#This Row],[Inductor Loss (mW)]])/10^3</f>
        <v>0.38574249999999993</v>
      </c>
      <c r="CG208" s="156">
        <f ca="1">Table7[[#This Row],[Total TI (mW)]]/10^3</f>
        <v>2.5881258740939304</v>
      </c>
      <c r="CH208" s="156">
        <f ca="1">Table7[[#This Row],[Total Sense Loss]]+Table7[[#This Row],[Total MOSFET Loss]]</f>
        <v>2.9738683740939305</v>
      </c>
      <c r="CI208" s="161">
        <f ca="1">IF(Table7[[#This Row],[POUT (W)]]=0,0,(Table7[[#This Row],[POUT (W)]])/(Table7[[#This Row],[POUT (W)]]+Table7[[#This Row],[Total Power Loss (W)]]))*100</f>
        <v>91.297829260826902</v>
      </c>
      <c r="CJ208" s="167"/>
      <c r="CK208" s="156">
        <f>(Table7[[#This Row],[R_AC (mW)]]+Table7[[#This Row],[R_SR (mW)]]+Table7[[#This Row],[Inductor Loss (mW)]])/10^3</f>
        <v>0.38574249999999993</v>
      </c>
      <c r="CL208" s="156">
        <f ca="1">Table7[[#This Row],[Total (mW) C]]/10^3</f>
        <v>1.2409563741097718</v>
      </c>
      <c r="CM208" s="156">
        <f ca="1">Table7[[#This Row],[Total Sense Loss C]]+Table7[[#This Row],[Total MOSFET Loss C]]</f>
        <v>1.6266988741097717</v>
      </c>
      <c r="CN208" s="161">
        <f ca="1">IF(Table7[[#This Row],[POUT (W)]]=0,0,(Table7[[#This Row],[POUT (W)]])/(Table7[[#This Row],[POUT (W)]]+Table7[[#This Row],[Total Power Loss (W) C]]))*100</f>
        <v>95.044585870945625</v>
      </c>
      <c r="CO208" s="167"/>
      <c r="CP208" s="161">
        <f>IF(MOSFET_S=Custom_MOSFET,Table7[[#This Row],[Total Sense Loss C]],Table7[[#This Row],[Total Sense Loss]])</f>
        <v>0.38574249999999993</v>
      </c>
      <c r="CQ208" s="161">
        <f ca="1">IF(MOSFET_S=Custom_MOSFET,Table7[[#This Row],[Total MOSFET Loss C]],Table7[[#This Row],[Total MOSFET Loss]])</f>
        <v>2.5881258740939304</v>
      </c>
      <c r="CR208" s="161">
        <f ca="1">IF(MOSFET_S=Custom_MOSFET,Table7[[#This Row],[Efficiency C]],Table7[[#This Row],[Efficiency]])</f>
        <v>91.297829260826902</v>
      </c>
      <c r="CS208" s="167"/>
      <c r="CT208" s="161">
        <f>IF(MOSFET_S=Compare_MOSFET, Table7[[#This Row],[Total Sense Loss C]], -100)</f>
        <v>-100</v>
      </c>
      <c r="CU208" s="161">
        <f>IF(MOSFET_S=Compare_MOSFET, Table7[[#This Row],[Total MOSFET Loss C]], -100)</f>
        <v>-100</v>
      </c>
      <c r="CV208" s="161">
        <f>IF(MOSFET_S=Compare_MOSFET, Table7[[#This Row],[Efficiency C]], -100)</f>
        <v>-100</v>
      </c>
      <c r="CW208" s="167"/>
      <c r="CX208" s="161">
        <f ca="1">IF(Save_Sel=CLR_Save,  Table7[[#This Row],[Total Sense Loss P1]], Table7[[#This Row],[Total Sense Loss P1 Saved]])</f>
        <v>0.38574249999999993</v>
      </c>
      <c r="CY208" s="161">
        <f ca="1">IF(Save_Sel=CLR_Save,  Table7[[#This Row],[Total MOSFET Loss P1]], Table7[[#This Row],[Total MOSFET Loss P1 Saved]] )</f>
        <v>1.8890322498295833</v>
      </c>
      <c r="CZ208" s="161">
        <f ca="1">IF(Save_Sel=CLR_Save, Table7[[#This Row],[Efficiency P1]], Table7[[#This Row],[Efficiency P1 Saved]])</f>
        <v>93.204510659653764</v>
      </c>
      <c r="DA208" s="167"/>
      <c r="DB208" s="161">
        <f ca="1">IF(Save_Sel=CLR_Save,  Table7[[#This Row],[Total Sense Loss P2]], Table7[[#This Row],[Total Sense Loss P2 Saved]])</f>
        <v>0.38574249999999993</v>
      </c>
      <c r="DC208" s="161">
        <f ca="1">IF(Save_Sel=CLR_Save,  Table7[[#This Row],[Total MOSFET Loss P2]], Table7[[#This Row],[Total MOSFET Loss P2 Saved]] )</f>
        <v>1.2668543450955481</v>
      </c>
      <c r="DD208" s="161">
        <f ca="1">IF(Save_Sel=CLR_Save, Table7[[#This Row],[Efficiency P2]], Table7[[#This Row],[Efficiency P2 Saved]])</f>
        <v>94.969661445980165</v>
      </c>
      <c r="DE208" s="167"/>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c r="FH208" s="21"/>
      <c r="FI208" s="21"/>
    </row>
    <row r="209" spans="1:165" x14ac:dyDescent="0.25">
      <c r="A209" s="34"/>
      <c r="B209" s="51"/>
      <c r="C209" s="51"/>
      <c r="D209" s="34"/>
      <c r="E209" s="69"/>
      <c r="F209" s="69"/>
      <c r="G209" s="51"/>
      <c r="H209" s="31"/>
      <c r="I209" s="31"/>
      <c r="J209" s="31"/>
      <c r="K209" s="31"/>
      <c r="L209" s="31"/>
      <c r="M209" s="31"/>
      <c r="N209" s="31"/>
      <c r="O209" s="31"/>
      <c r="P209" s="31"/>
      <c r="Q209" s="31"/>
      <c r="R209" s="31"/>
      <c r="S209" s="32"/>
      <c r="T209" s="20"/>
      <c r="U209" s="21"/>
      <c r="V209" s="21"/>
      <c r="W209" s="21"/>
      <c r="X209" s="21"/>
      <c r="Y209" s="21"/>
      <c r="Z209" s="21"/>
      <c r="AA209" s="21"/>
      <c r="AB209" s="21"/>
      <c r="AC209" s="21"/>
      <c r="AD209" s="21"/>
      <c r="AE209" s="21"/>
      <c r="AF209" s="154">
        <f t="shared" si="17"/>
        <v>53</v>
      </c>
      <c r="AG209" s="154">
        <f t="shared" si="39"/>
        <v>2.65</v>
      </c>
      <c r="AH209" s="155">
        <f t="shared" si="28"/>
        <v>31.799999999999997</v>
      </c>
      <c r="AI209" s="156">
        <f t="shared" si="29"/>
        <v>0.42857142857142855</v>
      </c>
      <c r="AJ209" s="156">
        <f t="shared" si="30"/>
        <v>4.6375000000000002</v>
      </c>
      <c r="AK209" s="156">
        <f t="shared" si="26"/>
        <v>0.85714285714285721</v>
      </c>
      <c r="AL209" s="156">
        <f t="shared" si="27"/>
        <v>4.6440963318815776</v>
      </c>
      <c r="AM209" s="157"/>
      <c r="AN209" s="156">
        <f>MAX(0,Table7[[#This Row],[I_L]]-0.5*Table7[[#This Row],[I_L pkpk]])</f>
        <v>4.2089285714285714</v>
      </c>
      <c r="AO209" s="156">
        <f>Table7[[#This Row],[I_L]]+0.5*Table7[[#This Row],[I_L pkpk]]</f>
        <v>5.066071428571429</v>
      </c>
      <c r="AP209" s="156">
        <f ca="1">IF(VACnom&gt;Vbat, (VGS_S-(TI_MOSFET_S_VTH_H_BU+Table7[[#This Row],[I_L]]/TI_MOSFET_S_gFS_H_BU))/3.4, (VGS_S-(TI_MOSFET_S_VTH_L_BO+Table7[[#This Row],[I_L]]/TI_MOSFET_S_gFS_L_BO))/3.4 )</f>
        <v>2.4159785067873303</v>
      </c>
      <c r="AQ209" s="156">
        <f ca="1">IF(VACnom&gt;Vbat, ((TI_MOSFET_S_VTH_H_BU+Table7[[#This Row],[I_L]]/TI_MOSFET_S_gFS_H_BU))/1, ((TI_MOSFET_S_VTH_L_BO+Table7[[#This Row],[I_L]]/TI_MOSFET_S_gFS_L_BO))/1 )</f>
        <v>1.7856730769230769</v>
      </c>
      <c r="AR209" s="156">
        <f ca="1">IF(VACnom&gt;Vbat, (TI_MOSFET_S_QGD_H_BU+TI_MOSFET_S_QGS_H_BU)*10^-9/Table7[[#This Row],[Ion (A)]], (TI_MOSFET_S_QGD_L_BO+TI_MOSFET_S_QGS_L_BO)*10^-9/Table7[[#This Row],[Ion (A)]])/10^-9</f>
        <v>11.92063584965293</v>
      </c>
      <c r="AS209" s="156">
        <f ca="1">IF(VACnom&gt;Vbat, (TI_MOSFET_S_QGD_H_BU+TI_MOSFET_S_QGS_H_BU)*10^-9/Table7[[#This Row],[Ioff (A)]], (TI_MOSFET_S_QGD_L_BO+TI_MOSFET_S_QGS_L_BO)*10^-9/Table7[[#This Row],[Ioff (A)]])/10^-9</f>
        <v>16.128372193204459</v>
      </c>
      <c r="AT209" s="156">
        <f ca="1" xml:space="preserve"> 0.5*VACnom*Table7[[#This Row],[Ivalley (A)]]*Table7[[#This Row],[ton (ns)]]*10^-9*Fsw*10^3+0.5*VACnom*Table7[[#This Row],[Ipeak (A)]]*Table7[[#This Row],[toff (ns)]]*10^-9*Fsw*10^3/10^-3</f>
        <v>294.32757118383449</v>
      </c>
      <c r="AU209" s="156">
        <f t="shared" ca="1" si="31"/>
        <v>262.8</v>
      </c>
      <c r="AV209" s="156">
        <f t="shared" ca="1" si="32"/>
        <v>648</v>
      </c>
      <c r="AW209" s="156">
        <f t="shared" ca="1" si="33"/>
        <v>554.4</v>
      </c>
      <c r="AX209" s="156">
        <f ca="1">IF(VACnom&gt;Vbat, TI_MOSFET_S_VSD_L_BU*Table7[[#This Row],[Ivalley (A)]]*Fsw*10^3*40*10^-9+TI_MOSFET_S_VSD_L_BU*Table7[[#This Row],[Ipeak (A)]]*Fsw*10^3*30*10^-9, TI_MOSFET_S_VSD_H_BO*Table7[[#This Row],[Ivalley (A)]]*Fsw*10^3*40*10^-9+TI_MOSFET_S_VSD_H_BO*Table7[[#This Row],[Ipeak (A)]]*Fsw*10^3*30*10^-9)/10^-3</f>
        <v>138.38657142857141</v>
      </c>
      <c r="AY209" s="156">
        <f t="shared" ca="1" si="34"/>
        <v>648</v>
      </c>
      <c r="AZ209" s="156">
        <f ca="1">IF(VACnom&lt;Vbat, Table7[[#This Row],[Duty Cycle]]*Table7[[#This Row],[I_L RMS]]^2*TI_MOSFET_S_RDSON_H_BU*10^-3, (1-Table7[[#This Row],[Duty Cycle]])*Table7[[#This Row],[I_L RMS]]^2*TI_MOSFET_S_RDSON_H_BO*10^-3)/10^-3</f>
        <v>25.881156887755107</v>
      </c>
      <c r="BA209" s="156">
        <f ca="1">IF(VACnom&gt;Vbat, Table7[[#This Row],[PIV (mW)]]+Table7[[#This Row],[Pqoss (mW)]]+Table7[[#This Row],[Pgate_top (mW)]], Table7[[#This Row],[PRR (mW)]]+Table7[[#This Row],[Pdead (mW)]]+Table7[[#This Row],[Pgate_top (mW)]])</f>
        <v>1340.7865714285713</v>
      </c>
      <c r="BB209" s="156">
        <f ca="1">Table7[[#This Row],[Pcon_top (mW)]]+Table7[[#This Row],[Psw_top (mW)]]</f>
        <v>1366.6677283163265</v>
      </c>
      <c r="BC209" s="156">
        <f ca="1">IF(VACnom&gt;Vbat, (1-Table7[[#This Row],[Duty Cycle]])*Table7[[#This Row],[I_L RMS]]^2*TI_MOSFET_S_RDSON_L_BU*10^-3, Table7[[#This Row],[Duty Cycle]]*Table7[[#This Row],[I_L RMS]]^2*TI_MOSFET_S_RDSON_L_BO*10^-3)/10^-3</f>
        <v>25.881156887755107</v>
      </c>
      <c r="BD209" s="156">
        <f ca="1">IF(VACnom&gt;Vbat, Table7[[#This Row],[PRR (mW)]]+Table7[[#This Row],[Pdead (mW)]]+Table7[[#This Row],[Pgate_bottom (mW)]], Table7[[#This Row],[PIV (mW)]]+Table7[[#This Row],[Pqoss (mW)]]+Table7[[#This Row],[Pgate_bottom (mW)]])</f>
        <v>1205.1275711838346</v>
      </c>
      <c r="BE209" s="158">
        <f ca="1">Table7[[#This Row],[Pcon_bottom (mW)]]+Table7[[#This Row],[Psw_bottom (mW)]]</f>
        <v>1231.0087280715898</v>
      </c>
      <c r="BF209" s="164">
        <f ca="1">Table7[[#This Row],[Pbottom (mW)]]+Table7[[#This Row],[Ptop (mW)]]</f>
        <v>2597.676456387916</v>
      </c>
      <c r="BG209" s="153"/>
      <c r="BH209" s="156">
        <f>MAX(0,Table7[[#This Row],[I_L]]-0.5*Table7[[#This Row],[I_L pkpk]])</f>
        <v>4.2089285714285714</v>
      </c>
      <c r="BI209" s="156">
        <f>Table7[[#This Row],[I_L]]+0.5*Table7[[#This Row],[I_L pkpk]]</f>
        <v>5.066071428571429</v>
      </c>
      <c r="BJ209" s="156">
        <f>IF(VACnom&gt;Vbat, (VGS_S-(C_MOSFET_S_VTH_H_BU+Table7[[#This Row],[I_L]]/C_MOSFET_S_gFS_H_BU))/3.4, (VGS_S-(C_MOSFET_S_VTH_L_BO+Table7[[#This Row],[I_L]]/C_MOSFET_S_gFS_L_BO))/3.4 )</f>
        <v>2.3438480392156866</v>
      </c>
      <c r="BK209" s="156">
        <f>IF(VACnom&gt;Vbat, ((C_MOSFET_S_VTH_H_BU+Table7[[#This Row],[I_L]]/C_MOSFET_S_gFS_H_BU))/1, ((C_MOSFET_S_VTH_L_BO+Table7[[#This Row],[I_L]]/C_MOSFET_S_gFS_L_BO))/1 )</f>
        <v>2.0309166666666667</v>
      </c>
      <c r="BL209" s="156">
        <f>IF(VACnom&gt;Vbat, (C_MOSFET_S_QGD_H_BU+C_MOSFET_S_QGS_H_BU)*10^-9/Table7[[#This Row],[Ion (A) C]], (C_MOSFET_S_QGD_L_BO+C_MOSFET_S_QGS_L_BO)*10^-9/Table7[[#This Row],[Ion (A) C]])/10^-9</f>
        <v>2.7732173294711848</v>
      </c>
      <c r="BM209" s="156">
        <f>IF(VACnom&gt;Vbat, (C_MOSFET_S_QGD_H_BU+C_MOSFET_S_QGS_H_BU)*10^-9/Table7[[#This Row],[Ioff (A) C]], (C_MOSFET_S_QGD_L_BO+C_MOSFET_S_QGS_L_BO)*10^-9/Table7[[#This Row],[Ioff (A) C]])/10^-9</f>
        <v>3.2005252143941569</v>
      </c>
      <c r="BN209" s="156">
        <f xml:space="preserve"> 0.5*VACnom*Table7[[#This Row],[Ivalley (A) C]]*Table7[[#This Row],[ton (ns) C]]*10^-9*Fsw*10^3+0.5*VACnom*Table7[[#This Row],[Ipeak (A) C]]*Table7[[#This Row],[toff (ns) C]]*10^-9*Fsw*10^3/10^-3</f>
        <v>58.412741827382924</v>
      </c>
      <c r="BO209" s="156">
        <f t="shared" si="35"/>
        <v>129.6</v>
      </c>
      <c r="BP209" s="156">
        <f t="shared" ca="1" si="36"/>
        <v>291.59999999999997</v>
      </c>
      <c r="BQ209" s="156">
        <f t="shared" si="37"/>
        <v>237.6</v>
      </c>
      <c r="BR209" s="156">
        <f>IF(VACnom&gt;Vbat, C_MOSFET_S_VSD_L_BU*Table7[[#This Row],[Ivalley (A) C]]*Fsw*10^3*40*10^-9+C_MOSFET_S_VSD_L_BU*Table7[[#This Row],[Ipeak (A) C]]*Fsw*10^3*30*10^-9, C_MOSFET_S_VSD_H_BO*Table7[[#This Row],[Ivalley (A) C]]*Fsw*10^3*40*10^-9+C_MOSFET_S_VSD_H_BO*Table7[[#This Row],[Ipeak (A) C]]*Fsw*10^3*30*10^-9)/10^-3</f>
        <v>153.7628571428572</v>
      </c>
      <c r="BS209" s="156">
        <f t="shared" ca="1" si="38"/>
        <v>291.59999999999997</v>
      </c>
      <c r="BT209" s="156">
        <f>IF(VACnom&lt;Vbat, Table7[[#This Row],[Duty Cycle]]*Table7[[#This Row],[I_L RMS]]^2*C_MOSFET_S_RDSON_H_BU*10^-3, (1-Table7[[#This Row],[Duty Cycle]])*Table7[[#This Row],[I_L RMS]]^2*C_MOSFET_S_RDSON_H_BO*10^-3)/10^-3</f>
        <v>52.68664080721576</v>
      </c>
      <c r="BU209" s="156">
        <f ca="1">IF(VACnom&gt;Vbat, Table7[[#This Row],[PIV (mW) C]]+Table7[[#This Row],[PQoss (mW) C]]+Table7[[#This Row],[Pgate_top (mW) C]], Table7[[#This Row],[PRR (mW) C]]+Table7[[#This Row],[Pdead (mW) C]]+Table7[[#This Row],[Pgate_top (mW) C]])</f>
        <v>682.96285714285716</v>
      </c>
      <c r="BV209" s="156">
        <f ca="1">Table7[[#This Row],[Pcon_top (mW) C]]+Table7[[#This Row],[Psw_top (mW) C]]</f>
        <v>735.64949795007294</v>
      </c>
      <c r="BW209" s="156">
        <f ca="1">IF(VACnom&gt;Vbat, (1-Table7[[#This Row],[Duty Cycle]])*Table7[[#This Row],[I_L RMS]]^2*C_MOSFET_S_RDSON_L_BU*10^-3, Table7[[#This Row],[Duty Cycle]]*Table7[[#This Row],[I_L RMS]]^2*C_MOSFET_S_RDSON_L_BO*10^-3)/10^-3</f>
        <v>32.813609625546654</v>
      </c>
      <c r="BX209" s="156">
        <f ca="1">IF(VACnom&gt;Vbat, Table7[[#This Row],[PRR (mW) C]]+Table7[[#This Row],[Pdead (mW) C]]+Table7[[#This Row],[Pgate_bottom (mW) C]], Table7[[#This Row],[PIV (mW) C]]+Table7[[#This Row],[PQoss (mW) C]]+Table7[[#This Row],[Pgate_bottom (mW) C]])</f>
        <v>479.61274182738288</v>
      </c>
      <c r="BY209" s="156">
        <f ca="1">Table7[[#This Row],[Pcon_bottom (mW) C]]+Table7[[#This Row],[Psw_bottom (mV) C]]</f>
        <v>512.42635145292957</v>
      </c>
      <c r="BZ209" s="156">
        <f ca="1">Table7[[#This Row],[Pbottom (mW) C]]+Table7[[#This Row],[Ptop (mW) C]]</f>
        <v>1248.0758494030024</v>
      </c>
      <c r="CA209" s="159"/>
      <c r="CB209" s="160">
        <f>(RAC_SNS*10^-3*(Table7[[#This Row],[IOUT (A)]]*Vbat/VACnom)^2/10^-3)</f>
        <v>107.53203125</v>
      </c>
      <c r="CC209" s="160">
        <f>(RBAT_SNS*10^-3*Table7[[#This Row],[IOUT (A)]]^2)/10^-3</f>
        <v>35.112499999999997</v>
      </c>
      <c r="CD209" s="160">
        <f>IF(VACnom&gt;Vbat,(L_DRC*10^-3*(Table7[[#This Row],[IOUT (A)]])^2/10^-3),(L_DRC*10^-3*(Table7[[#This Row],[IOUT (A)]]*Vbat/VACnom)^2/10^-3))</f>
        <v>258.07687500000003</v>
      </c>
      <c r="CE209" s="166"/>
      <c r="CF209" s="156">
        <f>(Table7[[#This Row],[R_AC (mW)]]+Table7[[#This Row],[R_SR (mW)]]+Table7[[#This Row],[Inductor Loss (mW)]])/10^3</f>
        <v>0.40072140625000002</v>
      </c>
      <c r="CG209" s="156">
        <f ca="1">Table7[[#This Row],[Total TI (mW)]]/10^3</f>
        <v>2.5976764563879162</v>
      </c>
      <c r="CH209" s="156">
        <f ca="1">Table7[[#This Row],[Total Sense Loss]]+Table7[[#This Row],[Total MOSFET Loss]]</f>
        <v>2.9983978626379164</v>
      </c>
      <c r="CI209" s="161">
        <f ca="1">IF(Table7[[#This Row],[POUT (W)]]=0,0,(Table7[[#This Row],[POUT (W)]])/(Table7[[#This Row],[POUT (W)]]+Table7[[#This Row],[Total Power Loss (W)]]))*100</f>
        <v>91.383517498496062</v>
      </c>
      <c r="CJ209" s="167"/>
      <c r="CK209" s="156">
        <f>(Table7[[#This Row],[R_AC (mW)]]+Table7[[#This Row],[R_SR (mW)]]+Table7[[#This Row],[Inductor Loss (mW)]])/10^3</f>
        <v>0.40072140625000002</v>
      </c>
      <c r="CL209" s="156">
        <f ca="1">Table7[[#This Row],[Total (mW) C]]/10^3</f>
        <v>1.2480758494030024</v>
      </c>
      <c r="CM209" s="156">
        <f ca="1">Table7[[#This Row],[Total Sense Loss C]]+Table7[[#This Row],[Total MOSFET Loss C]]</f>
        <v>1.6487972556530024</v>
      </c>
      <c r="CN209" s="161">
        <f ca="1">IF(Table7[[#This Row],[POUT (W)]]=0,0,(Table7[[#This Row],[POUT (W)]])/(Table7[[#This Row],[POUT (W)]]+Table7[[#This Row],[Total Power Loss (W) C]]))*100</f>
        <v>95.070682981360875</v>
      </c>
      <c r="CO209" s="167"/>
      <c r="CP209" s="161">
        <f>IF(MOSFET_S=Custom_MOSFET,Table7[[#This Row],[Total Sense Loss C]],Table7[[#This Row],[Total Sense Loss]])</f>
        <v>0.40072140625000002</v>
      </c>
      <c r="CQ209" s="161">
        <f ca="1">IF(MOSFET_S=Custom_MOSFET,Table7[[#This Row],[Total MOSFET Loss C]],Table7[[#This Row],[Total MOSFET Loss]])</f>
        <v>2.5976764563879162</v>
      </c>
      <c r="CR209" s="161">
        <f ca="1">IF(MOSFET_S=Custom_MOSFET,Table7[[#This Row],[Efficiency C]],Table7[[#This Row],[Efficiency]])</f>
        <v>91.383517498496062</v>
      </c>
      <c r="CS209" s="167"/>
      <c r="CT209" s="161">
        <f>IF(MOSFET_S=Compare_MOSFET, Table7[[#This Row],[Total Sense Loss C]], -100)</f>
        <v>-100</v>
      </c>
      <c r="CU209" s="161">
        <f>IF(MOSFET_S=Compare_MOSFET, Table7[[#This Row],[Total MOSFET Loss C]], -100)</f>
        <v>-100</v>
      </c>
      <c r="CV209" s="161">
        <f>IF(MOSFET_S=Compare_MOSFET, Table7[[#This Row],[Efficiency C]], -100)</f>
        <v>-100</v>
      </c>
      <c r="CW209" s="167"/>
      <c r="CX209" s="161">
        <f ca="1">IF(Save_Sel=CLR_Save,  Table7[[#This Row],[Total Sense Loss P1]], Table7[[#This Row],[Total Sense Loss P1 Saved]])</f>
        <v>0.40072140625000002</v>
      </c>
      <c r="CY209" s="161">
        <f ca="1">IF(Save_Sel=CLR_Save,  Table7[[#This Row],[Total MOSFET Loss P1]], Table7[[#This Row],[Total MOSFET Loss P1 Saved]] )</f>
        <v>1.8991073559031022</v>
      </c>
      <c r="CZ209" s="161">
        <f ca="1">IF(Save_Sel=CLR_Save, Table7[[#This Row],[Efficiency P1]], Table7[[#This Row],[Efficiency P1 Saved]])</f>
        <v>93.255600260651022</v>
      </c>
      <c r="DA209" s="167"/>
      <c r="DB209" s="161">
        <f ca="1">IF(Save_Sel=CLR_Save,  Table7[[#This Row],[Total Sense Loss P2]], Table7[[#This Row],[Total Sense Loss P2 Saved]])</f>
        <v>0.40072140625000002</v>
      </c>
      <c r="DC209" s="161">
        <f ca="1">IF(Save_Sel=CLR_Save,  Table7[[#This Row],[Total MOSFET Loss P2]], Table7[[#This Row],[Total MOSFET Loss P2 Saved]] )</f>
        <v>1.2749749352739264</v>
      </c>
      <c r="DD209" s="161">
        <f ca="1">IF(Save_Sel=CLR_Save, Table7[[#This Row],[Efficiency P2]], Table7[[#This Row],[Efficiency P2 Saved]])</f>
        <v>94.994289814233511</v>
      </c>
      <c r="DE209" s="167"/>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c r="FH209" s="21"/>
      <c r="FI209" s="21"/>
    </row>
    <row r="210" spans="1:165" x14ac:dyDescent="0.25">
      <c r="A210" s="34"/>
      <c r="B210" s="51"/>
      <c r="C210" s="51"/>
      <c r="D210" s="34"/>
      <c r="E210" s="69"/>
      <c r="F210" s="69"/>
      <c r="G210" s="51"/>
      <c r="H210" s="31"/>
      <c r="I210" s="31"/>
      <c r="J210" s="31"/>
      <c r="K210" s="31"/>
      <c r="L210" s="31"/>
      <c r="M210" s="31"/>
      <c r="N210" s="31"/>
      <c r="O210" s="31"/>
      <c r="P210" s="31"/>
      <c r="Q210" s="31"/>
      <c r="R210" s="31"/>
      <c r="S210" s="32"/>
      <c r="T210" s="20"/>
      <c r="U210" s="21"/>
      <c r="V210" s="21"/>
      <c r="W210" s="21"/>
      <c r="X210" s="21"/>
      <c r="Y210" s="21"/>
      <c r="Z210" s="21"/>
      <c r="AA210" s="21"/>
      <c r="AB210" s="21"/>
      <c r="AC210" s="21"/>
      <c r="AD210" s="21"/>
      <c r="AE210" s="21"/>
      <c r="AF210" s="154">
        <f t="shared" si="17"/>
        <v>54</v>
      </c>
      <c r="AG210" s="154">
        <f t="shared" si="39"/>
        <v>2.7</v>
      </c>
      <c r="AH210" s="155">
        <f t="shared" si="28"/>
        <v>32.400000000000006</v>
      </c>
      <c r="AI210" s="156">
        <f t="shared" si="29"/>
        <v>0.42857142857142855</v>
      </c>
      <c r="AJ210" s="156">
        <f t="shared" si="30"/>
        <v>4.7250000000000005</v>
      </c>
      <c r="AK210" s="156">
        <f t="shared" si="26"/>
        <v>0.85714285714285721</v>
      </c>
      <c r="AL210" s="156">
        <f t="shared" si="27"/>
        <v>4.7314743463106641</v>
      </c>
      <c r="AM210" s="157"/>
      <c r="AN210" s="156">
        <f>MAX(0,Table7[[#This Row],[I_L]]-0.5*Table7[[#This Row],[I_L pkpk]])</f>
        <v>4.2964285714285717</v>
      </c>
      <c r="AO210" s="156">
        <f>Table7[[#This Row],[I_L]]+0.5*Table7[[#This Row],[I_L pkpk]]</f>
        <v>5.1535714285714294</v>
      </c>
      <c r="AP210" s="156">
        <f ca="1">IF(VACnom&gt;Vbat, (VGS_S-(TI_MOSFET_S_VTH_H_BU+Table7[[#This Row],[I_L]]/TI_MOSFET_S_gFS_H_BU))/3.4, (VGS_S-(TI_MOSFET_S_VTH_L_BO+Table7[[#This Row],[I_L]]/TI_MOSFET_S_gFS_L_BO))/3.4 )</f>
        <v>2.4157805429864254</v>
      </c>
      <c r="AQ210" s="156">
        <f ca="1">IF(VACnom&gt;Vbat, ((TI_MOSFET_S_VTH_H_BU+Table7[[#This Row],[I_L]]/TI_MOSFET_S_gFS_H_BU))/1, ((TI_MOSFET_S_VTH_L_BO+Table7[[#This Row],[I_L]]/TI_MOSFET_S_gFS_L_BO))/1 )</f>
        <v>1.7863461538461538</v>
      </c>
      <c r="AR210" s="156">
        <f ca="1">IF(VACnom&gt;Vbat, (TI_MOSFET_S_QGD_H_BU+TI_MOSFET_S_QGS_H_BU)*10^-9/Table7[[#This Row],[Ion (A)]], (TI_MOSFET_S_QGD_L_BO+TI_MOSFET_S_QGS_L_BO)*10^-9/Table7[[#This Row],[Ion (A)]])/10^-9</f>
        <v>11.92161269930463</v>
      </c>
      <c r="AS210" s="156">
        <f ca="1">IF(VACnom&gt;Vbat, (TI_MOSFET_S_QGD_H_BU+TI_MOSFET_S_QGS_H_BU)*10^-9/Table7[[#This Row],[Ioff (A)]], (TI_MOSFET_S_QGD_L_BO+TI_MOSFET_S_QGS_L_BO)*10^-9/Table7[[#This Row],[Ioff (A)]])/10^-9</f>
        <v>16.122295187856604</v>
      </c>
      <c r="AT210" s="156">
        <f ca="1" xml:space="preserve"> 0.5*VACnom*Table7[[#This Row],[Ivalley (A)]]*Table7[[#This Row],[ton (ns)]]*10^-9*Fsw*10^3+0.5*VACnom*Table7[[#This Row],[Ipeak (A)]]*Table7[[#This Row],[toff (ns)]]*10^-9*Fsw*10^3/10^-3</f>
        <v>299.29903272198453</v>
      </c>
      <c r="AU210" s="156">
        <f t="shared" ca="1" si="31"/>
        <v>262.8</v>
      </c>
      <c r="AV210" s="156">
        <f t="shared" ca="1" si="32"/>
        <v>648</v>
      </c>
      <c r="AW210" s="156">
        <f t="shared" ca="1" si="33"/>
        <v>554.4</v>
      </c>
      <c r="AX210" s="156">
        <f ca="1">IF(VACnom&gt;Vbat, TI_MOSFET_S_VSD_L_BU*Table7[[#This Row],[Ivalley (A)]]*Fsw*10^3*40*10^-9+TI_MOSFET_S_VSD_L_BU*Table7[[#This Row],[Ipeak (A)]]*Fsw*10^3*30*10^-9, TI_MOSFET_S_VSD_H_BO*Table7[[#This Row],[Ivalley (A)]]*Fsw*10^3*40*10^-9+TI_MOSFET_S_VSD_H_BO*Table7[[#This Row],[Ipeak (A)]]*Fsw*10^3*30*10^-9)/10^-3</f>
        <v>141.03257142857146</v>
      </c>
      <c r="AY210" s="156">
        <f t="shared" ca="1" si="34"/>
        <v>648</v>
      </c>
      <c r="AZ210" s="156">
        <f ca="1">IF(VACnom&lt;Vbat, Table7[[#This Row],[Duty Cycle]]*Table7[[#This Row],[I_L RMS]]^2*TI_MOSFET_S_RDSON_H_BU*10^-3, (1-Table7[[#This Row],[Duty Cycle]])*Table7[[#This Row],[I_L RMS]]^2*TI_MOSFET_S_RDSON_H_BO*10^-3)/10^-3</f>
        <v>26.86421938775511</v>
      </c>
      <c r="BA210" s="156">
        <f ca="1">IF(VACnom&gt;Vbat, Table7[[#This Row],[PIV (mW)]]+Table7[[#This Row],[Pqoss (mW)]]+Table7[[#This Row],[Pgate_top (mW)]], Table7[[#This Row],[PRR (mW)]]+Table7[[#This Row],[Pdead (mW)]]+Table7[[#This Row],[Pgate_top (mW)]])</f>
        <v>1343.4325714285715</v>
      </c>
      <c r="BB210" s="156">
        <f ca="1">Table7[[#This Row],[Pcon_top (mW)]]+Table7[[#This Row],[Psw_top (mW)]]</f>
        <v>1370.2967908163266</v>
      </c>
      <c r="BC210" s="156">
        <f ca="1">IF(VACnom&gt;Vbat, (1-Table7[[#This Row],[Duty Cycle]])*Table7[[#This Row],[I_L RMS]]^2*TI_MOSFET_S_RDSON_L_BU*10^-3, Table7[[#This Row],[Duty Cycle]]*Table7[[#This Row],[I_L RMS]]^2*TI_MOSFET_S_RDSON_L_BO*10^-3)/10^-3</f>
        <v>26.86421938775511</v>
      </c>
      <c r="BD210" s="156">
        <f ca="1">IF(VACnom&gt;Vbat, Table7[[#This Row],[PRR (mW)]]+Table7[[#This Row],[Pdead (mW)]]+Table7[[#This Row],[Pgate_bottom (mW)]], Table7[[#This Row],[PIV (mW)]]+Table7[[#This Row],[Pqoss (mW)]]+Table7[[#This Row],[Pgate_bottom (mW)]])</f>
        <v>1210.0990327219845</v>
      </c>
      <c r="BE210" s="158">
        <f ca="1">Table7[[#This Row],[Pcon_bottom (mW)]]+Table7[[#This Row],[Psw_bottom (mW)]]</f>
        <v>1236.9632521097396</v>
      </c>
      <c r="BF210" s="164">
        <f ca="1">Table7[[#This Row],[Pbottom (mW)]]+Table7[[#This Row],[Ptop (mW)]]</f>
        <v>2607.2600429260665</v>
      </c>
      <c r="BG210" s="153"/>
      <c r="BH210" s="156">
        <f>MAX(0,Table7[[#This Row],[I_L]]-0.5*Table7[[#This Row],[I_L pkpk]])</f>
        <v>4.2964285714285717</v>
      </c>
      <c r="BI210" s="156">
        <f>Table7[[#This Row],[I_L]]+0.5*Table7[[#This Row],[I_L pkpk]]</f>
        <v>5.1535714285714294</v>
      </c>
      <c r="BJ210" s="156">
        <f>IF(VACnom&gt;Vbat, (VGS_S-(C_MOSFET_S_VTH_H_BU+Table7[[#This Row],[I_L]]/C_MOSFET_S_gFS_H_BU))/3.4, (VGS_S-(C_MOSFET_S_VTH_L_BO+Table7[[#This Row],[I_L]]/C_MOSFET_S_gFS_L_BO))/3.4 )</f>
        <v>2.3436764705882354</v>
      </c>
      <c r="BK210" s="156">
        <f>IF(VACnom&gt;Vbat, ((C_MOSFET_S_VTH_H_BU+Table7[[#This Row],[I_L]]/C_MOSFET_S_gFS_H_BU))/1, ((C_MOSFET_S_VTH_L_BO+Table7[[#This Row],[I_L]]/C_MOSFET_S_gFS_L_BO))/1 )</f>
        <v>2.0314999999999999</v>
      </c>
      <c r="BL210" s="156">
        <f>IF(VACnom&gt;Vbat, (C_MOSFET_S_QGD_H_BU+C_MOSFET_S_QGS_H_BU)*10^-9/Table7[[#This Row],[Ion (A) C]], (C_MOSFET_S_QGD_L_BO+C_MOSFET_S_QGS_L_BO)*10^-9/Table7[[#This Row],[Ion (A) C]])/10^-9</f>
        <v>2.7734203425989836</v>
      </c>
      <c r="BM210" s="156">
        <f>IF(VACnom&gt;Vbat, (C_MOSFET_S_QGD_H_BU+C_MOSFET_S_QGS_H_BU)*10^-9/Table7[[#This Row],[Ioff (A) C]], (C_MOSFET_S_QGD_L_BO+C_MOSFET_S_QGS_L_BO)*10^-9/Table7[[#This Row],[Ioff (A) C]])/10^-9</f>
        <v>3.1996062023135616</v>
      </c>
      <c r="BN210" s="156">
        <f xml:space="preserve"> 0.5*VACnom*Table7[[#This Row],[Ivalley (A) C]]*Table7[[#This Row],[ton (ns) C]]*10^-9*Fsw*10^3+0.5*VACnom*Table7[[#This Row],[Ipeak (A) C]]*Table7[[#This Row],[toff (ns) C]]*10^-9*Fsw*10^3/10^-3</f>
        <v>59.404733673565083</v>
      </c>
      <c r="BO210" s="156">
        <f t="shared" si="35"/>
        <v>129.6</v>
      </c>
      <c r="BP210" s="156">
        <f t="shared" ca="1" si="36"/>
        <v>291.59999999999997</v>
      </c>
      <c r="BQ210" s="156">
        <f t="shared" si="37"/>
        <v>237.6</v>
      </c>
      <c r="BR210" s="156">
        <f>IF(VACnom&gt;Vbat, C_MOSFET_S_VSD_L_BU*Table7[[#This Row],[Ivalley (A) C]]*Fsw*10^3*40*10^-9+C_MOSFET_S_VSD_L_BU*Table7[[#This Row],[Ipeak (A) C]]*Fsw*10^3*30*10^-9, C_MOSFET_S_VSD_H_BO*Table7[[#This Row],[Ivalley (A) C]]*Fsw*10^3*40*10^-9+C_MOSFET_S_VSD_H_BO*Table7[[#This Row],[Ipeak (A) C]]*Fsw*10^3*30*10^-9)/10^-3</f>
        <v>156.7028571428572</v>
      </c>
      <c r="BS210" s="156">
        <f t="shared" ca="1" si="38"/>
        <v>291.59999999999997</v>
      </c>
      <c r="BT210" s="156">
        <f>IF(VACnom&lt;Vbat, Table7[[#This Row],[Duty Cycle]]*Table7[[#This Row],[I_L RMS]]^2*C_MOSFET_S_RDSON_H_BU*10^-3, (1-Table7[[#This Row],[Duty Cycle]])*Table7[[#This Row],[I_L RMS]]^2*C_MOSFET_S_RDSON_H_BO*10^-3)/10^-3</f>
        <v>54.687875182215762</v>
      </c>
      <c r="BU210" s="156">
        <f ca="1">IF(VACnom&gt;Vbat, Table7[[#This Row],[PIV (mW) C]]+Table7[[#This Row],[PQoss (mW) C]]+Table7[[#This Row],[Pgate_top (mW) C]], Table7[[#This Row],[PRR (mW) C]]+Table7[[#This Row],[Pdead (mW) C]]+Table7[[#This Row],[Pgate_top (mW) C]])</f>
        <v>685.9028571428571</v>
      </c>
      <c r="BV210" s="156">
        <f ca="1">Table7[[#This Row],[Pcon_top (mW) C]]+Table7[[#This Row],[Psw_top (mW) C]]</f>
        <v>740.59073232507285</v>
      </c>
      <c r="BW210" s="156">
        <f ca="1">IF(VACnom&gt;Vbat, (1-Table7[[#This Row],[Duty Cycle]])*Table7[[#This Row],[I_L RMS]]^2*C_MOSFET_S_RDSON_L_BU*10^-3, Table7[[#This Row],[Duty Cycle]]*Table7[[#This Row],[I_L RMS]]^2*C_MOSFET_S_RDSON_L_BO*10^-3)/10^-3</f>
        <v>34.059992438046656</v>
      </c>
      <c r="BX210" s="156">
        <f ca="1">IF(VACnom&gt;Vbat, Table7[[#This Row],[PRR (mW) C]]+Table7[[#This Row],[Pdead (mW) C]]+Table7[[#This Row],[Pgate_bottom (mW) C]], Table7[[#This Row],[PIV (mW) C]]+Table7[[#This Row],[PQoss (mW) C]]+Table7[[#This Row],[Pgate_bottom (mW) C]])</f>
        <v>480.60473367356508</v>
      </c>
      <c r="BY210" s="156">
        <f ca="1">Table7[[#This Row],[Pcon_bottom (mW) C]]+Table7[[#This Row],[Psw_bottom (mV) C]]</f>
        <v>514.66472611161169</v>
      </c>
      <c r="BZ210" s="156">
        <f ca="1">Table7[[#This Row],[Pbottom (mW) C]]+Table7[[#This Row],[Ptop (mW) C]]</f>
        <v>1255.2554584366844</v>
      </c>
      <c r="CA210" s="159"/>
      <c r="CB210" s="160">
        <f>(RAC_SNS*10^-3*(Table7[[#This Row],[IOUT (A)]]*Vbat/VACnom)^2/10^-3)</f>
        <v>111.62812500000004</v>
      </c>
      <c r="CC210" s="160">
        <f>(RBAT_SNS*10^-3*Table7[[#This Row],[IOUT (A)]]^2)/10^-3</f>
        <v>36.450000000000003</v>
      </c>
      <c r="CD210" s="160">
        <f>IF(VACnom&gt;Vbat,(L_DRC*10^-3*(Table7[[#This Row],[IOUT (A)]])^2/10^-3),(L_DRC*10^-3*(Table7[[#This Row],[IOUT (A)]]*Vbat/VACnom)^2/10^-3))</f>
        <v>267.90750000000008</v>
      </c>
      <c r="CE210" s="166"/>
      <c r="CF210" s="156">
        <f>(Table7[[#This Row],[R_AC (mW)]]+Table7[[#This Row],[R_SR (mW)]]+Table7[[#This Row],[Inductor Loss (mW)]])/10^3</f>
        <v>0.41598562500000014</v>
      </c>
      <c r="CG210" s="156">
        <f ca="1">Table7[[#This Row],[Total TI (mW)]]/10^3</f>
        <v>2.6072600429260664</v>
      </c>
      <c r="CH210" s="156">
        <f ca="1">Table7[[#This Row],[Total Sense Loss]]+Table7[[#This Row],[Total MOSFET Loss]]</f>
        <v>3.0232456679260666</v>
      </c>
      <c r="CI210" s="161">
        <f ca="1">IF(Table7[[#This Row],[POUT (W)]]=0,0,(Table7[[#This Row],[POUT (W)]])/(Table7[[#This Row],[POUT (W)]]+Table7[[#This Row],[Total Power Loss (W)]]))*100</f>
        <v>91.465362332217168</v>
      </c>
      <c r="CJ210" s="167"/>
      <c r="CK210" s="156">
        <f>(Table7[[#This Row],[R_AC (mW)]]+Table7[[#This Row],[R_SR (mW)]]+Table7[[#This Row],[Inductor Loss (mW)]])/10^3</f>
        <v>0.41598562500000014</v>
      </c>
      <c r="CL210" s="156">
        <f ca="1">Table7[[#This Row],[Total (mW) C]]/10^3</f>
        <v>1.2552554584366844</v>
      </c>
      <c r="CM210" s="156">
        <f ca="1">Table7[[#This Row],[Total Sense Loss C]]+Table7[[#This Row],[Total MOSFET Loss C]]</f>
        <v>1.6712410834366844</v>
      </c>
      <c r="CN210" s="161">
        <f ca="1">IF(Table7[[#This Row],[POUT (W)]]=0,0,(Table7[[#This Row],[POUT (W)]])/(Table7[[#This Row],[POUT (W)]]+Table7[[#This Row],[Total Power Loss (W) C]]))*100</f>
        <v>95.094862909912791</v>
      </c>
      <c r="CO210" s="167"/>
      <c r="CP210" s="161">
        <f>IF(MOSFET_S=Custom_MOSFET,Table7[[#This Row],[Total Sense Loss C]],Table7[[#This Row],[Total Sense Loss]])</f>
        <v>0.41598562500000014</v>
      </c>
      <c r="CQ210" s="161">
        <f ca="1">IF(MOSFET_S=Custom_MOSFET,Table7[[#This Row],[Total MOSFET Loss C]],Table7[[#This Row],[Total MOSFET Loss]])</f>
        <v>2.6072600429260664</v>
      </c>
      <c r="CR210" s="161">
        <f ca="1">IF(MOSFET_S=Custom_MOSFET,Table7[[#This Row],[Efficiency C]],Table7[[#This Row],[Efficiency]])</f>
        <v>91.465362332217168</v>
      </c>
      <c r="CS210" s="167"/>
      <c r="CT210" s="161">
        <f>IF(MOSFET_S=Compare_MOSFET, Table7[[#This Row],[Total Sense Loss C]], -100)</f>
        <v>-100</v>
      </c>
      <c r="CU210" s="161">
        <f>IF(MOSFET_S=Compare_MOSFET, Table7[[#This Row],[Total MOSFET Loss C]], -100)</f>
        <v>-100</v>
      </c>
      <c r="CV210" s="161">
        <f>IF(MOSFET_S=Compare_MOSFET, Table7[[#This Row],[Efficiency C]], -100)</f>
        <v>-100</v>
      </c>
      <c r="CW210" s="167"/>
      <c r="CX210" s="161">
        <f ca="1">IF(Save_Sel=CLR_Save,  Table7[[#This Row],[Total Sense Loss P1]], Table7[[#This Row],[Total Sense Loss P1 Saved]])</f>
        <v>0.41598562500000014</v>
      </c>
      <c r="CY210" s="161">
        <f ca="1">IF(Save_Sel=CLR_Save,  Table7[[#This Row],[Total MOSFET Loss P1]], Table7[[#This Row],[Total MOSFET Loss P1 Saved]] )</f>
        <v>1.9092253150559766</v>
      </c>
      <c r="CZ210" s="161">
        <f ca="1">IF(Save_Sel=CLR_Save, Table7[[#This Row],[Efficiency P1]], Table7[[#This Row],[Efficiency P1 Saved]])</f>
        <v>93.303968854012595</v>
      </c>
      <c r="DA210" s="167"/>
      <c r="DB210" s="161">
        <f ca="1">IF(Save_Sel=CLR_Save,  Table7[[#This Row],[Total Sense Loss P2]], Table7[[#This Row],[Total Sense Loss P2 Saved]])</f>
        <v>0.41598562500000014</v>
      </c>
      <c r="DC210" s="161">
        <f ca="1">IF(Save_Sel=CLR_Save,  Table7[[#This Row],[Total MOSFET Loss P2]], Table7[[#This Row],[Total MOSFET Loss P2 Saved]] )</f>
        <v>1.2831746916617834</v>
      </c>
      <c r="DD210" s="161">
        <f ca="1">IF(Save_Sel=CLR_Save, Table7[[#This Row],[Efficiency P2]], Table7[[#This Row],[Efficiency P2 Saved]])</f>
        <v>95.017002469027005</v>
      </c>
      <c r="DE210" s="167"/>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c r="FH210" s="21"/>
      <c r="FI210" s="21"/>
    </row>
    <row r="211" spans="1:165" x14ac:dyDescent="0.25">
      <c r="A211" s="34"/>
      <c r="B211" s="51"/>
      <c r="C211" s="51"/>
      <c r="D211" s="34"/>
      <c r="E211" s="69"/>
      <c r="F211" s="69"/>
      <c r="G211" s="51"/>
      <c r="H211" s="31"/>
      <c r="I211" s="31"/>
      <c r="J211" s="31"/>
      <c r="K211" s="31"/>
      <c r="L211" s="31"/>
      <c r="M211" s="31"/>
      <c r="N211" s="31"/>
      <c r="O211" s="31"/>
      <c r="P211" s="31"/>
      <c r="Q211" s="31"/>
      <c r="R211" s="31"/>
      <c r="S211" s="32"/>
      <c r="T211" s="20"/>
      <c r="U211" s="21"/>
      <c r="V211" s="21"/>
      <c r="W211" s="21"/>
      <c r="X211" s="21"/>
      <c r="Y211" s="21"/>
      <c r="Z211" s="21"/>
      <c r="AA211" s="21"/>
      <c r="AB211" s="21"/>
      <c r="AC211" s="21"/>
      <c r="AD211" s="21"/>
      <c r="AE211" s="21"/>
      <c r="AF211" s="154">
        <f t="shared" si="17"/>
        <v>55</v>
      </c>
      <c r="AG211" s="154">
        <f t="shared" si="39"/>
        <v>2.75</v>
      </c>
      <c r="AH211" s="155">
        <f t="shared" si="28"/>
        <v>33</v>
      </c>
      <c r="AI211" s="156">
        <f t="shared" si="29"/>
        <v>0.42857142857142855</v>
      </c>
      <c r="AJ211" s="156">
        <f t="shared" si="30"/>
        <v>4.8125</v>
      </c>
      <c r="AK211" s="156">
        <f t="shared" si="26"/>
        <v>0.85714285714285721</v>
      </c>
      <c r="AL211" s="156">
        <f t="shared" si="27"/>
        <v>4.8188567876412263</v>
      </c>
      <c r="AM211" s="157"/>
      <c r="AN211" s="156">
        <f>MAX(0,Table7[[#This Row],[I_L]]-0.5*Table7[[#This Row],[I_L pkpk]])</f>
        <v>4.3839285714285712</v>
      </c>
      <c r="AO211" s="156">
        <f>Table7[[#This Row],[I_L]]+0.5*Table7[[#This Row],[I_L pkpk]]</f>
        <v>5.2410714285714288</v>
      </c>
      <c r="AP211" s="156">
        <f ca="1">IF(VACnom&gt;Vbat, (VGS_S-(TI_MOSFET_S_VTH_H_BU+Table7[[#This Row],[I_L]]/TI_MOSFET_S_gFS_H_BU))/3.4, (VGS_S-(TI_MOSFET_S_VTH_L_BO+Table7[[#This Row],[I_L]]/TI_MOSFET_S_gFS_L_BO))/3.4 )</f>
        <v>2.4155825791855206</v>
      </c>
      <c r="AQ211" s="156">
        <f ca="1">IF(VACnom&gt;Vbat, ((TI_MOSFET_S_VTH_H_BU+Table7[[#This Row],[I_L]]/TI_MOSFET_S_gFS_H_BU))/1, ((TI_MOSFET_S_VTH_L_BO+Table7[[#This Row],[I_L]]/TI_MOSFET_S_gFS_L_BO))/1 )</f>
        <v>1.7870192307692307</v>
      </c>
      <c r="AR211" s="156">
        <f ca="1">IF(VACnom&gt;Vbat, (TI_MOSFET_S_QGD_H_BU+TI_MOSFET_S_QGS_H_BU)*10^-9/Table7[[#This Row],[Ion (A)]], (TI_MOSFET_S_QGD_L_BO+TI_MOSFET_S_QGS_L_BO)*10^-9/Table7[[#This Row],[Ion (A)]])/10^-9</f>
        <v>11.922589709067493</v>
      </c>
      <c r="AS211" s="156">
        <f ca="1">IF(VACnom&gt;Vbat, (TI_MOSFET_S_QGD_H_BU+TI_MOSFET_S_QGS_H_BU)*10^-9/Table7[[#This Row],[Ioff (A)]], (TI_MOSFET_S_QGD_L_BO+TI_MOSFET_S_QGS_L_BO)*10^-9/Table7[[#This Row],[Ioff (A)]])/10^-9</f>
        <v>16.116222760290558</v>
      </c>
      <c r="AT211" s="156">
        <f ca="1" xml:space="preserve"> 0.5*VACnom*Table7[[#This Row],[Ivalley (A)]]*Table7[[#This Row],[ton (ns)]]*10^-9*Fsw*10^3+0.5*VACnom*Table7[[#This Row],[Ipeak (A)]]*Table7[[#This Row],[toff (ns)]]*10^-9*Fsw*10^3/10^-3</f>
        <v>304.26675273764079</v>
      </c>
      <c r="AU211" s="156">
        <f t="shared" ca="1" si="31"/>
        <v>262.8</v>
      </c>
      <c r="AV211" s="156">
        <f t="shared" ca="1" si="32"/>
        <v>648</v>
      </c>
      <c r="AW211" s="156">
        <f t="shared" ca="1" si="33"/>
        <v>554.4</v>
      </c>
      <c r="AX211" s="156">
        <f ca="1">IF(VACnom&gt;Vbat, TI_MOSFET_S_VSD_L_BU*Table7[[#This Row],[Ivalley (A)]]*Fsw*10^3*40*10^-9+TI_MOSFET_S_VSD_L_BU*Table7[[#This Row],[Ipeak (A)]]*Fsw*10^3*30*10^-9, TI_MOSFET_S_VSD_H_BO*Table7[[#This Row],[Ivalley (A)]]*Fsw*10^3*40*10^-9+TI_MOSFET_S_VSD_H_BO*Table7[[#This Row],[Ipeak (A)]]*Fsw*10^3*30*10^-9)/10^-3</f>
        <v>143.67857142857142</v>
      </c>
      <c r="AY211" s="156">
        <f t="shared" ca="1" si="34"/>
        <v>648</v>
      </c>
      <c r="AZ211" s="156">
        <f ca="1">IF(VACnom&lt;Vbat, Table7[[#This Row],[Duty Cycle]]*Table7[[#This Row],[I_L RMS]]^2*TI_MOSFET_S_RDSON_H_BU*10^-3, (1-Table7[[#This Row],[Duty Cycle]])*Table7[[#This Row],[I_L RMS]]^2*TI_MOSFET_S_RDSON_H_BO*10^-3)/10^-3</f>
        <v>27.865656887755097</v>
      </c>
      <c r="BA211" s="156">
        <f ca="1">IF(VACnom&gt;Vbat, Table7[[#This Row],[PIV (mW)]]+Table7[[#This Row],[Pqoss (mW)]]+Table7[[#This Row],[Pgate_top (mW)]], Table7[[#This Row],[PRR (mW)]]+Table7[[#This Row],[Pdead (mW)]]+Table7[[#This Row],[Pgate_top (mW)]])</f>
        <v>1346.0785714285714</v>
      </c>
      <c r="BB211" s="156">
        <f ca="1">Table7[[#This Row],[Pcon_top (mW)]]+Table7[[#This Row],[Psw_top (mW)]]</f>
        <v>1373.9442283163264</v>
      </c>
      <c r="BC211" s="156">
        <f ca="1">IF(VACnom&gt;Vbat, (1-Table7[[#This Row],[Duty Cycle]])*Table7[[#This Row],[I_L RMS]]^2*TI_MOSFET_S_RDSON_L_BU*10^-3, Table7[[#This Row],[Duty Cycle]]*Table7[[#This Row],[I_L RMS]]^2*TI_MOSFET_S_RDSON_L_BO*10^-3)/10^-3</f>
        <v>27.865656887755097</v>
      </c>
      <c r="BD211" s="156">
        <f ca="1">IF(VACnom&gt;Vbat, Table7[[#This Row],[PRR (mW)]]+Table7[[#This Row],[Pdead (mW)]]+Table7[[#This Row],[Pgate_bottom (mW)]], Table7[[#This Row],[PIV (mW)]]+Table7[[#This Row],[Pqoss (mW)]]+Table7[[#This Row],[Pgate_bottom (mW)]])</f>
        <v>1215.0667527376409</v>
      </c>
      <c r="BE211" s="158">
        <f ca="1">Table7[[#This Row],[Pcon_bottom (mW)]]+Table7[[#This Row],[Psw_bottom (mW)]]</f>
        <v>1242.9324096253958</v>
      </c>
      <c r="BF211" s="164">
        <f ca="1">Table7[[#This Row],[Pbottom (mW)]]+Table7[[#This Row],[Ptop (mW)]]</f>
        <v>2616.876637941722</v>
      </c>
      <c r="BG211" s="153"/>
      <c r="BH211" s="156">
        <f>MAX(0,Table7[[#This Row],[I_L]]-0.5*Table7[[#This Row],[I_L pkpk]])</f>
        <v>4.3839285714285712</v>
      </c>
      <c r="BI211" s="156">
        <f>Table7[[#This Row],[I_L]]+0.5*Table7[[#This Row],[I_L pkpk]]</f>
        <v>5.2410714285714288</v>
      </c>
      <c r="BJ211" s="156">
        <f>IF(VACnom&gt;Vbat, (VGS_S-(C_MOSFET_S_VTH_H_BU+Table7[[#This Row],[I_L]]/C_MOSFET_S_gFS_H_BU))/3.4, (VGS_S-(C_MOSFET_S_VTH_L_BO+Table7[[#This Row],[I_L]]/C_MOSFET_S_gFS_L_BO))/3.4 )</f>
        <v>2.3435049019607845</v>
      </c>
      <c r="BK211" s="156">
        <f>IF(VACnom&gt;Vbat, ((C_MOSFET_S_VTH_H_BU+Table7[[#This Row],[I_L]]/C_MOSFET_S_gFS_H_BU))/1, ((C_MOSFET_S_VTH_L_BO+Table7[[#This Row],[I_L]]/C_MOSFET_S_gFS_L_BO))/1 )</f>
        <v>2.0320833333333335</v>
      </c>
      <c r="BL211" s="156">
        <f>IF(VACnom&gt;Vbat, (C_MOSFET_S_QGD_H_BU+C_MOSFET_S_QGS_H_BU)*10^-9/Table7[[#This Row],[Ion (A) C]], (C_MOSFET_S_QGD_L_BO+C_MOSFET_S_QGS_L_BO)*10^-9/Table7[[#This Row],[Ion (A) C]])/10^-9</f>
        <v>2.7736233854520731</v>
      </c>
      <c r="BM211" s="156">
        <f>IF(VACnom&gt;Vbat, (C_MOSFET_S_QGD_H_BU+C_MOSFET_S_QGS_H_BU)*10^-9/Table7[[#This Row],[Ioff (A) C]], (C_MOSFET_S_QGD_L_BO+C_MOSFET_S_QGS_L_BO)*10^-9/Table7[[#This Row],[Ioff (A) C]])/10^-9</f>
        <v>3.1986877178593396</v>
      </c>
      <c r="BN211" s="156">
        <f xml:space="preserve"> 0.5*VACnom*Table7[[#This Row],[Ivalley (A) C]]*Table7[[#This Row],[ton (ns) C]]*10^-9*Fsw*10^3+0.5*VACnom*Table7[[#This Row],[Ipeak (A) C]]*Table7[[#This Row],[toff (ns) C]]*10^-9*Fsw*10^3/10^-3</f>
        <v>60.39615662568287</v>
      </c>
      <c r="BO211" s="156">
        <f t="shared" si="35"/>
        <v>129.6</v>
      </c>
      <c r="BP211" s="156">
        <f t="shared" ca="1" si="36"/>
        <v>291.59999999999997</v>
      </c>
      <c r="BQ211" s="156">
        <f t="shared" si="37"/>
        <v>237.6</v>
      </c>
      <c r="BR211" s="156">
        <f>IF(VACnom&gt;Vbat, C_MOSFET_S_VSD_L_BU*Table7[[#This Row],[Ivalley (A) C]]*Fsw*10^3*40*10^-9+C_MOSFET_S_VSD_L_BU*Table7[[#This Row],[Ipeak (A) C]]*Fsw*10^3*30*10^-9, C_MOSFET_S_VSD_H_BO*Table7[[#This Row],[Ivalley (A) C]]*Fsw*10^3*40*10^-9+C_MOSFET_S_VSD_H_BO*Table7[[#This Row],[Ipeak (A) C]]*Fsw*10^3*30*10^-9)/10^-3</f>
        <v>159.64285714285717</v>
      </c>
      <c r="BS211" s="156">
        <f t="shared" ca="1" si="38"/>
        <v>291.59999999999997</v>
      </c>
      <c r="BT211" s="156">
        <f>IF(VACnom&lt;Vbat, Table7[[#This Row],[Duty Cycle]]*Table7[[#This Row],[I_L RMS]]^2*C_MOSFET_S_RDSON_H_BU*10^-3, (1-Table7[[#This Row],[Duty Cycle]])*Table7[[#This Row],[I_L RMS]]^2*C_MOSFET_S_RDSON_H_BO*10^-3)/10^-3</f>
        <v>56.72651580721574</v>
      </c>
      <c r="BU211" s="156">
        <f ca="1">IF(VACnom&gt;Vbat, Table7[[#This Row],[PIV (mW) C]]+Table7[[#This Row],[PQoss (mW) C]]+Table7[[#This Row],[Pgate_top (mW) C]], Table7[[#This Row],[PRR (mW) C]]+Table7[[#This Row],[Pdead (mW) C]]+Table7[[#This Row],[Pgate_top (mW) C]])</f>
        <v>688.84285714285716</v>
      </c>
      <c r="BV211" s="156">
        <f ca="1">Table7[[#This Row],[Pcon_top (mW) C]]+Table7[[#This Row],[Psw_top (mW) C]]</f>
        <v>745.56937295007288</v>
      </c>
      <c r="BW211" s="156">
        <f ca="1">IF(VACnom&gt;Vbat, (1-Table7[[#This Row],[Duty Cycle]])*Table7[[#This Row],[I_L RMS]]^2*C_MOSFET_S_RDSON_L_BU*10^-3, Table7[[#This Row],[Duty Cycle]]*Table7[[#This Row],[I_L RMS]]^2*C_MOSFET_S_RDSON_L_BO*10^-3)/10^-3</f>
        <v>35.329672125546644</v>
      </c>
      <c r="BX211" s="156">
        <f ca="1">IF(VACnom&gt;Vbat, Table7[[#This Row],[PRR (mW) C]]+Table7[[#This Row],[Pdead (mW) C]]+Table7[[#This Row],[Pgate_bottom (mW) C]], Table7[[#This Row],[PIV (mW) C]]+Table7[[#This Row],[PQoss (mW) C]]+Table7[[#This Row],[Pgate_bottom (mW) C]])</f>
        <v>481.59615662568285</v>
      </c>
      <c r="BY211" s="156">
        <f ca="1">Table7[[#This Row],[Pcon_bottom (mW) C]]+Table7[[#This Row],[Psw_bottom (mV) C]]</f>
        <v>516.92582875122946</v>
      </c>
      <c r="BZ211" s="156">
        <f ca="1">Table7[[#This Row],[Pbottom (mW) C]]+Table7[[#This Row],[Ptop (mW) C]]</f>
        <v>1262.4952017013024</v>
      </c>
      <c r="CA211" s="159"/>
      <c r="CB211" s="160">
        <f>(RAC_SNS*10^-3*(Table7[[#This Row],[IOUT (A)]]*Vbat/VACnom)^2/10^-3)</f>
        <v>115.80078125</v>
      </c>
      <c r="CC211" s="160">
        <f>(RBAT_SNS*10^-3*Table7[[#This Row],[IOUT (A)]]^2)/10^-3</f>
        <v>37.8125</v>
      </c>
      <c r="CD211" s="160">
        <f>IF(VACnom&gt;Vbat,(L_DRC*10^-3*(Table7[[#This Row],[IOUT (A)]])^2/10^-3),(L_DRC*10^-3*(Table7[[#This Row],[IOUT (A)]]*Vbat/VACnom)^2/10^-3))</f>
        <v>277.921875</v>
      </c>
      <c r="CE211" s="166"/>
      <c r="CF211" s="156">
        <f>(Table7[[#This Row],[R_AC (mW)]]+Table7[[#This Row],[R_SR (mW)]]+Table7[[#This Row],[Inductor Loss (mW)]])/10^3</f>
        <v>0.43153515625</v>
      </c>
      <c r="CG211" s="156">
        <f ca="1">Table7[[#This Row],[Total TI (mW)]]/10^3</f>
        <v>2.6168766379417221</v>
      </c>
      <c r="CH211" s="156">
        <f ca="1">Table7[[#This Row],[Total Sense Loss]]+Table7[[#This Row],[Total MOSFET Loss]]</f>
        <v>3.0484117941917219</v>
      </c>
      <c r="CI211" s="161">
        <f ca="1">IF(Table7[[#This Row],[POUT (W)]]=0,0,(Table7[[#This Row],[POUT (W)]])/(Table7[[#This Row],[POUT (W)]]+Table7[[#This Row],[Total Power Loss (W)]]))*100</f>
        <v>91.543561442884709</v>
      </c>
      <c r="CJ211" s="167"/>
      <c r="CK211" s="156">
        <f>(Table7[[#This Row],[R_AC (mW)]]+Table7[[#This Row],[R_SR (mW)]]+Table7[[#This Row],[Inductor Loss (mW)]])/10^3</f>
        <v>0.43153515625</v>
      </c>
      <c r="CL211" s="156">
        <f ca="1">Table7[[#This Row],[Total (mW) C]]/10^3</f>
        <v>1.2624952017013025</v>
      </c>
      <c r="CM211" s="156">
        <f ca="1">Table7[[#This Row],[Total Sense Loss C]]+Table7[[#This Row],[Total MOSFET Loss C]]</f>
        <v>1.6940303579513025</v>
      </c>
      <c r="CN211" s="161">
        <f ca="1">IF(Table7[[#This Row],[POUT (W)]]=0,0,(Table7[[#This Row],[POUT (W)]])/(Table7[[#This Row],[POUT (W)]]+Table7[[#This Row],[Total Power Loss (W) C]]))*100</f>
        <v>95.117228121168523</v>
      </c>
      <c r="CO211" s="167"/>
      <c r="CP211" s="161">
        <f>IF(MOSFET_S=Custom_MOSFET,Table7[[#This Row],[Total Sense Loss C]],Table7[[#This Row],[Total Sense Loss]])</f>
        <v>0.43153515625</v>
      </c>
      <c r="CQ211" s="161">
        <f ca="1">IF(MOSFET_S=Custom_MOSFET,Table7[[#This Row],[Total MOSFET Loss C]],Table7[[#This Row],[Total MOSFET Loss]])</f>
        <v>2.6168766379417221</v>
      </c>
      <c r="CR211" s="161">
        <f ca="1">IF(MOSFET_S=Custom_MOSFET,Table7[[#This Row],[Efficiency C]],Table7[[#This Row],[Efficiency]])</f>
        <v>91.543561442884709</v>
      </c>
      <c r="CS211" s="167"/>
      <c r="CT211" s="161">
        <f>IF(MOSFET_S=Compare_MOSFET, Table7[[#This Row],[Total Sense Loss C]], -100)</f>
        <v>-100</v>
      </c>
      <c r="CU211" s="161">
        <f>IF(MOSFET_S=Compare_MOSFET, Table7[[#This Row],[Total MOSFET Loss C]], -100)</f>
        <v>-100</v>
      </c>
      <c r="CV211" s="161">
        <f>IF(MOSFET_S=Compare_MOSFET, Table7[[#This Row],[Efficiency C]], -100)</f>
        <v>-100</v>
      </c>
      <c r="CW211" s="167"/>
      <c r="CX211" s="161">
        <f ca="1">IF(Save_Sel=CLR_Save,  Table7[[#This Row],[Total Sense Loss P1]], Table7[[#This Row],[Total Sense Loss P1 Saved]])</f>
        <v>0.43153515625</v>
      </c>
      <c r="CY211" s="161">
        <f ca="1">IF(Save_Sel=CLR_Save,  Table7[[#This Row],[Total MOSFET Loss P1]], Table7[[#This Row],[Total MOSFET Loss P1 Saved]] )</f>
        <v>1.9193861315256413</v>
      </c>
      <c r="CZ211" s="161">
        <f ca="1">IF(Save_Sel=CLR_Save, Table7[[#This Row],[Efficiency P1]], Table7[[#This Row],[Efficiency P1 Saved]])</f>
        <v>93.34975949102467</v>
      </c>
      <c r="DA211" s="167"/>
      <c r="DB211" s="161">
        <f ca="1">IF(Save_Sel=CLR_Save,  Table7[[#This Row],[Total Sense Loss P2]], Table7[[#This Row],[Total Sense Loss P2 Saved]])</f>
        <v>0.43153515625</v>
      </c>
      <c r="DC211" s="161">
        <f ca="1">IF(Save_Sel=CLR_Save,  Table7[[#This Row],[Total MOSFET Loss P2]], Table7[[#This Row],[Total MOSFET Loss P2 Saved]] )</f>
        <v>1.2914536147505307</v>
      </c>
      <c r="DD211" s="161">
        <f ca="1">IF(Save_Sel=CLR_Save, Table7[[#This Row],[Efficiency P2]], Table7[[#This Row],[Efficiency P2 Saved]])</f>
        <v>95.037901885797595</v>
      </c>
      <c r="DE211" s="167"/>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c r="FH211" s="21"/>
      <c r="FI211" s="21"/>
    </row>
    <row r="212" spans="1:165" x14ac:dyDescent="0.25">
      <c r="A212" s="34"/>
      <c r="B212" s="51"/>
      <c r="C212" s="51"/>
      <c r="D212" s="34"/>
      <c r="E212" s="69"/>
      <c r="F212" s="69"/>
      <c r="G212" s="51"/>
      <c r="H212" s="31"/>
      <c r="I212" s="31"/>
      <c r="J212" s="31"/>
      <c r="K212" s="31"/>
      <c r="L212" s="31"/>
      <c r="M212" s="31"/>
      <c r="N212" s="31"/>
      <c r="O212" s="31"/>
      <c r="P212" s="31"/>
      <c r="Q212" s="31"/>
      <c r="R212" s="31"/>
      <c r="S212" s="32"/>
      <c r="T212" s="20"/>
      <c r="U212" s="21"/>
      <c r="V212" s="21"/>
      <c r="W212" s="21"/>
      <c r="X212" s="21"/>
      <c r="Y212" s="21"/>
      <c r="Z212" s="21"/>
      <c r="AA212" s="21"/>
      <c r="AB212" s="21"/>
      <c r="AC212" s="21"/>
      <c r="AD212" s="21"/>
      <c r="AE212" s="21"/>
      <c r="AF212" s="154">
        <f t="shared" si="17"/>
        <v>56</v>
      </c>
      <c r="AG212" s="154">
        <f t="shared" si="39"/>
        <v>2.8</v>
      </c>
      <c r="AH212" s="155">
        <f t="shared" si="28"/>
        <v>33.599999999999994</v>
      </c>
      <c r="AI212" s="156">
        <f t="shared" si="29"/>
        <v>0.42857142857142855</v>
      </c>
      <c r="AJ212" s="156">
        <f t="shared" si="30"/>
        <v>4.9000000000000004</v>
      </c>
      <c r="AK212" s="156">
        <f t="shared" si="26"/>
        <v>0.85714285714285721</v>
      </c>
      <c r="AL212" s="156">
        <f t="shared" si="27"/>
        <v>4.9062434193378461</v>
      </c>
      <c r="AM212" s="157"/>
      <c r="AN212" s="156">
        <f>MAX(0,Table7[[#This Row],[I_L]]-0.5*Table7[[#This Row],[I_L pkpk]])</f>
        <v>4.4714285714285715</v>
      </c>
      <c r="AO212" s="156">
        <f>Table7[[#This Row],[I_L]]+0.5*Table7[[#This Row],[I_L pkpk]]</f>
        <v>5.3285714285714292</v>
      </c>
      <c r="AP212" s="156">
        <f ca="1">IF(VACnom&gt;Vbat, (VGS_S-(TI_MOSFET_S_VTH_H_BU+Table7[[#This Row],[I_L]]/TI_MOSFET_S_gFS_H_BU))/3.4, (VGS_S-(TI_MOSFET_S_VTH_L_BO+Table7[[#This Row],[I_L]]/TI_MOSFET_S_gFS_L_BO))/3.4 )</f>
        <v>2.4153846153846157</v>
      </c>
      <c r="AQ212" s="156">
        <f ca="1">IF(VACnom&gt;Vbat, ((TI_MOSFET_S_VTH_H_BU+Table7[[#This Row],[I_L]]/TI_MOSFET_S_gFS_H_BU))/1, ((TI_MOSFET_S_VTH_L_BO+Table7[[#This Row],[I_L]]/TI_MOSFET_S_gFS_L_BO))/1 )</f>
        <v>1.7876923076923077</v>
      </c>
      <c r="AR212" s="156">
        <f ca="1">IF(VACnom&gt;Vbat, (TI_MOSFET_S_QGD_H_BU+TI_MOSFET_S_QGS_H_BU)*10^-9/Table7[[#This Row],[Ion (A)]], (TI_MOSFET_S_QGD_L_BO+TI_MOSFET_S_QGS_L_BO)*10^-9/Table7[[#This Row],[Ion (A)]])/10^-9</f>
        <v>11.923566878980891</v>
      </c>
      <c r="AS212" s="156">
        <f ca="1">IF(VACnom&gt;Vbat, (TI_MOSFET_S_QGD_H_BU+TI_MOSFET_S_QGS_H_BU)*10^-9/Table7[[#This Row],[Ioff (A)]], (TI_MOSFET_S_QGD_L_BO+TI_MOSFET_S_QGS_L_BO)*10^-9/Table7[[#This Row],[Ioff (A)]])/10^-9</f>
        <v>16.11015490533563</v>
      </c>
      <c r="AT212" s="156">
        <f ca="1" xml:space="preserve"> 0.5*VACnom*Table7[[#This Row],[Ivalley (A)]]*Table7[[#This Row],[ton (ns)]]*10^-9*Fsw*10^3+0.5*VACnom*Table7[[#This Row],[Ipeak (A)]]*Table7[[#This Row],[toff (ns)]]*10^-9*Fsw*10^3/10^-3</f>
        <v>309.23073545777032</v>
      </c>
      <c r="AU212" s="156">
        <f t="shared" ca="1" si="31"/>
        <v>262.8</v>
      </c>
      <c r="AV212" s="156">
        <f t="shared" ca="1" si="32"/>
        <v>648</v>
      </c>
      <c r="AW212" s="156">
        <f t="shared" ca="1" si="33"/>
        <v>554.4</v>
      </c>
      <c r="AX212" s="156">
        <f ca="1">IF(VACnom&gt;Vbat, TI_MOSFET_S_VSD_L_BU*Table7[[#This Row],[Ivalley (A)]]*Fsw*10^3*40*10^-9+TI_MOSFET_S_VSD_L_BU*Table7[[#This Row],[Ipeak (A)]]*Fsw*10^3*30*10^-9, TI_MOSFET_S_VSD_H_BO*Table7[[#This Row],[Ivalley (A)]]*Fsw*10^3*40*10^-9+TI_MOSFET_S_VSD_H_BO*Table7[[#This Row],[Ipeak (A)]]*Fsw*10^3*30*10^-9)/10^-3</f>
        <v>146.32457142857143</v>
      </c>
      <c r="AY212" s="156">
        <f t="shared" ca="1" si="34"/>
        <v>648</v>
      </c>
      <c r="AZ212" s="156">
        <f ca="1">IF(VACnom&lt;Vbat, Table7[[#This Row],[Duty Cycle]]*Table7[[#This Row],[I_L RMS]]^2*TI_MOSFET_S_RDSON_H_BU*10^-3, (1-Table7[[#This Row],[Duty Cycle]])*Table7[[#This Row],[I_L RMS]]^2*TI_MOSFET_S_RDSON_H_BO*10^-3)/10^-3</f>
        <v>28.885469387755101</v>
      </c>
      <c r="BA212" s="156">
        <f ca="1">IF(VACnom&gt;Vbat, Table7[[#This Row],[PIV (mW)]]+Table7[[#This Row],[Pqoss (mW)]]+Table7[[#This Row],[Pgate_top (mW)]], Table7[[#This Row],[PRR (mW)]]+Table7[[#This Row],[Pdead (mW)]]+Table7[[#This Row],[Pgate_top (mW)]])</f>
        <v>1348.7245714285714</v>
      </c>
      <c r="BB212" s="156">
        <f ca="1">Table7[[#This Row],[Pcon_top (mW)]]+Table7[[#This Row],[Psw_top (mW)]]</f>
        <v>1377.6100408163265</v>
      </c>
      <c r="BC212" s="156">
        <f ca="1">IF(VACnom&gt;Vbat, (1-Table7[[#This Row],[Duty Cycle]])*Table7[[#This Row],[I_L RMS]]^2*TI_MOSFET_S_RDSON_L_BU*10^-3, Table7[[#This Row],[Duty Cycle]]*Table7[[#This Row],[I_L RMS]]^2*TI_MOSFET_S_RDSON_L_BO*10^-3)/10^-3</f>
        <v>28.885469387755101</v>
      </c>
      <c r="BD212" s="156">
        <f ca="1">IF(VACnom&gt;Vbat, Table7[[#This Row],[PRR (mW)]]+Table7[[#This Row],[Pdead (mW)]]+Table7[[#This Row],[Pgate_bottom (mW)]], Table7[[#This Row],[PIV (mW)]]+Table7[[#This Row],[Pqoss (mW)]]+Table7[[#This Row],[Pgate_bottom (mW)]])</f>
        <v>1220.0307354577703</v>
      </c>
      <c r="BE212" s="158">
        <f ca="1">Table7[[#This Row],[Pcon_bottom (mW)]]+Table7[[#This Row],[Psw_bottom (mW)]]</f>
        <v>1248.9162048455255</v>
      </c>
      <c r="BF212" s="164">
        <f ca="1">Table7[[#This Row],[Pbottom (mW)]]+Table7[[#This Row],[Ptop (mW)]]</f>
        <v>2626.526245661852</v>
      </c>
      <c r="BG212" s="153"/>
      <c r="BH212" s="156">
        <f>MAX(0,Table7[[#This Row],[I_L]]-0.5*Table7[[#This Row],[I_L pkpk]])</f>
        <v>4.4714285714285715</v>
      </c>
      <c r="BI212" s="156">
        <f>Table7[[#This Row],[I_L]]+0.5*Table7[[#This Row],[I_L pkpk]]</f>
        <v>5.3285714285714292</v>
      </c>
      <c r="BJ212" s="156">
        <f>IF(VACnom&gt;Vbat, (VGS_S-(C_MOSFET_S_VTH_H_BU+Table7[[#This Row],[I_L]]/C_MOSFET_S_gFS_H_BU))/3.4, (VGS_S-(C_MOSFET_S_VTH_L_BO+Table7[[#This Row],[I_L]]/C_MOSFET_S_gFS_L_BO))/3.4 )</f>
        <v>2.3433333333333333</v>
      </c>
      <c r="BK212" s="156">
        <f>IF(VACnom&gt;Vbat, ((C_MOSFET_S_VTH_H_BU+Table7[[#This Row],[I_L]]/C_MOSFET_S_gFS_H_BU))/1, ((C_MOSFET_S_VTH_L_BO+Table7[[#This Row],[I_L]]/C_MOSFET_S_gFS_L_BO))/1 )</f>
        <v>2.0326666666666666</v>
      </c>
      <c r="BL212" s="156">
        <f>IF(VACnom&gt;Vbat, (C_MOSFET_S_QGD_H_BU+C_MOSFET_S_QGS_H_BU)*10^-9/Table7[[#This Row],[Ion (A) C]], (C_MOSFET_S_QGD_L_BO+C_MOSFET_S_QGS_L_BO)*10^-9/Table7[[#This Row],[Ion (A) C]])/10^-9</f>
        <v>2.7738264580369845</v>
      </c>
      <c r="BM212" s="156">
        <f>IF(VACnom&gt;Vbat, (C_MOSFET_S_QGD_H_BU+C_MOSFET_S_QGS_H_BU)*10^-9/Table7[[#This Row],[Ioff (A) C]], (C_MOSFET_S_QGD_L_BO+C_MOSFET_S_QGS_L_BO)*10^-9/Table7[[#This Row],[Ioff (A) C]])/10^-9</f>
        <v>3.1977697605772382</v>
      </c>
      <c r="BN212" s="156">
        <f xml:space="preserve"> 0.5*VACnom*Table7[[#This Row],[Ivalley (A) C]]*Table7[[#This Row],[ton (ns) C]]*10^-9*Fsw*10^3+0.5*VACnom*Table7[[#This Row],[Ipeak (A) C]]*Table7[[#This Row],[toff (ns) C]]*10^-9*Fsw*10^3/10^-3</f>
        <v>61.387011173657598</v>
      </c>
      <c r="BO212" s="156">
        <f t="shared" si="35"/>
        <v>129.6</v>
      </c>
      <c r="BP212" s="156">
        <f t="shared" ca="1" si="36"/>
        <v>291.59999999999997</v>
      </c>
      <c r="BQ212" s="156">
        <f t="shared" si="37"/>
        <v>237.6</v>
      </c>
      <c r="BR212" s="156">
        <f>IF(VACnom&gt;Vbat, C_MOSFET_S_VSD_L_BU*Table7[[#This Row],[Ivalley (A) C]]*Fsw*10^3*40*10^-9+C_MOSFET_S_VSD_L_BU*Table7[[#This Row],[Ipeak (A) C]]*Fsw*10^3*30*10^-9, C_MOSFET_S_VSD_H_BO*Table7[[#This Row],[Ivalley (A) C]]*Fsw*10^3*40*10^-9+C_MOSFET_S_VSD_H_BO*Table7[[#This Row],[Ipeak (A) C]]*Fsw*10^3*30*10^-9)/10^-3</f>
        <v>162.58285714285719</v>
      </c>
      <c r="BS212" s="156">
        <f t="shared" ca="1" si="38"/>
        <v>291.59999999999997</v>
      </c>
      <c r="BT212" s="156">
        <f>IF(VACnom&lt;Vbat, Table7[[#This Row],[Duty Cycle]]*Table7[[#This Row],[I_L RMS]]^2*C_MOSFET_S_RDSON_H_BU*10^-3, (1-Table7[[#This Row],[Duty Cycle]])*Table7[[#This Row],[I_L RMS]]^2*C_MOSFET_S_RDSON_H_BO*10^-3)/10^-3</f>
        <v>58.802562682215743</v>
      </c>
      <c r="BU212" s="156">
        <f ca="1">IF(VACnom&gt;Vbat, Table7[[#This Row],[PIV (mW) C]]+Table7[[#This Row],[PQoss (mW) C]]+Table7[[#This Row],[Pgate_top (mW) C]], Table7[[#This Row],[PRR (mW) C]]+Table7[[#This Row],[Pdead (mW) C]]+Table7[[#This Row],[Pgate_top (mW) C]])</f>
        <v>691.78285714285721</v>
      </c>
      <c r="BV212" s="156">
        <f ca="1">Table7[[#This Row],[Pcon_top (mW) C]]+Table7[[#This Row],[Psw_top (mW) C]]</f>
        <v>750.5854198250729</v>
      </c>
      <c r="BW212" s="156">
        <f ca="1">IF(VACnom&gt;Vbat, (1-Table7[[#This Row],[Duty Cycle]])*Table7[[#This Row],[I_L RMS]]^2*C_MOSFET_S_RDSON_L_BU*10^-3, Table7[[#This Row],[Duty Cycle]]*Table7[[#This Row],[I_L RMS]]^2*C_MOSFET_S_RDSON_L_BO*10^-3)/10^-3</f>
        <v>36.622648688046645</v>
      </c>
      <c r="BX212" s="156">
        <f ca="1">IF(VACnom&gt;Vbat, Table7[[#This Row],[PRR (mW) C]]+Table7[[#This Row],[Pdead (mW) C]]+Table7[[#This Row],[Pgate_bottom (mW) C]], Table7[[#This Row],[PIV (mW) C]]+Table7[[#This Row],[PQoss (mW) C]]+Table7[[#This Row],[Pgate_bottom (mW) C]])</f>
        <v>482.58701117365757</v>
      </c>
      <c r="BY212" s="156">
        <f ca="1">Table7[[#This Row],[Pcon_bottom (mW) C]]+Table7[[#This Row],[Psw_bottom (mV) C]]</f>
        <v>519.20965986170427</v>
      </c>
      <c r="BZ212" s="156">
        <f ca="1">Table7[[#This Row],[Pbottom (mW) C]]+Table7[[#This Row],[Ptop (mW) C]]</f>
        <v>1269.7950796867772</v>
      </c>
      <c r="CA212" s="159"/>
      <c r="CB212" s="160">
        <f>(RAC_SNS*10^-3*(Table7[[#This Row],[IOUT (A)]]*Vbat/VACnom)^2/10^-3)</f>
        <v>120.04999999999997</v>
      </c>
      <c r="CC212" s="160">
        <f>(RBAT_SNS*10^-3*Table7[[#This Row],[IOUT (A)]]^2)/10^-3</f>
        <v>39.199999999999996</v>
      </c>
      <c r="CD212" s="160">
        <f>IF(VACnom&gt;Vbat,(L_DRC*10^-3*(Table7[[#This Row],[IOUT (A)]])^2/10^-3),(L_DRC*10^-3*(Table7[[#This Row],[IOUT (A)]]*Vbat/VACnom)^2/10^-3))</f>
        <v>288.11999999999995</v>
      </c>
      <c r="CE212" s="166"/>
      <c r="CF212" s="156">
        <f>(Table7[[#This Row],[R_AC (mW)]]+Table7[[#This Row],[R_SR (mW)]]+Table7[[#This Row],[Inductor Loss (mW)]])/10^3</f>
        <v>0.44736999999999988</v>
      </c>
      <c r="CG212" s="156">
        <f ca="1">Table7[[#This Row],[Total TI (mW)]]/10^3</f>
        <v>2.6265262456618519</v>
      </c>
      <c r="CH212" s="156">
        <f ca="1">Table7[[#This Row],[Total Sense Loss]]+Table7[[#This Row],[Total MOSFET Loss]]</f>
        <v>3.0738962456618517</v>
      </c>
      <c r="CI212" s="161">
        <f ca="1">IF(Table7[[#This Row],[POUT (W)]]=0,0,(Table7[[#This Row],[POUT (W)]])/(Table7[[#This Row],[POUT (W)]]+Table7[[#This Row],[Total Power Loss (W)]]))*100</f>
        <v>91.618299225500309</v>
      </c>
      <c r="CJ212" s="167"/>
      <c r="CK212" s="156">
        <f>(Table7[[#This Row],[R_AC (mW)]]+Table7[[#This Row],[R_SR (mW)]]+Table7[[#This Row],[Inductor Loss (mW)]])/10^3</f>
        <v>0.44736999999999988</v>
      </c>
      <c r="CL212" s="156">
        <f ca="1">Table7[[#This Row],[Total (mW) C]]/10^3</f>
        <v>1.2697950796867772</v>
      </c>
      <c r="CM212" s="156">
        <f ca="1">Table7[[#This Row],[Total Sense Loss C]]+Table7[[#This Row],[Total MOSFET Loss C]]</f>
        <v>1.717165079686777</v>
      </c>
      <c r="CN212" s="161">
        <f ca="1">IF(Table7[[#This Row],[POUT (W)]]=0,0,(Table7[[#This Row],[POUT (W)]])/(Table7[[#This Row],[POUT (W)]]+Table7[[#This Row],[Total Power Loss (W) C]]))*100</f>
        <v>95.13787396068652</v>
      </c>
      <c r="CO212" s="167"/>
      <c r="CP212" s="161">
        <f>IF(MOSFET_S=Custom_MOSFET,Table7[[#This Row],[Total Sense Loss C]],Table7[[#This Row],[Total Sense Loss]])</f>
        <v>0.44736999999999988</v>
      </c>
      <c r="CQ212" s="161">
        <f ca="1">IF(MOSFET_S=Custom_MOSFET,Table7[[#This Row],[Total MOSFET Loss C]],Table7[[#This Row],[Total MOSFET Loss]])</f>
        <v>2.6265262456618519</v>
      </c>
      <c r="CR212" s="161">
        <f ca="1">IF(MOSFET_S=Custom_MOSFET,Table7[[#This Row],[Efficiency C]],Table7[[#This Row],[Efficiency]])</f>
        <v>91.618299225500309</v>
      </c>
      <c r="CS212" s="167"/>
      <c r="CT212" s="161">
        <f>IF(MOSFET_S=Compare_MOSFET, Table7[[#This Row],[Total Sense Loss C]], -100)</f>
        <v>-100</v>
      </c>
      <c r="CU212" s="161">
        <f>IF(MOSFET_S=Compare_MOSFET, Table7[[#This Row],[Total MOSFET Loss C]], -100)</f>
        <v>-100</v>
      </c>
      <c r="CV212" s="161">
        <f>IF(MOSFET_S=Compare_MOSFET, Table7[[#This Row],[Efficiency C]], -100)</f>
        <v>-100</v>
      </c>
      <c r="CW212" s="167"/>
      <c r="CX212" s="161">
        <f ca="1">IF(Save_Sel=CLR_Save,  Table7[[#This Row],[Total Sense Loss P1]], Table7[[#This Row],[Total Sense Loss P1 Saved]])</f>
        <v>0.44736999999999988</v>
      </c>
      <c r="CY212" s="161">
        <f ca="1">IF(Save_Sel=CLR_Save,  Table7[[#This Row],[Total MOSFET Loss P1]], Table7[[#This Row],[Total MOSFET Loss P1 Saved]] )</f>
        <v>1.9295898095431598</v>
      </c>
      <c r="CZ212" s="161">
        <f ca="1">IF(Save_Sel=CLR_Save, Table7[[#This Row],[Efficiency P1]], Table7[[#This Row],[Efficiency P1 Saved]])</f>
        <v>93.393105414892091</v>
      </c>
      <c r="DA212" s="167"/>
      <c r="DB212" s="161">
        <f ca="1">IF(Save_Sel=CLR_Save,  Table7[[#This Row],[Total Sense Loss P2]], Table7[[#This Row],[Total Sense Loss P2 Saved]])</f>
        <v>0.44736999999999988</v>
      </c>
      <c r="DC212" s="161">
        <f ca="1">IF(Save_Sel=CLR_Save,  Table7[[#This Row],[Total MOSFET Loss P2]], Table7[[#This Row],[Total MOSFET Loss P2 Saved]] )</f>
        <v>1.2998117050310178</v>
      </c>
      <c r="DD212" s="161">
        <f ca="1">IF(Save_Sel=CLR_Save, Table7[[#This Row],[Efficiency P2]], Table7[[#This Row],[Efficiency P2 Saved]])</f>
        <v>95.057083420083984</v>
      </c>
      <c r="DE212" s="167"/>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c r="FH212" s="21"/>
      <c r="FI212" s="21"/>
    </row>
    <row r="213" spans="1:165" x14ac:dyDescent="0.25">
      <c r="A213" s="34"/>
      <c r="B213" s="51"/>
      <c r="C213" s="51"/>
      <c r="D213" s="34"/>
      <c r="E213" s="69"/>
      <c r="F213" s="69"/>
      <c r="G213" s="51"/>
      <c r="H213" s="31"/>
      <c r="I213" s="31"/>
      <c r="J213" s="31"/>
      <c r="K213" s="31"/>
      <c r="L213" s="31"/>
      <c r="M213" s="31"/>
      <c r="N213" s="31"/>
      <c r="O213" s="31"/>
      <c r="P213" s="31"/>
      <c r="Q213" s="31"/>
      <c r="R213" s="31"/>
      <c r="S213" s="32"/>
      <c r="T213" s="20"/>
      <c r="U213" s="21"/>
      <c r="V213" s="21"/>
      <c r="W213" s="21"/>
      <c r="X213" s="21"/>
      <c r="Y213" s="21"/>
      <c r="Z213" s="21"/>
      <c r="AA213" s="21"/>
      <c r="AB213" s="21"/>
      <c r="AC213" s="21"/>
      <c r="AD213" s="21"/>
      <c r="AE213" s="21"/>
      <c r="AF213" s="154">
        <f t="shared" si="17"/>
        <v>57</v>
      </c>
      <c r="AG213" s="154">
        <f t="shared" si="39"/>
        <v>2.85</v>
      </c>
      <c r="AH213" s="155">
        <f t="shared" si="28"/>
        <v>34.200000000000003</v>
      </c>
      <c r="AI213" s="156">
        <f t="shared" si="29"/>
        <v>0.42857142857142855</v>
      </c>
      <c r="AJ213" s="156">
        <f t="shared" si="30"/>
        <v>4.9875000000000007</v>
      </c>
      <c r="AK213" s="156">
        <f t="shared" si="26"/>
        <v>0.85714285714285721</v>
      </c>
      <c r="AL213" s="156">
        <f t="shared" si="27"/>
        <v>4.9936340214112533</v>
      </c>
      <c r="AM213" s="157"/>
      <c r="AN213" s="156">
        <f>MAX(0,Table7[[#This Row],[I_L]]-0.5*Table7[[#This Row],[I_L pkpk]])</f>
        <v>4.5589285714285719</v>
      </c>
      <c r="AO213" s="156">
        <f>Table7[[#This Row],[I_L]]+0.5*Table7[[#This Row],[I_L pkpk]]</f>
        <v>5.4160714285714295</v>
      </c>
      <c r="AP213" s="156">
        <f ca="1">IF(VACnom&gt;Vbat, (VGS_S-(TI_MOSFET_S_VTH_H_BU+Table7[[#This Row],[I_L]]/TI_MOSFET_S_gFS_H_BU))/3.4, (VGS_S-(TI_MOSFET_S_VTH_L_BO+Table7[[#This Row],[I_L]]/TI_MOSFET_S_gFS_L_BO))/3.4 )</f>
        <v>2.4151866515837104</v>
      </c>
      <c r="AQ213" s="156">
        <f ca="1">IF(VACnom&gt;Vbat, ((TI_MOSFET_S_VTH_H_BU+Table7[[#This Row],[I_L]]/TI_MOSFET_S_gFS_H_BU))/1, ((TI_MOSFET_S_VTH_L_BO+Table7[[#This Row],[I_L]]/TI_MOSFET_S_gFS_L_BO))/1 )</f>
        <v>1.7883653846153846</v>
      </c>
      <c r="AR213" s="156">
        <f ca="1">IF(VACnom&gt;Vbat, (TI_MOSFET_S_QGD_H_BU+TI_MOSFET_S_QGS_H_BU)*10^-9/Table7[[#This Row],[Ion (A)]], (TI_MOSFET_S_QGD_L_BO+TI_MOSFET_S_QGS_L_BO)*10^-9/Table7[[#This Row],[Ion (A)]])/10^-9</f>
        <v>11.924544209084203</v>
      </c>
      <c r="AS213" s="156">
        <f ca="1">IF(VACnom&gt;Vbat, (TI_MOSFET_S_QGD_H_BU+TI_MOSFET_S_QGS_H_BU)*10^-9/Table7[[#This Row],[Ioff (A)]], (TI_MOSFET_S_QGD_L_BO+TI_MOSFET_S_QGS_L_BO)*10^-9/Table7[[#This Row],[Ioff (A)]])/10^-9</f>
        <v>16.104091617828917</v>
      </c>
      <c r="AT213" s="156">
        <f ca="1" xml:space="preserve"> 0.5*VACnom*Table7[[#This Row],[Ivalley (A)]]*Table7[[#This Row],[ton (ns)]]*10^-9*Fsw*10^3+0.5*VACnom*Table7[[#This Row],[Ipeak (A)]]*Table7[[#This Row],[toff (ns)]]*10^-9*Fsw*10^3/10^-3</f>
        <v>314.19098510297727</v>
      </c>
      <c r="AU213" s="156">
        <f t="shared" ca="1" si="31"/>
        <v>262.8</v>
      </c>
      <c r="AV213" s="156">
        <f t="shared" ca="1" si="32"/>
        <v>648</v>
      </c>
      <c r="AW213" s="156">
        <f t="shared" ca="1" si="33"/>
        <v>554.4</v>
      </c>
      <c r="AX213" s="156">
        <f ca="1">IF(VACnom&gt;Vbat, TI_MOSFET_S_VSD_L_BU*Table7[[#This Row],[Ivalley (A)]]*Fsw*10^3*40*10^-9+TI_MOSFET_S_VSD_L_BU*Table7[[#This Row],[Ipeak (A)]]*Fsw*10^3*30*10^-9, TI_MOSFET_S_VSD_H_BO*Table7[[#This Row],[Ivalley (A)]]*Fsw*10^3*40*10^-9+TI_MOSFET_S_VSD_H_BO*Table7[[#This Row],[Ipeak (A)]]*Fsw*10^3*30*10^-9)/10^-3</f>
        <v>148.97057142857142</v>
      </c>
      <c r="AY213" s="156">
        <f t="shared" ca="1" si="34"/>
        <v>648</v>
      </c>
      <c r="AZ213" s="156">
        <f ca="1">IF(VACnom&lt;Vbat, Table7[[#This Row],[Duty Cycle]]*Table7[[#This Row],[I_L RMS]]^2*TI_MOSFET_S_RDSON_H_BU*10^-3, (1-Table7[[#This Row],[Duty Cycle]])*Table7[[#This Row],[I_L RMS]]^2*TI_MOSFET_S_RDSON_H_BO*10^-3)/10^-3</f>
        <v>29.923656887755104</v>
      </c>
      <c r="BA213" s="156">
        <f ca="1">IF(VACnom&gt;Vbat, Table7[[#This Row],[PIV (mW)]]+Table7[[#This Row],[Pqoss (mW)]]+Table7[[#This Row],[Pgate_top (mW)]], Table7[[#This Row],[PRR (mW)]]+Table7[[#This Row],[Pdead (mW)]]+Table7[[#This Row],[Pgate_top (mW)]])</f>
        <v>1351.3705714285713</v>
      </c>
      <c r="BB213" s="156">
        <f ca="1">Table7[[#This Row],[Pcon_top (mW)]]+Table7[[#This Row],[Psw_top (mW)]]</f>
        <v>1381.2942283163266</v>
      </c>
      <c r="BC213" s="156">
        <f ca="1">IF(VACnom&gt;Vbat, (1-Table7[[#This Row],[Duty Cycle]])*Table7[[#This Row],[I_L RMS]]^2*TI_MOSFET_S_RDSON_L_BU*10^-3, Table7[[#This Row],[Duty Cycle]]*Table7[[#This Row],[I_L RMS]]^2*TI_MOSFET_S_RDSON_L_BO*10^-3)/10^-3</f>
        <v>29.923656887755104</v>
      </c>
      <c r="BD213" s="156">
        <f ca="1">IF(VACnom&gt;Vbat, Table7[[#This Row],[PRR (mW)]]+Table7[[#This Row],[Pdead (mW)]]+Table7[[#This Row],[Pgate_bottom (mW)]], Table7[[#This Row],[PIV (mW)]]+Table7[[#This Row],[Pqoss (mW)]]+Table7[[#This Row],[Pgate_bottom (mW)]])</f>
        <v>1224.9909851029772</v>
      </c>
      <c r="BE213" s="158">
        <f ca="1">Table7[[#This Row],[Pcon_bottom (mW)]]+Table7[[#This Row],[Psw_bottom (mW)]]</f>
        <v>1254.9146419907324</v>
      </c>
      <c r="BF213" s="164">
        <f ca="1">Table7[[#This Row],[Pbottom (mW)]]+Table7[[#This Row],[Ptop (mW)]]</f>
        <v>2636.208870307059</v>
      </c>
      <c r="BG213" s="153"/>
      <c r="BH213" s="156">
        <f>MAX(0,Table7[[#This Row],[I_L]]-0.5*Table7[[#This Row],[I_L pkpk]])</f>
        <v>4.5589285714285719</v>
      </c>
      <c r="BI213" s="156">
        <f>Table7[[#This Row],[I_L]]+0.5*Table7[[#This Row],[I_L pkpk]]</f>
        <v>5.4160714285714295</v>
      </c>
      <c r="BJ213" s="156">
        <f>IF(VACnom&gt;Vbat, (VGS_S-(C_MOSFET_S_VTH_H_BU+Table7[[#This Row],[I_L]]/C_MOSFET_S_gFS_H_BU))/3.4, (VGS_S-(C_MOSFET_S_VTH_L_BO+Table7[[#This Row],[I_L]]/C_MOSFET_S_gFS_L_BO))/3.4 )</f>
        <v>2.3431617647058824</v>
      </c>
      <c r="BK213" s="156">
        <f>IF(VACnom&gt;Vbat, ((C_MOSFET_S_VTH_H_BU+Table7[[#This Row],[I_L]]/C_MOSFET_S_gFS_H_BU))/1, ((C_MOSFET_S_VTH_L_BO+Table7[[#This Row],[I_L]]/C_MOSFET_S_gFS_L_BO))/1 )</f>
        <v>2.0332499999999998</v>
      </c>
      <c r="BL213" s="156">
        <f>IF(VACnom&gt;Vbat, (C_MOSFET_S_QGD_H_BU+C_MOSFET_S_QGS_H_BU)*10^-9/Table7[[#This Row],[Ion (A) C]], (C_MOSFET_S_QGD_L_BO+C_MOSFET_S_QGS_L_BO)*10^-9/Table7[[#This Row],[Ion (A) C]])/10^-9</f>
        <v>2.7740295603602472</v>
      </c>
      <c r="BM213" s="156">
        <f>IF(VACnom&gt;Vbat, (C_MOSFET_S_QGD_H_BU+C_MOSFET_S_QGS_H_BU)*10^-9/Table7[[#This Row],[Ioff (A) C]], (C_MOSFET_S_QGD_L_BO+C_MOSFET_S_QGS_L_BO)*10^-9/Table7[[#This Row],[Ioff (A) C]])/10^-9</f>
        <v>3.1968523300135256</v>
      </c>
      <c r="BN213" s="156">
        <f xml:space="preserve"> 0.5*VACnom*Table7[[#This Row],[Ivalley (A) C]]*Table7[[#This Row],[ton (ns) C]]*10^-9*Fsw*10^3+0.5*VACnom*Table7[[#This Row],[Ipeak (A) C]]*Table7[[#This Row],[toff (ns) C]]*10^-9*Fsw*10^3/10^-3</f>
        <v>62.377297806848311</v>
      </c>
      <c r="BO213" s="156">
        <f t="shared" si="35"/>
        <v>129.6</v>
      </c>
      <c r="BP213" s="156">
        <f t="shared" ca="1" si="36"/>
        <v>291.59999999999997</v>
      </c>
      <c r="BQ213" s="156">
        <f t="shared" si="37"/>
        <v>237.6</v>
      </c>
      <c r="BR213" s="156">
        <f>IF(VACnom&gt;Vbat, C_MOSFET_S_VSD_L_BU*Table7[[#This Row],[Ivalley (A) C]]*Fsw*10^3*40*10^-9+C_MOSFET_S_VSD_L_BU*Table7[[#This Row],[Ipeak (A) C]]*Fsw*10^3*30*10^-9, C_MOSFET_S_VSD_H_BO*Table7[[#This Row],[Ivalley (A) C]]*Fsw*10^3*40*10^-9+C_MOSFET_S_VSD_H_BO*Table7[[#This Row],[Ipeak (A) C]]*Fsw*10^3*30*10^-9)/10^-3</f>
        <v>165.52285714285719</v>
      </c>
      <c r="BS213" s="156">
        <f t="shared" ca="1" si="38"/>
        <v>291.59999999999997</v>
      </c>
      <c r="BT213" s="156">
        <f>IF(VACnom&lt;Vbat, Table7[[#This Row],[Duty Cycle]]*Table7[[#This Row],[I_L RMS]]^2*C_MOSFET_S_RDSON_H_BU*10^-3, (1-Table7[[#This Row],[Duty Cycle]])*Table7[[#This Row],[I_L RMS]]^2*C_MOSFET_S_RDSON_H_BO*10^-3)/10^-3</f>
        <v>60.916015807215757</v>
      </c>
      <c r="BU213" s="156">
        <f ca="1">IF(VACnom&gt;Vbat, Table7[[#This Row],[PIV (mW) C]]+Table7[[#This Row],[PQoss (mW) C]]+Table7[[#This Row],[Pgate_top (mW) C]], Table7[[#This Row],[PRR (mW) C]]+Table7[[#This Row],[Pdead (mW) C]]+Table7[[#This Row],[Pgate_top (mW) C]])</f>
        <v>694.72285714285715</v>
      </c>
      <c r="BV213" s="156">
        <f ca="1">Table7[[#This Row],[Pcon_top (mW) C]]+Table7[[#This Row],[Psw_top (mW) C]]</f>
        <v>755.63887295007294</v>
      </c>
      <c r="BW213" s="156">
        <f ca="1">IF(VACnom&gt;Vbat, (1-Table7[[#This Row],[Duty Cycle]])*Table7[[#This Row],[I_L RMS]]^2*C_MOSFET_S_RDSON_L_BU*10^-3, Table7[[#This Row],[Duty Cycle]]*Table7[[#This Row],[I_L RMS]]^2*C_MOSFET_S_RDSON_L_BO*10^-3)/10^-3</f>
        <v>37.938922125546654</v>
      </c>
      <c r="BX213" s="156">
        <f ca="1">IF(VACnom&gt;Vbat, Table7[[#This Row],[PRR (mW) C]]+Table7[[#This Row],[Pdead (mW) C]]+Table7[[#This Row],[Pgate_bottom (mW) C]], Table7[[#This Row],[PIV (mW) C]]+Table7[[#This Row],[PQoss (mW) C]]+Table7[[#This Row],[Pgate_bottom (mW) C]])</f>
        <v>483.57729780684826</v>
      </c>
      <c r="BY213" s="156">
        <f ca="1">Table7[[#This Row],[Pcon_bottom (mW) C]]+Table7[[#This Row],[Psw_bottom (mV) C]]</f>
        <v>521.51621993239496</v>
      </c>
      <c r="BZ213" s="156">
        <f ca="1">Table7[[#This Row],[Pbottom (mW) C]]+Table7[[#This Row],[Ptop (mW) C]]</f>
        <v>1277.1550928824679</v>
      </c>
      <c r="CA213" s="159"/>
      <c r="CB213" s="160">
        <f>(RAC_SNS*10^-3*(Table7[[#This Row],[IOUT (A)]]*Vbat/VACnom)^2/10^-3)</f>
        <v>124.37578124999999</v>
      </c>
      <c r="CC213" s="160">
        <f>(RBAT_SNS*10^-3*Table7[[#This Row],[IOUT (A)]]^2)/10^-3</f>
        <v>40.612500000000004</v>
      </c>
      <c r="CD213" s="160">
        <f>IF(VACnom&gt;Vbat,(L_DRC*10^-3*(Table7[[#This Row],[IOUT (A)]])^2/10^-3),(L_DRC*10^-3*(Table7[[#This Row],[IOUT (A)]]*Vbat/VACnom)^2/10^-3))</f>
        <v>298.50187500000004</v>
      </c>
      <c r="CE213" s="166"/>
      <c r="CF213" s="156">
        <f>(Table7[[#This Row],[R_AC (mW)]]+Table7[[#This Row],[R_SR (mW)]]+Table7[[#This Row],[Inductor Loss (mW)]])/10^3</f>
        <v>0.46349015625000006</v>
      </c>
      <c r="CG213" s="156">
        <f ca="1">Table7[[#This Row],[Total TI (mW)]]/10^3</f>
        <v>2.6362088703070592</v>
      </c>
      <c r="CH213" s="156">
        <f ca="1">Table7[[#This Row],[Total Sense Loss]]+Table7[[#This Row],[Total MOSFET Loss]]</f>
        <v>3.0996990265570594</v>
      </c>
      <c r="CI213" s="161">
        <f ca="1">IF(Table7[[#This Row],[POUT (W)]]=0,0,(Table7[[#This Row],[POUT (W)]])/(Table7[[#This Row],[POUT (W)]]+Table7[[#This Row],[Total Power Loss (W)]]))*100</f>
        <v>91.689747886839243</v>
      </c>
      <c r="CJ213" s="167"/>
      <c r="CK213" s="156">
        <f>(Table7[[#This Row],[R_AC (mW)]]+Table7[[#This Row],[R_SR (mW)]]+Table7[[#This Row],[Inductor Loss (mW)]])/10^3</f>
        <v>0.46349015625000006</v>
      </c>
      <c r="CL213" s="156">
        <f ca="1">Table7[[#This Row],[Total (mW) C]]/10^3</f>
        <v>1.277155092882468</v>
      </c>
      <c r="CM213" s="156">
        <f ca="1">Table7[[#This Row],[Total Sense Loss C]]+Table7[[#This Row],[Total MOSFET Loss C]]</f>
        <v>1.740645249132468</v>
      </c>
      <c r="CN213" s="161">
        <f ca="1">IF(Table7[[#This Row],[POUT (W)]]=0,0,(Table7[[#This Row],[POUT (W)]])/(Table7[[#This Row],[POUT (W)]]+Table7[[#This Row],[Total Power Loss (W) C]]))*100</f>
        <v>95.156889262653166</v>
      </c>
      <c r="CO213" s="167"/>
      <c r="CP213" s="161">
        <f>IF(MOSFET_S=Custom_MOSFET,Table7[[#This Row],[Total Sense Loss C]],Table7[[#This Row],[Total Sense Loss]])</f>
        <v>0.46349015625000006</v>
      </c>
      <c r="CQ213" s="161">
        <f ca="1">IF(MOSFET_S=Custom_MOSFET,Table7[[#This Row],[Total MOSFET Loss C]],Table7[[#This Row],[Total MOSFET Loss]])</f>
        <v>2.6362088703070592</v>
      </c>
      <c r="CR213" s="161">
        <f ca="1">IF(MOSFET_S=Custom_MOSFET,Table7[[#This Row],[Efficiency C]],Table7[[#This Row],[Efficiency]])</f>
        <v>91.689747886839243</v>
      </c>
      <c r="CS213" s="167"/>
      <c r="CT213" s="161">
        <f>IF(MOSFET_S=Compare_MOSFET, Table7[[#This Row],[Total Sense Loss C]], -100)</f>
        <v>-100</v>
      </c>
      <c r="CU213" s="161">
        <f>IF(MOSFET_S=Compare_MOSFET, Table7[[#This Row],[Total MOSFET Loss C]], -100)</f>
        <v>-100</v>
      </c>
      <c r="CV213" s="161">
        <f>IF(MOSFET_S=Compare_MOSFET, Table7[[#This Row],[Efficiency C]], -100)</f>
        <v>-100</v>
      </c>
      <c r="CW213" s="167"/>
      <c r="CX213" s="161">
        <f ca="1">IF(Save_Sel=CLR_Save,  Table7[[#This Row],[Total Sense Loss P1]], Table7[[#This Row],[Total Sense Loss P1 Saved]])</f>
        <v>0.46349015625000006</v>
      </c>
      <c r="CY213" s="161">
        <f ca="1">IF(Save_Sel=CLR_Save,  Table7[[#This Row],[Total MOSFET Loss P1]], Table7[[#This Row],[Total MOSFET Loss P1 Saved]] )</f>
        <v>1.9398363533332381</v>
      </c>
      <c r="CZ213" s="161">
        <f ca="1">IF(Save_Sel=CLR_Save, Table7[[#This Row],[Efficiency P1]], Table7[[#This Row],[Efficiency P1 Saved]])</f>
        <v>93.434130887109362</v>
      </c>
      <c r="DA213" s="167"/>
      <c r="DB213" s="161">
        <f ca="1">IF(Save_Sel=CLR_Save,  Table7[[#This Row],[Total Sense Loss P2]], Table7[[#This Row],[Total Sense Loss P2 Saved]])</f>
        <v>0.46349015625000006</v>
      </c>
      <c r="DC213" s="161">
        <f ca="1">IF(Save_Sel=CLR_Save,  Table7[[#This Row],[Total MOSFET Loss P2]], Table7[[#This Row],[Total MOSFET Loss P2 Saved]] )</f>
        <v>1.3082489629935328</v>
      </c>
      <c r="DD213" s="161">
        <f ca="1">IF(Save_Sel=CLR_Save, Table7[[#This Row],[Efficiency P2]], Table7[[#This Row],[Efficiency P2 Saved]])</f>
        <v>95.07463591523792</v>
      </c>
      <c r="DE213" s="167"/>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c r="FH213" s="21"/>
      <c r="FI213" s="21"/>
    </row>
    <row r="214" spans="1:165" x14ac:dyDescent="0.25">
      <c r="A214" s="34"/>
      <c r="B214" s="51"/>
      <c r="C214" s="51"/>
      <c r="D214" s="34"/>
      <c r="E214" s="69"/>
      <c r="F214" s="69"/>
      <c r="G214" s="51"/>
      <c r="H214" s="31"/>
      <c r="I214" s="31"/>
      <c r="J214" s="31"/>
      <c r="K214" s="31"/>
      <c r="L214" s="31"/>
      <c r="M214" s="31"/>
      <c r="N214" s="31"/>
      <c r="O214" s="31"/>
      <c r="P214" s="31"/>
      <c r="Q214" s="31"/>
      <c r="R214" s="31"/>
      <c r="S214" s="32"/>
      <c r="T214" s="20"/>
      <c r="U214" s="21"/>
      <c r="V214" s="21"/>
      <c r="W214" s="21"/>
      <c r="X214" s="21"/>
      <c r="Y214" s="21"/>
      <c r="Z214" s="21"/>
      <c r="AA214" s="21"/>
      <c r="AB214" s="21"/>
      <c r="AC214" s="21"/>
      <c r="AD214" s="21"/>
      <c r="AE214" s="21"/>
      <c r="AF214" s="154">
        <f t="shared" si="17"/>
        <v>58</v>
      </c>
      <c r="AG214" s="154">
        <f t="shared" si="39"/>
        <v>2.9</v>
      </c>
      <c r="AH214" s="155">
        <f t="shared" si="28"/>
        <v>34.799999999999997</v>
      </c>
      <c r="AI214" s="156">
        <f t="shared" si="29"/>
        <v>0.42857142857142855</v>
      </c>
      <c r="AJ214" s="156">
        <f t="shared" si="30"/>
        <v>5.0750000000000002</v>
      </c>
      <c r="AK214" s="156">
        <f t="shared" si="26"/>
        <v>0.85714285714285721</v>
      </c>
      <c r="AL214" s="156">
        <f t="shared" si="27"/>
        <v>5.0810283889972432</v>
      </c>
      <c r="AM214" s="157"/>
      <c r="AN214" s="156">
        <f>MAX(0,Table7[[#This Row],[I_L]]-0.5*Table7[[#This Row],[I_L pkpk]])</f>
        <v>4.6464285714285714</v>
      </c>
      <c r="AO214" s="156">
        <f>Table7[[#This Row],[I_L]]+0.5*Table7[[#This Row],[I_L pkpk]]</f>
        <v>5.503571428571429</v>
      </c>
      <c r="AP214" s="156">
        <f ca="1">IF(VACnom&gt;Vbat, (VGS_S-(TI_MOSFET_S_VTH_H_BU+Table7[[#This Row],[I_L]]/TI_MOSFET_S_gFS_H_BU))/3.4, (VGS_S-(TI_MOSFET_S_VTH_L_BO+Table7[[#This Row],[I_L]]/TI_MOSFET_S_gFS_L_BO))/3.4 )</f>
        <v>2.4149886877828051</v>
      </c>
      <c r="AQ214" s="156">
        <f ca="1">IF(VACnom&gt;Vbat, ((TI_MOSFET_S_VTH_H_BU+Table7[[#This Row],[I_L]]/TI_MOSFET_S_gFS_H_BU))/1, ((TI_MOSFET_S_VTH_L_BO+Table7[[#This Row],[I_L]]/TI_MOSFET_S_gFS_L_BO))/1 )</f>
        <v>1.7890384615384616</v>
      </c>
      <c r="AR214" s="156">
        <f ca="1">IF(VACnom&gt;Vbat, (TI_MOSFET_S_QGD_H_BU+TI_MOSFET_S_QGS_H_BU)*10^-9/Table7[[#This Row],[Ion (A)]], (TI_MOSFET_S_QGD_L_BO+TI_MOSFET_S_QGS_L_BO)*10^-9/Table7[[#This Row],[Ion (A)]])/10^-9</f>
        <v>11.925521699416823</v>
      </c>
      <c r="AS214" s="156">
        <f ca="1">IF(VACnom&gt;Vbat, (TI_MOSFET_S_QGD_H_BU+TI_MOSFET_S_QGS_H_BU)*10^-9/Table7[[#This Row],[Ioff (A)]], (TI_MOSFET_S_QGD_L_BO+TI_MOSFET_S_QGS_L_BO)*10^-9/Table7[[#This Row],[Ioff (A)]])/10^-9</f>
        <v>16.098032892615286</v>
      </c>
      <c r="AT214" s="156">
        <f ca="1" xml:space="preserve"> 0.5*VACnom*Table7[[#This Row],[Ivalley (A)]]*Table7[[#This Row],[ton (ns)]]*10^-9*Fsw*10^3+0.5*VACnom*Table7[[#This Row],[Ipeak (A)]]*Table7[[#This Row],[toff (ns)]]*10^-9*Fsw*10^3/10^-3</f>
        <v>319.14750588751411</v>
      </c>
      <c r="AU214" s="156">
        <f t="shared" ca="1" si="31"/>
        <v>262.8</v>
      </c>
      <c r="AV214" s="156">
        <f t="shared" ca="1" si="32"/>
        <v>648</v>
      </c>
      <c r="AW214" s="156">
        <f t="shared" ca="1" si="33"/>
        <v>554.4</v>
      </c>
      <c r="AX214" s="156">
        <f ca="1">IF(VACnom&gt;Vbat, TI_MOSFET_S_VSD_L_BU*Table7[[#This Row],[Ivalley (A)]]*Fsw*10^3*40*10^-9+TI_MOSFET_S_VSD_L_BU*Table7[[#This Row],[Ipeak (A)]]*Fsw*10^3*30*10^-9, TI_MOSFET_S_VSD_H_BO*Table7[[#This Row],[Ivalley (A)]]*Fsw*10^3*40*10^-9+TI_MOSFET_S_VSD_H_BO*Table7[[#This Row],[Ipeak (A)]]*Fsw*10^3*30*10^-9)/10^-3</f>
        <v>151.6165714285714</v>
      </c>
      <c r="AY214" s="156">
        <f t="shared" ca="1" si="34"/>
        <v>648</v>
      </c>
      <c r="AZ214" s="156">
        <f ca="1">IF(VACnom&lt;Vbat, Table7[[#This Row],[Duty Cycle]]*Table7[[#This Row],[I_L RMS]]^2*TI_MOSFET_S_RDSON_H_BU*10^-3, (1-Table7[[#This Row],[Duty Cycle]])*Table7[[#This Row],[I_L RMS]]^2*TI_MOSFET_S_RDSON_H_BO*10^-3)/10^-3</f>
        <v>30.980219387755099</v>
      </c>
      <c r="BA214" s="156">
        <f ca="1">IF(VACnom&gt;Vbat, Table7[[#This Row],[PIV (mW)]]+Table7[[#This Row],[Pqoss (mW)]]+Table7[[#This Row],[Pgate_top (mW)]], Table7[[#This Row],[PRR (mW)]]+Table7[[#This Row],[Pdead (mW)]]+Table7[[#This Row],[Pgate_top (mW)]])</f>
        <v>1354.0165714285713</v>
      </c>
      <c r="BB214" s="156">
        <f ca="1">Table7[[#This Row],[Pcon_top (mW)]]+Table7[[#This Row],[Psw_top (mW)]]</f>
        <v>1384.9967908163264</v>
      </c>
      <c r="BC214" s="156">
        <f ca="1">IF(VACnom&gt;Vbat, (1-Table7[[#This Row],[Duty Cycle]])*Table7[[#This Row],[I_L RMS]]^2*TI_MOSFET_S_RDSON_L_BU*10^-3, Table7[[#This Row],[Duty Cycle]]*Table7[[#This Row],[I_L RMS]]^2*TI_MOSFET_S_RDSON_L_BO*10^-3)/10^-3</f>
        <v>30.980219387755099</v>
      </c>
      <c r="BD214" s="156">
        <f ca="1">IF(VACnom&gt;Vbat, Table7[[#This Row],[PRR (mW)]]+Table7[[#This Row],[Pdead (mW)]]+Table7[[#This Row],[Pgate_bottom (mW)]], Table7[[#This Row],[PIV (mW)]]+Table7[[#This Row],[Pqoss (mW)]]+Table7[[#This Row],[Pgate_bottom (mW)]])</f>
        <v>1229.9475058875141</v>
      </c>
      <c r="BE214" s="158">
        <f ca="1">Table7[[#This Row],[Pcon_bottom (mW)]]+Table7[[#This Row],[Psw_bottom (mW)]]</f>
        <v>1260.9277252752693</v>
      </c>
      <c r="BF214" s="164">
        <f ca="1">Table7[[#This Row],[Pbottom (mW)]]+Table7[[#This Row],[Ptop (mW)]]</f>
        <v>2645.9245160915957</v>
      </c>
      <c r="BG214" s="153"/>
      <c r="BH214" s="156">
        <f>MAX(0,Table7[[#This Row],[I_L]]-0.5*Table7[[#This Row],[I_L pkpk]])</f>
        <v>4.6464285714285714</v>
      </c>
      <c r="BI214" s="156">
        <f>Table7[[#This Row],[I_L]]+0.5*Table7[[#This Row],[I_L pkpk]]</f>
        <v>5.503571428571429</v>
      </c>
      <c r="BJ214" s="156">
        <f>IF(VACnom&gt;Vbat, (VGS_S-(C_MOSFET_S_VTH_H_BU+Table7[[#This Row],[I_L]]/C_MOSFET_S_gFS_H_BU))/3.4, (VGS_S-(C_MOSFET_S_VTH_L_BO+Table7[[#This Row],[I_L]]/C_MOSFET_S_gFS_L_BO))/3.4 )</f>
        <v>2.3429901960784312</v>
      </c>
      <c r="BK214" s="156">
        <f>IF(VACnom&gt;Vbat, ((C_MOSFET_S_VTH_H_BU+Table7[[#This Row],[I_L]]/C_MOSFET_S_gFS_H_BU))/1, ((C_MOSFET_S_VTH_L_BO+Table7[[#This Row],[I_L]]/C_MOSFET_S_gFS_L_BO))/1 )</f>
        <v>2.0338333333333334</v>
      </c>
      <c r="BL214" s="156">
        <f>IF(VACnom&gt;Vbat, (C_MOSFET_S_QGD_H_BU+C_MOSFET_S_QGS_H_BU)*10^-9/Table7[[#This Row],[Ion (A) C]], (C_MOSFET_S_QGD_L_BO+C_MOSFET_S_QGS_L_BO)*10^-9/Table7[[#This Row],[Ion (A) C]])/10^-9</f>
        <v>2.7742326924283955</v>
      </c>
      <c r="BM214" s="156">
        <f>IF(VACnom&gt;Vbat, (C_MOSFET_S_QGD_H_BU+C_MOSFET_S_QGS_H_BU)*10^-9/Table7[[#This Row],[Ioff (A) C]], (C_MOSFET_S_QGD_L_BO+C_MOSFET_S_QGS_L_BO)*10^-9/Table7[[#This Row],[Ioff (A) C]])/10^-9</f>
        <v>3.1959354257149881</v>
      </c>
      <c r="BN214" s="156">
        <f xml:space="preserve"> 0.5*VACnom*Table7[[#This Row],[Ivalley (A) C]]*Table7[[#This Row],[ton (ns) C]]*10^-9*Fsw*10^3+0.5*VACnom*Table7[[#This Row],[Ipeak (A) C]]*Table7[[#This Row],[toff (ns) C]]*10^-9*Fsw*10^3/10^-3</f>
        <v>63.367017014052593</v>
      </c>
      <c r="BO214" s="156">
        <f t="shared" si="35"/>
        <v>129.6</v>
      </c>
      <c r="BP214" s="156">
        <f t="shared" ca="1" si="36"/>
        <v>291.59999999999997</v>
      </c>
      <c r="BQ214" s="156">
        <f t="shared" si="37"/>
        <v>237.6</v>
      </c>
      <c r="BR214" s="156">
        <f>IF(VACnom&gt;Vbat, C_MOSFET_S_VSD_L_BU*Table7[[#This Row],[Ivalley (A) C]]*Fsw*10^3*40*10^-9+C_MOSFET_S_VSD_L_BU*Table7[[#This Row],[Ipeak (A) C]]*Fsw*10^3*30*10^-9, C_MOSFET_S_VSD_H_BO*Table7[[#This Row],[Ivalley (A) C]]*Fsw*10^3*40*10^-9+C_MOSFET_S_VSD_H_BO*Table7[[#This Row],[Ipeak (A) C]]*Fsw*10^3*30*10^-9)/10^-3</f>
        <v>168.46285714285713</v>
      </c>
      <c r="BS214" s="156">
        <f t="shared" ca="1" si="38"/>
        <v>291.59999999999997</v>
      </c>
      <c r="BT214" s="156">
        <f>IF(VACnom&lt;Vbat, Table7[[#This Row],[Duty Cycle]]*Table7[[#This Row],[I_L RMS]]^2*C_MOSFET_S_RDSON_H_BU*10^-3, (1-Table7[[#This Row],[Duty Cycle]])*Table7[[#This Row],[I_L RMS]]^2*C_MOSFET_S_RDSON_H_BO*10^-3)/10^-3</f>
        <v>63.066875182215746</v>
      </c>
      <c r="BU214" s="156">
        <f ca="1">IF(VACnom&gt;Vbat, Table7[[#This Row],[PIV (mW) C]]+Table7[[#This Row],[PQoss (mW) C]]+Table7[[#This Row],[Pgate_top (mW) C]], Table7[[#This Row],[PRR (mW) C]]+Table7[[#This Row],[Pdead (mW) C]]+Table7[[#This Row],[Pgate_top (mW) C]])</f>
        <v>697.66285714285709</v>
      </c>
      <c r="BV214" s="156">
        <f ca="1">Table7[[#This Row],[Pcon_top (mW) C]]+Table7[[#This Row],[Psw_top (mW) C]]</f>
        <v>760.72973232507286</v>
      </c>
      <c r="BW214" s="156">
        <f ca="1">IF(VACnom&gt;Vbat, (1-Table7[[#This Row],[Duty Cycle]])*Table7[[#This Row],[I_L RMS]]^2*C_MOSFET_S_RDSON_L_BU*10^-3, Table7[[#This Row],[Duty Cycle]]*Table7[[#This Row],[I_L RMS]]^2*C_MOSFET_S_RDSON_L_BO*10^-3)/10^-3</f>
        <v>39.278492438046648</v>
      </c>
      <c r="BX214" s="156">
        <f ca="1">IF(VACnom&gt;Vbat, Table7[[#This Row],[PRR (mW) C]]+Table7[[#This Row],[Pdead (mW) C]]+Table7[[#This Row],[Pgate_bottom (mW) C]], Table7[[#This Row],[PIV (mW) C]]+Table7[[#This Row],[PQoss (mW) C]]+Table7[[#This Row],[Pgate_bottom (mW) C]])</f>
        <v>484.56701701405257</v>
      </c>
      <c r="BY214" s="156">
        <f ca="1">Table7[[#This Row],[Pcon_bottom (mW) C]]+Table7[[#This Row],[Psw_bottom (mV) C]]</f>
        <v>523.84550945209924</v>
      </c>
      <c r="BZ214" s="156">
        <f ca="1">Table7[[#This Row],[Pbottom (mW) C]]+Table7[[#This Row],[Ptop (mW) C]]</f>
        <v>1284.5752417771721</v>
      </c>
      <c r="CA214" s="159"/>
      <c r="CB214" s="160">
        <f>(RAC_SNS*10^-3*(Table7[[#This Row],[IOUT (A)]]*Vbat/VACnom)^2/10^-3)</f>
        <v>128.77812500000002</v>
      </c>
      <c r="CC214" s="160">
        <f>(RBAT_SNS*10^-3*Table7[[#This Row],[IOUT (A)]]^2)/10^-3</f>
        <v>42.050000000000004</v>
      </c>
      <c r="CD214" s="160">
        <f>IF(VACnom&gt;Vbat,(L_DRC*10^-3*(Table7[[#This Row],[IOUT (A)]])^2/10^-3),(L_DRC*10^-3*(Table7[[#This Row],[IOUT (A)]]*Vbat/VACnom)^2/10^-3))</f>
        <v>309.06750000000005</v>
      </c>
      <c r="CE214" s="166"/>
      <c r="CF214" s="156">
        <f>(Table7[[#This Row],[R_AC (mW)]]+Table7[[#This Row],[R_SR (mW)]]+Table7[[#This Row],[Inductor Loss (mW)]])/10^3</f>
        <v>0.4798956250000001</v>
      </c>
      <c r="CG214" s="156">
        <f ca="1">Table7[[#This Row],[Total TI (mW)]]/10^3</f>
        <v>2.6459245160915956</v>
      </c>
      <c r="CH214" s="156">
        <f ca="1">Table7[[#This Row],[Total Sense Loss]]+Table7[[#This Row],[Total MOSFET Loss]]</f>
        <v>3.1258201410915958</v>
      </c>
      <c r="CI214" s="161">
        <f ca="1">IF(Table7[[#This Row],[POUT (W)]]=0,0,(Table7[[#This Row],[POUT (W)]])/(Table7[[#This Row],[POUT (W)]]+Table7[[#This Row],[Total Power Loss (W)]]))*100</f>
        <v>91.758068436060398</v>
      </c>
      <c r="CJ214" s="167"/>
      <c r="CK214" s="156">
        <f>(Table7[[#This Row],[R_AC (mW)]]+Table7[[#This Row],[R_SR (mW)]]+Table7[[#This Row],[Inductor Loss (mW)]])/10^3</f>
        <v>0.4798956250000001</v>
      </c>
      <c r="CL214" s="156">
        <f ca="1">Table7[[#This Row],[Total (mW) C]]/10^3</f>
        <v>1.2845752417771721</v>
      </c>
      <c r="CM214" s="156">
        <f ca="1">Table7[[#This Row],[Total Sense Loss C]]+Table7[[#This Row],[Total MOSFET Loss C]]</f>
        <v>1.7644708667771722</v>
      </c>
      <c r="CN214" s="161">
        <f ca="1">IF(Table7[[#This Row],[POUT (W)]]=0,0,(Table7[[#This Row],[POUT (W)]])/(Table7[[#This Row],[POUT (W)]]+Table7[[#This Row],[Total Power Loss (W) C]]))*100</f>
        <v>95.174356896326955</v>
      </c>
      <c r="CO214" s="167"/>
      <c r="CP214" s="161">
        <f>IF(MOSFET_S=Custom_MOSFET,Table7[[#This Row],[Total Sense Loss C]],Table7[[#This Row],[Total Sense Loss]])</f>
        <v>0.4798956250000001</v>
      </c>
      <c r="CQ214" s="161">
        <f ca="1">IF(MOSFET_S=Custom_MOSFET,Table7[[#This Row],[Total MOSFET Loss C]],Table7[[#This Row],[Total MOSFET Loss]])</f>
        <v>2.6459245160915956</v>
      </c>
      <c r="CR214" s="161">
        <f ca="1">IF(MOSFET_S=Custom_MOSFET,Table7[[#This Row],[Efficiency C]],Table7[[#This Row],[Efficiency]])</f>
        <v>91.758068436060398</v>
      </c>
      <c r="CS214" s="167"/>
      <c r="CT214" s="161">
        <f>IF(MOSFET_S=Compare_MOSFET, Table7[[#This Row],[Total Sense Loss C]], -100)</f>
        <v>-100</v>
      </c>
      <c r="CU214" s="161">
        <f>IF(MOSFET_S=Compare_MOSFET, Table7[[#This Row],[Total MOSFET Loss C]], -100)</f>
        <v>-100</v>
      </c>
      <c r="CV214" s="161">
        <f>IF(MOSFET_S=Compare_MOSFET, Table7[[#This Row],[Efficiency C]], -100)</f>
        <v>-100</v>
      </c>
      <c r="CW214" s="167"/>
      <c r="CX214" s="161">
        <f ca="1">IF(Save_Sel=CLR_Save,  Table7[[#This Row],[Total Sense Loss P1]], Table7[[#This Row],[Total Sense Loss P1 Saved]])</f>
        <v>0.4798956250000001</v>
      </c>
      <c r="CY214" s="161">
        <f ca="1">IF(Save_Sel=CLR_Save,  Table7[[#This Row],[Total MOSFET Loss P1]], Table7[[#This Row],[Total MOSFET Loss P1 Saved]] )</f>
        <v>1.9501257671142336</v>
      </c>
      <c r="CZ214" s="161">
        <f ca="1">IF(Save_Sel=CLR_Save, Table7[[#This Row],[Efficiency P1]], Table7[[#This Row],[Efficiency P1 Saved]])</f>
        <v>93.472951931666245</v>
      </c>
      <c r="DA214" s="167"/>
      <c r="DB214" s="161">
        <f ca="1">IF(Save_Sel=CLR_Save,  Table7[[#This Row],[Total Sense Loss P2]], Table7[[#This Row],[Total Sense Loss P2 Saved]])</f>
        <v>0.4798956250000001</v>
      </c>
      <c r="DC214" s="161">
        <f ca="1">IF(Save_Sel=CLR_Save,  Table7[[#This Row],[Total MOSFET Loss P2]], Table7[[#This Row],[Total MOSFET Loss P2 Saved]] )</f>
        <v>1.3167653891278031</v>
      </c>
      <c r="DD214" s="161">
        <f ca="1">IF(Save_Sel=CLR_Save, Table7[[#This Row],[Efficiency P2]], Table7[[#This Row],[Efficiency P2 Saved]])</f>
        <v>95.090642248935708</v>
      </c>
      <c r="DE214" s="167"/>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row>
    <row r="215" spans="1:165" x14ac:dyDescent="0.25">
      <c r="A215" s="34"/>
      <c r="B215" s="51"/>
      <c r="C215" s="51"/>
      <c r="D215" s="34"/>
      <c r="E215" s="69"/>
      <c r="F215" s="69"/>
      <c r="G215" s="51"/>
      <c r="H215" s="31"/>
      <c r="I215" s="31"/>
      <c r="J215" s="31"/>
      <c r="K215" s="31"/>
      <c r="L215" s="31"/>
      <c r="M215" s="31"/>
      <c r="N215" s="31"/>
      <c r="O215" s="31"/>
      <c r="P215" s="31"/>
      <c r="Q215" s="31"/>
      <c r="R215" s="31"/>
      <c r="S215" s="32"/>
      <c r="T215" s="20"/>
      <c r="U215" s="21"/>
      <c r="V215" s="21"/>
      <c r="W215" s="21"/>
      <c r="X215" s="21"/>
      <c r="Y215" s="21"/>
      <c r="Z215" s="21"/>
      <c r="AA215" s="21"/>
      <c r="AB215" s="21"/>
      <c r="AC215" s="21"/>
      <c r="AD215" s="21"/>
      <c r="AE215" s="21"/>
      <c r="AF215" s="154">
        <f t="shared" si="17"/>
        <v>59</v>
      </c>
      <c r="AG215" s="154">
        <f t="shared" si="39"/>
        <v>2.95</v>
      </c>
      <c r="AH215" s="155">
        <f t="shared" si="28"/>
        <v>35.400000000000006</v>
      </c>
      <c r="AI215" s="156">
        <f t="shared" si="29"/>
        <v>0.42857142857142855</v>
      </c>
      <c r="AJ215" s="156">
        <f t="shared" si="30"/>
        <v>5.1625000000000005</v>
      </c>
      <c r="AK215" s="156">
        <f t="shared" si="26"/>
        <v>0.85714285714285721</v>
      </c>
      <c r="AL215" s="156">
        <f t="shared" si="27"/>
        <v>5.1684263310795018</v>
      </c>
      <c r="AM215" s="157"/>
      <c r="AN215" s="156">
        <f>MAX(0,Table7[[#This Row],[I_L]]-0.5*Table7[[#This Row],[I_L pkpk]])</f>
        <v>4.7339285714285717</v>
      </c>
      <c r="AO215" s="156">
        <f>Table7[[#This Row],[I_L]]+0.5*Table7[[#This Row],[I_L pkpk]]</f>
        <v>5.5910714285714294</v>
      </c>
      <c r="AP215" s="156">
        <f ca="1">IF(VACnom&gt;Vbat, (VGS_S-(TI_MOSFET_S_VTH_H_BU+Table7[[#This Row],[I_L]]/TI_MOSFET_S_gFS_H_BU))/3.4, (VGS_S-(TI_MOSFET_S_VTH_L_BO+Table7[[#This Row],[I_L]]/TI_MOSFET_S_gFS_L_BO))/3.4 )</f>
        <v>2.4147907239819002</v>
      </c>
      <c r="AQ215" s="156">
        <f ca="1">IF(VACnom&gt;Vbat, ((TI_MOSFET_S_VTH_H_BU+Table7[[#This Row],[I_L]]/TI_MOSFET_S_gFS_H_BU))/1, ((TI_MOSFET_S_VTH_L_BO+Table7[[#This Row],[I_L]]/TI_MOSFET_S_gFS_L_BO))/1 )</f>
        <v>1.7897115384615385</v>
      </c>
      <c r="AR215" s="156">
        <f ca="1">IF(VACnom&gt;Vbat, (TI_MOSFET_S_QGD_H_BU+TI_MOSFET_S_QGS_H_BU)*10^-9/Table7[[#This Row],[Ion (A)]], (TI_MOSFET_S_QGD_L_BO+TI_MOSFET_S_QGS_L_BO)*10^-9/Table7[[#This Row],[Ion (A)]])/10^-9</f>
        <v>11.926499350018155</v>
      </c>
      <c r="AS215" s="156">
        <f ca="1">IF(VACnom&gt;Vbat, (TI_MOSFET_S_QGD_H_BU+TI_MOSFET_S_QGS_H_BU)*10^-9/Table7[[#This Row],[Ioff (A)]], (TI_MOSFET_S_QGD_L_BO+TI_MOSFET_S_QGS_L_BO)*10^-9/Table7[[#This Row],[Ioff (A)]])/10^-9</f>
        <v>16.09197872454736</v>
      </c>
      <c r="AT215" s="156">
        <f ca="1" xml:space="preserve"> 0.5*VACnom*Table7[[#This Row],[Ivalley (A)]]*Table7[[#This Row],[ton (ns)]]*10^-9*Fsw*10^3+0.5*VACnom*Table7[[#This Row],[Ipeak (A)]]*Table7[[#This Row],[toff (ns)]]*10^-9*Fsw*10^3/10^-3</f>
        <v>324.10030201929447</v>
      </c>
      <c r="AU215" s="156">
        <f t="shared" ca="1" si="31"/>
        <v>262.8</v>
      </c>
      <c r="AV215" s="156">
        <f t="shared" ca="1" si="32"/>
        <v>648</v>
      </c>
      <c r="AW215" s="156">
        <f t="shared" ca="1" si="33"/>
        <v>554.4</v>
      </c>
      <c r="AX215" s="156">
        <f ca="1">IF(VACnom&gt;Vbat, TI_MOSFET_S_VSD_L_BU*Table7[[#This Row],[Ivalley (A)]]*Fsw*10^3*40*10^-9+TI_MOSFET_S_VSD_L_BU*Table7[[#This Row],[Ipeak (A)]]*Fsw*10^3*30*10^-9, TI_MOSFET_S_VSD_H_BO*Table7[[#This Row],[Ivalley (A)]]*Fsw*10^3*40*10^-9+TI_MOSFET_S_VSD_H_BO*Table7[[#This Row],[Ipeak (A)]]*Fsw*10^3*30*10^-9)/10^-3</f>
        <v>154.26257142857145</v>
      </c>
      <c r="AY215" s="156">
        <f t="shared" ca="1" si="34"/>
        <v>648</v>
      </c>
      <c r="AZ215" s="156">
        <f ca="1">IF(VACnom&lt;Vbat, Table7[[#This Row],[Duty Cycle]]*Table7[[#This Row],[I_L RMS]]^2*TI_MOSFET_S_RDSON_H_BU*10^-3, (1-Table7[[#This Row],[Duty Cycle]])*Table7[[#This Row],[I_L RMS]]^2*TI_MOSFET_S_RDSON_H_BO*10^-3)/10^-3</f>
        <v>32.055156887755096</v>
      </c>
      <c r="BA215" s="156">
        <f ca="1">IF(VACnom&gt;Vbat, Table7[[#This Row],[PIV (mW)]]+Table7[[#This Row],[Pqoss (mW)]]+Table7[[#This Row],[Pgate_top (mW)]], Table7[[#This Row],[PRR (mW)]]+Table7[[#This Row],[Pdead (mW)]]+Table7[[#This Row],[Pgate_top (mW)]])</f>
        <v>1356.6625714285715</v>
      </c>
      <c r="BB215" s="156">
        <f ca="1">Table7[[#This Row],[Pcon_top (mW)]]+Table7[[#This Row],[Psw_top (mW)]]</f>
        <v>1388.7177283163267</v>
      </c>
      <c r="BC215" s="156">
        <f ca="1">IF(VACnom&gt;Vbat, (1-Table7[[#This Row],[Duty Cycle]])*Table7[[#This Row],[I_L RMS]]^2*TI_MOSFET_S_RDSON_L_BU*10^-3, Table7[[#This Row],[Duty Cycle]]*Table7[[#This Row],[I_L RMS]]^2*TI_MOSFET_S_RDSON_L_BO*10^-3)/10^-3</f>
        <v>32.055156887755096</v>
      </c>
      <c r="BD215" s="156">
        <f ca="1">IF(VACnom&gt;Vbat, Table7[[#This Row],[PRR (mW)]]+Table7[[#This Row],[Pdead (mW)]]+Table7[[#This Row],[Pgate_bottom (mW)]], Table7[[#This Row],[PIV (mW)]]+Table7[[#This Row],[Pqoss (mW)]]+Table7[[#This Row],[Pgate_bottom (mW)]])</f>
        <v>1234.9003020192945</v>
      </c>
      <c r="BE215" s="158">
        <f ca="1">Table7[[#This Row],[Pcon_bottom (mW)]]+Table7[[#This Row],[Psw_bottom (mW)]]</f>
        <v>1266.9554589070497</v>
      </c>
      <c r="BF215" s="164">
        <f ca="1">Table7[[#This Row],[Pbottom (mW)]]+Table7[[#This Row],[Ptop (mW)]]</f>
        <v>2655.6731872233763</v>
      </c>
      <c r="BG215" s="153"/>
      <c r="BH215" s="156">
        <f>MAX(0,Table7[[#This Row],[I_L]]-0.5*Table7[[#This Row],[I_L pkpk]])</f>
        <v>4.7339285714285717</v>
      </c>
      <c r="BI215" s="156">
        <f>Table7[[#This Row],[I_L]]+0.5*Table7[[#This Row],[I_L pkpk]]</f>
        <v>5.5910714285714294</v>
      </c>
      <c r="BJ215" s="156">
        <f>IF(VACnom&gt;Vbat, (VGS_S-(C_MOSFET_S_VTH_H_BU+Table7[[#This Row],[I_L]]/C_MOSFET_S_gFS_H_BU))/3.4, (VGS_S-(C_MOSFET_S_VTH_L_BO+Table7[[#This Row],[I_L]]/C_MOSFET_S_gFS_L_BO))/3.4 )</f>
        <v>2.3428186274509804</v>
      </c>
      <c r="BK215" s="156">
        <f>IF(VACnom&gt;Vbat, ((C_MOSFET_S_VTH_H_BU+Table7[[#This Row],[I_L]]/C_MOSFET_S_gFS_H_BU))/1, ((C_MOSFET_S_VTH_L_BO+Table7[[#This Row],[I_L]]/C_MOSFET_S_gFS_L_BO))/1 )</f>
        <v>2.0344166666666665</v>
      </c>
      <c r="BL215" s="156">
        <f>IF(VACnom&gt;Vbat, (C_MOSFET_S_QGD_H_BU+C_MOSFET_S_QGS_H_BU)*10^-9/Table7[[#This Row],[Ion (A) C]], (C_MOSFET_S_QGD_L_BO+C_MOSFET_S_QGS_L_BO)*10^-9/Table7[[#This Row],[Ion (A) C]])/10^-9</f>
        <v>2.7744358542479626</v>
      </c>
      <c r="BM215" s="156">
        <f>IF(VACnom&gt;Vbat, (C_MOSFET_S_QGD_H_BU+C_MOSFET_S_QGS_H_BU)*10^-9/Table7[[#This Row],[Ioff (A) C]], (C_MOSFET_S_QGD_L_BO+C_MOSFET_S_QGS_L_BO)*10^-9/Table7[[#This Row],[Ioff (A) C]])/10^-9</f>
        <v>3.1950190472289357</v>
      </c>
      <c r="BN215" s="156">
        <f xml:space="preserve"> 0.5*VACnom*Table7[[#This Row],[Ivalley (A) C]]*Table7[[#This Row],[ton (ns) C]]*10^-9*Fsw*10^3+0.5*VACnom*Table7[[#This Row],[Ipeak (A) C]]*Table7[[#This Row],[toff (ns) C]]*10^-9*Fsw*10^3/10^-3</f>
        <v>64.356169283507626</v>
      </c>
      <c r="BO215" s="156">
        <f t="shared" si="35"/>
        <v>129.6</v>
      </c>
      <c r="BP215" s="156">
        <f t="shared" ca="1" si="36"/>
        <v>291.59999999999997</v>
      </c>
      <c r="BQ215" s="156">
        <f t="shared" si="37"/>
        <v>237.6</v>
      </c>
      <c r="BR215" s="156">
        <f>IF(VACnom&gt;Vbat, C_MOSFET_S_VSD_L_BU*Table7[[#This Row],[Ivalley (A) C]]*Fsw*10^3*40*10^-9+C_MOSFET_S_VSD_L_BU*Table7[[#This Row],[Ipeak (A) C]]*Fsw*10^3*30*10^-9, C_MOSFET_S_VSD_H_BO*Table7[[#This Row],[Ivalley (A) C]]*Fsw*10^3*40*10^-9+C_MOSFET_S_VSD_H_BO*Table7[[#This Row],[Ipeak (A) C]]*Fsw*10^3*30*10^-9)/10^-3</f>
        <v>171.40285714285713</v>
      </c>
      <c r="BS215" s="156">
        <f t="shared" ca="1" si="38"/>
        <v>291.59999999999997</v>
      </c>
      <c r="BT215" s="156">
        <f>IF(VACnom&lt;Vbat, Table7[[#This Row],[Duty Cycle]]*Table7[[#This Row],[I_L RMS]]^2*C_MOSFET_S_RDSON_H_BU*10^-3, (1-Table7[[#This Row],[Duty Cycle]])*Table7[[#This Row],[I_L RMS]]^2*C_MOSFET_S_RDSON_H_BO*10^-3)/10^-3</f>
        <v>65.255140807215739</v>
      </c>
      <c r="BU215" s="156">
        <f ca="1">IF(VACnom&gt;Vbat, Table7[[#This Row],[PIV (mW) C]]+Table7[[#This Row],[PQoss (mW) C]]+Table7[[#This Row],[Pgate_top (mW) C]], Table7[[#This Row],[PRR (mW) C]]+Table7[[#This Row],[Pdead (mW) C]]+Table7[[#This Row],[Pgate_top (mW) C]])</f>
        <v>700.60285714285715</v>
      </c>
      <c r="BV215" s="156">
        <f ca="1">Table7[[#This Row],[Pcon_top (mW) C]]+Table7[[#This Row],[Psw_top (mW) C]]</f>
        <v>765.8579979500729</v>
      </c>
      <c r="BW215" s="156">
        <f ca="1">IF(VACnom&gt;Vbat, (1-Table7[[#This Row],[Duty Cycle]])*Table7[[#This Row],[I_L RMS]]^2*C_MOSFET_S_RDSON_L_BU*10^-3, Table7[[#This Row],[Duty Cycle]]*Table7[[#This Row],[I_L RMS]]^2*C_MOSFET_S_RDSON_L_BO*10^-3)/10^-3</f>
        <v>40.641359625546642</v>
      </c>
      <c r="BX215" s="156">
        <f ca="1">IF(VACnom&gt;Vbat, Table7[[#This Row],[PRR (mW) C]]+Table7[[#This Row],[Pdead (mW) C]]+Table7[[#This Row],[Pgate_bottom (mW) C]], Table7[[#This Row],[PIV (mW) C]]+Table7[[#This Row],[PQoss (mW) C]]+Table7[[#This Row],[Pgate_bottom (mW) C]])</f>
        <v>485.55616928350759</v>
      </c>
      <c r="BY215" s="156">
        <f ca="1">Table7[[#This Row],[Pcon_bottom (mW) C]]+Table7[[#This Row],[Psw_bottom (mV) C]]</f>
        <v>526.1975289090542</v>
      </c>
      <c r="BZ215" s="156">
        <f ca="1">Table7[[#This Row],[Pbottom (mW) C]]+Table7[[#This Row],[Ptop (mW) C]]</f>
        <v>1292.055526859127</v>
      </c>
      <c r="CA215" s="159"/>
      <c r="CB215" s="160">
        <f>(RAC_SNS*10^-3*(Table7[[#This Row],[IOUT (A)]]*Vbat/VACnom)^2/10^-3)</f>
        <v>133.25703125000001</v>
      </c>
      <c r="CC215" s="160">
        <f>(RBAT_SNS*10^-3*Table7[[#This Row],[IOUT (A)]]^2)/10^-3</f>
        <v>43.512500000000003</v>
      </c>
      <c r="CD215" s="160">
        <f>IF(VACnom&gt;Vbat,(L_DRC*10^-3*(Table7[[#This Row],[IOUT (A)]])^2/10^-3),(L_DRC*10^-3*(Table7[[#This Row],[IOUT (A)]]*Vbat/VACnom)^2/10^-3))</f>
        <v>319.81687500000004</v>
      </c>
      <c r="CE215" s="166"/>
      <c r="CF215" s="156">
        <f>(Table7[[#This Row],[R_AC (mW)]]+Table7[[#This Row],[R_SR (mW)]]+Table7[[#This Row],[Inductor Loss (mW)]])/10^3</f>
        <v>0.49658640625000006</v>
      </c>
      <c r="CG215" s="156">
        <f ca="1">Table7[[#This Row],[Total TI (mW)]]/10^3</f>
        <v>2.6556731872233765</v>
      </c>
      <c r="CH215" s="156">
        <f ca="1">Table7[[#This Row],[Total Sense Loss]]+Table7[[#This Row],[Total MOSFET Loss]]</f>
        <v>3.1522595934733766</v>
      </c>
      <c r="CI215" s="161">
        <f ca="1">IF(Table7[[#This Row],[POUT (W)]]=0,0,(Table7[[#This Row],[POUT (W)]])/(Table7[[#This Row],[POUT (W)]]+Table7[[#This Row],[Total Power Loss (W)]]))*100</f>
        <v>91.823411580246187</v>
      </c>
      <c r="CJ215" s="167"/>
      <c r="CK215" s="156">
        <f>(Table7[[#This Row],[R_AC (mW)]]+Table7[[#This Row],[R_SR (mW)]]+Table7[[#This Row],[Inductor Loss (mW)]])/10^3</f>
        <v>0.49658640625000006</v>
      </c>
      <c r="CL215" s="156">
        <f ca="1">Table7[[#This Row],[Total (mW) C]]/10^3</f>
        <v>1.2920555268591269</v>
      </c>
      <c r="CM215" s="156">
        <f ca="1">Table7[[#This Row],[Total Sense Loss C]]+Table7[[#This Row],[Total MOSFET Loss C]]</f>
        <v>1.788641933109127</v>
      </c>
      <c r="CN215" s="161">
        <f ca="1">IF(Table7[[#This Row],[POUT (W)]]=0,0,(Table7[[#This Row],[POUT (W)]])/(Table7[[#This Row],[POUT (W)]]+Table7[[#This Row],[Total Power Loss (W) C]]))*100</f>
        <v>95.190354258361083</v>
      </c>
      <c r="CO215" s="167"/>
      <c r="CP215" s="161">
        <f>IF(MOSFET_S=Custom_MOSFET,Table7[[#This Row],[Total Sense Loss C]],Table7[[#This Row],[Total Sense Loss]])</f>
        <v>0.49658640625000006</v>
      </c>
      <c r="CQ215" s="161">
        <f ca="1">IF(MOSFET_S=Custom_MOSFET,Table7[[#This Row],[Total MOSFET Loss C]],Table7[[#This Row],[Total MOSFET Loss]])</f>
        <v>2.6556731872233765</v>
      </c>
      <c r="CR215" s="161">
        <f ca="1">IF(MOSFET_S=Custom_MOSFET,Table7[[#This Row],[Efficiency C]],Table7[[#This Row],[Efficiency]])</f>
        <v>91.823411580246187</v>
      </c>
      <c r="CS215" s="167"/>
      <c r="CT215" s="161">
        <f>IF(MOSFET_S=Compare_MOSFET, Table7[[#This Row],[Total Sense Loss C]], -100)</f>
        <v>-100</v>
      </c>
      <c r="CU215" s="161">
        <f>IF(MOSFET_S=Compare_MOSFET, Table7[[#This Row],[Total MOSFET Loss C]], -100)</f>
        <v>-100</v>
      </c>
      <c r="CV215" s="161">
        <f>IF(MOSFET_S=Compare_MOSFET, Table7[[#This Row],[Efficiency C]], -100)</f>
        <v>-100</v>
      </c>
      <c r="CW215" s="167"/>
      <c r="CX215" s="161">
        <f ca="1">IF(Save_Sel=CLR_Save,  Table7[[#This Row],[Total Sense Loss P1]], Table7[[#This Row],[Total Sense Loss P1 Saved]])</f>
        <v>0.49658640625000006</v>
      </c>
      <c r="CY215" s="161">
        <f ca="1">IF(Save_Sel=CLR_Save,  Table7[[#This Row],[Total MOSFET Loss P1]], Table7[[#This Row],[Total MOSFET Loss P1 Saved]] )</f>
        <v>1.9604580550981692</v>
      </c>
      <c r="CZ215" s="161">
        <f ca="1">IF(Save_Sel=CLR_Save, Table7[[#This Row],[Efficiency P1]], Table7[[#This Row],[Efficiency P1 Saved]])</f>
        <v>93.509677006463633</v>
      </c>
      <c r="DA215" s="167"/>
      <c r="DB215" s="161">
        <f ca="1">IF(Save_Sel=CLR_Save,  Table7[[#This Row],[Total Sense Loss P2]], Table7[[#This Row],[Total Sense Loss P2 Saved]])</f>
        <v>0.49658640625000006</v>
      </c>
      <c r="DC215" s="161">
        <f ca="1">IF(Save_Sel=CLR_Save,  Table7[[#This Row],[Total MOSFET Loss P2]], Table7[[#This Row],[Total MOSFET Loss P2 Saved]] )</f>
        <v>1.3253609839229965</v>
      </c>
      <c r="DD215" s="161">
        <f ca="1">IF(Save_Sel=CLR_Save, Table7[[#This Row],[Efficiency P2]], Table7[[#This Row],[Efficiency P2 Saved]])</f>
        <v>95.10517982556172</v>
      </c>
      <c r="DE215" s="167"/>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row>
    <row r="216" spans="1:165" x14ac:dyDescent="0.25">
      <c r="A216" s="34"/>
      <c r="B216" s="51"/>
      <c r="C216" s="51"/>
      <c r="D216" s="34"/>
      <c r="E216" s="69"/>
      <c r="F216" s="69"/>
      <c r="G216" s="51"/>
      <c r="H216" s="31"/>
      <c r="I216" s="31"/>
      <c r="J216" s="31"/>
      <c r="K216" s="31"/>
      <c r="L216" s="31"/>
      <c r="M216" s="31"/>
      <c r="N216" s="31"/>
      <c r="O216" s="31"/>
      <c r="P216" s="31"/>
      <c r="Q216" s="31"/>
      <c r="R216" s="31"/>
      <c r="S216" s="32"/>
      <c r="T216" s="20"/>
      <c r="U216" s="21"/>
      <c r="V216" s="21"/>
      <c r="W216" s="21"/>
      <c r="X216" s="21"/>
      <c r="Y216" s="21"/>
      <c r="Z216" s="21"/>
      <c r="AA216" s="21"/>
      <c r="AB216" s="21"/>
      <c r="AC216" s="21"/>
      <c r="AD216" s="21"/>
      <c r="AE216" s="21"/>
      <c r="AF216" s="154">
        <f t="shared" si="17"/>
        <v>60</v>
      </c>
      <c r="AG216" s="154">
        <f t="shared" si="39"/>
        <v>3</v>
      </c>
      <c r="AH216" s="155">
        <f t="shared" si="28"/>
        <v>36</v>
      </c>
      <c r="AI216" s="156">
        <f t="shared" si="29"/>
        <v>0.42857142857142855</v>
      </c>
      <c r="AJ216" s="156">
        <f t="shared" si="30"/>
        <v>5.25</v>
      </c>
      <c r="AK216" s="156">
        <f t="shared" si="26"/>
        <v>0.85714285714285721</v>
      </c>
      <c r="AL216" s="156">
        <f t="shared" si="27"/>
        <v>5.2558276693396175</v>
      </c>
      <c r="AM216" s="157"/>
      <c r="AN216" s="156">
        <f>MAX(0,Table7[[#This Row],[I_L]]-0.5*Table7[[#This Row],[I_L pkpk]])</f>
        <v>4.8214285714285712</v>
      </c>
      <c r="AO216" s="156">
        <f>Table7[[#This Row],[I_L]]+0.5*Table7[[#This Row],[I_L pkpk]]</f>
        <v>5.6785714285714288</v>
      </c>
      <c r="AP216" s="156">
        <f ca="1">IF(VACnom&gt;Vbat, (VGS_S-(TI_MOSFET_S_VTH_H_BU+Table7[[#This Row],[I_L]]/TI_MOSFET_S_gFS_H_BU))/3.4, (VGS_S-(TI_MOSFET_S_VTH_L_BO+Table7[[#This Row],[I_L]]/TI_MOSFET_S_gFS_L_BO))/3.4 )</f>
        <v>2.4145927601809953</v>
      </c>
      <c r="AQ216" s="156">
        <f ca="1">IF(VACnom&gt;Vbat, ((TI_MOSFET_S_VTH_H_BU+Table7[[#This Row],[I_L]]/TI_MOSFET_S_gFS_H_BU))/1, ((TI_MOSFET_S_VTH_L_BO+Table7[[#This Row],[I_L]]/TI_MOSFET_S_gFS_L_BO))/1 )</f>
        <v>1.7903846153846155</v>
      </c>
      <c r="AR216" s="156">
        <f ca="1">IF(VACnom&gt;Vbat, (TI_MOSFET_S_QGD_H_BU+TI_MOSFET_S_QGS_H_BU)*10^-9/Table7[[#This Row],[Ion (A)]], (TI_MOSFET_S_QGD_L_BO+TI_MOSFET_S_QGS_L_BO)*10^-9/Table7[[#This Row],[Ion (A)]])/10^-9</f>
        <v>11.927477160927618</v>
      </c>
      <c r="AS216" s="156">
        <f ca="1">IF(VACnom&gt;Vbat, (TI_MOSFET_S_QGD_H_BU+TI_MOSFET_S_QGS_H_BU)*10^-9/Table7[[#This Row],[Ioff (A)]], (TI_MOSFET_S_QGD_L_BO+TI_MOSFET_S_QGS_L_BO)*10^-9/Table7[[#This Row],[Ioff (A)]])/10^-9</f>
        <v>16.085929108485502</v>
      </c>
      <c r="AT216" s="156">
        <f ca="1" xml:space="preserve"> 0.5*VACnom*Table7[[#This Row],[Ivalley (A)]]*Table7[[#This Row],[ton (ns)]]*10^-9*Fsw*10^3+0.5*VACnom*Table7[[#This Row],[Ipeak (A)]]*Table7[[#This Row],[toff (ns)]]*10^-9*Fsw*10^3/10^-3</f>
        <v>329.04937769990408</v>
      </c>
      <c r="AU216" s="156">
        <f t="shared" ca="1" si="31"/>
        <v>262.8</v>
      </c>
      <c r="AV216" s="156">
        <f t="shared" ca="1" si="32"/>
        <v>648</v>
      </c>
      <c r="AW216" s="156">
        <f t="shared" ca="1" si="33"/>
        <v>554.4</v>
      </c>
      <c r="AX216" s="156">
        <f ca="1">IF(VACnom&gt;Vbat, TI_MOSFET_S_VSD_L_BU*Table7[[#This Row],[Ivalley (A)]]*Fsw*10^3*40*10^-9+TI_MOSFET_S_VSD_L_BU*Table7[[#This Row],[Ipeak (A)]]*Fsw*10^3*30*10^-9, TI_MOSFET_S_VSD_H_BO*Table7[[#This Row],[Ivalley (A)]]*Fsw*10^3*40*10^-9+TI_MOSFET_S_VSD_H_BO*Table7[[#This Row],[Ipeak (A)]]*Fsw*10^3*30*10^-9)/10^-3</f>
        <v>156.90857142857143</v>
      </c>
      <c r="AY216" s="156">
        <f t="shared" ca="1" si="34"/>
        <v>648</v>
      </c>
      <c r="AZ216" s="156">
        <f ca="1">IF(VACnom&lt;Vbat, Table7[[#This Row],[Duty Cycle]]*Table7[[#This Row],[I_L RMS]]^2*TI_MOSFET_S_RDSON_H_BU*10^-3, (1-Table7[[#This Row],[Duty Cycle]])*Table7[[#This Row],[I_L RMS]]^2*TI_MOSFET_S_RDSON_H_BO*10^-3)/10^-3</f>
        <v>33.148469387755092</v>
      </c>
      <c r="BA216" s="156">
        <f ca="1">IF(VACnom&gt;Vbat, Table7[[#This Row],[PIV (mW)]]+Table7[[#This Row],[Pqoss (mW)]]+Table7[[#This Row],[Pgate_top (mW)]], Table7[[#This Row],[PRR (mW)]]+Table7[[#This Row],[Pdead (mW)]]+Table7[[#This Row],[Pgate_top (mW)]])</f>
        <v>1359.3085714285714</v>
      </c>
      <c r="BB216" s="156">
        <f ca="1">Table7[[#This Row],[Pcon_top (mW)]]+Table7[[#This Row],[Psw_top (mW)]]</f>
        <v>1392.4570408163265</v>
      </c>
      <c r="BC216" s="156">
        <f ca="1">IF(VACnom&gt;Vbat, (1-Table7[[#This Row],[Duty Cycle]])*Table7[[#This Row],[I_L RMS]]^2*TI_MOSFET_S_RDSON_L_BU*10^-3, Table7[[#This Row],[Duty Cycle]]*Table7[[#This Row],[I_L RMS]]^2*TI_MOSFET_S_RDSON_L_BO*10^-3)/10^-3</f>
        <v>33.148469387755092</v>
      </c>
      <c r="BD216" s="156">
        <f ca="1">IF(VACnom&gt;Vbat, Table7[[#This Row],[PRR (mW)]]+Table7[[#This Row],[Pdead (mW)]]+Table7[[#This Row],[Pgate_bottom (mW)]], Table7[[#This Row],[PIV (mW)]]+Table7[[#This Row],[Pqoss (mW)]]+Table7[[#This Row],[Pgate_bottom (mW)]])</f>
        <v>1239.8493776999042</v>
      </c>
      <c r="BE216" s="158">
        <f ca="1">Table7[[#This Row],[Pcon_bottom (mW)]]+Table7[[#This Row],[Psw_bottom (mW)]]</f>
        <v>1272.9978470876592</v>
      </c>
      <c r="BF216" s="164">
        <f ca="1">Table7[[#This Row],[Pbottom (mW)]]+Table7[[#This Row],[Ptop (mW)]]</f>
        <v>2665.4548879039858</v>
      </c>
      <c r="BG216" s="153"/>
      <c r="BH216" s="156">
        <f>MAX(0,Table7[[#This Row],[I_L]]-0.5*Table7[[#This Row],[I_L pkpk]])</f>
        <v>4.8214285714285712</v>
      </c>
      <c r="BI216" s="156">
        <f>Table7[[#This Row],[I_L]]+0.5*Table7[[#This Row],[I_L pkpk]]</f>
        <v>5.6785714285714288</v>
      </c>
      <c r="BJ216" s="156">
        <f>IF(VACnom&gt;Vbat, (VGS_S-(C_MOSFET_S_VTH_H_BU+Table7[[#This Row],[I_L]]/C_MOSFET_S_gFS_H_BU))/3.4, (VGS_S-(C_MOSFET_S_VTH_L_BO+Table7[[#This Row],[I_L]]/C_MOSFET_S_gFS_L_BO))/3.4 )</f>
        <v>2.3426470588235295</v>
      </c>
      <c r="BK216" s="156">
        <f>IF(VACnom&gt;Vbat, ((C_MOSFET_S_VTH_H_BU+Table7[[#This Row],[I_L]]/C_MOSFET_S_gFS_H_BU))/1, ((C_MOSFET_S_VTH_L_BO+Table7[[#This Row],[I_L]]/C_MOSFET_S_gFS_L_BO))/1 )</f>
        <v>2.0350000000000001</v>
      </c>
      <c r="BL216" s="156">
        <f>IF(VACnom&gt;Vbat, (C_MOSFET_S_QGD_H_BU+C_MOSFET_S_QGS_H_BU)*10^-9/Table7[[#This Row],[Ion (A) C]], (C_MOSFET_S_QGD_L_BO+C_MOSFET_S_QGS_L_BO)*10^-9/Table7[[#This Row],[Ion (A) C]])/10^-9</f>
        <v>2.7746390458254866</v>
      </c>
      <c r="BM216" s="156">
        <f>IF(VACnom&gt;Vbat, (C_MOSFET_S_QGD_H_BU+C_MOSFET_S_QGS_H_BU)*10^-9/Table7[[#This Row],[Ioff (A) C]], (C_MOSFET_S_QGD_L_BO+C_MOSFET_S_QGS_L_BO)*10^-9/Table7[[#This Row],[Ioff (A) C]])/10^-9</f>
        <v>3.1941031941031941</v>
      </c>
      <c r="BN216" s="156">
        <f xml:space="preserve"> 0.5*VACnom*Table7[[#This Row],[Ivalley (A) C]]*Table7[[#This Row],[ton (ns) C]]*10^-9*Fsw*10^3+0.5*VACnom*Table7[[#This Row],[Ipeak (A) C]]*Table7[[#This Row],[toff (ns) C]]*10^-9*Fsw*10^3/10^-3</f>
        <v>65.344755102890687</v>
      </c>
      <c r="BO216" s="156">
        <f t="shared" si="35"/>
        <v>129.6</v>
      </c>
      <c r="BP216" s="156">
        <f t="shared" ca="1" si="36"/>
        <v>291.59999999999997</v>
      </c>
      <c r="BQ216" s="156">
        <f t="shared" si="37"/>
        <v>237.6</v>
      </c>
      <c r="BR216" s="156">
        <f>IF(VACnom&gt;Vbat, C_MOSFET_S_VSD_L_BU*Table7[[#This Row],[Ivalley (A) C]]*Fsw*10^3*40*10^-9+C_MOSFET_S_VSD_L_BU*Table7[[#This Row],[Ipeak (A) C]]*Fsw*10^3*30*10^-9, C_MOSFET_S_VSD_H_BO*Table7[[#This Row],[Ivalley (A) C]]*Fsw*10^3*40*10^-9+C_MOSFET_S_VSD_H_BO*Table7[[#This Row],[Ipeak (A) C]]*Fsw*10^3*30*10^-9)/10^-3</f>
        <v>174.34285714285718</v>
      </c>
      <c r="BS216" s="156">
        <f t="shared" ca="1" si="38"/>
        <v>291.59999999999997</v>
      </c>
      <c r="BT216" s="156">
        <f>IF(VACnom&lt;Vbat, Table7[[#This Row],[Duty Cycle]]*Table7[[#This Row],[I_L RMS]]^2*C_MOSFET_S_RDSON_H_BU*10^-3, (1-Table7[[#This Row],[Duty Cycle]])*Table7[[#This Row],[I_L RMS]]^2*C_MOSFET_S_RDSON_H_BO*10^-3)/10^-3</f>
        <v>67.480812682215728</v>
      </c>
      <c r="BU216" s="156">
        <f ca="1">IF(VACnom&gt;Vbat, Table7[[#This Row],[PIV (mW) C]]+Table7[[#This Row],[PQoss (mW) C]]+Table7[[#This Row],[Pgate_top (mW) C]], Table7[[#This Row],[PRR (mW) C]]+Table7[[#This Row],[Pdead (mW) C]]+Table7[[#This Row],[Pgate_top (mW) C]])</f>
        <v>703.5428571428572</v>
      </c>
      <c r="BV216" s="156">
        <f ca="1">Table7[[#This Row],[Pcon_top (mW) C]]+Table7[[#This Row],[Psw_top (mW) C]]</f>
        <v>771.02366982507294</v>
      </c>
      <c r="BW216" s="156">
        <f ca="1">IF(VACnom&gt;Vbat, (1-Table7[[#This Row],[Duty Cycle]])*Table7[[#This Row],[I_L RMS]]^2*C_MOSFET_S_RDSON_L_BU*10^-3, Table7[[#This Row],[Duty Cycle]]*Table7[[#This Row],[I_L RMS]]^2*C_MOSFET_S_RDSON_L_BO*10^-3)/10^-3</f>
        <v>42.027523688046635</v>
      </c>
      <c r="BX216" s="156">
        <f ca="1">IF(VACnom&gt;Vbat, Table7[[#This Row],[PRR (mW) C]]+Table7[[#This Row],[Pdead (mW) C]]+Table7[[#This Row],[Pgate_bottom (mW) C]], Table7[[#This Row],[PIV (mW) C]]+Table7[[#This Row],[PQoss (mW) C]]+Table7[[#This Row],[Pgate_bottom (mW) C]])</f>
        <v>486.54475510289063</v>
      </c>
      <c r="BY216" s="156">
        <f ca="1">Table7[[#This Row],[Pcon_bottom (mW) C]]+Table7[[#This Row],[Psw_bottom (mV) C]]</f>
        <v>528.57227879093728</v>
      </c>
      <c r="BZ216" s="156">
        <f ca="1">Table7[[#This Row],[Pbottom (mW) C]]+Table7[[#This Row],[Ptop (mW) C]]</f>
        <v>1299.5959486160102</v>
      </c>
      <c r="CA216" s="159"/>
      <c r="CB216" s="160">
        <f>(RAC_SNS*10^-3*(Table7[[#This Row],[IOUT (A)]]*Vbat/VACnom)^2/10^-3)</f>
        <v>137.8125</v>
      </c>
      <c r="CC216" s="160">
        <f>(RBAT_SNS*10^-3*Table7[[#This Row],[IOUT (A)]]^2)/10^-3</f>
        <v>45</v>
      </c>
      <c r="CD216" s="160">
        <f>IF(VACnom&gt;Vbat,(L_DRC*10^-3*(Table7[[#This Row],[IOUT (A)]])^2/10^-3),(L_DRC*10^-3*(Table7[[#This Row],[IOUT (A)]]*Vbat/VACnom)^2/10^-3))</f>
        <v>330.75</v>
      </c>
      <c r="CE216" s="166"/>
      <c r="CF216" s="156">
        <f>(Table7[[#This Row],[R_AC (mW)]]+Table7[[#This Row],[R_SR (mW)]]+Table7[[#This Row],[Inductor Loss (mW)]])/10^3</f>
        <v>0.51356250000000003</v>
      </c>
      <c r="CG216" s="156">
        <f ca="1">Table7[[#This Row],[Total TI (mW)]]/10^3</f>
        <v>2.6654548879039859</v>
      </c>
      <c r="CH216" s="156">
        <f ca="1">Table7[[#This Row],[Total Sense Loss]]+Table7[[#This Row],[Total MOSFET Loss]]</f>
        <v>3.1790173879039858</v>
      </c>
      <c r="CI216" s="161">
        <f ca="1">IF(Table7[[#This Row],[POUT (W)]]=0,0,(Table7[[#This Row],[POUT (W)]])/(Table7[[#This Row],[POUT (W)]]+Table7[[#This Row],[Total Power Loss (W)]]))*100</f>
        <v>91.88591853534983</v>
      </c>
      <c r="CJ216" s="167"/>
      <c r="CK216" s="156">
        <f>(Table7[[#This Row],[R_AC (mW)]]+Table7[[#This Row],[R_SR (mW)]]+Table7[[#This Row],[Inductor Loss (mW)]])/10^3</f>
        <v>0.51356250000000003</v>
      </c>
      <c r="CL216" s="156">
        <f ca="1">Table7[[#This Row],[Total (mW) C]]/10^3</f>
        <v>1.2995959486160102</v>
      </c>
      <c r="CM216" s="156">
        <f ca="1">Table7[[#This Row],[Total Sense Loss C]]+Table7[[#This Row],[Total MOSFET Loss C]]</f>
        <v>1.8131584486160102</v>
      </c>
      <c r="CN216" s="161">
        <f ca="1">IF(Table7[[#This Row],[POUT (W)]]=0,0,(Table7[[#This Row],[POUT (W)]])/(Table7[[#This Row],[POUT (W)]]+Table7[[#This Row],[Total Power Loss (W) C]]))*100</f>
        <v>95.204953717156698</v>
      </c>
      <c r="CO216" s="167"/>
      <c r="CP216" s="161">
        <f>IF(MOSFET_S=Custom_MOSFET,Table7[[#This Row],[Total Sense Loss C]],Table7[[#This Row],[Total Sense Loss]])</f>
        <v>0.51356250000000003</v>
      </c>
      <c r="CQ216" s="161">
        <f ca="1">IF(MOSFET_S=Custom_MOSFET,Table7[[#This Row],[Total MOSFET Loss C]],Table7[[#This Row],[Total MOSFET Loss]])</f>
        <v>2.6654548879039859</v>
      </c>
      <c r="CR216" s="161">
        <f ca="1">IF(MOSFET_S=Custom_MOSFET,Table7[[#This Row],[Efficiency C]],Table7[[#This Row],[Efficiency]])</f>
        <v>91.88591853534983</v>
      </c>
      <c r="CS216" s="167"/>
      <c r="CT216" s="161">
        <f>IF(MOSFET_S=Compare_MOSFET, Table7[[#This Row],[Total Sense Loss C]], -100)</f>
        <v>-100</v>
      </c>
      <c r="CU216" s="161">
        <f>IF(MOSFET_S=Compare_MOSFET, Table7[[#This Row],[Total MOSFET Loss C]], -100)</f>
        <v>-100</v>
      </c>
      <c r="CV216" s="161">
        <f>IF(MOSFET_S=Compare_MOSFET, Table7[[#This Row],[Efficiency C]], -100)</f>
        <v>-100</v>
      </c>
      <c r="CW216" s="167"/>
      <c r="CX216" s="161">
        <f ca="1">IF(Save_Sel=CLR_Save,  Table7[[#This Row],[Total Sense Loss P1]], Table7[[#This Row],[Total Sense Loss P1 Saved]])</f>
        <v>0.51356250000000003</v>
      </c>
      <c r="CY216" s="161">
        <f ca="1">IF(Save_Sel=CLR_Save,  Table7[[#This Row],[Total MOSFET Loss P1]], Table7[[#This Row],[Total MOSFET Loss P1 Saved]] )</f>
        <v>1.9708332214907442</v>
      </c>
      <c r="CZ216" s="161">
        <f ca="1">IF(Save_Sel=CLR_Save, Table7[[#This Row],[Efficiency P1]], Table7[[#This Row],[Efficiency P1 Saved]])</f>
        <v>93.544407610112515</v>
      </c>
      <c r="DA216" s="167"/>
      <c r="DB216" s="161">
        <f ca="1">IF(Save_Sel=CLR_Save,  Table7[[#This Row],[Total Sense Loss P2]], Table7[[#This Row],[Total Sense Loss P2 Saved]])</f>
        <v>0.51356250000000003</v>
      </c>
      <c r="DC216" s="161">
        <f ca="1">IF(Save_Sel=CLR_Save,  Table7[[#This Row],[Total MOSFET Loss P2]], Table7[[#This Row],[Total MOSFET Loss P2 Saved]] )</f>
        <v>1.3340357478677223</v>
      </c>
      <c r="DD216" s="161">
        <f ca="1">IF(Save_Sel=CLR_Save, Table7[[#This Row],[Efficiency P2]], Table7[[#This Row],[Efficiency P2 Saved]])</f>
        <v>95.118321020616378</v>
      </c>
      <c r="DE216" s="167"/>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c r="FH216" s="21"/>
      <c r="FI216" s="21"/>
    </row>
    <row r="217" spans="1:165" x14ac:dyDescent="0.25">
      <c r="A217" s="34"/>
      <c r="B217" s="51"/>
      <c r="C217" s="51"/>
      <c r="D217" s="34"/>
      <c r="E217" s="69"/>
      <c r="F217" s="69"/>
      <c r="G217" s="51"/>
      <c r="H217" s="31"/>
      <c r="I217" s="31"/>
      <c r="J217" s="31"/>
      <c r="K217" s="31"/>
      <c r="L217" s="31"/>
      <c r="M217" s="31"/>
      <c r="N217" s="31"/>
      <c r="O217" s="31"/>
      <c r="P217" s="31"/>
      <c r="Q217" s="31"/>
      <c r="R217" s="31"/>
      <c r="S217" s="32"/>
      <c r="T217" s="20"/>
      <c r="U217" s="21"/>
      <c r="V217" s="21"/>
      <c r="W217" s="21"/>
      <c r="X217" s="21"/>
      <c r="Y217" s="21"/>
      <c r="Z217" s="21"/>
      <c r="AA217" s="21"/>
      <c r="AB217" s="21"/>
      <c r="AC217" s="21"/>
      <c r="AD217" s="21"/>
      <c r="AE217" s="21"/>
      <c r="AF217" s="154">
        <f t="shared" si="17"/>
        <v>61</v>
      </c>
      <c r="AG217" s="154">
        <f t="shared" si="39"/>
        <v>3.05</v>
      </c>
      <c r="AH217" s="155">
        <f t="shared" si="28"/>
        <v>36.599999999999994</v>
      </c>
      <c r="AI217" s="156">
        <f t="shared" si="29"/>
        <v>0.42857142857142855</v>
      </c>
      <c r="AJ217" s="156">
        <f t="shared" si="30"/>
        <v>5.3375000000000004</v>
      </c>
      <c r="AK217" s="156">
        <f t="shared" ref="AK217:AK248" si="40">Ipkpk_VACnom</f>
        <v>0.85714285714285721</v>
      </c>
      <c r="AL217" s="156">
        <f t="shared" ref="AL217:AL248" si="41">SQRT(AJ217^2+AK217^2/12)</f>
        <v>5.3432322371197678</v>
      </c>
      <c r="AM217" s="157"/>
      <c r="AN217" s="156">
        <f>MAX(0,Table7[[#This Row],[I_L]]-0.5*Table7[[#This Row],[I_L pkpk]])</f>
        <v>4.9089285714285715</v>
      </c>
      <c r="AO217" s="156">
        <f>Table7[[#This Row],[I_L]]+0.5*Table7[[#This Row],[I_L pkpk]]</f>
        <v>5.7660714285714292</v>
      </c>
      <c r="AP217" s="156">
        <f ca="1">IF(VACnom&gt;Vbat, (VGS_S-(TI_MOSFET_S_VTH_H_BU+Table7[[#This Row],[I_L]]/TI_MOSFET_S_gFS_H_BU))/3.4, (VGS_S-(TI_MOSFET_S_VTH_L_BO+Table7[[#This Row],[I_L]]/TI_MOSFET_S_gFS_L_BO))/3.4 )</f>
        <v>2.4143947963800905</v>
      </c>
      <c r="AQ217" s="156">
        <f ca="1">IF(VACnom&gt;Vbat, ((TI_MOSFET_S_VTH_H_BU+Table7[[#This Row],[I_L]]/TI_MOSFET_S_gFS_H_BU))/1, ((TI_MOSFET_S_VTH_L_BO+Table7[[#This Row],[I_L]]/TI_MOSFET_S_gFS_L_BO))/1 )</f>
        <v>1.7910576923076924</v>
      </c>
      <c r="AR217" s="156">
        <f ca="1">IF(VACnom&gt;Vbat, (TI_MOSFET_S_QGD_H_BU+TI_MOSFET_S_QGS_H_BU)*10^-9/Table7[[#This Row],[Ion (A)]], (TI_MOSFET_S_QGD_L_BO+TI_MOSFET_S_QGS_L_BO)*10^-9/Table7[[#This Row],[Ion (A)]])/10^-9</f>
        <v>11.928455132184649</v>
      </c>
      <c r="AS217" s="156">
        <f ca="1">IF(VACnom&gt;Vbat, (TI_MOSFET_S_QGD_H_BU+TI_MOSFET_S_QGS_H_BU)*10^-9/Table7[[#This Row],[Ioff (A)]], (TI_MOSFET_S_QGD_L_BO+TI_MOSFET_S_QGS_L_BO)*10^-9/Table7[[#This Row],[Ioff (A)]])/10^-9</f>
        <v>16.079884039297792</v>
      </c>
      <c r="AT217" s="156">
        <f ca="1" xml:space="preserve"> 0.5*VACnom*Table7[[#This Row],[Ivalley (A)]]*Table7[[#This Row],[ton (ns)]]*10^-9*Fsw*10^3+0.5*VACnom*Table7[[#This Row],[Ipeak (A)]]*Table7[[#This Row],[toff (ns)]]*10^-9*Fsw*10^3/10^-3</f>
        <v>333.99473712461332</v>
      </c>
      <c r="AU217" s="156">
        <f t="shared" ca="1" si="31"/>
        <v>262.8</v>
      </c>
      <c r="AV217" s="156">
        <f t="shared" ca="1" si="32"/>
        <v>648</v>
      </c>
      <c r="AW217" s="156">
        <f t="shared" ca="1" si="33"/>
        <v>554.4</v>
      </c>
      <c r="AX217" s="156">
        <f ca="1">IF(VACnom&gt;Vbat, TI_MOSFET_S_VSD_L_BU*Table7[[#This Row],[Ivalley (A)]]*Fsw*10^3*40*10^-9+TI_MOSFET_S_VSD_L_BU*Table7[[#This Row],[Ipeak (A)]]*Fsw*10^3*30*10^-9, TI_MOSFET_S_VSD_H_BO*Table7[[#This Row],[Ivalley (A)]]*Fsw*10^3*40*10^-9+TI_MOSFET_S_VSD_H_BO*Table7[[#This Row],[Ipeak (A)]]*Fsw*10^3*30*10^-9)/10^-3</f>
        <v>159.55457142857142</v>
      </c>
      <c r="AY217" s="156">
        <f t="shared" ca="1" si="34"/>
        <v>648</v>
      </c>
      <c r="AZ217" s="156">
        <f ca="1">IF(VACnom&lt;Vbat, Table7[[#This Row],[Duty Cycle]]*Table7[[#This Row],[I_L RMS]]^2*TI_MOSFET_S_RDSON_H_BU*10^-3, (1-Table7[[#This Row],[Duty Cycle]])*Table7[[#This Row],[I_L RMS]]^2*TI_MOSFET_S_RDSON_H_BO*10^-3)/10^-3</f>
        <v>34.260156887755095</v>
      </c>
      <c r="BA217" s="156">
        <f ca="1">IF(VACnom&gt;Vbat, Table7[[#This Row],[PIV (mW)]]+Table7[[#This Row],[Pqoss (mW)]]+Table7[[#This Row],[Pgate_top (mW)]], Table7[[#This Row],[PRR (mW)]]+Table7[[#This Row],[Pdead (mW)]]+Table7[[#This Row],[Pgate_top (mW)]])</f>
        <v>1361.9545714285714</v>
      </c>
      <c r="BB217" s="156">
        <f ca="1">Table7[[#This Row],[Pcon_top (mW)]]+Table7[[#This Row],[Psw_top (mW)]]</f>
        <v>1396.2147283163265</v>
      </c>
      <c r="BC217" s="156">
        <f ca="1">IF(VACnom&gt;Vbat, (1-Table7[[#This Row],[Duty Cycle]])*Table7[[#This Row],[I_L RMS]]^2*TI_MOSFET_S_RDSON_L_BU*10^-3, Table7[[#This Row],[Duty Cycle]]*Table7[[#This Row],[I_L RMS]]^2*TI_MOSFET_S_RDSON_L_BO*10^-3)/10^-3</f>
        <v>34.260156887755095</v>
      </c>
      <c r="BD217" s="156">
        <f ca="1">IF(VACnom&gt;Vbat, Table7[[#This Row],[PRR (mW)]]+Table7[[#This Row],[Pdead (mW)]]+Table7[[#This Row],[Pgate_bottom (mW)]], Table7[[#This Row],[PIV (mW)]]+Table7[[#This Row],[Pqoss (mW)]]+Table7[[#This Row],[Pgate_bottom (mW)]])</f>
        <v>1244.7947371246132</v>
      </c>
      <c r="BE217" s="158">
        <f ca="1">Table7[[#This Row],[Pcon_bottom (mW)]]+Table7[[#This Row],[Psw_bottom (mW)]]</f>
        <v>1279.0548940123683</v>
      </c>
      <c r="BF217" s="164">
        <f ca="1">Table7[[#This Row],[Pbottom (mW)]]+Table7[[#This Row],[Ptop (mW)]]</f>
        <v>2675.2696223286948</v>
      </c>
      <c r="BG217" s="153"/>
      <c r="BH217" s="156">
        <f>MAX(0,Table7[[#This Row],[I_L]]-0.5*Table7[[#This Row],[I_L pkpk]])</f>
        <v>4.9089285714285715</v>
      </c>
      <c r="BI217" s="156">
        <f>Table7[[#This Row],[I_L]]+0.5*Table7[[#This Row],[I_L pkpk]]</f>
        <v>5.7660714285714292</v>
      </c>
      <c r="BJ217" s="156">
        <f>IF(VACnom&gt;Vbat, (VGS_S-(C_MOSFET_S_VTH_H_BU+Table7[[#This Row],[I_L]]/C_MOSFET_S_gFS_H_BU))/3.4, (VGS_S-(C_MOSFET_S_VTH_L_BO+Table7[[#This Row],[I_L]]/C_MOSFET_S_gFS_L_BO))/3.4 )</f>
        <v>2.3424754901960787</v>
      </c>
      <c r="BK217" s="156">
        <f>IF(VACnom&gt;Vbat, ((C_MOSFET_S_VTH_H_BU+Table7[[#This Row],[I_L]]/C_MOSFET_S_gFS_H_BU))/1, ((C_MOSFET_S_VTH_L_BO+Table7[[#This Row],[I_L]]/C_MOSFET_S_gFS_L_BO))/1 )</f>
        <v>2.0355833333333333</v>
      </c>
      <c r="BL217" s="156">
        <f>IF(VACnom&gt;Vbat, (C_MOSFET_S_QGD_H_BU+C_MOSFET_S_QGS_H_BU)*10^-9/Table7[[#This Row],[Ion (A) C]], (C_MOSFET_S_QGD_L_BO+C_MOSFET_S_QGS_L_BO)*10^-9/Table7[[#This Row],[Ion (A) C]])/10^-9</f>
        <v>2.774842267167505</v>
      </c>
      <c r="BM217" s="156">
        <f>IF(VACnom&gt;Vbat, (C_MOSFET_S_QGD_H_BU+C_MOSFET_S_QGS_H_BU)*10^-9/Table7[[#This Row],[Ioff (A) C]], (C_MOSFET_S_QGD_L_BO+C_MOSFET_S_QGS_L_BO)*10^-9/Table7[[#This Row],[Ioff (A) C]])/10^-9</f>
        <v>3.1931878658861099</v>
      </c>
      <c r="BN217" s="156">
        <f xml:space="preserve"> 0.5*VACnom*Table7[[#This Row],[Ivalley (A) C]]*Table7[[#This Row],[ton (ns) C]]*10^-9*Fsw*10^3+0.5*VACnom*Table7[[#This Row],[Ipeak (A) C]]*Table7[[#This Row],[toff (ns) C]]*10^-9*Fsw*10^3/10^-3</f>
        <v>66.332774959320162</v>
      </c>
      <c r="BO217" s="156">
        <f t="shared" si="35"/>
        <v>129.6</v>
      </c>
      <c r="BP217" s="156">
        <f t="shared" ca="1" si="36"/>
        <v>291.59999999999997</v>
      </c>
      <c r="BQ217" s="156">
        <f t="shared" si="37"/>
        <v>237.6</v>
      </c>
      <c r="BR217" s="156">
        <f>IF(VACnom&gt;Vbat, C_MOSFET_S_VSD_L_BU*Table7[[#This Row],[Ivalley (A) C]]*Fsw*10^3*40*10^-9+C_MOSFET_S_VSD_L_BU*Table7[[#This Row],[Ipeak (A) C]]*Fsw*10^3*30*10^-9, C_MOSFET_S_VSD_H_BO*Table7[[#This Row],[Ivalley (A) C]]*Fsw*10^3*40*10^-9+C_MOSFET_S_VSD_H_BO*Table7[[#This Row],[Ipeak (A) C]]*Fsw*10^3*30*10^-9)/10^-3</f>
        <v>177.28285714285718</v>
      </c>
      <c r="BS217" s="156">
        <f t="shared" ca="1" si="38"/>
        <v>291.59999999999997</v>
      </c>
      <c r="BT217" s="156">
        <f>IF(VACnom&lt;Vbat, Table7[[#This Row],[Duty Cycle]]*Table7[[#This Row],[I_L RMS]]^2*C_MOSFET_S_RDSON_H_BU*10^-3, (1-Table7[[#This Row],[Duty Cycle]])*Table7[[#This Row],[I_L RMS]]^2*C_MOSFET_S_RDSON_H_BO*10^-3)/10^-3</f>
        <v>69.743890807215735</v>
      </c>
      <c r="BU217" s="156">
        <f ca="1">IF(VACnom&gt;Vbat, Table7[[#This Row],[PIV (mW) C]]+Table7[[#This Row],[PQoss (mW) C]]+Table7[[#This Row],[Pgate_top (mW) C]], Table7[[#This Row],[PRR (mW) C]]+Table7[[#This Row],[Pdead (mW) C]]+Table7[[#This Row],[Pgate_top (mW) C]])</f>
        <v>706.48285714285714</v>
      </c>
      <c r="BV217" s="156">
        <f ca="1">Table7[[#This Row],[Pcon_top (mW) C]]+Table7[[#This Row],[Psw_top (mW) C]]</f>
        <v>776.22674795007288</v>
      </c>
      <c r="BW217" s="156">
        <f ca="1">IF(VACnom&gt;Vbat, (1-Table7[[#This Row],[Duty Cycle]])*Table7[[#This Row],[I_L RMS]]^2*C_MOSFET_S_RDSON_L_BU*10^-3, Table7[[#This Row],[Duty Cycle]]*Table7[[#This Row],[I_L RMS]]^2*C_MOSFET_S_RDSON_L_BO*10^-3)/10^-3</f>
        <v>43.436984625546643</v>
      </c>
      <c r="BX217" s="156">
        <f ca="1">IF(VACnom&gt;Vbat, Table7[[#This Row],[PRR (mW) C]]+Table7[[#This Row],[Pdead (mW) C]]+Table7[[#This Row],[Pgate_bottom (mW) C]], Table7[[#This Row],[PIV (mW) C]]+Table7[[#This Row],[PQoss (mW) C]]+Table7[[#This Row],[Pgate_bottom (mW) C]])</f>
        <v>487.53277495932014</v>
      </c>
      <c r="BY217" s="156">
        <f ca="1">Table7[[#This Row],[Pcon_bottom (mW) C]]+Table7[[#This Row],[Psw_bottom (mV) C]]</f>
        <v>530.96975958486678</v>
      </c>
      <c r="BZ217" s="156">
        <f ca="1">Table7[[#This Row],[Pbottom (mW) C]]+Table7[[#This Row],[Ptop (mW) C]]</f>
        <v>1307.1965075349397</v>
      </c>
      <c r="CA217" s="159"/>
      <c r="CB217" s="160">
        <f>(RAC_SNS*10^-3*(Table7[[#This Row],[IOUT (A)]]*Vbat/VACnom)^2/10^-3)</f>
        <v>142.44453124999998</v>
      </c>
      <c r="CC217" s="160">
        <f>(RBAT_SNS*10^-3*Table7[[#This Row],[IOUT (A)]]^2)/10^-3</f>
        <v>46.512499999999989</v>
      </c>
      <c r="CD217" s="160">
        <f>IF(VACnom&gt;Vbat,(L_DRC*10^-3*(Table7[[#This Row],[IOUT (A)]])^2/10^-3),(L_DRC*10^-3*(Table7[[#This Row],[IOUT (A)]]*Vbat/VACnom)^2/10^-3))</f>
        <v>341.86687499999994</v>
      </c>
      <c r="CE217" s="166"/>
      <c r="CF217" s="156">
        <f>(Table7[[#This Row],[R_AC (mW)]]+Table7[[#This Row],[R_SR (mW)]]+Table7[[#This Row],[Inductor Loss (mW)]])/10^3</f>
        <v>0.53082390624999998</v>
      </c>
      <c r="CG217" s="156">
        <f ca="1">Table7[[#This Row],[Total TI (mW)]]/10^3</f>
        <v>2.6752696223286949</v>
      </c>
      <c r="CH217" s="156">
        <f ca="1">Table7[[#This Row],[Total Sense Loss]]+Table7[[#This Row],[Total MOSFET Loss]]</f>
        <v>3.2060935285786947</v>
      </c>
      <c r="CI217" s="161">
        <f ca="1">IF(Table7[[#This Row],[POUT (W)]]=0,0,(Table7[[#This Row],[POUT (W)]])/(Table7[[#This Row],[POUT (W)]]+Table7[[#This Row],[Total Power Loss (W)]]))*100</f>
        <v>91.945721761727555</v>
      </c>
      <c r="CJ217" s="167"/>
      <c r="CK217" s="156">
        <f>(Table7[[#This Row],[R_AC (mW)]]+Table7[[#This Row],[R_SR (mW)]]+Table7[[#This Row],[Inductor Loss (mW)]])/10^3</f>
        <v>0.53082390624999998</v>
      </c>
      <c r="CL217" s="156">
        <f ca="1">Table7[[#This Row],[Total (mW) C]]/10^3</f>
        <v>1.3071965075349397</v>
      </c>
      <c r="CM217" s="156">
        <f ca="1">Table7[[#This Row],[Total Sense Loss C]]+Table7[[#This Row],[Total MOSFET Loss C]]</f>
        <v>1.8380204137849396</v>
      </c>
      <c r="CN217" s="161">
        <f ca="1">IF(Table7[[#This Row],[POUT (W)]]=0,0,(Table7[[#This Row],[POUT (W)]])/(Table7[[#This Row],[POUT (W)]]+Table7[[#This Row],[Total Power Loss (W) C]]))*100</f>
        <v>95.218223014612448</v>
      </c>
      <c r="CO217" s="167"/>
      <c r="CP217" s="161">
        <f>IF(MOSFET_S=Custom_MOSFET,Table7[[#This Row],[Total Sense Loss C]],Table7[[#This Row],[Total Sense Loss]])</f>
        <v>0.53082390624999998</v>
      </c>
      <c r="CQ217" s="161">
        <f ca="1">IF(MOSFET_S=Custom_MOSFET,Table7[[#This Row],[Total MOSFET Loss C]],Table7[[#This Row],[Total MOSFET Loss]])</f>
        <v>2.6752696223286949</v>
      </c>
      <c r="CR217" s="161">
        <f ca="1">IF(MOSFET_S=Custom_MOSFET,Table7[[#This Row],[Efficiency C]],Table7[[#This Row],[Efficiency]])</f>
        <v>91.945721761727555</v>
      </c>
      <c r="CS217" s="167"/>
      <c r="CT217" s="161">
        <f>IF(MOSFET_S=Compare_MOSFET, Table7[[#This Row],[Total Sense Loss C]], -100)</f>
        <v>-100</v>
      </c>
      <c r="CU217" s="161">
        <f>IF(MOSFET_S=Compare_MOSFET, Table7[[#This Row],[Total MOSFET Loss C]], -100)</f>
        <v>-100</v>
      </c>
      <c r="CV217" s="161">
        <f>IF(MOSFET_S=Compare_MOSFET, Table7[[#This Row],[Efficiency C]], -100)</f>
        <v>-100</v>
      </c>
      <c r="CW217" s="167"/>
      <c r="CX217" s="161">
        <f ca="1">IF(Save_Sel=CLR_Save,  Table7[[#This Row],[Total Sense Loss P1]], Table7[[#This Row],[Total Sense Loss P1 Saved]])</f>
        <v>0.53082390624999998</v>
      </c>
      <c r="CY217" s="161">
        <f ca="1">IF(Save_Sel=CLR_Save,  Table7[[#This Row],[Total MOSFET Loss P1]], Table7[[#This Row],[Total MOSFET Loss P1 Saved]] )</f>
        <v>1.9812512704913474</v>
      </c>
      <c r="CZ217" s="161">
        <f ca="1">IF(Save_Sel=CLR_Save, Table7[[#This Row],[Efficiency P1]], Table7[[#This Row],[Efficiency P1 Saved]])</f>
        <v>93.577238831256921</v>
      </c>
      <c r="DA217" s="167"/>
      <c r="DB217" s="161">
        <f ca="1">IF(Save_Sel=CLR_Save,  Table7[[#This Row],[Total Sense Loss P2]], Table7[[#This Row],[Total Sense Loss P2 Saved]])</f>
        <v>0.53082390624999998</v>
      </c>
      <c r="DC217" s="161">
        <f ca="1">IF(Save_Sel=CLR_Save,  Table7[[#This Row],[Total MOSFET Loss P2]], Table7[[#This Row],[Total MOSFET Loss P2 Saved]] )</f>
        <v>1.3427896814500313</v>
      </c>
      <c r="DD217" s="161">
        <f ca="1">IF(Save_Sel=CLR_Save, Table7[[#This Row],[Efficiency P2]], Table7[[#This Row],[Efficiency P2 Saved]])</f>
        <v>95.130133582515825</v>
      </c>
      <c r="DE217" s="167"/>
      <c r="DF217" s="21"/>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c r="FH217" s="21"/>
      <c r="FI217" s="21"/>
    </row>
    <row r="218" spans="1:165" x14ac:dyDescent="0.25">
      <c r="A218" s="34"/>
      <c r="B218" s="51"/>
      <c r="C218" s="51"/>
      <c r="D218" s="34"/>
      <c r="E218" s="69"/>
      <c r="F218" s="69"/>
      <c r="G218" s="51"/>
      <c r="H218" s="31"/>
      <c r="I218" s="31"/>
      <c r="J218" s="31"/>
      <c r="K218" s="31"/>
      <c r="L218" s="31"/>
      <c r="M218" s="31"/>
      <c r="N218" s="31"/>
      <c r="O218" s="31"/>
      <c r="P218" s="31"/>
      <c r="Q218" s="31"/>
      <c r="R218" s="31"/>
      <c r="S218" s="32"/>
      <c r="T218" s="20"/>
      <c r="U218" s="21"/>
      <c r="V218" s="21"/>
      <c r="W218" s="21"/>
      <c r="X218" s="21"/>
      <c r="Y218" s="21"/>
      <c r="Z218" s="21"/>
      <c r="AA218" s="21"/>
      <c r="AB218" s="21"/>
      <c r="AC218" s="21"/>
      <c r="AD218" s="21"/>
      <c r="AE218" s="21"/>
      <c r="AF218" s="154">
        <f t="shared" si="17"/>
        <v>62</v>
      </c>
      <c r="AG218" s="154">
        <f t="shared" si="39"/>
        <v>3.1</v>
      </c>
      <c r="AH218" s="155">
        <f t="shared" si="28"/>
        <v>37.200000000000003</v>
      </c>
      <c r="AI218" s="156">
        <f t="shared" si="29"/>
        <v>0.42857142857142855</v>
      </c>
      <c r="AJ218" s="156">
        <f t="shared" si="30"/>
        <v>5.4250000000000007</v>
      </c>
      <c r="AK218" s="156">
        <f t="shared" si="40"/>
        <v>0.85714285714285721</v>
      </c>
      <c r="AL218" s="156">
        <f t="shared" si="41"/>
        <v>5.4306398784854002</v>
      </c>
      <c r="AM218" s="157"/>
      <c r="AN218" s="156">
        <f>MAX(0,Table7[[#This Row],[I_L]]-0.5*Table7[[#This Row],[I_L pkpk]])</f>
        <v>4.9964285714285719</v>
      </c>
      <c r="AO218" s="156">
        <f>Table7[[#This Row],[I_L]]+0.5*Table7[[#This Row],[I_L pkpk]]</f>
        <v>5.8535714285714295</v>
      </c>
      <c r="AP218" s="156">
        <f ca="1">IF(VACnom&gt;Vbat, (VGS_S-(TI_MOSFET_S_VTH_H_BU+Table7[[#This Row],[I_L]]/TI_MOSFET_S_gFS_H_BU))/3.4, (VGS_S-(TI_MOSFET_S_VTH_L_BO+Table7[[#This Row],[I_L]]/TI_MOSFET_S_gFS_L_BO))/3.4 )</f>
        <v>2.4141968325791856</v>
      </c>
      <c r="AQ218" s="156">
        <f ca="1">IF(VACnom&gt;Vbat, ((TI_MOSFET_S_VTH_H_BU+Table7[[#This Row],[I_L]]/TI_MOSFET_S_gFS_H_BU))/1, ((TI_MOSFET_S_VTH_L_BO+Table7[[#This Row],[I_L]]/TI_MOSFET_S_gFS_L_BO))/1 )</f>
        <v>1.7917307692307691</v>
      </c>
      <c r="AR218" s="156">
        <f ca="1">IF(VACnom&gt;Vbat, (TI_MOSFET_S_QGD_H_BU+TI_MOSFET_S_QGS_H_BU)*10^-9/Table7[[#This Row],[Ion (A)]], (TI_MOSFET_S_QGD_L_BO+TI_MOSFET_S_QGS_L_BO)*10^-9/Table7[[#This Row],[Ion (A)]])/10^-9</f>
        <v>11.929433263828692</v>
      </c>
      <c r="AS218" s="156">
        <f ca="1">IF(VACnom&gt;Vbat, (TI_MOSFET_S_QGD_H_BU+TI_MOSFET_S_QGS_H_BU)*10^-9/Table7[[#This Row],[Ioff (A)]], (TI_MOSFET_S_QGD_L_BO+TI_MOSFET_S_QGS_L_BO)*10^-9/Table7[[#This Row],[Ioff (A)]])/10^-9</f>
        <v>16.073843511860041</v>
      </c>
      <c r="AT218" s="156">
        <f ca="1" xml:space="preserve"> 0.5*VACnom*Table7[[#This Row],[Ivalley (A)]]*Table7[[#This Row],[ton (ns)]]*10^-9*Fsw*10^3+0.5*VACnom*Table7[[#This Row],[Ipeak (A)]]*Table7[[#This Row],[toff (ns)]]*10^-9*Fsw*10^3/10^-3</f>
        <v>338.93638448238914</v>
      </c>
      <c r="AU218" s="156">
        <f t="shared" ca="1" si="31"/>
        <v>262.8</v>
      </c>
      <c r="AV218" s="156">
        <f t="shared" ca="1" si="32"/>
        <v>648</v>
      </c>
      <c r="AW218" s="156">
        <f t="shared" ca="1" si="33"/>
        <v>554.4</v>
      </c>
      <c r="AX218" s="156">
        <f ca="1">IF(VACnom&gt;Vbat, TI_MOSFET_S_VSD_L_BU*Table7[[#This Row],[Ivalley (A)]]*Fsw*10^3*40*10^-9+TI_MOSFET_S_VSD_L_BU*Table7[[#This Row],[Ipeak (A)]]*Fsw*10^3*30*10^-9, TI_MOSFET_S_VSD_H_BO*Table7[[#This Row],[Ivalley (A)]]*Fsw*10^3*40*10^-9+TI_MOSFET_S_VSD_H_BO*Table7[[#This Row],[Ipeak (A)]]*Fsw*10^3*30*10^-9)/10^-3</f>
        <v>162.20057142857146</v>
      </c>
      <c r="AY218" s="156">
        <f t="shared" ca="1" si="34"/>
        <v>648</v>
      </c>
      <c r="AZ218" s="156">
        <f ca="1">IF(VACnom&lt;Vbat, Table7[[#This Row],[Duty Cycle]]*Table7[[#This Row],[I_L RMS]]^2*TI_MOSFET_S_RDSON_H_BU*10^-3, (1-Table7[[#This Row],[Duty Cycle]])*Table7[[#This Row],[I_L RMS]]^2*TI_MOSFET_S_RDSON_H_BO*10^-3)/10^-3</f>
        <v>35.390219387755103</v>
      </c>
      <c r="BA218" s="156">
        <f ca="1">IF(VACnom&gt;Vbat, Table7[[#This Row],[PIV (mW)]]+Table7[[#This Row],[Pqoss (mW)]]+Table7[[#This Row],[Pgate_top (mW)]], Table7[[#This Row],[PRR (mW)]]+Table7[[#This Row],[Pdead (mW)]]+Table7[[#This Row],[Pgate_top (mW)]])</f>
        <v>1364.6005714285716</v>
      </c>
      <c r="BB218" s="156">
        <f ca="1">Table7[[#This Row],[Pcon_top (mW)]]+Table7[[#This Row],[Psw_top (mW)]]</f>
        <v>1399.9907908163266</v>
      </c>
      <c r="BC218" s="156">
        <f ca="1">IF(VACnom&gt;Vbat, (1-Table7[[#This Row],[Duty Cycle]])*Table7[[#This Row],[I_L RMS]]^2*TI_MOSFET_S_RDSON_L_BU*10^-3, Table7[[#This Row],[Duty Cycle]]*Table7[[#This Row],[I_L RMS]]^2*TI_MOSFET_S_RDSON_L_BO*10^-3)/10^-3</f>
        <v>35.390219387755103</v>
      </c>
      <c r="BD218" s="156">
        <f ca="1">IF(VACnom&gt;Vbat, Table7[[#This Row],[PRR (mW)]]+Table7[[#This Row],[Pdead (mW)]]+Table7[[#This Row],[Pgate_bottom (mW)]], Table7[[#This Row],[PIV (mW)]]+Table7[[#This Row],[Pqoss (mW)]]+Table7[[#This Row],[Pgate_bottom (mW)]])</f>
        <v>1249.7363844823892</v>
      </c>
      <c r="BE218" s="158">
        <f ca="1">Table7[[#This Row],[Pcon_bottom (mW)]]+Table7[[#This Row],[Psw_bottom (mW)]]</f>
        <v>1285.1266038701442</v>
      </c>
      <c r="BF218" s="164">
        <f ca="1">Table7[[#This Row],[Pbottom (mW)]]+Table7[[#This Row],[Ptop (mW)]]</f>
        <v>2685.117394686471</v>
      </c>
      <c r="BG218" s="153"/>
      <c r="BH218" s="156">
        <f>MAX(0,Table7[[#This Row],[I_L]]-0.5*Table7[[#This Row],[I_L pkpk]])</f>
        <v>4.9964285714285719</v>
      </c>
      <c r="BI218" s="156">
        <f>Table7[[#This Row],[I_L]]+0.5*Table7[[#This Row],[I_L pkpk]]</f>
        <v>5.8535714285714295</v>
      </c>
      <c r="BJ218" s="156">
        <f>IF(VACnom&gt;Vbat, (VGS_S-(C_MOSFET_S_VTH_H_BU+Table7[[#This Row],[I_L]]/C_MOSFET_S_gFS_H_BU))/3.4, (VGS_S-(C_MOSFET_S_VTH_L_BO+Table7[[#This Row],[I_L]]/C_MOSFET_S_gFS_L_BO))/3.4 )</f>
        <v>2.3423039215686274</v>
      </c>
      <c r="BK218" s="156">
        <f>IF(VACnom&gt;Vbat, ((C_MOSFET_S_VTH_H_BU+Table7[[#This Row],[I_L]]/C_MOSFET_S_gFS_H_BU))/1, ((C_MOSFET_S_VTH_L_BO+Table7[[#This Row],[I_L]]/C_MOSFET_S_gFS_L_BO))/1 )</f>
        <v>2.0361666666666665</v>
      </c>
      <c r="BL218" s="156">
        <f>IF(VACnom&gt;Vbat, (C_MOSFET_S_QGD_H_BU+C_MOSFET_S_QGS_H_BU)*10^-9/Table7[[#This Row],[Ion (A) C]], (C_MOSFET_S_QGD_L_BO+C_MOSFET_S_QGS_L_BO)*10^-9/Table7[[#This Row],[Ion (A) C]])/10^-9</f>
        <v>2.7750455182805598</v>
      </c>
      <c r="BM218" s="156">
        <f>IF(VACnom&gt;Vbat, (C_MOSFET_S_QGD_H_BU+C_MOSFET_S_QGS_H_BU)*10^-9/Table7[[#This Row],[Ioff (A) C]], (C_MOSFET_S_QGD_L_BO+C_MOSFET_S_QGS_L_BO)*10^-9/Table7[[#This Row],[Ioff (A) C]])/10^-9</f>
        <v>3.1922730621265454</v>
      </c>
      <c r="BN218" s="156">
        <f xml:space="preserve"> 0.5*VACnom*Table7[[#This Row],[Ivalley (A) C]]*Table7[[#This Row],[ton (ns) C]]*10^-9*Fsw*10^3+0.5*VACnom*Table7[[#This Row],[Ipeak (A) C]]*Table7[[#This Row],[toff (ns) C]]*10^-9*Fsw*10^3/10^-3</f>
        <v>67.320229339356217</v>
      </c>
      <c r="BO218" s="156">
        <f t="shared" si="35"/>
        <v>129.6</v>
      </c>
      <c r="BP218" s="156">
        <f t="shared" ca="1" si="36"/>
        <v>291.59999999999997</v>
      </c>
      <c r="BQ218" s="156">
        <f t="shared" si="37"/>
        <v>237.6</v>
      </c>
      <c r="BR218" s="156">
        <f>IF(VACnom&gt;Vbat, C_MOSFET_S_VSD_L_BU*Table7[[#This Row],[Ivalley (A) C]]*Fsw*10^3*40*10^-9+C_MOSFET_S_VSD_L_BU*Table7[[#This Row],[Ipeak (A) C]]*Fsw*10^3*30*10^-9, C_MOSFET_S_VSD_H_BO*Table7[[#This Row],[Ivalley (A) C]]*Fsw*10^3*40*10^-9+C_MOSFET_S_VSD_H_BO*Table7[[#This Row],[Ipeak (A) C]]*Fsw*10^3*30*10^-9)/10^-3</f>
        <v>180.22285714285718</v>
      </c>
      <c r="BS218" s="156">
        <f t="shared" ca="1" si="38"/>
        <v>291.59999999999997</v>
      </c>
      <c r="BT218" s="156">
        <f>IF(VACnom&lt;Vbat, Table7[[#This Row],[Duty Cycle]]*Table7[[#This Row],[I_L RMS]]^2*C_MOSFET_S_RDSON_H_BU*10^-3, (1-Table7[[#This Row],[Duty Cycle]])*Table7[[#This Row],[I_L RMS]]^2*C_MOSFET_S_RDSON_H_BO*10^-3)/10^-3</f>
        <v>72.044375182215745</v>
      </c>
      <c r="BU218" s="156">
        <f ca="1">IF(VACnom&gt;Vbat, Table7[[#This Row],[PIV (mW) C]]+Table7[[#This Row],[PQoss (mW) C]]+Table7[[#This Row],[Pgate_top (mW) C]], Table7[[#This Row],[PRR (mW) C]]+Table7[[#This Row],[Pdead (mW) C]]+Table7[[#This Row],[Pgate_top (mW) C]])</f>
        <v>709.42285714285708</v>
      </c>
      <c r="BV218" s="156">
        <f ca="1">Table7[[#This Row],[Pcon_top (mW) C]]+Table7[[#This Row],[Psw_top (mW) C]]</f>
        <v>781.46723232507281</v>
      </c>
      <c r="BW218" s="156">
        <f ca="1">IF(VACnom&gt;Vbat, (1-Table7[[#This Row],[Duty Cycle]])*Table7[[#This Row],[I_L RMS]]^2*C_MOSFET_S_RDSON_L_BU*10^-3, Table7[[#This Row],[Duty Cycle]]*Table7[[#This Row],[I_L RMS]]^2*C_MOSFET_S_RDSON_L_BO*10^-3)/10^-3</f>
        <v>44.86974243804665</v>
      </c>
      <c r="BX218" s="156">
        <f ca="1">IF(VACnom&gt;Vbat, Table7[[#This Row],[PRR (mW) C]]+Table7[[#This Row],[Pdead (mW) C]]+Table7[[#This Row],[Pgate_bottom (mW) C]], Table7[[#This Row],[PIV (mW) C]]+Table7[[#This Row],[PQoss (mW) C]]+Table7[[#This Row],[Pgate_bottom (mW) C]])</f>
        <v>488.52022933935621</v>
      </c>
      <c r="BY218" s="156">
        <f ca="1">Table7[[#This Row],[Pcon_bottom (mW) C]]+Table7[[#This Row],[Psw_bottom (mV) C]]</f>
        <v>533.38997177740282</v>
      </c>
      <c r="BZ218" s="156">
        <f ca="1">Table7[[#This Row],[Pbottom (mW) C]]+Table7[[#This Row],[Ptop (mW) C]]</f>
        <v>1314.8572041024756</v>
      </c>
      <c r="CA218" s="159"/>
      <c r="CB218" s="160">
        <f>(RAC_SNS*10^-3*(Table7[[#This Row],[IOUT (A)]]*Vbat/VACnom)^2/10^-3)</f>
        <v>147.15312500000002</v>
      </c>
      <c r="CC218" s="160">
        <f>(RBAT_SNS*10^-3*Table7[[#This Row],[IOUT (A)]]^2)/10^-3</f>
        <v>48.050000000000011</v>
      </c>
      <c r="CD218" s="160">
        <f>IF(VACnom&gt;Vbat,(L_DRC*10^-3*(Table7[[#This Row],[IOUT (A)]])^2/10^-3),(L_DRC*10^-3*(Table7[[#This Row],[IOUT (A)]]*Vbat/VACnom)^2/10^-3))</f>
        <v>353.16750000000008</v>
      </c>
      <c r="CE218" s="166"/>
      <c r="CF218" s="156">
        <f>(Table7[[#This Row],[R_AC (mW)]]+Table7[[#This Row],[R_SR (mW)]]+Table7[[#This Row],[Inductor Loss (mW)]])/10^3</f>
        <v>0.54837062500000011</v>
      </c>
      <c r="CG218" s="156">
        <f ca="1">Table7[[#This Row],[Total TI (mW)]]/10^3</f>
        <v>2.685117394686471</v>
      </c>
      <c r="CH218" s="156">
        <f ca="1">Table7[[#This Row],[Total Sense Loss]]+Table7[[#This Row],[Total MOSFET Loss]]</f>
        <v>3.233488019686471</v>
      </c>
      <c r="CI218" s="161">
        <f ca="1">IF(Table7[[#This Row],[POUT (W)]]=0,0,(Table7[[#This Row],[POUT (W)]])/(Table7[[#This Row],[POUT (W)]]+Table7[[#This Row],[Total Power Loss (W)]]))*100</f>
        <v>92.002945632313171</v>
      </c>
      <c r="CJ218" s="167"/>
      <c r="CK218" s="156">
        <f>(Table7[[#This Row],[R_AC (mW)]]+Table7[[#This Row],[R_SR (mW)]]+Table7[[#This Row],[Inductor Loss (mW)]])/10^3</f>
        <v>0.54837062500000011</v>
      </c>
      <c r="CL218" s="156">
        <f ca="1">Table7[[#This Row],[Total (mW) C]]/10^3</f>
        <v>1.3148572041024755</v>
      </c>
      <c r="CM218" s="156">
        <f ca="1">Table7[[#This Row],[Total Sense Loss C]]+Table7[[#This Row],[Total MOSFET Loss C]]</f>
        <v>1.8632278291024758</v>
      </c>
      <c r="CN218" s="161">
        <f ca="1">IF(Table7[[#This Row],[POUT (W)]]=0,0,(Table7[[#This Row],[POUT (W)]])/(Table7[[#This Row],[POUT (W)]]+Table7[[#This Row],[Total Power Loss (W) C]]))*100</f>
        <v>95.230225629960984</v>
      </c>
      <c r="CO218" s="167"/>
      <c r="CP218" s="161">
        <f>IF(MOSFET_S=Custom_MOSFET,Table7[[#This Row],[Total Sense Loss C]],Table7[[#This Row],[Total Sense Loss]])</f>
        <v>0.54837062500000011</v>
      </c>
      <c r="CQ218" s="161">
        <f ca="1">IF(MOSFET_S=Custom_MOSFET,Table7[[#This Row],[Total MOSFET Loss C]],Table7[[#This Row],[Total MOSFET Loss]])</f>
        <v>2.685117394686471</v>
      </c>
      <c r="CR218" s="161">
        <f ca="1">IF(MOSFET_S=Custom_MOSFET,Table7[[#This Row],[Efficiency C]],Table7[[#This Row],[Efficiency]])</f>
        <v>92.002945632313171</v>
      </c>
      <c r="CS218" s="167"/>
      <c r="CT218" s="161">
        <f>IF(MOSFET_S=Compare_MOSFET, Table7[[#This Row],[Total Sense Loss C]], -100)</f>
        <v>-100</v>
      </c>
      <c r="CU218" s="161">
        <f>IF(MOSFET_S=Compare_MOSFET, Table7[[#This Row],[Total MOSFET Loss C]], -100)</f>
        <v>-100</v>
      </c>
      <c r="CV218" s="161">
        <f>IF(MOSFET_S=Compare_MOSFET, Table7[[#This Row],[Efficiency C]], -100)</f>
        <v>-100</v>
      </c>
      <c r="CW218" s="167"/>
      <c r="CX218" s="161">
        <f ca="1">IF(Save_Sel=CLR_Save,  Table7[[#This Row],[Total Sense Loss P1]], Table7[[#This Row],[Total Sense Loss P1 Saved]])</f>
        <v>0.54837062500000011</v>
      </c>
      <c r="CY218" s="161">
        <f ca="1">IF(Save_Sel=CLR_Save,  Table7[[#This Row],[Total MOSFET Loss P1]], Table7[[#This Row],[Total MOSFET Loss P1 Saved]] )</f>
        <v>1.9917122062930672</v>
      </c>
      <c r="CZ218" s="161">
        <f ca="1">IF(Save_Sel=CLR_Save, Table7[[#This Row],[Efficiency P1]], Table7[[#This Row],[Efficiency P1 Saved]])</f>
        <v>93.608259846673249</v>
      </c>
      <c r="DA218" s="167"/>
      <c r="DB218" s="161">
        <f ca="1">IF(Save_Sel=CLR_Save,  Table7[[#This Row],[Total Sense Loss P2]], Table7[[#This Row],[Total Sense Loss P2 Saved]])</f>
        <v>0.54837062500000011</v>
      </c>
      <c r="DC218" s="161">
        <f ca="1">IF(Save_Sel=CLR_Save,  Table7[[#This Row],[Total MOSFET Loss P2]], Table7[[#This Row],[Total MOSFET Loss P2 Saved]] )</f>
        <v>1.3516227851574172</v>
      </c>
      <c r="DD218" s="161">
        <f ca="1">IF(Save_Sel=CLR_Save, Table7[[#This Row],[Efficiency P2]], Table7[[#This Row],[Efficiency P2 Saved]])</f>
        <v>95.140680996473435</v>
      </c>
      <c r="DE218" s="167"/>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c r="FH218" s="21"/>
      <c r="FI218" s="21"/>
    </row>
    <row r="219" spans="1:165" x14ac:dyDescent="0.25">
      <c r="A219" s="34"/>
      <c r="B219" s="51"/>
      <c r="C219" s="51"/>
      <c r="D219" s="34"/>
      <c r="E219" s="69"/>
      <c r="F219" s="69"/>
      <c r="G219" s="51"/>
      <c r="H219" s="31"/>
      <c r="I219" s="31"/>
      <c r="J219" s="31"/>
      <c r="K219" s="31"/>
      <c r="L219" s="31"/>
      <c r="M219" s="31"/>
      <c r="N219" s="31"/>
      <c r="O219" s="31"/>
      <c r="P219" s="31"/>
      <c r="Q219" s="31"/>
      <c r="R219" s="31"/>
      <c r="S219" s="32"/>
      <c r="T219" s="20"/>
      <c r="U219" s="21"/>
      <c r="V219" s="21"/>
      <c r="W219" s="21"/>
      <c r="X219" s="21"/>
      <c r="Y219" s="21"/>
      <c r="Z219" s="21"/>
      <c r="AA219" s="21"/>
      <c r="AB219" s="21"/>
      <c r="AC219" s="21"/>
      <c r="AD219" s="21"/>
      <c r="AE219" s="21"/>
      <c r="AF219" s="154">
        <f t="shared" si="17"/>
        <v>63</v>
      </c>
      <c r="AG219" s="154">
        <f t="shared" si="39"/>
        <v>3.15</v>
      </c>
      <c r="AH219" s="155">
        <f t="shared" si="28"/>
        <v>37.799999999999997</v>
      </c>
      <c r="AI219" s="156">
        <f t="shared" si="29"/>
        <v>0.42857142857142855</v>
      </c>
      <c r="AJ219" s="156">
        <f t="shared" si="30"/>
        <v>5.5125000000000002</v>
      </c>
      <c r="AK219" s="156">
        <f t="shared" si="40"/>
        <v>0.85714285714285721</v>
      </c>
      <c r="AL219" s="156">
        <f t="shared" si="41"/>
        <v>5.5180504473768561</v>
      </c>
      <c r="AM219" s="157"/>
      <c r="AN219" s="156">
        <f>MAX(0,Table7[[#This Row],[I_L]]-0.5*Table7[[#This Row],[I_L pkpk]])</f>
        <v>5.0839285714285714</v>
      </c>
      <c r="AO219" s="156">
        <f>Table7[[#This Row],[I_L]]+0.5*Table7[[#This Row],[I_L pkpk]]</f>
        <v>5.941071428571429</v>
      </c>
      <c r="AP219" s="156">
        <f ca="1">IF(VACnom&gt;Vbat, (VGS_S-(TI_MOSFET_S_VTH_H_BU+Table7[[#This Row],[I_L]]/TI_MOSFET_S_gFS_H_BU))/3.4, (VGS_S-(TI_MOSFET_S_VTH_L_BO+Table7[[#This Row],[I_L]]/TI_MOSFET_S_gFS_L_BO))/3.4 )</f>
        <v>2.4139988687782807</v>
      </c>
      <c r="AQ219" s="156">
        <f ca="1">IF(VACnom&gt;Vbat, ((TI_MOSFET_S_VTH_H_BU+Table7[[#This Row],[I_L]]/TI_MOSFET_S_gFS_H_BU))/1, ((TI_MOSFET_S_VTH_L_BO+Table7[[#This Row],[I_L]]/TI_MOSFET_S_gFS_L_BO))/1 )</f>
        <v>1.7924038461538461</v>
      </c>
      <c r="AR219" s="156">
        <f ca="1">IF(VACnom&gt;Vbat, (TI_MOSFET_S_QGD_H_BU+TI_MOSFET_S_QGS_H_BU)*10^-9/Table7[[#This Row],[Ion (A)]], (TI_MOSFET_S_QGD_L_BO+TI_MOSFET_S_QGS_L_BO)*10^-9/Table7[[#This Row],[Ion (A)]])/10^-9</f>
        <v>11.930411555899202</v>
      </c>
      <c r="AS219" s="156">
        <f ca="1">IF(VACnom&gt;Vbat, (TI_MOSFET_S_QGD_H_BU+TI_MOSFET_S_QGS_H_BU)*10^-9/Table7[[#This Row],[Ioff (A)]], (TI_MOSFET_S_QGD_L_BO+TI_MOSFET_S_QGS_L_BO)*10^-9/Table7[[#This Row],[Ioff (A)]])/10^-9</f>
        <v>16.067807521055737</v>
      </c>
      <c r="AT219" s="156">
        <f ca="1" xml:space="preserve"> 0.5*VACnom*Table7[[#This Row],[Ivalley (A)]]*Table7[[#This Row],[ton (ns)]]*10^-9*Fsw*10^3+0.5*VACnom*Table7[[#This Row],[Ipeak (A)]]*Table7[[#This Row],[toff (ns)]]*10^-9*Fsw*10^3/10^-3</f>
        <v>343.87432395590628</v>
      </c>
      <c r="AU219" s="156">
        <f t="shared" ca="1" si="31"/>
        <v>262.8</v>
      </c>
      <c r="AV219" s="156">
        <f t="shared" ca="1" si="32"/>
        <v>648</v>
      </c>
      <c r="AW219" s="156">
        <f t="shared" ca="1" si="33"/>
        <v>554.4</v>
      </c>
      <c r="AX219" s="156">
        <f ca="1">IF(VACnom&gt;Vbat, TI_MOSFET_S_VSD_L_BU*Table7[[#This Row],[Ivalley (A)]]*Fsw*10^3*40*10^-9+TI_MOSFET_S_VSD_L_BU*Table7[[#This Row],[Ipeak (A)]]*Fsw*10^3*30*10^-9, TI_MOSFET_S_VSD_H_BO*Table7[[#This Row],[Ivalley (A)]]*Fsw*10^3*40*10^-9+TI_MOSFET_S_VSD_H_BO*Table7[[#This Row],[Ipeak (A)]]*Fsw*10^3*30*10^-9)/10^-3</f>
        <v>164.84657142857142</v>
      </c>
      <c r="AY219" s="156">
        <f t="shared" ca="1" si="34"/>
        <v>648</v>
      </c>
      <c r="AZ219" s="156">
        <f ca="1">IF(VACnom&lt;Vbat, Table7[[#This Row],[Duty Cycle]]*Table7[[#This Row],[I_L RMS]]^2*TI_MOSFET_S_RDSON_H_BU*10^-3, (1-Table7[[#This Row],[Duty Cycle]])*Table7[[#This Row],[I_L RMS]]^2*TI_MOSFET_S_RDSON_H_BO*10^-3)/10^-3</f>
        <v>36.538656887755103</v>
      </c>
      <c r="BA219" s="156">
        <f ca="1">IF(VACnom&gt;Vbat, Table7[[#This Row],[PIV (mW)]]+Table7[[#This Row],[Pqoss (mW)]]+Table7[[#This Row],[Pgate_top (mW)]], Table7[[#This Row],[PRR (mW)]]+Table7[[#This Row],[Pdead (mW)]]+Table7[[#This Row],[Pgate_top (mW)]])</f>
        <v>1367.2465714285713</v>
      </c>
      <c r="BB219" s="156">
        <f ca="1">Table7[[#This Row],[Pcon_top (mW)]]+Table7[[#This Row],[Psw_top (mW)]]</f>
        <v>1403.7852283163263</v>
      </c>
      <c r="BC219" s="156">
        <f ca="1">IF(VACnom&gt;Vbat, (1-Table7[[#This Row],[Duty Cycle]])*Table7[[#This Row],[I_L RMS]]^2*TI_MOSFET_S_RDSON_L_BU*10^-3, Table7[[#This Row],[Duty Cycle]]*Table7[[#This Row],[I_L RMS]]^2*TI_MOSFET_S_RDSON_L_BO*10^-3)/10^-3</f>
        <v>36.538656887755103</v>
      </c>
      <c r="BD219" s="156">
        <f ca="1">IF(VACnom&gt;Vbat, Table7[[#This Row],[PRR (mW)]]+Table7[[#This Row],[Pdead (mW)]]+Table7[[#This Row],[Pgate_bottom (mW)]], Table7[[#This Row],[PIV (mW)]]+Table7[[#This Row],[Pqoss (mW)]]+Table7[[#This Row],[Pgate_bottom (mW)]])</f>
        <v>1254.6743239559064</v>
      </c>
      <c r="BE219" s="158">
        <f ca="1">Table7[[#This Row],[Pcon_bottom (mW)]]+Table7[[#This Row],[Psw_bottom (mW)]]</f>
        <v>1291.2129808436614</v>
      </c>
      <c r="BF219" s="164">
        <f ca="1">Table7[[#This Row],[Pbottom (mW)]]+Table7[[#This Row],[Ptop (mW)]]</f>
        <v>2694.9982091599877</v>
      </c>
      <c r="BG219" s="153"/>
      <c r="BH219" s="156">
        <f>MAX(0,Table7[[#This Row],[I_L]]-0.5*Table7[[#This Row],[I_L pkpk]])</f>
        <v>5.0839285714285714</v>
      </c>
      <c r="BI219" s="156">
        <f>Table7[[#This Row],[I_L]]+0.5*Table7[[#This Row],[I_L pkpk]]</f>
        <v>5.941071428571429</v>
      </c>
      <c r="BJ219" s="156">
        <f>IF(VACnom&gt;Vbat, (VGS_S-(C_MOSFET_S_VTH_H_BU+Table7[[#This Row],[I_L]]/C_MOSFET_S_gFS_H_BU))/3.4, (VGS_S-(C_MOSFET_S_VTH_L_BO+Table7[[#This Row],[I_L]]/C_MOSFET_S_gFS_L_BO))/3.4 )</f>
        <v>2.3421323529411766</v>
      </c>
      <c r="BK219" s="156">
        <f>IF(VACnom&gt;Vbat, ((C_MOSFET_S_VTH_H_BU+Table7[[#This Row],[I_L]]/C_MOSFET_S_gFS_H_BU))/1, ((C_MOSFET_S_VTH_L_BO+Table7[[#This Row],[I_L]]/C_MOSFET_S_gFS_L_BO))/1 )</f>
        <v>2.0367500000000001</v>
      </c>
      <c r="BL219" s="156">
        <f>IF(VACnom&gt;Vbat, (C_MOSFET_S_QGD_H_BU+C_MOSFET_S_QGS_H_BU)*10^-9/Table7[[#This Row],[Ion (A) C]], (C_MOSFET_S_QGD_L_BO+C_MOSFET_S_QGS_L_BO)*10^-9/Table7[[#This Row],[Ion (A) C]])/10^-9</f>
        <v>2.7752487991711927</v>
      </c>
      <c r="BM219" s="156">
        <f>IF(VACnom&gt;Vbat, (C_MOSFET_S_QGD_H_BU+C_MOSFET_S_QGS_H_BU)*10^-9/Table7[[#This Row],[Ioff (A) C]], (C_MOSFET_S_QGD_L_BO+C_MOSFET_S_QGS_L_BO)*10^-9/Table7[[#This Row],[Ioff (A) C]])/10^-9</f>
        <v>3.19135878237388</v>
      </c>
      <c r="BN219" s="156">
        <f xml:space="preserve"> 0.5*VACnom*Table7[[#This Row],[Ivalley (A) C]]*Table7[[#This Row],[ton (ns) C]]*10^-9*Fsw*10^3+0.5*VACnom*Table7[[#This Row],[Ipeak (A) C]]*Table7[[#This Row],[toff (ns) C]]*10^-9*Fsw*10^3/10^-3</f>
        <v>68.307118729001601</v>
      </c>
      <c r="BO219" s="156">
        <f t="shared" si="35"/>
        <v>129.6</v>
      </c>
      <c r="BP219" s="156">
        <f t="shared" ca="1" si="36"/>
        <v>291.59999999999997</v>
      </c>
      <c r="BQ219" s="156">
        <f t="shared" si="37"/>
        <v>237.6</v>
      </c>
      <c r="BR219" s="156">
        <f>IF(VACnom&gt;Vbat, C_MOSFET_S_VSD_L_BU*Table7[[#This Row],[Ivalley (A) C]]*Fsw*10^3*40*10^-9+C_MOSFET_S_VSD_L_BU*Table7[[#This Row],[Ipeak (A) C]]*Fsw*10^3*30*10^-9, C_MOSFET_S_VSD_H_BO*Table7[[#This Row],[Ivalley (A) C]]*Fsw*10^3*40*10^-9+C_MOSFET_S_VSD_H_BO*Table7[[#This Row],[Ipeak (A) C]]*Fsw*10^3*30*10^-9)/10^-3</f>
        <v>183.16285714285718</v>
      </c>
      <c r="BS219" s="156">
        <f t="shared" ca="1" si="38"/>
        <v>291.59999999999997</v>
      </c>
      <c r="BT219" s="156">
        <f>IF(VACnom&lt;Vbat, Table7[[#This Row],[Duty Cycle]]*Table7[[#This Row],[I_L RMS]]^2*C_MOSFET_S_RDSON_H_BU*10^-3, (1-Table7[[#This Row],[Duty Cycle]])*Table7[[#This Row],[I_L RMS]]^2*C_MOSFET_S_RDSON_H_BO*10^-3)/10^-3</f>
        <v>74.382265807215745</v>
      </c>
      <c r="BU219" s="156">
        <f ca="1">IF(VACnom&gt;Vbat, Table7[[#This Row],[PIV (mW) C]]+Table7[[#This Row],[PQoss (mW) C]]+Table7[[#This Row],[Pgate_top (mW) C]], Table7[[#This Row],[PRR (mW) C]]+Table7[[#This Row],[Pdead (mW) C]]+Table7[[#This Row],[Pgate_top (mW) C]])</f>
        <v>712.36285714285714</v>
      </c>
      <c r="BV219" s="156">
        <f ca="1">Table7[[#This Row],[Pcon_top (mW) C]]+Table7[[#This Row],[Psw_top (mW) C]]</f>
        <v>786.74512295007287</v>
      </c>
      <c r="BW219" s="156">
        <f ca="1">IF(VACnom&gt;Vbat, (1-Table7[[#This Row],[Duty Cycle]])*Table7[[#This Row],[I_L RMS]]^2*C_MOSFET_S_RDSON_L_BU*10^-3, Table7[[#This Row],[Duty Cycle]]*Table7[[#This Row],[I_L RMS]]^2*C_MOSFET_S_RDSON_L_BO*10^-3)/10^-3</f>
        <v>46.32579712554665</v>
      </c>
      <c r="BX219" s="156">
        <f ca="1">IF(VACnom&gt;Vbat, Table7[[#This Row],[PRR (mW) C]]+Table7[[#This Row],[Pdead (mW) C]]+Table7[[#This Row],[Pgate_bottom (mW) C]], Table7[[#This Row],[PIV (mW) C]]+Table7[[#This Row],[PQoss (mW) C]]+Table7[[#This Row],[Pgate_bottom (mW) C]])</f>
        <v>489.50711872900155</v>
      </c>
      <c r="BY219" s="156">
        <f ca="1">Table7[[#This Row],[Pcon_bottom (mW) C]]+Table7[[#This Row],[Psw_bottom (mV) C]]</f>
        <v>535.83291585454822</v>
      </c>
      <c r="BZ219" s="156">
        <f ca="1">Table7[[#This Row],[Pbottom (mW) C]]+Table7[[#This Row],[Ptop (mW) C]]</f>
        <v>1322.578038804621</v>
      </c>
      <c r="CA219" s="159"/>
      <c r="CB219" s="160">
        <f>(RAC_SNS*10^-3*(Table7[[#This Row],[IOUT (A)]]*Vbat/VACnom)^2/10^-3)</f>
        <v>151.93828124999996</v>
      </c>
      <c r="CC219" s="160">
        <f>(RBAT_SNS*10^-3*Table7[[#This Row],[IOUT (A)]]^2)/10^-3</f>
        <v>49.612499999999997</v>
      </c>
      <c r="CD219" s="160">
        <f>IF(VACnom&gt;Vbat,(L_DRC*10^-3*(Table7[[#This Row],[IOUT (A)]])^2/10^-3),(L_DRC*10^-3*(Table7[[#This Row],[IOUT (A)]]*Vbat/VACnom)^2/10^-3))</f>
        <v>364.6518749999999</v>
      </c>
      <c r="CE219" s="166"/>
      <c r="CF219" s="156">
        <f>(Table7[[#This Row],[R_AC (mW)]]+Table7[[#This Row],[R_SR (mW)]]+Table7[[#This Row],[Inductor Loss (mW)]])/10^3</f>
        <v>0.56620265624999977</v>
      </c>
      <c r="CG219" s="156">
        <f ca="1">Table7[[#This Row],[Total TI (mW)]]/10^3</f>
        <v>2.6949982091599876</v>
      </c>
      <c r="CH219" s="156">
        <f ca="1">Table7[[#This Row],[Total Sense Loss]]+Table7[[#This Row],[Total MOSFET Loss]]</f>
        <v>3.2612008654099873</v>
      </c>
      <c r="CI219" s="161">
        <f ca="1">IF(Table7[[#This Row],[POUT (W)]]=0,0,(Table7[[#This Row],[POUT (W)]])/(Table7[[#This Row],[POUT (W)]]+Table7[[#This Row],[Total Power Loss (W)]]))*100</f>
        <v>92.057707040523425</v>
      </c>
      <c r="CJ219" s="167"/>
      <c r="CK219" s="156">
        <f>(Table7[[#This Row],[R_AC (mW)]]+Table7[[#This Row],[R_SR (mW)]]+Table7[[#This Row],[Inductor Loss (mW)]])/10^3</f>
        <v>0.56620265624999977</v>
      </c>
      <c r="CL219" s="156">
        <f ca="1">Table7[[#This Row],[Total (mW) C]]/10^3</f>
        <v>1.3225780388046209</v>
      </c>
      <c r="CM219" s="156">
        <f ca="1">Table7[[#This Row],[Total Sense Loss C]]+Table7[[#This Row],[Total MOSFET Loss C]]</f>
        <v>1.8887806950546207</v>
      </c>
      <c r="CN219" s="161">
        <f ca="1">IF(Table7[[#This Row],[POUT (W)]]=0,0,(Table7[[#This Row],[POUT (W)]])/(Table7[[#This Row],[POUT (W)]]+Table7[[#This Row],[Total Power Loss (W) C]]))*100</f>
        <v>95.24102110980202</v>
      </c>
      <c r="CO219" s="167"/>
      <c r="CP219" s="161">
        <f>IF(MOSFET_S=Custom_MOSFET,Table7[[#This Row],[Total Sense Loss C]],Table7[[#This Row],[Total Sense Loss]])</f>
        <v>0.56620265624999977</v>
      </c>
      <c r="CQ219" s="161">
        <f ca="1">IF(MOSFET_S=Custom_MOSFET,Table7[[#This Row],[Total MOSFET Loss C]],Table7[[#This Row],[Total MOSFET Loss]])</f>
        <v>2.6949982091599876</v>
      </c>
      <c r="CR219" s="161">
        <f ca="1">IF(MOSFET_S=Custom_MOSFET,Table7[[#This Row],[Efficiency C]],Table7[[#This Row],[Efficiency]])</f>
        <v>92.057707040523425</v>
      </c>
      <c r="CS219" s="167"/>
      <c r="CT219" s="161">
        <f>IF(MOSFET_S=Compare_MOSFET, Table7[[#This Row],[Total Sense Loss C]], -100)</f>
        <v>-100</v>
      </c>
      <c r="CU219" s="161">
        <f>IF(MOSFET_S=Compare_MOSFET, Table7[[#This Row],[Total MOSFET Loss C]], -100)</f>
        <v>-100</v>
      </c>
      <c r="CV219" s="161">
        <f>IF(MOSFET_S=Compare_MOSFET, Table7[[#This Row],[Efficiency C]], -100)</f>
        <v>-100</v>
      </c>
      <c r="CW219" s="167"/>
      <c r="CX219" s="161">
        <f ca="1">IF(Save_Sel=CLR_Save,  Table7[[#This Row],[Total Sense Loss P1]], Table7[[#This Row],[Total Sense Loss P1 Saved]])</f>
        <v>0.56620265624999977</v>
      </c>
      <c r="CY219" s="161">
        <f ca="1">IF(Save_Sel=CLR_Save,  Table7[[#This Row],[Total MOSFET Loss P1]], Table7[[#This Row],[Total MOSFET Loss P1 Saved]] )</f>
        <v>2.0022160330827048</v>
      </c>
      <c r="CZ219" s="161">
        <f ca="1">IF(Save_Sel=CLR_Save, Table7[[#This Row],[Efficiency P1]], Table7[[#This Row],[Efficiency P1 Saved]])</f>
        <v>93.637554373633662</v>
      </c>
      <c r="DA219" s="167"/>
      <c r="DB219" s="161">
        <f ca="1">IF(Save_Sel=CLR_Save,  Table7[[#This Row],[Total Sense Loss P2]], Table7[[#This Row],[Total Sense Loss P2 Saved]])</f>
        <v>0.56620265624999977</v>
      </c>
      <c r="DC219" s="161">
        <f ca="1">IF(Save_Sel=CLR_Save,  Table7[[#This Row],[Total MOSFET Loss P2]], Table7[[#This Row],[Total MOSFET Loss P2 Saved]] )</f>
        <v>1.3605350594768175</v>
      </c>
      <c r="DD219" s="161">
        <f ca="1">IF(Save_Sel=CLR_Save, Table7[[#This Row],[Efficiency P2]], Table7[[#This Row],[Efficiency P2 Saved]])</f>
        <v>95.150022814573902</v>
      </c>
      <c r="DE219" s="167"/>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c r="FH219" s="21"/>
      <c r="FI219" s="21"/>
    </row>
    <row r="220" spans="1:165" x14ac:dyDescent="0.25">
      <c r="A220" s="34"/>
      <c r="B220" s="51"/>
      <c r="C220" s="51"/>
      <c r="D220" s="34"/>
      <c r="E220" s="69"/>
      <c r="F220" s="69"/>
      <c r="G220" s="51"/>
      <c r="H220" s="31"/>
      <c r="I220" s="31"/>
      <c r="J220" s="31"/>
      <c r="K220" s="31"/>
      <c r="L220" s="31"/>
      <c r="M220" s="31"/>
      <c r="N220" s="31"/>
      <c r="O220" s="31"/>
      <c r="P220" s="31"/>
      <c r="Q220" s="31"/>
      <c r="R220" s="31"/>
      <c r="S220" s="32"/>
      <c r="T220" s="20"/>
      <c r="U220" s="21"/>
      <c r="V220" s="21"/>
      <c r="W220" s="21"/>
      <c r="X220" s="21"/>
      <c r="Y220" s="21"/>
      <c r="Z220" s="21"/>
      <c r="AA220" s="21"/>
      <c r="AB220" s="21"/>
      <c r="AC220" s="21"/>
      <c r="AD220" s="21"/>
      <c r="AE220" s="21"/>
      <c r="AF220" s="154">
        <f t="shared" si="17"/>
        <v>64</v>
      </c>
      <c r="AG220" s="154">
        <f t="shared" si="39"/>
        <v>3.2</v>
      </c>
      <c r="AH220" s="155">
        <f t="shared" ref="AH220:AH251" si="42">AG220*VACnom</f>
        <v>38.400000000000006</v>
      </c>
      <c r="AI220" s="156">
        <f t="shared" ref="AI220:AI256" si="43">IF(VACnom&lt;Vbat, (Vbat-VACnom)/Vbat, Vbat/VACnom)</f>
        <v>0.42857142857142855</v>
      </c>
      <c r="AJ220" s="156">
        <f t="shared" ref="AJ220:AJ251" si="44">IF(VACnom&lt;Vbat, AG220/(1-AI220), AG220*AI220)</f>
        <v>5.6000000000000005</v>
      </c>
      <c r="AK220" s="156">
        <f t="shared" si="40"/>
        <v>0.85714285714285721</v>
      </c>
      <c r="AL220" s="156">
        <f t="shared" si="41"/>
        <v>5.6054638068402447</v>
      </c>
      <c r="AM220" s="157"/>
      <c r="AN220" s="156">
        <f>MAX(0,Table7[[#This Row],[I_L]]-0.5*Table7[[#This Row],[I_L pkpk]])</f>
        <v>5.1714285714285717</v>
      </c>
      <c r="AO220" s="156">
        <f>Table7[[#This Row],[I_L]]+0.5*Table7[[#This Row],[I_L pkpk]]</f>
        <v>6.0285714285714294</v>
      </c>
      <c r="AP220" s="156">
        <f ca="1">IF(VACnom&gt;Vbat, (VGS_S-(TI_MOSFET_S_VTH_H_BU+Table7[[#This Row],[I_L]]/TI_MOSFET_S_gFS_H_BU))/3.4, (VGS_S-(TI_MOSFET_S_VTH_L_BO+Table7[[#This Row],[I_L]]/TI_MOSFET_S_gFS_L_BO))/3.4 )</f>
        <v>2.4138009049773759</v>
      </c>
      <c r="AQ220" s="156">
        <f ca="1">IF(VACnom&gt;Vbat, ((TI_MOSFET_S_VTH_H_BU+Table7[[#This Row],[I_L]]/TI_MOSFET_S_gFS_H_BU))/1, ((TI_MOSFET_S_VTH_L_BO+Table7[[#This Row],[I_L]]/TI_MOSFET_S_gFS_L_BO))/1 )</f>
        <v>1.793076923076923</v>
      </c>
      <c r="AR220" s="156">
        <f ca="1">IF(VACnom&gt;Vbat, (TI_MOSFET_S_QGD_H_BU+TI_MOSFET_S_QGS_H_BU)*10^-9/Table7[[#This Row],[Ion (A)]], (TI_MOSFET_S_QGD_L_BO+TI_MOSFET_S_QGS_L_BO)*10^-9/Table7[[#This Row],[Ion (A)]])/10^-9</f>
        <v>11.931390008435653</v>
      </c>
      <c r="AS220" s="156">
        <f ca="1">IF(VACnom&gt;Vbat, (TI_MOSFET_S_QGD_H_BU+TI_MOSFET_S_QGS_H_BU)*10^-9/Table7[[#This Row],[Ioff (A)]], (TI_MOSFET_S_QGD_L_BO+TI_MOSFET_S_QGS_L_BO)*10^-9/Table7[[#This Row],[Ioff (A)]])/10^-9</f>
        <v>16.061776061776065</v>
      </c>
      <c r="AT220" s="156">
        <f ca="1" xml:space="preserve"> 0.5*VACnom*Table7[[#This Row],[Ivalley (A)]]*Table7[[#This Row],[ton (ns)]]*10^-9*Fsw*10^3+0.5*VACnom*Table7[[#This Row],[Ipeak (A)]]*Table7[[#This Row],[toff (ns)]]*10^-9*Fsw*10^3/10^-3</f>
        <v>348.80855972155996</v>
      </c>
      <c r="AU220" s="156">
        <f t="shared" ref="AU220:AU256" ca="1" si="45">IF(VACnom&gt;Vbat, 0.5*VACnom*TI_MOSFET_S_QOSS_H_BU*10^-9*Fsw*10^3,0.5*VACnom*TI_MOSFET_S_QOSS_L_BO*10^-9*Fsw*10^3)/10^-3</f>
        <v>262.8</v>
      </c>
      <c r="AV220" s="156">
        <f t="shared" ref="AV220:AV256" ca="1" si="46">IF(VACnom&gt;Vbat, VACnom*TI_MOSFET_S_QG_H_BU*10^-9*Fsw*10^3,VACnom*TI_MOSFET_S_QG_H_BO*10^-9*Fsw*10^3)/10^-3</f>
        <v>648</v>
      </c>
      <c r="AW220" s="156">
        <f t="shared" ref="AW220:AW256" ca="1" si="47">IF(VACnom&gt;Vbat, VACnom*TI_MOSFET_S_QRR_L_BU*10^-9*Fsw*10^3, VACnom*TI_MOSFET_S_QRR_H_BO*10^-9*Fsw*10^3)/10^-3</f>
        <v>554.4</v>
      </c>
      <c r="AX220" s="156">
        <f ca="1">IF(VACnom&gt;Vbat, TI_MOSFET_S_VSD_L_BU*Table7[[#This Row],[Ivalley (A)]]*Fsw*10^3*40*10^-9+TI_MOSFET_S_VSD_L_BU*Table7[[#This Row],[Ipeak (A)]]*Fsw*10^3*30*10^-9, TI_MOSFET_S_VSD_H_BO*Table7[[#This Row],[Ivalley (A)]]*Fsw*10^3*40*10^-9+TI_MOSFET_S_VSD_H_BO*Table7[[#This Row],[Ipeak (A)]]*Fsw*10^3*30*10^-9)/10^-3</f>
        <v>167.49257142857144</v>
      </c>
      <c r="AY220" s="156">
        <f t="shared" ref="AY220:AY256" ca="1" si="48">IF(VACnom&gt;Vbat, VACnom*TI_MOSFET_S_QG_L_BU*10^-9*Fsw*10^3, VACnom*TI_MOSFET_S_QG_L_BO*10^-9*Fsw*10^3)/10^-3</f>
        <v>648</v>
      </c>
      <c r="AZ220" s="156">
        <f ca="1">IF(VACnom&lt;Vbat, Table7[[#This Row],[Duty Cycle]]*Table7[[#This Row],[I_L RMS]]^2*TI_MOSFET_S_RDSON_H_BU*10^-3, (1-Table7[[#This Row],[Duty Cycle]])*Table7[[#This Row],[I_L RMS]]^2*TI_MOSFET_S_RDSON_H_BO*10^-3)/10^-3</f>
        <v>37.705469387755109</v>
      </c>
      <c r="BA220" s="156">
        <f ca="1">IF(VACnom&gt;Vbat, Table7[[#This Row],[PIV (mW)]]+Table7[[#This Row],[Pqoss (mW)]]+Table7[[#This Row],[Pgate_top (mW)]], Table7[[#This Row],[PRR (mW)]]+Table7[[#This Row],[Pdead (mW)]]+Table7[[#This Row],[Pgate_top (mW)]])</f>
        <v>1369.8925714285715</v>
      </c>
      <c r="BB220" s="156">
        <f ca="1">Table7[[#This Row],[Pcon_top (mW)]]+Table7[[#This Row],[Psw_top (mW)]]</f>
        <v>1407.5980408163266</v>
      </c>
      <c r="BC220" s="156">
        <f ca="1">IF(VACnom&gt;Vbat, (1-Table7[[#This Row],[Duty Cycle]])*Table7[[#This Row],[I_L RMS]]^2*TI_MOSFET_S_RDSON_L_BU*10^-3, Table7[[#This Row],[Duty Cycle]]*Table7[[#This Row],[I_L RMS]]^2*TI_MOSFET_S_RDSON_L_BO*10^-3)/10^-3</f>
        <v>37.705469387755109</v>
      </c>
      <c r="BD220" s="156">
        <f ca="1">IF(VACnom&gt;Vbat, Table7[[#This Row],[PRR (mW)]]+Table7[[#This Row],[Pdead (mW)]]+Table7[[#This Row],[Pgate_bottom (mW)]], Table7[[#This Row],[PIV (mW)]]+Table7[[#This Row],[Pqoss (mW)]]+Table7[[#This Row],[Pgate_bottom (mW)]])</f>
        <v>1259.6085597215599</v>
      </c>
      <c r="BE220" s="158">
        <f ca="1">Table7[[#This Row],[Pcon_bottom (mW)]]+Table7[[#This Row],[Psw_bottom (mW)]]</f>
        <v>1297.314029109315</v>
      </c>
      <c r="BF220" s="164">
        <f ca="1">Table7[[#This Row],[Pbottom (mW)]]+Table7[[#This Row],[Ptop (mW)]]</f>
        <v>2704.9120699256418</v>
      </c>
      <c r="BG220" s="153"/>
      <c r="BH220" s="156">
        <f>MAX(0,Table7[[#This Row],[I_L]]-0.5*Table7[[#This Row],[I_L pkpk]])</f>
        <v>5.1714285714285717</v>
      </c>
      <c r="BI220" s="156">
        <f>Table7[[#This Row],[I_L]]+0.5*Table7[[#This Row],[I_L pkpk]]</f>
        <v>6.0285714285714294</v>
      </c>
      <c r="BJ220" s="156">
        <f>IF(VACnom&gt;Vbat, (VGS_S-(C_MOSFET_S_VTH_H_BU+Table7[[#This Row],[I_L]]/C_MOSFET_S_gFS_H_BU))/3.4, (VGS_S-(C_MOSFET_S_VTH_L_BO+Table7[[#This Row],[I_L]]/C_MOSFET_S_gFS_L_BO))/3.4 )</f>
        <v>2.3419607843137258</v>
      </c>
      <c r="BK220" s="156">
        <f>IF(VACnom&gt;Vbat, ((C_MOSFET_S_VTH_H_BU+Table7[[#This Row],[I_L]]/C_MOSFET_S_gFS_H_BU))/1, ((C_MOSFET_S_VTH_L_BO+Table7[[#This Row],[I_L]]/C_MOSFET_S_gFS_L_BO))/1 )</f>
        <v>2.0373333333333332</v>
      </c>
      <c r="BL220" s="156">
        <f>IF(VACnom&gt;Vbat, (C_MOSFET_S_QGD_H_BU+C_MOSFET_S_QGS_H_BU)*10^-9/Table7[[#This Row],[Ion (A) C]], (C_MOSFET_S_QGD_L_BO+C_MOSFET_S_QGS_L_BO)*10^-9/Table7[[#This Row],[Ion (A) C]])/10^-9</f>
        <v>2.7754521098459475</v>
      </c>
      <c r="BM220" s="156">
        <f>IF(VACnom&gt;Vbat, (C_MOSFET_S_QGD_H_BU+C_MOSFET_S_QGS_H_BU)*10^-9/Table7[[#This Row],[Ioff (A) C]], (C_MOSFET_S_QGD_L_BO+C_MOSFET_S_QGS_L_BO)*10^-9/Table7[[#This Row],[Ioff (A) C]])/10^-9</f>
        <v>3.1904450261780104</v>
      </c>
      <c r="BN220" s="156">
        <f xml:space="preserve"> 0.5*VACnom*Table7[[#This Row],[Ivalley (A) C]]*Table7[[#This Row],[ton (ns) C]]*10^-9*Fsw*10^3+0.5*VACnom*Table7[[#This Row],[Ipeak (A) C]]*Table7[[#This Row],[toff (ns) C]]*10^-9*Fsw*10^3/10^-3</f>
        <v>69.293443613702664</v>
      </c>
      <c r="BO220" s="156">
        <f t="shared" ref="BO220:BO256" si="49">IF(VACnom&gt;Vbat, 0.5*VACnom*C_MOSFET_S_QOSS_H_BU*10^-9*Fsw*10^3,0.5*VACnom*C_MOSFET_S_QOSS_L_BO*10^-9*Fsw*10^3)/10^-3</f>
        <v>129.6</v>
      </c>
      <c r="BP220" s="156">
        <f t="shared" ref="BP220:BP256" ca="1" si="50">IF(VACnom&gt;Vbat, VACnom*C_MOSFET_S_QG_H_BU*10^-9*Fsw*10^3,VACnom*C_MOSFET_S_QG_H_BO*10^-9*Fsw*10^3)/10^-3</f>
        <v>291.59999999999997</v>
      </c>
      <c r="BQ220" s="156">
        <f t="shared" ref="BQ220:BQ256" si="51">IF(VACnom&gt;Vbat, VACnom*C_MOSFET_S_QRR_L_BU*10^-9*Fsw*10^3, VACnom*C_MOSFET_S_QRR_H_BO*10^-9*Fsw*10^3)/10^-3</f>
        <v>237.6</v>
      </c>
      <c r="BR220" s="156">
        <f>IF(VACnom&gt;Vbat, C_MOSFET_S_VSD_L_BU*Table7[[#This Row],[Ivalley (A) C]]*Fsw*10^3*40*10^-9+C_MOSFET_S_VSD_L_BU*Table7[[#This Row],[Ipeak (A) C]]*Fsw*10^3*30*10^-9, C_MOSFET_S_VSD_H_BO*Table7[[#This Row],[Ivalley (A) C]]*Fsw*10^3*40*10^-9+C_MOSFET_S_VSD_H_BO*Table7[[#This Row],[Ipeak (A) C]]*Fsw*10^3*30*10^-9)/10^-3</f>
        <v>186.10285714285718</v>
      </c>
      <c r="BS220" s="156">
        <f t="shared" ref="BS220:BS256" ca="1" si="52">IF(VACnom&gt;Vbat, VACnom*C_MOSFET_S_QG_L_BU*10^-9*Fsw*10^3, VACnom*C_MOSFET_S_QG_L_BO*10^-9*Fsw*10^3)/10^-3</f>
        <v>291.59999999999997</v>
      </c>
      <c r="BT220" s="156">
        <f>IF(VACnom&lt;Vbat, Table7[[#This Row],[Duty Cycle]]*Table7[[#This Row],[I_L RMS]]^2*C_MOSFET_S_RDSON_H_BU*10^-3, (1-Table7[[#This Row],[Duty Cycle]])*Table7[[#This Row],[I_L RMS]]^2*C_MOSFET_S_RDSON_H_BO*10^-3)/10^-3</f>
        <v>76.757562682215763</v>
      </c>
      <c r="BU220" s="156">
        <f ca="1">IF(VACnom&gt;Vbat, Table7[[#This Row],[PIV (mW) C]]+Table7[[#This Row],[PQoss (mW) C]]+Table7[[#This Row],[Pgate_top (mW) C]], Table7[[#This Row],[PRR (mW) C]]+Table7[[#This Row],[Pdead (mW) C]]+Table7[[#This Row],[Pgate_top (mW) C]])</f>
        <v>715.30285714285719</v>
      </c>
      <c r="BV220" s="156">
        <f ca="1">Table7[[#This Row],[Pcon_top (mW) C]]+Table7[[#This Row],[Psw_top (mW) C]]</f>
        <v>792.06041982507293</v>
      </c>
      <c r="BW220" s="156">
        <f ca="1">IF(VACnom&gt;Vbat, (1-Table7[[#This Row],[Duty Cycle]])*Table7[[#This Row],[I_L RMS]]^2*C_MOSFET_S_RDSON_L_BU*10^-3, Table7[[#This Row],[Duty Cycle]]*Table7[[#This Row],[I_L RMS]]^2*C_MOSFET_S_RDSON_L_BO*10^-3)/10^-3</f>
        <v>47.805148688046657</v>
      </c>
      <c r="BX220" s="156">
        <f ca="1">IF(VACnom&gt;Vbat, Table7[[#This Row],[PRR (mW) C]]+Table7[[#This Row],[Pdead (mW) C]]+Table7[[#This Row],[Pgate_bottom (mW) C]], Table7[[#This Row],[PIV (mW) C]]+Table7[[#This Row],[PQoss (mW) C]]+Table7[[#This Row],[Pgate_bottom (mW) C]])</f>
        <v>490.49344361370265</v>
      </c>
      <c r="BY220" s="156">
        <f ca="1">Table7[[#This Row],[Pcon_bottom (mW) C]]+Table7[[#This Row],[Psw_bottom (mV) C]]</f>
        <v>538.2985923017493</v>
      </c>
      <c r="BZ220" s="156">
        <f ca="1">Table7[[#This Row],[Pbottom (mW) C]]+Table7[[#This Row],[Ptop (mW) C]]</f>
        <v>1330.3590121268221</v>
      </c>
      <c r="CA220" s="159"/>
      <c r="CB220" s="160">
        <f>(RAC_SNS*10^-3*(Table7[[#This Row],[IOUT (A)]]*Vbat/VACnom)^2/10^-3)</f>
        <v>156.80000000000001</v>
      </c>
      <c r="CC220" s="160">
        <f>(RBAT_SNS*10^-3*Table7[[#This Row],[IOUT (A)]]^2)/10^-3</f>
        <v>51.20000000000001</v>
      </c>
      <c r="CD220" s="160">
        <f>IF(VACnom&gt;Vbat,(L_DRC*10^-3*(Table7[[#This Row],[IOUT (A)]])^2/10^-3),(L_DRC*10^-3*(Table7[[#This Row],[IOUT (A)]]*Vbat/VACnom)^2/10^-3))</f>
        <v>376.32000000000011</v>
      </c>
      <c r="CE220" s="166"/>
      <c r="CF220" s="156">
        <f>(Table7[[#This Row],[R_AC (mW)]]+Table7[[#This Row],[R_SR (mW)]]+Table7[[#This Row],[Inductor Loss (mW)]])/10^3</f>
        <v>0.58432000000000017</v>
      </c>
      <c r="CG220" s="156">
        <f ca="1">Table7[[#This Row],[Total TI (mW)]]/10^3</f>
        <v>2.7049120699256419</v>
      </c>
      <c r="CH220" s="156">
        <f ca="1">Table7[[#This Row],[Total Sense Loss]]+Table7[[#This Row],[Total MOSFET Loss]]</f>
        <v>3.2892320699256423</v>
      </c>
      <c r="CI220" s="161">
        <f ca="1">IF(Table7[[#This Row],[POUT (W)]]=0,0,(Table7[[#This Row],[POUT (W)]])/(Table7[[#This Row],[POUT (W)]]+Table7[[#This Row],[Total Power Loss (W)]]))*100</f>
        <v>92.11011595414233</v>
      </c>
      <c r="CJ220" s="167"/>
      <c r="CK220" s="156">
        <f>(Table7[[#This Row],[R_AC (mW)]]+Table7[[#This Row],[R_SR (mW)]]+Table7[[#This Row],[Inductor Loss (mW)]])/10^3</f>
        <v>0.58432000000000017</v>
      </c>
      <c r="CL220" s="156">
        <f ca="1">Table7[[#This Row],[Total (mW) C]]/10^3</f>
        <v>1.3303590121268221</v>
      </c>
      <c r="CM220" s="156">
        <f ca="1">Table7[[#This Row],[Total Sense Loss C]]+Table7[[#This Row],[Total MOSFET Loss C]]</f>
        <v>1.9146790121268222</v>
      </c>
      <c r="CN220" s="161">
        <f ca="1">IF(Table7[[#This Row],[POUT (W)]]=0,0,(Table7[[#This Row],[POUT (W)]])/(Table7[[#This Row],[POUT (W)]]+Table7[[#This Row],[Total Power Loss (W) C]]))*100</f>
        <v>95.250665367939845</v>
      </c>
      <c r="CO220" s="167"/>
      <c r="CP220" s="161">
        <f>IF(MOSFET_S=Custom_MOSFET,Table7[[#This Row],[Total Sense Loss C]],Table7[[#This Row],[Total Sense Loss]])</f>
        <v>0.58432000000000017</v>
      </c>
      <c r="CQ220" s="161">
        <f ca="1">IF(MOSFET_S=Custom_MOSFET,Table7[[#This Row],[Total MOSFET Loss C]],Table7[[#This Row],[Total MOSFET Loss]])</f>
        <v>2.7049120699256419</v>
      </c>
      <c r="CR220" s="161">
        <f ca="1">IF(MOSFET_S=Custom_MOSFET,Table7[[#This Row],[Efficiency C]],Table7[[#This Row],[Efficiency]])</f>
        <v>92.11011595414233</v>
      </c>
      <c r="CS220" s="167"/>
      <c r="CT220" s="161">
        <f>IF(MOSFET_S=Compare_MOSFET, Table7[[#This Row],[Total Sense Loss C]], -100)</f>
        <v>-100</v>
      </c>
      <c r="CU220" s="161">
        <f>IF(MOSFET_S=Compare_MOSFET, Table7[[#This Row],[Total MOSFET Loss C]], -100)</f>
        <v>-100</v>
      </c>
      <c r="CV220" s="161">
        <f>IF(MOSFET_S=Compare_MOSFET, Table7[[#This Row],[Efficiency C]], -100)</f>
        <v>-100</v>
      </c>
      <c r="CW220" s="167"/>
      <c r="CX220" s="161">
        <f ca="1">IF(Save_Sel=CLR_Save,  Table7[[#This Row],[Total Sense Loss P1]], Table7[[#This Row],[Total Sense Loss P1 Saved]])</f>
        <v>0.58432000000000017</v>
      </c>
      <c r="CY220" s="161">
        <f ca="1">IF(Save_Sel=CLR_Save,  Table7[[#This Row],[Total MOSFET Loss P1]], Table7[[#This Row],[Total MOSFET Loss P1 Saved]] )</f>
        <v>2.0127627550407854</v>
      </c>
      <c r="CZ220" s="161">
        <f ca="1">IF(Save_Sel=CLR_Save, Table7[[#This Row],[Efficiency P1]], Table7[[#This Row],[Efficiency P1 Saved]])</f>
        <v>93.665201081358745</v>
      </c>
      <c r="DA220" s="167"/>
      <c r="DB220" s="161">
        <f ca="1">IF(Save_Sel=CLR_Save,  Table7[[#This Row],[Total Sense Loss P2]], Table7[[#This Row],[Total Sense Loss P2 Saved]])</f>
        <v>0.58432000000000017</v>
      </c>
      <c r="DC220" s="161">
        <f ca="1">IF(Save_Sel=CLR_Save,  Table7[[#This Row],[Total MOSFET Loss P2]], Table7[[#This Row],[Total MOSFET Loss P2 Saved]] )</f>
        <v>1.3695265048946135</v>
      </c>
      <c r="DD220" s="161">
        <f ca="1">IF(Save_Sel=CLR_Save, Table7[[#This Row],[Efficiency P2]], Table7[[#This Row],[Efficiency P2 Saved]])</f>
        <v>95.158214955648333</v>
      </c>
      <c r="DE220" s="167"/>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c r="FH220" s="21"/>
      <c r="FI220" s="21"/>
    </row>
    <row r="221" spans="1:165" x14ac:dyDescent="0.25">
      <c r="A221" s="100"/>
      <c r="B221" s="51"/>
      <c r="C221" s="51"/>
      <c r="D221" s="34"/>
      <c r="E221" s="69"/>
      <c r="F221" s="69"/>
      <c r="G221" s="51"/>
      <c r="H221" s="31"/>
      <c r="I221" s="31"/>
      <c r="J221" s="31"/>
      <c r="K221" s="31"/>
      <c r="L221" s="31"/>
      <c r="M221" s="31"/>
      <c r="N221" s="31"/>
      <c r="O221" s="31"/>
      <c r="P221" s="31"/>
      <c r="Q221" s="31"/>
      <c r="R221" s="31"/>
      <c r="S221" s="32"/>
      <c r="T221" s="20"/>
      <c r="U221" s="21"/>
      <c r="V221" s="21"/>
      <c r="W221" s="21"/>
      <c r="X221" s="21"/>
      <c r="Y221" s="21"/>
      <c r="Z221" s="21"/>
      <c r="AA221" s="21"/>
      <c r="AB221" s="21"/>
      <c r="AC221" s="21"/>
      <c r="AD221" s="21"/>
      <c r="AE221" s="21"/>
      <c r="AF221" s="154">
        <f t="shared" si="17"/>
        <v>65</v>
      </c>
      <c r="AG221" s="154">
        <f t="shared" ref="AG221:AG252" si="53">$AG$156+AF221*($AG$256-$AG$156)/$AF$256</f>
        <v>3.25</v>
      </c>
      <c r="AH221" s="155">
        <f t="shared" si="42"/>
        <v>39</v>
      </c>
      <c r="AI221" s="156">
        <f t="shared" si="43"/>
        <v>0.42857142857142855</v>
      </c>
      <c r="AJ221" s="156">
        <f t="shared" si="44"/>
        <v>5.6875</v>
      </c>
      <c r="AK221" s="156">
        <f t="shared" si="40"/>
        <v>0.85714285714285721</v>
      </c>
      <c r="AL221" s="156">
        <f t="shared" si="41"/>
        <v>5.6928798283290609</v>
      </c>
      <c r="AM221" s="157"/>
      <c r="AN221" s="156">
        <f>MAX(0,Table7[[#This Row],[I_L]]-0.5*Table7[[#This Row],[I_L pkpk]])</f>
        <v>5.2589285714285712</v>
      </c>
      <c r="AO221" s="156">
        <f>Table7[[#This Row],[I_L]]+0.5*Table7[[#This Row],[I_L pkpk]]</f>
        <v>6.1160714285714288</v>
      </c>
      <c r="AP221" s="156">
        <f ca="1">IF(VACnom&gt;Vbat, (VGS_S-(TI_MOSFET_S_VTH_H_BU+Table7[[#This Row],[I_L]]/TI_MOSFET_S_gFS_H_BU))/3.4, (VGS_S-(TI_MOSFET_S_VTH_L_BO+Table7[[#This Row],[I_L]]/TI_MOSFET_S_gFS_L_BO))/3.4 )</f>
        <v>2.413602941176471</v>
      </c>
      <c r="AQ221" s="156">
        <f ca="1">IF(VACnom&gt;Vbat, ((TI_MOSFET_S_VTH_H_BU+Table7[[#This Row],[I_L]]/TI_MOSFET_S_gFS_H_BU))/1, ((TI_MOSFET_S_VTH_L_BO+Table7[[#This Row],[I_L]]/TI_MOSFET_S_gFS_L_BO))/1 )</f>
        <v>1.79375</v>
      </c>
      <c r="AR221" s="156">
        <f ca="1">IF(VACnom&gt;Vbat, (TI_MOSFET_S_QGD_H_BU+TI_MOSFET_S_QGS_H_BU)*10^-9/Table7[[#This Row],[Ion (A)]], (TI_MOSFET_S_QGD_L_BO+TI_MOSFET_S_QGS_L_BO)*10^-9/Table7[[#This Row],[Ion (A)]])/10^-9</f>
        <v>11.932368621477531</v>
      </c>
      <c r="AS221" s="156">
        <f ca="1">IF(VACnom&gt;Vbat, (TI_MOSFET_S_QGD_H_BU+TI_MOSFET_S_QGS_H_BU)*10^-9/Table7[[#This Row],[Ioff (A)]], (TI_MOSFET_S_QGD_L_BO+TI_MOSFET_S_QGS_L_BO)*10^-9/Table7[[#This Row],[Ioff (A)]])/10^-9</f>
        <v>16.05574912891986</v>
      </c>
      <c r="AT221" s="156">
        <f ca="1" xml:space="preserve"> 0.5*VACnom*Table7[[#This Row],[Ivalley (A)]]*Table7[[#This Row],[ton (ns)]]*10^-9*Fsw*10^3+0.5*VACnom*Table7[[#This Row],[Ipeak (A)]]*Table7[[#This Row],[toff (ns)]]*10^-9*Fsw*10^3/10^-3</f>
        <v>353.73909594947639</v>
      </c>
      <c r="AU221" s="156">
        <f t="shared" ca="1" si="45"/>
        <v>262.8</v>
      </c>
      <c r="AV221" s="156">
        <f t="shared" ca="1" si="46"/>
        <v>648</v>
      </c>
      <c r="AW221" s="156">
        <f t="shared" ca="1" si="47"/>
        <v>554.4</v>
      </c>
      <c r="AX221" s="156">
        <f ca="1">IF(VACnom&gt;Vbat, TI_MOSFET_S_VSD_L_BU*Table7[[#This Row],[Ivalley (A)]]*Fsw*10^3*40*10^-9+TI_MOSFET_S_VSD_L_BU*Table7[[#This Row],[Ipeak (A)]]*Fsw*10^3*30*10^-9, TI_MOSFET_S_VSD_H_BO*Table7[[#This Row],[Ivalley (A)]]*Fsw*10^3*40*10^-9+TI_MOSFET_S_VSD_H_BO*Table7[[#This Row],[Ipeak (A)]]*Fsw*10^3*30*10^-9)/10^-3</f>
        <v>170.13857142857142</v>
      </c>
      <c r="AY221" s="156">
        <f t="shared" ca="1" si="48"/>
        <v>648</v>
      </c>
      <c r="AZ221" s="156">
        <f ca="1">IF(VACnom&lt;Vbat, Table7[[#This Row],[Duty Cycle]]*Table7[[#This Row],[I_L RMS]]^2*TI_MOSFET_S_RDSON_H_BU*10^-3, (1-Table7[[#This Row],[Duty Cycle]])*Table7[[#This Row],[I_L RMS]]^2*TI_MOSFET_S_RDSON_H_BO*10^-3)/10^-3</f>
        <v>38.8906568877551</v>
      </c>
      <c r="BA221" s="156">
        <f ca="1">IF(VACnom&gt;Vbat, Table7[[#This Row],[PIV (mW)]]+Table7[[#This Row],[Pqoss (mW)]]+Table7[[#This Row],[Pgate_top (mW)]], Table7[[#This Row],[PRR (mW)]]+Table7[[#This Row],[Pdead (mW)]]+Table7[[#This Row],[Pgate_top (mW)]])</f>
        <v>1372.5385714285715</v>
      </c>
      <c r="BB221" s="156">
        <f ca="1">Table7[[#This Row],[Pcon_top (mW)]]+Table7[[#This Row],[Psw_top (mW)]]</f>
        <v>1411.4292283163265</v>
      </c>
      <c r="BC221" s="156">
        <f ca="1">IF(VACnom&gt;Vbat, (1-Table7[[#This Row],[Duty Cycle]])*Table7[[#This Row],[I_L RMS]]^2*TI_MOSFET_S_RDSON_L_BU*10^-3, Table7[[#This Row],[Duty Cycle]]*Table7[[#This Row],[I_L RMS]]^2*TI_MOSFET_S_RDSON_L_BO*10^-3)/10^-3</f>
        <v>38.8906568877551</v>
      </c>
      <c r="BD221" s="156">
        <f ca="1">IF(VACnom&gt;Vbat, Table7[[#This Row],[PRR (mW)]]+Table7[[#This Row],[Pdead (mW)]]+Table7[[#This Row],[Pgate_bottom (mW)]], Table7[[#This Row],[PIV (mW)]]+Table7[[#This Row],[Pqoss (mW)]]+Table7[[#This Row],[Pgate_bottom (mW)]])</f>
        <v>1264.5390959494764</v>
      </c>
      <c r="BE221" s="158">
        <f ca="1">Table7[[#This Row],[Pcon_bottom (mW)]]+Table7[[#This Row],[Psw_bottom (mW)]]</f>
        <v>1303.4297528372315</v>
      </c>
      <c r="BF221" s="164">
        <f ca="1">Table7[[#This Row],[Pbottom (mW)]]+Table7[[#This Row],[Ptop (mW)]]</f>
        <v>2714.858981153558</v>
      </c>
      <c r="BG221" s="153"/>
      <c r="BH221" s="156">
        <f>MAX(0,Table7[[#This Row],[I_L]]-0.5*Table7[[#This Row],[I_L pkpk]])</f>
        <v>5.2589285714285712</v>
      </c>
      <c r="BI221" s="156">
        <f>Table7[[#This Row],[I_L]]+0.5*Table7[[#This Row],[I_L pkpk]]</f>
        <v>6.1160714285714288</v>
      </c>
      <c r="BJ221" s="156">
        <f>IF(VACnom&gt;Vbat, (VGS_S-(C_MOSFET_S_VTH_H_BU+Table7[[#This Row],[I_L]]/C_MOSFET_S_gFS_H_BU))/3.4, (VGS_S-(C_MOSFET_S_VTH_L_BO+Table7[[#This Row],[I_L]]/C_MOSFET_S_gFS_L_BO))/3.4 )</f>
        <v>2.3417892156862745</v>
      </c>
      <c r="BK221" s="156">
        <f>IF(VACnom&gt;Vbat, ((C_MOSFET_S_VTH_H_BU+Table7[[#This Row],[I_L]]/C_MOSFET_S_gFS_H_BU))/1, ((C_MOSFET_S_VTH_L_BO+Table7[[#This Row],[I_L]]/C_MOSFET_S_gFS_L_BO))/1 )</f>
        <v>2.0379166666666668</v>
      </c>
      <c r="BL221" s="156">
        <f>IF(VACnom&gt;Vbat, (C_MOSFET_S_QGD_H_BU+C_MOSFET_S_QGS_H_BU)*10^-9/Table7[[#This Row],[Ion (A) C]], (C_MOSFET_S_QGD_L_BO+C_MOSFET_S_QGS_L_BO)*10^-9/Table7[[#This Row],[Ion (A) C]])/10^-9</f>
        <v>2.7756554503113713</v>
      </c>
      <c r="BM221" s="156">
        <f>IF(VACnom&gt;Vbat, (C_MOSFET_S_QGD_H_BU+C_MOSFET_S_QGS_H_BU)*10^-9/Table7[[#This Row],[Ioff (A) C]], (C_MOSFET_S_QGD_L_BO+C_MOSFET_S_QGS_L_BO)*10^-9/Table7[[#This Row],[Ioff (A) C]])/10^-9</f>
        <v>3.1895317930893476</v>
      </c>
      <c r="BN221" s="156">
        <f xml:space="preserve"> 0.5*VACnom*Table7[[#This Row],[Ivalley (A) C]]*Table7[[#This Row],[ton (ns) C]]*10^-9*Fsw*10^3+0.5*VACnom*Table7[[#This Row],[Ipeak (A) C]]*Table7[[#This Row],[toff (ns) C]]*10^-9*Fsw*10^3/10^-3</f>
        <v>70.27920447834974</v>
      </c>
      <c r="BO221" s="156">
        <f t="shared" si="49"/>
        <v>129.6</v>
      </c>
      <c r="BP221" s="156">
        <f t="shared" ca="1" si="50"/>
        <v>291.59999999999997</v>
      </c>
      <c r="BQ221" s="156">
        <f t="shared" si="51"/>
        <v>237.6</v>
      </c>
      <c r="BR221" s="156">
        <f>IF(VACnom&gt;Vbat, C_MOSFET_S_VSD_L_BU*Table7[[#This Row],[Ivalley (A) C]]*Fsw*10^3*40*10^-9+C_MOSFET_S_VSD_L_BU*Table7[[#This Row],[Ipeak (A) C]]*Fsw*10^3*30*10^-9, C_MOSFET_S_VSD_H_BO*Table7[[#This Row],[Ivalley (A) C]]*Fsw*10^3*40*10^-9+C_MOSFET_S_VSD_H_BO*Table7[[#This Row],[Ipeak (A) C]]*Fsw*10^3*30*10^-9)/10^-3</f>
        <v>189.04285714285717</v>
      </c>
      <c r="BS221" s="156">
        <f t="shared" ca="1" si="52"/>
        <v>291.59999999999997</v>
      </c>
      <c r="BT221" s="156">
        <f>IF(VACnom&lt;Vbat, Table7[[#This Row],[Duty Cycle]]*Table7[[#This Row],[I_L RMS]]^2*C_MOSFET_S_RDSON_H_BU*10^-3, (1-Table7[[#This Row],[Duty Cycle]])*Table7[[#This Row],[I_L RMS]]^2*C_MOSFET_S_RDSON_H_BO*10^-3)/10^-3</f>
        <v>79.170265807215742</v>
      </c>
      <c r="BU221" s="156">
        <f ca="1">IF(VACnom&gt;Vbat, Table7[[#This Row],[PIV (mW) C]]+Table7[[#This Row],[PQoss (mW) C]]+Table7[[#This Row],[Pgate_top (mW) C]], Table7[[#This Row],[PRR (mW) C]]+Table7[[#This Row],[Pdead (mW) C]]+Table7[[#This Row],[Pgate_top (mW) C]])</f>
        <v>718.24285714285713</v>
      </c>
      <c r="BV221" s="156">
        <f ca="1">Table7[[#This Row],[Pcon_top (mW) C]]+Table7[[#This Row],[Psw_top (mW) C]]</f>
        <v>797.41312295007288</v>
      </c>
      <c r="BW221" s="156">
        <f ca="1">IF(VACnom&gt;Vbat, (1-Table7[[#This Row],[Duty Cycle]])*Table7[[#This Row],[I_L RMS]]^2*C_MOSFET_S_RDSON_L_BU*10^-3, Table7[[#This Row],[Duty Cycle]]*Table7[[#This Row],[I_L RMS]]^2*C_MOSFET_S_RDSON_L_BO*10^-3)/10^-3</f>
        <v>49.307797125546642</v>
      </c>
      <c r="BX221" s="156">
        <f ca="1">IF(VACnom&gt;Vbat, Table7[[#This Row],[PRR (mW) C]]+Table7[[#This Row],[Pdead (mW) C]]+Table7[[#This Row],[Pgate_bottom (mW) C]], Table7[[#This Row],[PIV (mW) C]]+Table7[[#This Row],[PQoss (mW) C]]+Table7[[#This Row],[Pgate_bottom (mW) C]])</f>
        <v>491.47920447834969</v>
      </c>
      <c r="BY221" s="156">
        <f ca="1">Table7[[#This Row],[Pcon_bottom (mW) C]]+Table7[[#This Row],[Psw_bottom (mV) C]]</f>
        <v>540.78700160389633</v>
      </c>
      <c r="BZ221" s="156">
        <f ca="1">Table7[[#This Row],[Pbottom (mW) C]]+Table7[[#This Row],[Ptop (mW) C]]</f>
        <v>1338.2001245539691</v>
      </c>
      <c r="CA221" s="159"/>
      <c r="CB221" s="160">
        <f>(RAC_SNS*10^-3*(Table7[[#This Row],[IOUT (A)]]*Vbat/VACnom)^2/10^-3)</f>
        <v>161.73828125</v>
      </c>
      <c r="CC221" s="160">
        <f>(RBAT_SNS*10^-3*Table7[[#This Row],[IOUT (A)]]^2)/10^-3</f>
        <v>52.8125</v>
      </c>
      <c r="CD221" s="160">
        <f>IF(VACnom&gt;Vbat,(L_DRC*10^-3*(Table7[[#This Row],[IOUT (A)]])^2/10^-3),(L_DRC*10^-3*(Table7[[#This Row],[IOUT (A)]]*Vbat/VACnom)^2/10^-3))</f>
        <v>388.171875</v>
      </c>
      <c r="CE221" s="166"/>
      <c r="CF221" s="156">
        <f>(Table7[[#This Row],[R_AC (mW)]]+Table7[[#This Row],[R_SR (mW)]]+Table7[[#This Row],[Inductor Loss (mW)]])/10^3</f>
        <v>0.60272265624999999</v>
      </c>
      <c r="CG221" s="156">
        <f ca="1">Table7[[#This Row],[Total TI (mW)]]/10^3</f>
        <v>2.7148589811535579</v>
      </c>
      <c r="CH221" s="156">
        <f ca="1">Table7[[#This Row],[Total Sense Loss]]+Table7[[#This Row],[Total MOSFET Loss]]</f>
        <v>3.317581637403558</v>
      </c>
      <c r="CI221" s="161">
        <f ca="1">IF(Table7[[#This Row],[POUT (W)]]=0,0,(Table7[[#This Row],[POUT (W)]])/(Table7[[#This Row],[POUT (W)]]+Table7[[#This Row],[Total Power Loss (W)]]))*100</f>
        <v>92.160275920703313</v>
      </c>
      <c r="CJ221" s="167"/>
      <c r="CK221" s="156">
        <f>(Table7[[#This Row],[R_AC (mW)]]+Table7[[#This Row],[R_SR (mW)]]+Table7[[#This Row],[Inductor Loss (mW)]])/10^3</f>
        <v>0.60272265624999999</v>
      </c>
      <c r="CL221" s="156">
        <f ca="1">Table7[[#This Row],[Total (mW) C]]/10^3</f>
        <v>1.3382001245539692</v>
      </c>
      <c r="CM221" s="156">
        <f ca="1">Table7[[#This Row],[Total Sense Loss C]]+Table7[[#This Row],[Total MOSFET Loss C]]</f>
        <v>1.9409227808039691</v>
      </c>
      <c r="CN221" s="161">
        <f ca="1">IF(Table7[[#This Row],[POUT (W)]]=0,0,(Table7[[#This Row],[POUT (W)]])/(Table7[[#This Row],[POUT (W)]]+Table7[[#This Row],[Total Power Loss (W) C]]))*100</f>
        <v>95.259210958200455</v>
      </c>
      <c r="CO221" s="167"/>
      <c r="CP221" s="161">
        <f>IF(MOSFET_S=Custom_MOSFET,Table7[[#This Row],[Total Sense Loss C]],Table7[[#This Row],[Total Sense Loss]])</f>
        <v>0.60272265624999999</v>
      </c>
      <c r="CQ221" s="161">
        <f ca="1">IF(MOSFET_S=Custom_MOSFET,Table7[[#This Row],[Total MOSFET Loss C]],Table7[[#This Row],[Total MOSFET Loss]])</f>
        <v>2.7148589811535579</v>
      </c>
      <c r="CR221" s="161">
        <f ca="1">IF(MOSFET_S=Custom_MOSFET,Table7[[#This Row],[Efficiency C]],Table7[[#This Row],[Efficiency]])</f>
        <v>92.160275920703313</v>
      </c>
      <c r="CS221" s="167"/>
      <c r="CT221" s="161">
        <f>IF(MOSFET_S=Compare_MOSFET, Table7[[#This Row],[Total Sense Loss C]], -100)</f>
        <v>-100</v>
      </c>
      <c r="CU221" s="161">
        <f>IF(MOSFET_S=Compare_MOSFET, Table7[[#This Row],[Total MOSFET Loss C]], -100)</f>
        <v>-100</v>
      </c>
      <c r="CV221" s="161">
        <f>IF(MOSFET_S=Compare_MOSFET, Table7[[#This Row],[Efficiency C]], -100)</f>
        <v>-100</v>
      </c>
      <c r="CW221" s="167"/>
      <c r="CX221" s="161">
        <f ca="1">IF(Save_Sel=CLR_Save,  Table7[[#This Row],[Total Sense Loss P1]], Table7[[#This Row],[Total Sense Loss P1 Saved]])</f>
        <v>0.60272265624999999</v>
      </c>
      <c r="CY221" s="161">
        <f ca="1">IF(Save_Sel=CLR_Save,  Table7[[#This Row],[Total MOSFET Loss P1]], Table7[[#This Row],[Total MOSFET Loss P1 Saved]] )</f>
        <v>2.0233523763415704</v>
      </c>
      <c r="CZ221" s="161">
        <f ca="1">IF(Save_Sel=CLR_Save, Table7[[#This Row],[Efficiency P1]], Table7[[#This Row],[Efficiency P1 Saved]])</f>
        <v>93.6912739658124</v>
      </c>
      <c r="DA221" s="167"/>
      <c r="DB221" s="161">
        <f ca="1">IF(Save_Sel=CLR_Save,  Table7[[#This Row],[Total Sense Loss P2]], Table7[[#This Row],[Total Sense Loss P2 Saved]])</f>
        <v>0.60272265624999999</v>
      </c>
      <c r="DC221" s="161">
        <f ca="1">IF(Save_Sel=CLR_Save,  Table7[[#This Row],[Total MOSFET Loss P2]], Table7[[#This Row],[Total MOSFET Loss P2 Saved]] )</f>
        <v>1.3785971218966315</v>
      </c>
      <c r="DD221" s="161">
        <f ca="1">IF(Save_Sel=CLR_Save, Table7[[#This Row],[Efficiency P2]], Table7[[#This Row],[Efficiency P2 Saved]])</f>
        <v>95.165309978125251</v>
      </c>
      <c r="DE221" s="167"/>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c r="FH221" s="21"/>
      <c r="FI221" s="21"/>
    </row>
    <row r="222" spans="1:165" x14ac:dyDescent="0.25">
      <c r="A222" s="50"/>
      <c r="B222" s="51"/>
      <c r="C222" s="51"/>
      <c r="D222" s="34"/>
      <c r="E222" s="69"/>
      <c r="F222" s="69"/>
      <c r="G222" s="51"/>
      <c r="H222" s="31"/>
      <c r="I222" s="31"/>
      <c r="J222" s="31"/>
      <c r="K222" s="31"/>
      <c r="L222" s="31"/>
      <c r="M222" s="31"/>
      <c r="N222" s="31"/>
      <c r="O222" s="31"/>
      <c r="P222" s="31"/>
      <c r="Q222" s="31"/>
      <c r="R222" s="31"/>
      <c r="S222" s="32"/>
      <c r="T222" s="20"/>
      <c r="U222" s="21"/>
      <c r="V222" s="21"/>
      <c r="W222" s="21"/>
      <c r="X222" s="21"/>
      <c r="Y222" s="21"/>
      <c r="Z222" s="21"/>
      <c r="AA222" s="21"/>
      <c r="AB222" s="21"/>
      <c r="AC222" s="21"/>
      <c r="AD222" s="21"/>
      <c r="AE222" s="21"/>
      <c r="AF222" s="154">
        <f t="shared" ref="AF222:AF256" si="54">AF221+1</f>
        <v>66</v>
      </c>
      <c r="AG222" s="154">
        <f t="shared" si="53"/>
        <v>3.3</v>
      </c>
      <c r="AH222" s="155">
        <f t="shared" si="42"/>
        <v>39.599999999999994</v>
      </c>
      <c r="AI222" s="156">
        <f t="shared" si="43"/>
        <v>0.42857142857142855</v>
      </c>
      <c r="AJ222" s="156">
        <f t="shared" si="44"/>
        <v>5.7750000000000004</v>
      </c>
      <c r="AK222" s="156">
        <f t="shared" si="40"/>
        <v>0.85714285714285721</v>
      </c>
      <c r="AL222" s="156">
        <f t="shared" si="41"/>
        <v>5.780298391069091</v>
      </c>
      <c r="AM222" s="157"/>
      <c r="AN222" s="156">
        <f>MAX(0,Table7[[#This Row],[I_L]]-0.5*Table7[[#This Row],[I_L pkpk]])</f>
        <v>5.3464285714285715</v>
      </c>
      <c r="AO222" s="156">
        <f>Table7[[#This Row],[I_L]]+0.5*Table7[[#This Row],[I_L pkpk]]</f>
        <v>6.2035714285714292</v>
      </c>
      <c r="AP222" s="156">
        <f ca="1">IF(VACnom&gt;Vbat, (VGS_S-(TI_MOSFET_S_VTH_H_BU+Table7[[#This Row],[I_L]]/TI_MOSFET_S_gFS_H_BU))/3.4, (VGS_S-(TI_MOSFET_S_VTH_L_BO+Table7[[#This Row],[I_L]]/TI_MOSFET_S_gFS_L_BO))/3.4 )</f>
        <v>2.4134049773755653</v>
      </c>
      <c r="AQ222" s="156">
        <f ca="1">IF(VACnom&gt;Vbat, ((TI_MOSFET_S_VTH_H_BU+Table7[[#This Row],[I_L]]/TI_MOSFET_S_gFS_H_BU))/1, ((TI_MOSFET_S_VTH_L_BO+Table7[[#This Row],[I_L]]/TI_MOSFET_S_gFS_L_BO))/1 )</f>
        <v>1.7944230769230769</v>
      </c>
      <c r="AR222" s="156">
        <f ca="1">IF(VACnom&gt;Vbat, (TI_MOSFET_S_QGD_H_BU+TI_MOSFET_S_QGS_H_BU)*10^-9/Table7[[#This Row],[Ion (A)]], (TI_MOSFET_S_QGD_L_BO+TI_MOSFET_S_QGS_L_BO)*10^-9/Table7[[#This Row],[Ion (A)]])/10^-9</f>
        <v>11.933347395064335</v>
      </c>
      <c r="AS222" s="156">
        <f ca="1">IF(VACnom&gt;Vbat, (TI_MOSFET_S_QGD_H_BU+TI_MOSFET_S_QGS_H_BU)*10^-9/Table7[[#This Row],[Ioff (A)]], (TI_MOSFET_S_QGD_L_BO+TI_MOSFET_S_QGS_L_BO)*10^-9/Table7[[#This Row],[Ioff (A)]])/10^-9</f>
        <v>16.049726717393632</v>
      </c>
      <c r="AT222" s="156">
        <f ca="1" xml:space="preserve"> 0.5*VACnom*Table7[[#This Row],[Ivalley (A)]]*Table7[[#This Row],[ton (ns)]]*10^-9*Fsw*10^3+0.5*VACnom*Table7[[#This Row],[Ipeak (A)]]*Table7[[#This Row],[toff (ns)]]*10^-9*Fsw*10^3/10^-3</f>
        <v>358.66593680352628</v>
      </c>
      <c r="AU222" s="156">
        <f t="shared" ca="1" si="45"/>
        <v>262.8</v>
      </c>
      <c r="AV222" s="156">
        <f t="shared" ca="1" si="46"/>
        <v>648</v>
      </c>
      <c r="AW222" s="156">
        <f t="shared" ca="1" si="47"/>
        <v>554.4</v>
      </c>
      <c r="AX222" s="156">
        <f ca="1">IF(VACnom&gt;Vbat, TI_MOSFET_S_VSD_L_BU*Table7[[#This Row],[Ivalley (A)]]*Fsw*10^3*40*10^-9+TI_MOSFET_S_VSD_L_BU*Table7[[#This Row],[Ipeak (A)]]*Fsw*10^3*30*10^-9, TI_MOSFET_S_VSD_H_BO*Table7[[#This Row],[Ivalley (A)]]*Fsw*10^3*40*10^-9+TI_MOSFET_S_VSD_H_BO*Table7[[#This Row],[Ipeak (A)]]*Fsw*10^3*30*10^-9)/10^-3</f>
        <v>172.78457142857144</v>
      </c>
      <c r="AY222" s="156">
        <f t="shared" ca="1" si="48"/>
        <v>648</v>
      </c>
      <c r="AZ222" s="156">
        <f ca="1">IF(VACnom&lt;Vbat, Table7[[#This Row],[Duty Cycle]]*Table7[[#This Row],[I_L RMS]]^2*TI_MOSFET_S_RDSON_H_BU*10^-3, (1-Table7[[#This Row],[Duty Cycle]])*Table7[[#This Row],[I_L RMS]]^2*TI_MOSFET_S_RDSON_H_BO*10^-3)/10^-3</f>
        <v>40.094219387755096</v>
      </c>
      <c r="BA222" s="156">
        <f ca="1">IF(VACnom&gt;Vbat, Table7[[#This Row],[PIV (mW)]]+Table7[[#This Row],[Pqoss (mW)]]+Table7[[#This Row],[Pgate_top (mW)]], Table7[[#This Row],[PRR (mW)]]+Table7[[#This Row],[Pdead (mW)]]+Table7[[#This Row],[Pgate_top (mW)]])</f>
        <v>1375.1845714285714</v>
      </c>
      <c r="BB222" s="156">
        <f ca="1">Table7[[#This Row],[Pcon_top (mW)]]+Table7[[#This Row],[Psw_top (mW)]]</f>
        <v>1415.2787908163266</v>
      </c>
      <c r="BC222" s="156">
        <f ca="1">IF(VACnom&gt;Vbat, (1-Table7[[#This Row],[Duty Cycle]])*Table7[[#This Row],[I_L RMS]]^2*TI_MOSFET_S_RDSON_L_BU*10^-3, Table7[[#This Row],[Duty Cycle]]*Table7[[#This Row],[I_L RMS]]^2*TI_MOSFET_S_RDSON_L_BO*10^-3)/10^-3</f>
        <v>40.094219387755096</v>
      </c>
      <c r="BD222" s="156">
        <f ca="1">IF(VACnom&gt;Vbat, Table7[[#This Row],[PRR (mW)]]+Table7[[#This Row],[Pdead (mW)]]+Table7[[#This Row],[Pgate_bottom (mW)]], Table7[[#This Row],[PIV (mW)]]+Table7[[#This Row],[Pqoss (mW)]]+Table7[[#This Row],[Pgate_bottom (mW)]])</f>
        <v>1269.4659368035263</v>
      </c>
      <c r="BE222" s="158">
        <f ca="1">Table7[[#This Row],[Pcon_bottom (mW)]]+Table7[[#This Row],[Psw_bottom (mW)]]</f>
        <v>1309.5601561912815</v>
      </c>
      <c r="BF222" s="164">
        <f ca="1">Table7[[#This Row],[Pbottom (mW)]]+Table7[[#This Row],[Ptop (mW)]]</f>
        <v>2724.8389470076081</v>
      </c>
      <c r="BG222" s="153"/>
      <c r="BH222" s="156">
        <f>MAX(0,Table7[[#This Row],[I_L]]-0.5*Table7[[#This Row],[I_L pkpk]])</f>
        <v>5.3464285714285715</v>
      </c>
      <c r="BI222" s="156">
        <f>Table7[[#This Row],[I_L]]+0.5*Table7[[#This Row],[I_L pkpk]]</f>
        <v>6.2035714285714292</v>
      </c>
      <c r="BJ222" s="156">
        <f>IF(VACnom&gt;Vbat, (VGS_S-(C_MOSFET_S_VTH_H_BU+Table7[[#This Row],[I_L]]/C_MOSFET_S_gFS_H_BU))/3.4, (VGS_S-(C_MOSFET_S_VTH_L_BO+Table7[[#This Row],[I_L]]/C_MOSFET_S_gFS_L_BO))/3.4 )</f>
        <v>2.3416176470588237</v>
      </c>
      <c r="BK222" s="156">
        <f>IF(VACnom&gt;Vbat, ((C_MOSFET_S_VTH_H_BU+Table7[[#This Row],[I_L]]/C_MOSFET_S_gFS_H_BU))/1, ((C_MOSFET_S_VTH_L_BO+Table7[[#This Row],[I_L]]/C_MOSFET_S_gFS_L_BO))/1 )</f>
        <v>2.0385</v>
      </c>
      <c r="BL222" s="156">
        <f>IF(VACnom&gt;Vbat, (C_MOSFET_S_QGD_H_BU+C_MOSFET_S_QGS_H_BU)*10^-9/Table7[[#This Row],[Ion (A) C]], (C_MOSFET_S_QGD_L_BO+C_MOSFET_S_QGS_L_BO)*10^-9/Table7[[#This Row],[Ion (A) C]])/10^-9</f>
        <v>2.7758588205740122</v>
      </c>
      <c r="BM222" s="156">
        <f>IF(VACnom&gt;Vbat, (C_MOSFET_S_QGD_H_BU+C_MOSFET_S_QGS_H_BU)*10^-9/Table7[[#This Row],[Ioff (A) C]], (C_MOSFET_S_QGD_L_BO+C_MOSFET_S_QGS_L_BO)*10^-9/Table7[[#This Row],[Ioff (A) C]])/10^-9</f>
        <v>3.1886190826588177</v>
      </c>
      <c r="BN222" s="156">
        <f xml:space="preserve"> 0.5*VACnom*Table7[[#This Row],[Ivalley (A) C]]*Table7[[#This Row],[ton (ns) C]]*10^-9*Fsw*10^3+0.5*VACnom*Table7[[#This Row],[Ipeak (A) C]]*Table7[[#This Row],[toff (ns) C]]*10^-9*Fsw*10^3/10^-3</f>
        <v>71.264401807278432</v>
      </c>
      <c r="BO222" s="156">
        <f t="shared" si="49"/>
        <v>129.6</v>
      </c>
      <c r="BP222" s="156">
        <f t="shared" ca="1" si="50"/>
        <v>291.59999999999997</v>
      </c>
      <c r="BQ222" s="156">
        <f t="shared" si="51"/>
        <v>237.6</v>
      </c>
      <c r="BR222" s="156">
        <f>IF(VACnom&gt;Vbat, C_MOSFET_S_VSD_L_BU*Table7[[#This Row],[Ivalley (A) C]]*Fsw*10^3*40*10^-9+C_MOSFET_S_VSD_L_BU*Table7[[#This Row],[Ipeak (A) C]]*Fsw*10^3*30*10^-9, C_MOSFET_S_VSD_H_BO*Table7[[#This Row],[Ivalley (A) C]]*Fsw*10^3*40*10^-9+C_MOSFET_S_VSD_H_BO*Table7[[#This Row],[Ipeak (A) C]]*Fsw*10^3*30*10^-9)/10^-3</f>
        <v>191.98285714285717</v>
      </c>
      <c r="BS222" s="156">
        <f t="shared" ca="1" si="52"/>
        <v>291.59999999999997</v>
      </c>
      <c r="BT222" s="156">
        <f>IF(VACnom&lt;Vbat, Table7[[#This Row],[Duty Cycle]]*Table7[[#This Row],[I_L RMS]]^2*C_MOSFET_S_RDSON_H_BU*10^-3, (1-Table7[[#This Row],[Duty Cycle]])*Table7[[#This Row],[I_L RMS]]^2*C_MOSFET_S_RDSON_H_BO*10^-3)/10^-3</f>
        <v>81.620375182215739</v>
      </c>
      <c r="BU222" s="156">
        <f ca="1">IF(VACnom&gt;Vbat, Table7[[#This Row],[PIV (mW) C]]+Table7[[#This Row],[PQoss (mW) C]]+Table7[[#This Row],[Pgate_top (mW) C]], Table7[[#This Row],[PRR (mW) C]]+Table7[[#This Row],[Pdead (mW) C]]+Table7[[#This Row],[Pgate_top (mW) C]])</f>
        <v>721.18285714285707</v>
      </c>
      <c r="BV222" s="156">
        <f ca="1">Table7[[#This Row],[Pcon_top (mW) C]]+Table7[[#This Row],[Psw_top (mW) C]]</f>
        <v>802.80323232507283</v>
      </c>
      <c r="BW222" s="156">
        <f ca="1">IF(VACnom&gt;Vbat, (1-Table7[[#This Row],[Duty Cycle]])*Table7[[#This Row],[I_L RMS]]^2*C_MOSFET_S_RDSON_L_BU*10^-3, Table7[[#This Row],[Duty Cycle]]*Table7[[#This Row],[I_L RMS]]^2*C_MOSFET_S_RDSON_L_BO*10^-3)/10^-3</f>
        <v>50.833742438046642</v>
      </c>
      <c r="BX222" s="156">
        <f ca="1">IF(VACnom&gt;Vbat, Table7[[#This Row],[PRR (mW) C]]+Table7[[#This Row],[Pdead (mW) C]]+Table7[[#This Row],[Pgate_bottom (mW) C]], Table7[[#This Row],[PIV (mW) C]]+Table7[[#This Row],[PQoss (mW) C]]+Table7[[#This Row],[Pgate_bottom (mW) C]])</f>
        <v>492.46440180727836</v>
      </c>
      <c r="BY222" s="156">
        <f ca="1">Table7[[#This Row],[Pcon_bottom (mW) C]]+Table7[[#This Row],[Psw_bottom (mV) C]]</f>
        <v>543.29814424532503</v>
      </c>
      <c r="BZ222" s="156">
        <f ca="1">Table7[[#This Row],[Pbottom (mW) C]]+Table7[[#This Row],[Ptop (mW) C]]</f>
        <v>1346.1013765703979</v>
      </c>
      <c r="CA222" s="159"/>
      <c r="CB222" s="160">
        <f>(RAC_SNS*10^-3*(Table7[[#This Row],[IOUT (A)]]*Vbat/VACnom)^2/10^-3)</f>
        <v>166.75312499999998</v>
      </c>
      <c r="CC222" s="160">
        <f>(RBAT_SNS*10^-3*Table7[[#This Row],[IOUT (A)]]^2)/10^-3</f>
        <v>54.449999999999996</v>
      </c>
      <c r="CD222" s="160">
        <f>IF(VACnom&gt;Vbat,(L_DRC*10^-3*(Table7[[#This Row],[IOUT (A)]])^2/10^-3),(L_DRC*10^-3*(Table7[[#This Row],[IOUT (A)]]*Vbat/VACnom)^2/10^-3))</f>
        <v>400.20749999999992</v>
      </c>
      <c r="CE222" s="166"/>
      <c r="CF222" s="156">
        <f>(Table7[[#This Row],[R_AC (mW)]]+Table7[[#This Row],[R_SR (mW)]]+Table7[[#This Row],[Inductor Loss (mW)]])/10^3</f>
        <v>0.62141062499999988</v>
      </c>
      <c r="CG222" s="156">
        <f ca="1">Table7[[#This Row],[Total TI (mW)]]/10^3</f>
        <v>2.724838947007608</v>
      </c>
      <c r="CH222" s="156">
        <f ca="1">Table7[[#This Row],[Total Sense Loss]]+Table7[[#This Row],[Total MOSFET Loss]]</f>
        <v>3.3462495720076078</v>
      </c>
      <c r="CI222" s="161">
        <f ca="1">IF(Table7[[#This Row],[POUT (W)]]=0,0,(Table7[[#This Row],[POUT (W)]])/(Table7[[#This Row],[POUT (W)]]+Table7[[#This Row],[Total Power Loss (W)]]))*100</f>
        <v>92.208284529253291</v>
      </c>
      <c r="CJ222" s="167"/>
      <c r="CK222" s="156">
        <f>(Table7[[#This Row],[R_AC (mW)]]+Table7[[#This Row],[R_SR (mW)]]+Table7[[#This Row],[Inductor Loss (mW)]])/10^3</f>
        <v>0.62141062499999988</v>
      </c>
      <c r="CL222" s="156">
        <f ca="1">Table7[[#This Row],[Total (mW) C]]/10^3</f>
        <v>1.346101376570398</v>
      </c>
      <c r="CM222" s="156">
        <f ca="1">Table7[[#This Row],[Total Sense Loss C]]+Table7[[#This Row],[Total MOSFET Loss C]]</f>
        <v>1.9675120015703977</v>
      </c>
      <c r="CN222" s="161">
        <f ca="1">IF(Table7[[#This Row],[POUT (W)]]=0,0,(Table7[[#This Row],[POUT (W)]])/(Table7[[#This Row],[POUT (W)]]+Table7[[#This Row],[Total Power Loss (W) C]]))*100</f>
        <v>95.266707323026537</v>
      </c>
      <c r="CO222" s="167"/>
      <c r="CP222" s="161">
        <f>IF(MOSFET_S=Custom_MOSFET,Table7[[#This Row],[Total Sense Loss C]],Table7[[#This Row],[Total Sense Loss]])</f>
        <v>0.62141062499999988</v>
      </c>
      <c r="CQ222" s="161">
        <f ca="1">IF(MOSFET_S=Custom_MOSFET,Table7[[#This Row],[Total MOSFET Loss C]],Table7[[#This Row],[Total MOSFET Loss]])</f>
        <v>2.724838947007608</v>
      </c>
      <c r="CR222" s="161">
        <f ca="1">IF(MOSFET_S=Custom_MOSFET,Table7[[#This Row],[Efficiency C]],Table7[[#This Row],[Efficiency]])</f>
        <v>92.208284529253291</v>
      </c>
      <c r="CS222" s="167"/>
      <c r="CT222" s="161">
        <f>IF(MOSFET_S=Compare_MOSFET, Table7[[#This Row],[Total Sense Loss C]], -100)</f>
        <v>-100</v>
      </c>
      <c r="CU222" s="161">
        <f>IF(MOSFET_S=Compare_MOSFET, Table7[[#This Row],[Total MOSFET Loss C]], -100)</f>
        <v>-100</v>
      </c>
      <c r="CV222" s="161">
        <f>IF(MOSFET_S=Compare_MOSFET, Table7[[#This Row],[Efficiency C]], -100)</f>
        <v>-100</v>
      </c>
      <c r="CW222" s="167"/>
      <c r="CX222" s="161">
        <f ca="1">IF(Save_Sel=CLR_Save,  Table7[[#This Row],[Total Sense Loss P1]], Table7[[#This Row],[Total Sense Loss P1 Saved]])</f>
        <v>0.62141062499999988</v>
      </c>
      <c r="CY222" s="161">
        <f ca="1">IF(Save_Sel=CLR_Save,  Table7[[#This Row],[Total MOSFET Loss P1]], Table7[[#This Row],[Total MOSFET Loss P1 Saved]] )</f>
        <v>2.0339849011530693</v>
      </c>
      <c r="CZ222" s="161">
        <f ca="1">IF(Save_Sel=CLR_Save, Table7[[#This Row],[Efficiency P1]], Table7[[#This Row],[Efficiency P1 Saved]])</f>
        <v>93.715842691592911</v>
      </c>
      <c r="DA222" s="167"/>
      <c r="DB222" s="161">
        <f ca="1">IF(Save_Sel=CLR_Save,  Table7[[#This Row],[Total Sense Loss P2]], Table7[[#This Row],[Total Sense Loss P2 Saved]])</f>
        <v>0.62141062499999988</v>
      </c>
      <c r="DC222" s="161">
        <f ca="1">IF(Save_Sel=CLR_Save,  Table7[[#This Row],[Total MOSFET Loss P2]], Table7[[#This Row],[Total MOSFET Loss P2 Saved]] )</f>
        <v>1.3877469109681448</v>
      </c>
      <c r="DD222" s="161">
        <f ca="1">IF(Save_Sel=CLR_Save, Table7[[#This Row],[Efficiency P2]], Table7[[#This Row],[Efficiency P2 Saved]])</f>
        <v>95.171357328656867</v>
      </c>
      <c r="DE222" s="167"/>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c r="FH222" s="21"/>
      <c r="FI222" s="21"/>
    </row>
    <row r="223" spans="1:165" x14ac:dyDescent="0.25">
      <c r="A223" s="50"/>
      <c r="B223" s="51"/>
      <c r="C223" s="51"/>
      <c r="D223" s="41"/>
      <c r="E223" s="51"/>
      <c r="F223" s="51"/>
      <c r="G223" s="51"/>
      <c r="H223" s="31"/>
      <c r="I223" s="31"/>
      <c r="J223" s="31"/>
      <c r="K223" s="31"/>
      <c r="L223" s="31"/>
      <c r="M223" s="31"/>
      <c r="N223" s="31"/>
      <c r="O223" s="31"/>
      <c r="P223" s="31"/>
      <c r="Q223" s="31"/>
      <c r="R223" s="31"/>
      <c r="S223" s="32"/>
      <c r="T223" s="20"/>
      <c r="U223" s="21"/>
      <c r="V223" s="21"/>
      <c r="W223" s="21"/>
      <c r="X223" s="21"/>
      <c r="Y223" s="21"/>
      <c r="Z223" s="21"/>
      <c r="AA223" s="21"/>
      <c r="AB223" s="21"/>
      <c r="AC223" s="21"/>
      <c r="AD223" s="21"/>
      <c r="AE223" s="21"/>
      <c r="AF223" s="154">
        <f t="shared" si="54"/>
        <v>67</v>
      </c>
      <c r="AG223" s="154">
        <f t="shared" si="53"/>
        <v>3.35</v>
      </c>
      <c r="AH223" s="155">
        <f t="shared" si="42"/>
        <v>40.200000000000003</v>
      </c>
      <c r="AI223" s="156">
        <f t="shared" si="43"/>
        <v>0.42857142857142855</v>
      </c>
      <c r="AJ223" s="156">
        <f t="shared" si="44"/>
        <v>5.8625000000000007</v>
      </c>
      <c r="AK223" s="156">
        <f t="shared" si="40"/>
        <v>0.85714285714285721</v>
      </c>
      <c r="AL223" s="156">
        <f t="shared" si="41"/>
        <v>5.8677193814799908</v>
      </c>
      <c r="AM223" s="157"/>
      <c r="AN223" s="156">
        <f>MAX(0,Table7[[#This Row],[I_L]]-0.5*Table7[[#This Row],[I_L pkpk]])</f>
        <v>5.4339285714285719</v>
      </c>
      <c r="AO223" s="156">
        <f>Table7[[#This Row],[I_L]]+0.5*Table7[[#This Row],[I_L pkpk]]</f>
        <v>6.2910714285714295</v>
      </c>
      <c r="AP223" s="156">
        <f ca="1">IF(VACnom&gt;Vbat, (VGS_S-(TI_MOSFET_S_VTH_H_BU+Table7[[#This Row],[I_L]]/TI_MOSFET_S_gFS_H_BU))/3.4, (VGS_S-(TI_MOSFET_S_VTH_L_BO+Table7[[#This Row],[I_L]]/TI_MOSFET_S_gFS_L_BO))/3.4 )</f>
        <v>2.4132070135746604</v>
      </c>
      <c r="AQ223" s="156">
        <f ca="1">IF(VACnom&gt;Vbat, ((TI_MOSFET_S_VTH_H_BU+Table7[[#This Row],[I_L]]/TI_MOSFET_S_gFS_H_BU))/1, ((TI_MOSFET_S_VTH_L_BO+Table7[[#This Row],[I_L]]/TI_MOSFET_S_gFS_L_BO))/1 )</f>
        <v>1.7950961538461538</v>
      </c>
      <c r="AR223" s="156">
        <f ca="1">IF(VACnom&gt;Vbat, (TI_MOSFET_S_QGD_H_BU+TI_MOSFET_S_QGS_H_BU)*10^-9/Table7[[#This Row],[Ion (A)]], (TI_MOSFET_S_QGD_L_BO+TI_MOSFET_S_QGS_L_BO)*10^-9/Table7[[#This Row],[Ion (A)]])/10^-9</f>
        <v>11.934326329235567</v>
      </c>
      <c r="AS223" s="156">
        <f ca="1">IF(VACnom&gt;Vbat, (TI_MOSFET_S_QGD_H_BU+TI_MOSFET_S_QGS_H_BU)*10^-9/Table7[[#This Row],[Ioff (A)]], (TI_MOSFET_S_QGD_L_BO+TI_MOSFET_S_QGS_L_BO)*10^-9/Table7[[#This Row],[Ioff (A)]])/10^-9</f>
        <v>16.043708822111522</v>
      </c>
      <c r="AT223" s="156">
        <f ca="1" xml:space="preserve"> 0.5*VACnom*Table7[[#This Row],[Ivalley (A)]]*Table7[[#This Row],[ton (ns)]]*10^-9*Fsw*10^3+0.5*VACnom*Table7[[#This Row],[Ipeak (A)]]*Table7[[#This Row],[toff (ns)]]*10^-9*Fsw*10^3/10^-3</f>
        <v>363.58908644133493</v>
      </c>
      <c r="AU223" s="156">
        <f t="shared" ca="1" si="45"/>
        <v>262.8</v>
      </c>
      <c r="AV223" s="156">
        <f t="shared" ca="1" si="46"/>
        <v>648</v>
      </c>
      <c r="AW223" s="156">
        <f t="shared" ca="1" si="47"/>
        <v>554.4</v>
      </c>
      <c r="AX223" s="156">
        <f ca="1">IF(VACnom&gt;Vbat, TI_MOSFET_S_VSD_L_BU*Table7[[#This Row],[Ivalley (A)]]*Fsw*10^3*40*10^-9+TI_MOSFET_S_VSD_L_BU*Table7[[#This Row],[Ipeak (A)]]*Fsw*10^3*30*10^-9, TI_MOSFET_S_VSD_H_BO*Table7[[#This Row],[Ivalley (A)]]*Fsw*10^3*40*10^-9+TI_MOSFET_S_VSD_H_BO*Table7[[#This Row],[Ipeak (A)]]*Fsw*10^3*30*10^-9)/10^-3</f>
        <v>175.43057142857145</v>
      </c>
      <c r="AY223" s="156">
        <f t="shared" ca="1" si="48"/>
        <v>648</v>
      </c>
      <c r="AZ223" s="156">
        <f ca="1">IF(VACnom&lt;Vbat, Table7[[#This Row],[Duty Cycle]]*Table7[[#This Row],[I_L RMS]]^2*TI_MOSFET_S_RDSON_H_BU*10^-3, (1-Table7[[#This Row],[Duty Cycle]])*Table7[[#This Row],[I_L RMS]]^2*TI_MOSFET_S_RDSON_H_BO*10^-3)/10^-3</f>
        <v>41.316156887755106</v>
      </c>
      <c r="BA223" s="156">
        <f ca="1">IF(VACnom&gt;Vbat, Table7[[#This Row],[PIV (mW)]]+Table7[[#This Row],[Pqoss (mW)]]+Table7[[#This Row],[Pgate_top (mW)]], Table7[[#This Row],[PRR (mW)]]+Table7[[#This Row],[Pdead (mW)]]+Table7[[#This Row],[Pgate_top (mW)]])</f>
        <v>1377.8305714285714</v>
      </c>
      <c r="BB223" s="156">
        <f ca="1">Table7[[#This Row],[Pcon_top (mW)]]+Table7[[#This Row],[Psw_top (mW)]]</f>
        <v>1419.1467283163265</v>
      </c>
      <c r="BC223" s="156">
        <f ca="1">IF(VACnom&gt;Vbat, (1-Table7[[#This Row],[Duty Cycle]])*Table7[[#This Row],[I_L RMS]]^2*TI_MOSFET_S_RDSON_L_BU*10^-3, Table7[[#This Row],[Duty Cycle]]*Table7[[#This Row],[I_L RMS]]^2*TI_MOSFET_S_RDSON_L_BO*10^-3)/10^-3</f>
        <v>41.316156887755106</v>
      </c>
      <c r="BD223" s="156">
        <f ca="1">IF(VACnom&gt;Vbat, Table7[[#This Row],[PRR (mW)]]+Table7[[#This Row],[Pdead (mW)]]+Table7[[#This Row],[Pgate_bottom (mW)]], Table7[[#This Row],[PIV (mW)]]+Table7[[#This Row],[Pqoss (mW)]]+Table7[[#This Row],[Pgate_bottom (mW)]])</f>
        <v>1274.3890864413349</v>
      </c>
      <c r="BE223" s="158">
        <f ca="1">Table7[[#This Row],[Pcon_bottom (mW)]]+Table7[[#This Row],[Psw_bottom (mW)]]</f>
        <v>1315.7052433290901</v>
      </c>
      <c r="BF223" s="164">
        <f ca="1">Table7[[#This Row],[Pbottom (mW)]]+Table7[[#This Row],[Ptop (mW)]]</f>
        <v>2734.8519716454166</v>
      </c>
      <c r="BG223" s="153"/>
      <c r="BH223" s="156">
        <f>MAX(0,Table7[[#This Row],[I_L]]-0.5*Table7[[#This Row],[I_L pkpk]])</f>
        <v>5.4339285714285719</v>
      </c>
      <c r="BI223" s="156">
        <f>Table7[[#This Row],[I_L]]+0.5*Table7[[#This Row],[I_L pkpk]]</f>
        <v>6.2910714285714295</v>
      </c>
      <c r="BJ223" s="156">
        <f>IF(VACnom&gt;Vbat, (VGS_S-(C_MOSFET_S_VTH_H_BU+Table7[[#This Row],[I_L]]/C_MOSFET_S_gFS_H_BU))/3.4, (VGS_S-(C_MOSFET_S_VTH_L_BO+Table7[[#This Row],[I_L]]/C_MOSFET_S_gFS_L_BO))/3.4 )</f>
        <v>2.3414460784313729</v>
      </c>
      <c r="BK223" s="156">
        <f>IF(VACnom&gt;Vbat, ((C_MOSFET_S_VTH_H_BU+Table7[[#This Row],[I_L]]/C_MOSFET_S_gFS_H_BU))/1, ((C_MOSFET_S_VTH_L_BO+Table7[[#This Row],[I_L]]/C_MOSFET_S_gFS_L_BO))/1 )</f>
        <v>2.0390833333333331</v>
      </c>
      <c r="BL223" s="156">
        <f>IF(VACnom&gt;Vbat, (C_MOSFET_S_QGD_H_BU+C_MOSFET_S_QGS_H_BU)*10^-9/Table7[[#This Row],[Ion (A) C]], (C_MOSFET_S_QGD_L_BO+C_MOSFET_S_QGS_L_BO)*10^-9/Table7[[#This Row],[Ion (A) C]])/10^-9</f>
        <v>2.7760622206404202</v>
      </c>
      <c r="BM223" s="156">
        <f>IF(VACnom&gt;Vbat, (C_MOSFET_S_QGD_H_BU+C_MOSFET_S_QGS_H_BU)*10^-9/Table7[[#This Row],[Ioff (A) C]], (C_MOSFET_S_QGD_L_BO+C_MOSFET_S_QGS_L_BO)*10^-9/Table7[[#This Row],[Ioff (A) C]])/10^-9</f>
        <v>3.1877068944378606</v>
      </c>
      <c r="BN223" s="156">
        <f xml:space="preserve"> 0.5*VACnom*Table7[[#This Row],[Ivalley (A) C]]*Table7[[#This Row],[ton (ns) C]]*10^-9*Fsw*10^3+0.5*VACnom*Table7[[#This Row],[Ipeak (A) C]]*Table7[[#This Row],[toff (ns) C]]*10^-9*Fsw*10^3/10^-3</f>
        <v>72.249036084269974</v>
      </c>
      <c r="BO223" s="156">
        <f t="shared" si="49"/>
        <v>129.6</v>
      </c>
      <c r="BP223" s="156">
        <f t="shared" ca="1" si="50"/>
        <v>291.59999999999997</v>
      </c>
      <c r="BQ223" s="156">
        <f t="shared" si="51"/>
        <v>237.6</v>
      </c>
      <c r="BR223" s="156">
        <f>IF(VACnom&gt;Vbat, C_MOSFET_S_VSD_L_BU*Table7[[#This Row],[Ivalley (A) C]]*Fsw*10^3*40*10^-9+C_MOSFET_S_VSD_L_BU*Table7[[#This Row],[Ipeak (A) C]]*Fsw*10^3*30*10^-9, C_MOSFET_S_VSD_H_BO*Table7[[#This Row],[Ivalley (A) C]]*Fsw*10^3*40*10^-9+C_MOSFET_S_VSD_H_BO*Table7[[#This Row],[Ipeak (A) C]]*Fsw*10^3*30*10^-9)/10^-3</f>
        <v>194.92285714285717</v>
      </c>
      <c r="BS223" s="156">
        <f t="shared" ca="1" si="52"/>
        <v>291.59999999999997</v>
      </c>
      <c r="BT223" s="156">
        <f>IF(VACnom&lt;Vbat, Table7[[#This Row],[Duty Cycle]]*Table7[[#This Row],[I_L RMS]]^2*C_MOSFET_S_RDSON_H_BU*10^-3, (1-Table7[[#This Row],[Duty Cycle]])*Table7[[#This Row],[I_L RMS]]^2*C_MOSFET_S_RDSON_H_BO*10^-3)/10^-3</f>
        <v>84.107890807215767</v>
      </c>
      <c r="BU223" s="156">
        <f ca="1">IF(VACnom&gt;Vbat, Table7[[#This Row],[PIV (mW) C]]+Table7[[#This Row],[PQoss (mW) C]]+Table7[[#This Row],[Pgate_top (mW) C]], Table7[[#This Row],[PRR (mW) C]]+Table7[[#This Row],[Pdead (mW) C]]+Table7[[#This Row],[Pgate_top (mW) C]])</f>
        <v>724.12285714285713</v>
      </c>
      <c r="BV223" s="156">
        <f ca="1">Table7[[#This Row],[Pcon_top (mW) C]]+Table7[[#This Row],[Psw_top (mW) C]]</f>
        <v>808.2307479500729</v>
      </c>
      <c r="BW223" s="156">
        <f ca="1">IF(VACnom&gt;Vbat, (1-Table7[[#This Row],[Duty Cycle]])*Table7[[#This Row],[I_L RMS]]^2*C_MOSFET_S_RDSON_L_BU*10^-3, Table7[[#This Row],[Duty Cycle]]*Table7[[#This Row],[I_L RMS]]^2*C_MOSFET_S_RDSON_L_BO*10^-3)/10^-3</f>
        <v>52.382984625546655</v>
      </c>
      <c r="BX223" s="156">
        <f ca="1">IF(VACnom&gt;Vbat, Table7[[#This Row],[PRR (mW) C]]+Table7[[#This Row],[Pdead (mW) C]]+Table7[[#This Row],[Pgate_bottom (mW) C]], Table7[[#This Row],[PIV (mW) C]]+Table7[[#This Row],[PQoss (mW) C]]+Table7[[#This Row],[Pgate_bottom (mW) C]])</f>
        <v>493.44903608426995</v>
      </c>
      <c r="BY223" s="156">
        <f ca="1">Table7[[#This Row],[Pcon_bottom (mW) C]]+Table7[[#This Row],[Psw_bottom (mV) C]]</f>
        <v>545.83202070981656</v>
      </c>
      <c r="BZ223" s="156">
        <f ca="1">Table7[[#This Row],[Pbottom (mW) C]]+Table7[[#This Row],[Ptop (mW) C]]</f>
        <v>1354.0627686598896</v>
      </c>
      <c r="CA223" s="159"/>
      <c r="CB223" s="160">
        <f>(RAC_SNS*10^-3*(Table7[[#This Row],[IOUT (A)]]*Vbat/VACnom)^2/10^-3)</f>
        <v>171.84453125000005</v>
      </c>
      <c r="CC223" s="160">
        <f>(RBAT_SNS*10^-3*Table7[[#This Row],[IOUT (A)]]^2)/10^-3</f>
        <v>56.112500000000004</v>
      </c>
      <c r="CD223" s="160">
        <f>IF(VACnom&gt;Vbat,(L_DRC*10^-3*(Table7[[#This Row],[IOUT (A)]])^2/10^-3),(L_DRC*10^-3*(Table7[[#This Row],[IOUT (A)]]*Vbat/VACnom)^2/10^-3))</f>
        <v>412.42687500000011</v>
      </c>
      <c r="CE223" s="166"/>
      <c r="CF223" s="156">
        <f>(Table7[[#This Row],[R_AC (mW)]]+Table7[[#This Row],[R_SR (mW)]]+Table7[[#This Row],[Inductor Loss (mW)]])/10^3</f>
        <v>0.64038390625000008</v>
      </c>
      <c r="CG223" s="156">
        <f ca="1">Table7[[#This Row],[Total TI (mW)]]/10^3</f>
        <v>2.7348519716454165</v>
      </c>
      <c r="CH223" s="156">
        <f ca="1">Table7[[#This Row],[Total Sense Loss]]+Table7[[#This Row],[Total MOSFET Loss]]</f>
        <v>3.3752358778954168</v>
      </c>
      <c r="CI223" s="161">
        <f ca="1">IF(Table7[[#This Row],[POUT (W)]]=0,0,(Table7[[#This Row],[POUT (W)]])/(Table7[[#This Row],[POUT (W)]]+Table7[[#This Row],[Total Power Loss (W)]]))*100</f>
        <v>92.254233832827993</v>
      </c>
      <c r="CJ223" s="167"/>
      <c r="CK223" s="156">
        <f>(Table7[[#This Row],[R_AC (mW)]]+Table7[[#This Row],[R_SR (mW)]]+Table7[[#This Row],[Inductor Loss (mW)]])/10^3</f>
        <v>0.64038390625000008</v>
      </c>
      <c r="CL223" s="156">
        <f ca="1">Table7[[#This Row],[Total (mW) C]]/10^3</f>
        <v>1.3540627686598896</v>
      </c>
      <c r="CM223" s="156">
        <f ca="1">Table7[[#This Row],[Total Sense Loss C]]+Table7[[#This Row],[Total MOSFET Loss C]]</f>
        <v>1.9944466749098897</v>
      </c>
      <c r="CN223" s="161">
        <f ca="1">IF(Table7[[#This Row],[POUT (W)]]=0,0,(Table7[[#This Row],[POUT (W)]])/(Table7[[#This Row],[POUT (W)]]+Table7[[#This Row],[Total Power Loss (W) C]]))*100</f>
        <v>95.273201020323256</v>
      </c>
      <c r="CO223" s="167"/>
      <c r="CP223" s="161">
        <f>IF(MOSFET_S=Custom_MOSFET,Table7[[#This Row],[Total Sense Loss C]],Table7[[#This Row],[Total Sense Loss]])</f>
        <v>0.64038390625000008</v>
      </c>
      <c r="CQ223" s="161">
        <f ca="1">IF(MOSFET_S=Custom_MOSFET,Table7[[#This Row],[Total MOSFET Loss C]],Table7[[#This Row],[Total MOSFET Loss]])</f>
        <v>2.7348519716454165</v>
      </c>
      <c r="CR223" s="161">
        <f ca="1">IF(MOSFET_S=Custom_MOSFET,Table7[[#This Row],[Efficiency C]],Table7[[#This Row],[Efficiency]])</f>
        <v>92.254233832827993</v>
      </c>
      <c r="CS223" s="167"/>
      <c r="CT223" s="161">
        <f>IF(MOSFET_S=Compare_MOSFET, Table7[[#This Row],[Total Sense Loss C]], -100)</f>
        <v>-100</v>
      </c>
      <c r="CU223" s="161">
        <f>IF(MOSFET_S=Compare_MOSFET, Table7[[#This Row],[Total MOSFET Loss C]], -100)</f>
        <v>-100</v>
      </c>
      <c r="CV223" s="161">
        <f>IF(MOSFET_S=Compare_MOSFET, Table7[[#This Row],[Efficiency C]], -100)</f>
        <v>-100</v>
      </c>
      <c r="CW223" s="167"/>
      <c r="CX223" s="161">
        <f ca="1">IF(Save_Sel=CLR_Save,  Table7[[#This Row],[Total Sense Loss P1]], Table7[[#This Row],[Total Sense Loss P1 Saved]])</f>
        <v>0.64038390625000008</v>
      </c>
      <c r="CY223" s="161">
        <f ca="1">IF(Save_Sel=CLR_Save,  Table7[[#This Row],[Total MOSFET Loss P1]], Table7[[#This Row],[Total MOSFET Loss P1 Saved]] )</f>
        <v>2.0446603336370504</v>
      </c>
      <c r="CZ223" s="161">
        <f ca="1">IF(Save_Sel=CLR_Save, Table7[[#This Row],[Efficiency P1]], Table7[[#This Row],[Efficiency P1 Saved]])</f>
        <v>93.738972904242203</v>
      </c>
      <c r="DA223" s="167"/>
      <c r="DB223" s="161">
        <f ca="1">IF(Save_Sel=CLR_Save,  Table7[[#This Row],[Total Sense Loss P2]], Table7[[#This Row],[Total Sense Loss P2 Saved]])</f>
        <v>0.64038390625000008</v>
      </c>
      <c r="DC223" s="161">
        <f ca="1">IF(Save_Sel=CLR_Save,  Table7[[#This Row],[Total MOSFET Loss P2]], Table7[[#This Row],[Total MOSFET Loss P2 Saved]] )</f>
        <v>1.3969758725938728</v>
      </c>
      <c r="DD223" s="161">
        <f ca="1">IF(Save_Sel=CLR_Save, Table7[[#This Row],[Efficiency P2]], Table7[[#This Row],[Efficiency P2 Saved]])</f>
        <v>95.176403568993067</v>
      </c>
      <c r="DE223" s="167"/>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c r="FH223" s="21"/>
      <c r="FI223" s="21"/>
    </row>
    <row r="224" spans="1:165" x14ac:dyDescent="0.25">
      <c r="A224" s="50"/>
      <c r="B224" s="51"/>
      <c r="C224" s="51"/>
      <c r="D224" s="41"/>
      <c r="E224" s="51"/>
      <c r="F224" s="51"/>
      <c r="G224" s="51"/>
      <c r="H224" s="31"/>
      <c r="I224" s="31"/>
      <c r="J224" s="31"/>
      <c r="K224" s="31"/>
      <c r="L224" s="31"/>
      <c r="M224" s="31"/>
      <c r="N224" s="31"/>
      <c r="O224" s="31"/>
      <c r="P224" s="31"/>
      <c r="Q224" s="31"/>
      <c r="R224" s="31"/>
      <c r="S224" s="32"/>
      <c r="T224" s="20"/>
      <c r="U224" s="21"/>
      <c r="V224" s="21"/>
      <c r="W224" s="21"/>
      <c r="X224" s="21"/>
      <c r="Y224" s="21"/>
      <c r="Z224" s="21"/>
      <c r="AA224" s="21"/>
      <c r="AB224" s="21"/>
      <c r="AC224" s="21"/>
      <c r="AD224" s="21"/>
      <c r="AE224" s="21"/>
      <c r="AF224" s="154">
        <f t="shared" si="54"/>
        <v>68</v>
      </c>
      <c r="AG224" s="154">
        <f t="shared" si="53"/>
        <v>3.4</v>
      </c>
      <c r="AH224" s="155">
        <f t="shared" si="42"/>
        <v>40.799999999999997</v>
      </c>
      <c r="AI224" s="156">
        <f t="shared" si="43"/>
        <v>0.42857142857142855</v>
      </c>
      <c r="AJ224" s="156">
        <f t="shared" si="44"/>
        <v>5.95</v>
      </c>
      <c r="AK224" s="156">
        <f t="shared" si="40"/>
        <v>0.85714285714285721</v>
      </c>
      <c r="AL224" s="156">
        <f t="shared" si="41"/>
        <v>5.955142692647752</v>
      </c>
      <c r="AM224" s="157"/>
      <c r="AN224" s="156">
        <f>MAX(0,Table7[[#This Row],[I_L]]-0.5*Table7[[#This Row],[I_L pkpk]])</f>
        <v>5.5214285714285714</v>
      </c>
      <c r="AO224" s="156">
        <f>Table7[[#This Row],[I_L]]+0.5*Table7[[#This Row],[I_L pkpk]]</f>
        <v>6.378571428571429</v>
      </c>
      <c r="AP224" s="156">
        <f ca="1">IF(VACnom&gt;Vbat, (VGS_S-(TI_MOSFET_S_VTH_H_BU+Table7[[#This Row],[I_L]]/TI_MOSFET_S_gFS_H_BU))/3.4, (VGS_S-(TI_MOSFET_S_VTH_L_BO+Table7[[#This Row],[I_L]]/TI_MOSFET_S_gFS_L_BO))/3.4 )</f>
        <v>2.4130090497737555</v>
      </c>
      <c r="AQ224" s="156">
        <f ca="1">IF(VACnom&gt;Vbat, ((TI_MOSFET_S_VTH_H_BU+Table7[[#This Row],[I_L]]/TI_MOSFET_S_gFS_H_BU))/1, ((TI_MOSFET_S_VTH_L_BO+Table7[[#This Row],[I_L]]/TI_MOSFET_S_gFS_L_BO))/1 )</f>
        <v>1.7957692307692308</v>
      </c>
      <c r="AR224" s="156">
        <f ca="1">IF(VACnom&gt;Vbat, (TI_MOSFET_S_QGD_H_BU+TI_MOSFET_S_QGS_H_BU)*10^-9/Table7[[#This Row],[Ion (A)]], (TI_MOSFET_S_QGD_L_BO+TI_MOSFET_S_QGS_L_BO)*10^-9/Table7[[#This Row],[Ion (A)]])/10^-9</f>
        <v>11.935305424030755</v>
      </c>
      <c r="AS224" s="156">
        <f ca="1">IF(VACnom&gt;Vbat, (TI_MOSFET_S_QGD_H_BU+TI_MOSFET_S_QGS_H_BU)*10^-9/Table7[[#This Row],[Ioff (A)]], (TI_MOSFET_S_QGD_L_BO+TI_MOSFET_S_QGS_L_BO)*10^-9/Table7[[#This Row],[Ioff (A)]])/10^-9</f>
        <v>16.037695437995289</v>
      </c>
      <c r="AT224" s="156">
        <f ca="1" xml:space="preserve"> 0.5*VACnom*Table7[[#This Row],[Ivalley (A)]]*Table7[[#This Row],[ton (ns)]]*10^-9*Fsw*10^3+0.5*VACnom*Table7[[#This Row],[Ipeak (A)]]*Table7[[#This Row],[toff (ns)]]*10^-9*Fsw*10^3/10^-3</f>
        <v>368.50854901429466</v>
      </c>
      <c r="AU224" s="156">
        <f t="shared" ca="1" si="45"/>
        <v>262.8</v>
      </c>
      <c r="AV224" s="156">
        <f t="shared" ca="1" si="46"/>
        <v>648</v>
      </c>
      <c r="AW224" s="156">
        <f t="shared" ca="1" si="47"/>
        <v>554.4</v>
      </c>
      <c r="AX224" s="156">
        <f ca="1">IF(VACnom&gt;Vbat, TI_MOSFET_S_VSD_L_BU*Table7[[#This Row],[Ivalley (A)]]*Fsw*10^3*40*10^-9+TI_MOSFET_S_VSD_L_BU*Table7[[#This Row],[Ipeak (A)]]*Fsw*10^3*30*10^-9, TI_MOSFET_S_VSD_H_BO*Table7[[#This Row],[Ivalley (A)]]*Fsw*10^3*40*10^-9+TI_MOSFET_S_VSD_H_BO*Table7[[#This Row],[Ipeak (A)]]*Fsw*10^3*30*10^-9)/10^-3</f>
        <v>178.07657142857141</v>
      </c>
      <c r="AY224" s="156">
        <f t="shared" ca="1" si="48"/>
        <v>648</v>
      </c>
      <c r="AZ224" s="156">
        <f ca="1">IF(VACnom&lt;Vbat, Table7[[#This Row],[Duty Cycle]]*Table7[[#This Row],[I_L RMS]]^2*TI_MOSFET_S_RDSON_H_BU*10^-3, (1-Table7[[#This Row],[Duty Cycle]])*Table7[[#This Row],[I_L RMS]]^2*TI_MOSFET_S_RDSON_H_BO*10^-3)/10^-3</f>
        <v>42.556469387755094</v>
      </c>
      <c r="BA224" s="156">
        <f ca="1">IF(VACnom&gt;Vbat, Table7[[#This Row],[PIV (mW)]]+Table7[[#This Row],[Pqoss (mW)]]+Table7[[#This Row],[Pgate_top (mW)]], Table7[[#This Row],[PRR (mW)]]+Table7[[#This Row],[Pdead (mW)]]+Table7[[#This Row],[Pgate_top (mW)]])</f>
        <v>1380.4765714285713</v>
      </c>
      <c r="BB224" s="156">
        <f ca="1">Table7[[#This Row],[Pcon_top (mW)]]+Table7[[#This Row],[Psw_top (mW)]]</f>
        <v>1423.0330408163263</v>
      </c>
      <c r="BC224" s="156">
        <f ca="1">IF(VACnom&gt;Vbat, (1-Table7[[#This Row],[Duty Cycle]])*Table7[[#This Row],[I_L RMS]]^2*TI_MOSFET_S_RDSON_L_BU*10^-3, Table7[[#This Row],[Duty Cycle]]*Table7[[#This Row],[I_L RMS]]^2*TI_MOSFET_S_RDSON_L_BO*10^-3)/10^-3</f>
        <v>42.556469387755094</v>
      </c>
      <c r="BD224" s="156">
        <f ca="1">IF(VACnom&gt;Vbat, Table7[[#This Row],[PRR (mW)]]+Table7[[#This Row],[Pdead (mW)]]+Table7[[#This Row],[Pgate_bottom (mW)]], Table7[[#This Row],[PIV (mW)]]+Table7[[#This Row],[Pqoss (mW)]]+Table7[[#This Row],[Pgate_bottom (mW)]])</f>
        <v>1279.3085490142946</v>
      </c>
      <c r="BE224" s="158">
        <f ca="1">Table7[[#This Row],[Pcon_bottom (mW)]]+Table7[[#This Row],[Psw_bottom (mW)]]</f>
        <v>1321.8650184020496</v>
      </c>
      <c r="BF224" s="164">
        <f ca="1">Table7[[#This Row],[Pbottom (mW)]]+Table7[[#This Row],[Ptop (mW)]]</f>
        <v>2744.8980592183761</v>
      </c>
      <c r="BG224" s="153"/>
      <c r="BH224" s="156">
        <f>MAX(0,Table7[[#This Row],[I_L]]-0.5*Table7[[#This Row],[I_L pkpk]])</f>
        <v>5.5214285714285714</v>
      </c>
      <c r="BI224" s="156">
        <f>Table7[[#This Row],[I_L]]+0.5*Table7[[#This Row],[I_L pkpk]]</f>
        <v>6.378571428571429</v>
      </c>
      <c r="BJ224" s="156">
        <f>IF(VACnom&gt;Vbat, (VGS_S-(C_MOSFET_S_VTH_H_BU+Table7[[#This Row],[I_L]]/C_MOSFET_S_gFS_H_BU))/3.4, (VGS_S-(C_MOSFET_S_VTH_L_BO+Table7[[#This Row],[I_L]]/C_MOSFET_S_gFS_L_BO))/3.4 )</f>
        <v>2.3412745098039216</v>
      </c>
      <c r="BK224" s="156">
        <f>IF(VACnom&gt;Vbat, ((C_MOSFET_S_VTH_H_BU+Table7[[#This Row],[I_L]]/C_MOSFET_S_gFS_H_BU))/1, ((C_MOSFET_S_VTH_L_BO+Table7[[#This Row],[I_L]]/C_MOSFET_S_gFS_L_BO))/1 )</f>
        <v>2.0396666666666667</v>
      </c>
      <c r="BL224" s="156">
        <f>IF(VACnom&gt;Vbat, (C_MOSFET_S_QGD_H_BU+C_MOSFET_S_QGS_H_BU)*10^-9/Table7[[#This Row],[Ion (A) C]], (C_MOSFET_S_QGD_L_BO+C_MOSFET_S_QGS_L_BO)*10^-9/Table7[[#This Row],[Ion (A) C]])/10^-9</f>
        <v>2.7762656505171477</v>
      </c>
      <c r="BM224" s="156">
        <f>IF(VACnom&gt;Vbat, (C_MOSFET_S_QGD_H_BU+C_MOSFET_S_QGS_H_BU)*10^-9/Table7[[#This Row],[Ioff (A) C]], (C_MOSFET_S_QGD_L_BO+C_MOSFET_S_QGS_L_BO)*10^-9/Table7[[#This Row],[Ioff (A) C]])/10^-9</f>
        <v>3.1867952279784277</v>
      </c>
      <c r="BN224" s="156">
        <f xml:space="preserve"> 0.5*VACnom*Table7[[#This Row],[Ivalley (A) C]]*Table7[[#This Row],[ton (ns) C]]*10^-9*Fsw*10^3+0.5*VACnom*Table7[[#This Row],[Ipeak (A) C]]*Table7[[#This Row],[toff (ns) C]]*10^-9*Fsw*10^3/10^-3</f>
        <v>73.23310779255219</v>
      </c>
      <c r="BO224" s="156">
        <f t="shared" si="49"/>
        <v>129.6</v>
      </c>
      <c r="BP224" s="156">
        <f t="shared" ca="1" si="50"/>
        <v>291.59999999999997</v>
      </c>
      <c r="BQ224" s="156">
        <f t="shared" si="51"/>
        <v>237.6</v>
      </c>
      <c r="BR224" s="156">
        <f>IF(VACnom&gt;Vbat, C_MOSFET_S_VSD_L_BU*Table7[[#This Row],[Ivalley (A) C]]*Fsw*10^3*40*10^-9+C_MOSFET_S_VSD_L_BU*Table7[[#This Row],[Ipeak (A) C]]*Fsw*10^3*30*10^-9, C_MOSFET_S_VSD_H_BO*Table7[[#This Row],[Ivalley (A) C]]*Fsw*10^3*40*10^-9+C_MOSFET_S_VSD_H_BO*Table7[[#This Row],[Ipeak (A) C]]*Fsw*10^3*30*10^-9)/10^-3</f>
        <v>197.86285714285717</v>
      </c>
      <c r="BS224" s="156">
        <f t="shared" ca="1" si="52"/>
        <v>291.59999999999997</v>
      </c>
      <c r="BT224" s="156">
        <f>IF(VACnom&lt;Vbat, Table7[[#This Row],[Duty Cycle]]*Table7[[#This Row],[I_L RMS]]^2*C_MOSFET_S_RDSON_H_BU*10^-3, (1-Table7[[#This Row],[Duty Cycle]])*Table7[[#This Row],[I_L RMS]]^2*C_MOSFET_S_RDSON_H_BO*10^-3)/10^-3</f>
        <v>86.632812682215743</v>
      </c>
      <c r="BU224" s="156">
        <f ca="1">IF(VACnom&gt;Vbat, Table7[[#This Row],[PIV (mW) C]]+Table7[[#This Row],[PQoss (mW) C]]+Table7[[#This Row],[Pgate_top (mW) C]], Table7[[#This Row],[PRR (mW) C]]+Table7[[#This Row],[Pdead (mW) C]]+Table7[[#This Row],[Pgate_top (mW) C]])</f>
        <v>727.06285714285718</v>
      </c>
      <c r="BV224" s="156">
        <f ca="1">Table7[[#This Row],[Pcon_top (mW) C]]+Table7[[#This Row],[Psw_top (mW) C]]</f>
        <v>813.69566982507297</v>
      </c>
      <c r="BW224" s="156">
        <f ca="1">IF(VACnom&gt;Vbat, (1-Table7[[#This Row],[Duty Cycle]])*Table7[[#This Row],[I_L RMS]]^2*C_MOSFET_S_RDSON_L_BU*10^-3, Table7[[#This Row],[Duty Cycle]]*Table7[[#This Row],[I_L RMS]]^2*C_MOSFET_S_RDSON_L_BO*10^-3)/10^-3</f>
        <v>53.95552368804664</v>
      </c>
      <c r="BX224" s="156">
        <f ca="1">IF(VACnom&gt;Vbat, Table7[[#This Row],[PRR (mW) C]]+Table7[[#This Row],[Pdead (mW) C]]+Table7[[#This Row],[Pgate_bottom (mW) C]], Table7[[#This Row],[PIV (mW) C]]+Table7[[#This Row],[PQoss (mW) C]]+Table7[[#This Row],[Pgate_bottom (mW) C]])</f>
        <v>494.43310779255216</v>
      </c>
      <c r="BY224" s="156">
        <f ca="1">Table7[[#This Row],[Pcon_bottom (mW) C]]+Table7[[#This Row],[Psw_bottom (mV) C]]</f>
        <v>548.38863148059886</v>
      </c>
      <c r="BZ224" s="156">
        <f ca="1">Table7[[#This Row],[Pbottom (mW) C]]+Table7[[#This Row],[Ptop (mW) C]]</f>
        <v>1362.0843013056719</v>
      </c>
      <c r="CA224" s="159"/>
      <c r="CB224" s="160">
        <f>(RAC_SNS*10^-3*(Table7[[#This Row],[IOUT (A)]]*Vbat/VACnom)^2/10^-3)</f>
        <v>177.01249999999996</v>
      </c>
      <c r="CC224" s="160">
        <f>(RBAT_SNS*10^-3*Table7[[#This Row],[IOUT (A)]]^2)/10^-3</f>
        <v>57.8</v>
      </c>
      <c r="CD224" s="160">
        <f>IF(VACnom&gt;Vbat,(L_DRC*10^-3*(Table7[[#This Row],[IOUT (A)]])^2/10^-3),(L_DRC*10^-3*(Table7[[#This Row],[IOUT (A)]]*Vbat/VACnom)^2/10^-3))</f>
        <v>424.82999999999987</v>
      </c>
      <c r="CE224" s="166"/>
      <c r="CF224" s="156">
        <f>(Table7[[#This Row],[R_AC (mW)]]+Table7[[#This Row],[R_SR (mW)]]+Table7[[#This Row],[Inductor Loss (mW)]])/10^3</f>
        <v>0.6596424999999998</v>
      </c>
      <c r="CG224" s="156">
        <f ca="1">Table7[[#This Row],[Total TI (mW)]]/10^3</f>
        <v>2.744898059218376</v>
      </c>
      <c r="CH224" s="156">
        <f ca="1">Table7[[#This Row],[Total Sense Loss]]+Table7[[#This Row],[Total MOSFET Loss]]</f>
        <v>3.404540559218376</v>
      </c>
      <c r="CI224" s="161">
        <f ca="1">IF(Table7[[#This Row],[POUT (W)]]=0,0,(Table7[[#This Row],[POUT (W)]])/(Table7[[#This Row],[POUT (W)]]+Table7[[#This Row],[Total Power Loss (W)]]))*100</f>
        <v>92.29821073548429</v>
      </c>
      <c r="CJ224" s="167"/>
      <c r="CK224" s="156">
        <f>(Table7[[#This Row],[R_AC (mW)]]+Table7[[#This Row],[R_SR (mW)]]+Table7[[#This Row],[Inductor Loss (mW)]])/10^3</f>
        <v>0.6596424999999998</v>
      </c>
      <c r="CL224" s="156">
        <f ca="1">Table7[[#This Row],[Total (mW) C]]/10^3</f>
        <v>1.362084301305672</v>
      </c>
      <c r="CM224" s="156">
        <f ca="1">Table7[[#This Row],[Total Sense Loss C]]+Table7[[#This Row],[Total MOSFET Loss C]]</f>
        <v>2.0217268013056717</v>
      </c>
      <c r="CN224" s="161">
        <f ca="1">IF(Table7[[#This Row],[POUT (W)]]=0,0,(Table7[[#This Row],[POUT (W)]])/(Table7[[#This Row],[POUT (W)]]+Table7[[#This Row],[Total Power Loss (W) C]]))*100</f>
        <v>95.278735930742457</v>
      </c>
      <c r="CO224" s="167"/>
      <c r="CP224" s="161">
        <f>IF(MOSFET_S=Custom_MOSFET,Table7[[#This Row],[Total Sense Loss C]],Table7[[#This Row],[Total Sense Loss]])</f>
        <v>0.6596424999999998</v>
      </c>
      <c r="CQ224" s="161">
        <f ca="1">IF(MOSFET_S=Custom_MOSFET,Table7[[#This Row],[Total MOSFET Loss C]],Table7[[#This Row],[Total MOSFET Loss]])</f>
        <v>2.744898059218376</v>
      </c>
      <c r="CR224" s="161">
        <f ca="1">IF(MOSFET_S=Custom_MOSFET,Table7[[#This Row],[Efficiency C]],Table7[[#This Row],[Efficiency]])</f>
        <v>92.29821073548429</v>
      </c>
      <c r="CS224" s="167"/>
      <c r="CT224" s="161">
        <f>IF(MOSFET_S=Compare_MOSFET, Table7[[#This Row],[Total Sense Loss C]], -100)</f>
        <v>-100</v>
      </c>
      <c r="CU224" s="161">
        <f>IF(MOSFET_S=Compare_MOSFET, Table7[[#This Row],[Total MOSFET Loss C]], -100)</f>
        <v>-100</v>
      </c>
      <c r="CV224" s="161">
        <f>IF(MOSFET_S=Compare_MOSFET, Table7[[#This Row],[Efficiency C]], -100)</f>
        <v>-100</v>
      </c>
      <c r="CW224" s="167"/>
      <c r="CX224" s="161">
        <f ca="1">IF(Save_Sel=CLR_Save,  Table7[[#This Row],[Total Sense Loss P1]], Table7[[#This Row],[Total Sense Loss P1 Saved]])</f>
        <v>0.6596424999999998</v>
      </c>
      <c r="CY224" s="161">
        <f ca="1">IF(Save_Sel=CLR_Save,  Table7[[#This Row],[Total MOSFET Loss P1]], Table7[[#This Row],[Total MOSFET Loss P1 Saved]] )</f>
        <v>2.055378677949053</v>
      </c>
      <c r="CZ224" s="161">
        <f ca="1">IF(Save_Sel=CLR_Save, Table7[[#This Row],[Efficiency P1]], Table7[[#This Row],[Efficiency P1 Saved]])</f>
        <v>93.760726515916588</v>
      </c>
      <c r="DA224" s="167"/>
      <c r="DB224" s="161">
        <f ca="1">IF(Save_Sel=CLR_Save,  Table7[[#This Row],[Total Sense Loss P2]], Table7[[#This Row],[Total Sense Loss P2 Saved]])</f>
        <v>0.6596424999999998</v>
      </c>
      <c r="DC224" s="161">
        <f ca="1">IF(Save_Sel=CLR_Save,  Table7[[#This Row],[Total MOSFET Loss P2]], Table7[[#This Row],[Total MOSFET Loss P2 Saved]] )</f>
        <v>1.4062840072579821</v>
      </c>
      <c r="DD224" s="161">
        <f ca="1">IF(Save_Sel=CLR_Save, Table7[[#This Row],[Efficiency P2]], Table7[[#This Row],[Efficiency P2 Saved]])</f>
        <v>95.180492583291795</v>
      </c>
      <c r="DE224" s="167"/>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c r="FH224" s="21"/>
      <c r="FI224" s="21"/>
    </row>
    <row r="225" spans="1:165" ht="15.75" thickBot="1" x14ac:dyDescent="0.3">
      <c r="A225" s="48"/>
      <c r="B225" s="49"/>
      <c r="C225" s="49"/>
      <c r="D225" s="45"/>
      <c r="E225" s="49"/>
      <c r="F225" s="49"/>
      <c r="G225" s="49"/>
      <c r="H225" s="36"/>
      <c r="I225" s="36"/>
      <c r="J225" s="119"/>
      <c r="K225" s="119"/>
      <c r="L225" s="119"/>
      <c r="M225" s="119"/>
      <c r="N225" s="119"/>
      <c r="O225" s="119"/>
      <c r="P225" s="119"/>
      <c r="Q225" s="119"/>
      <c r="R225" s="119"/>
      <c r="S225" s="120"/>
      <c r="T225" s="20"/>
      <c r="U225" s="21"/>
      <c r="V225" s="21"/>
      <c r="W225" s="21"/>
      <c r="X225" s="21"/>
      <c r="Y225" s="21"/>
      <c r="Z225" s="21"/>
      <c r="AA225" s="21"/>
      <c r="AB225" s="21"/>
      <c r="AC225" s="21"/>
      <c r="AD225" s="21"/>
      <c r="AE225" s="21"/>
      <c r="AF225" s="154">
        <f t="shared" si="54"/>
        <v>69</v>
      </c>
      <c r="AG225" s="154">
        <f t="shared" si="53"/>
        <v>3.45</v>
      </c>
      <c r="AH225" s="155">
        <f t="shared" si="42"/>
        <v>41.400000000000006</v>
      </c>
      <c r="AI225" s="156">
        <f t="shared" si="43"/>
        <v>0.42857142857142855</v>
      </c>
      <c r="AJ225" s="156">
        <f t="shared" si="44"/>
        <v>6.0375000000000005</v>
      </c>
      <c r="AK225" s="156">
        <f t="shared" si="40"/>
        <v>0.85714285714285721</v>
      </c>
      <c r="AL225" s="156">
        <f t="shared" si="41"/>
        <v>6.042568223842899</v>
      </c>
      <c r="AM225" s="157"/>
      <c r="AN225" s="156">
        <f>MAX(0,Table7[[#This Row],[I_L]]-0.5*Table7[[#This Row],[I_L pkpk]])</f>
        <v>5.6089285714285717</v>
      </c>
      <c r="AO225" s="156">
        <f>Table7[[#This Row],[I_L]]+0.5*Table7[[#This Row],[I_L pkpk]]</f>
        <v>6.4660714285714294</v>
      </c>
      <c r="AP225" s="156">
        <f ca="1">IF(VACnom&gt;Vbat, (VGS_S-(TI_MOSFET_S_VTH_H_BU+Table7[[#This Row],[I_L]]/TI_MOSFET_S_gFS_H_BU))/3.4, (VGS_S-(TI_MOSFET_S_VTH_L_BO+Table7[[#This Row],[I_L]]/TI_MOSFET_S_gFS_L_BO))/3.4 )</f>
        <v>2.4128110859728507</v>
      </c>
      <c r="AQ225" s="156">
        <f ca="1">IF(VACnom&gt;Vbat, ((TI_MOSFET_S_VTH_H_BU+Table7[[#This Row],[I_L]]/TI_MOSFET_S_gFS_H_BU))/1, ((TI_MOSFET_S_VTH_L_BO+Table7[[#This Row],[I_L]]/TI_MOSFET_S_gFS_L_BO))/1 )</f>
        <v>1.7964423076923077</v>
      </c>
      <c r="AR225" s="156">
        <f ca="1">IF(VACnom&gt;Vbat, (TI_MOSFET_S_QGD_H_BU+TI_MOSFET_S_QGS_H_BU)*10^-9/Table7[[#This Row],[Ion (A)]], (TI_MOSFET_S_QGD_L_BO+TI_MOSFET_S_QGS_L_BO)*10^-9/Table7[[#This Row],[Ion (A)]])/10^-9</f>
        <v>11.936284679489434</v>
      </c>
      <c r="AS225" s="156">
        <f ca="1">IF(VACnom&gt;Vbat, (TI_MOSFET_S_QGD_H_BU+TI_MOSFET_S_QGS_H_BU)*10^-9/Table7[[#This Row],[Ioff (A)]], (TI_MOSFET_S_QGD_L_BO+TI_MOSFET_S_QGS_L_BO)*10^-9/Table7[[#This Row],[Ioff (A)]])/10^-9</f>
        <v>16.031686559974307</v>
      </c>
      <c r="AT225" s="156">
        <f ca="1" xml:space="preserve"> 0.5*VACnom*Table7[[#This Row],[Ivalley (A)]]*Table7[[#This Row],[ton (ns)]]*10^-9*Fsw*10^3+0.5*VACnom*Table7[[#This Row],[Ipeak (A)]]*Table7[[#This Row],[toff (ns)]]*10^-9*Fsw*10^3/10^-3</f>
        <v>373.42432866757667</v>
      </c>
      <c r="AU225" s="156">
        <f t="shared" ca="1" si="45"/>
        <v>262.8</v>
      </c>
      <c r="AV225" s="156">
        <f t="shared" ca="1" si="46"/>
        <v>648</v>
      </c>
      <c r="AW225" s="156">
        <f t="shared" ca="1" si="47"/>
        <v>554.4</v>
      </c>
      <c r="AX225" s="156">
        <f ca="1">IF(VACnom&gt;Vbat, TI_MOSFET_S_VSD_L_BU*Table7[[#This Row],[Ivalley (A)]]*Fsw*10^3*40*10^-9+TI_MOSFET_S_VSD_L_BU*Table7[[#This Row],[Ipeak (A)]]*Fsw*10^3*30*10^-9, TI_MOSFET_S_VSD_H_BO*Table7[[#This Row],[Ivalley (A)]]*Fsw*10^3*40*10^-9+TI_MOSFET_S_VSD_H_BO*Table7[[#This Row],[Ipeak (A)]]*Fsw*10^3*30*10^-9)/10^-3</f>
        <v>180.72257142857146</v>
      </c>
      <c r="AY225" s="156">
        <f t="shared" ca="1" si="48"/>
        <v>648</v>
      </c>
      <c r="AZ225" s="156">
        <f ca="1">IF(VACnom&lt;Vbat, Table7[[#This Row],[Duty Cycle]]*Table7[[#This Row],[I_L RMS]]^2*TI_MOSFET_S_RDSON_H_BU*10^-3, (1-Table7[[#This Row],[Duty Cycle]])*Table7[[#This Row],[I_L RMS]]^2*TI_MOSFET_S_RDSON_H_BO*10^-3)/10^-3</f>
        <v>43.815156887755116</v>
      </c>
      <c r="BA225" s="156">
        <f ca="1">IF(VACnom&gt;Vbat, Table7[[#This Row],[PIV (mW)]]+Table7[[#This Row],[Pqoss (mW)]]+Table7[[#This Row],[Pgate_top (mW)]], Table7[[#This Row],[PRR (mW)]]+Table7[[#This Row],[Pdead (mW)]]+Table7[[#This Row],[Pgate_top (mW)]])</f>
        <v>1383.1225714285715</v>
      </c>
      <c r="BB225" s="156">
        <f ca="1">Table7[[#This Row],[Pcon_top (mW)]]+Table7[[#This Row],[Psw_top (mW)]]</f>
        <v>1426.9377283163267</v>
      </c>
      <c r="BC225" s="156">
        <f ca="1">IF(VACnom&gt;Vbat, (1-Table7[[#This Row],[Duty Cycle]])*Table7[[#This Row],[I_L RMS]]^2*TI_MOSFET_S_RDSON_L_BU*10^-3, Table7[[#This Row],[Duty Cycle]]*Table7[[#This Row],[I_L RMS]]^2*TI_MOSFET_S_RDSON_L_BO*10^-3)/10^-3</f>
        <v>43.815156887755116</v>
      </c>
      <c r="BD225" s="156">
        <f ca="1">IF(VACnom&gt;Vbat, Table7[[#This Row],[PRR (mW)]]+Table7[[#This Row],[Pdead (mW)]]+Table7[[#This Row],[Pgate_bottom (mW)]], Table7[[#This Row],[PIV (mW)]]+Table7[[#This Row],[Pqoss (mW)]]+Table7[[#This Row],[Pgate_bottom (mW)]])</f>
        <v>1284.2243286675766</v>
      </c>
      <c r="BE225" s="158">
        <f ca="1">Table7[[#This Row],[Pcon_bottom (mW)]]+Table7[[#This Row],[Psw_bottom (mW)]]</f>
        <v>1328.0394855553318</v>
      </c>
      <c r="BF225" s="164">
        <f ca="1">Table7[[#This Row],[Pbottom (mW)]]+Table7[[#This Row],[Ptop (mW)]]</f>
        <v>2754.9772138716585</v>
      </c>
      <c r="BG225" s="153"/>
      <c r="BH225" s="156">
        <f>MAX(0,Table7[[#This Row],[I_L]]-0.5*Table7[[#This Row],[I_L pkpk]])</f>
        <v>5.6089285714285717</v>
      </c>
      <c r="BI225" s="156">
        <f>Table7[[#This Row],[I_L]]+0.5*Table7[[#This Row],[I_L pkpk]]</f>
        <v>6.4660714285714294</v>
      </c>
      <c r="BJ225" s="156">
        <f>IF(VACnom&gt;Vbat, (VGS_S-(C_MOSFET_S_VTH_H_BU+Table7[[#This Row],[I_L]]/C_MOSFET_S_gFS_H_BU))/3.4, (VGS_S-(C_MOSFET_S_VTH_L_BO+Table7[[#This Row],[I_L]]/C_MOSFET_S_gFS_L_BO))/3.4 )</f>
        <v>2.3411029411764703</v>
      </c>
      <c r="BK225" s="156">
        <f>IF(VACnom&gt;Vbat, ((C_MOSFET_S_VTH_H_BU+Table7[[#This Row],[I_L]]/C_MOSFET_S_gFS_H_BU))/1, ((C_MOSFET_S_VTH_L_BO+Table7[[#This Row],[I_L]]/C_MOSFET_S_gFS_L_BO))/1 )</f>
        <v>2.0402499999999999</v>
      </c>
      <c r="BL225" s="156">
        <f>IF(VACnom&gt;Vbat, (C_MOSFET_S_QGD_H_BU+C_MOSFET_S_QGS_H_BU)*10^-9/Table7[[#This Row],[Ion (A) C]], (C_MOSFET_S_QGD_L_BO+C_MOSFET_S_QGS_L_BO)*10^-9/Table7[[#This Row],[Ion (A) C]])/10^-9</f>
        <v>2.7764691102107482</v>
      </c>
      <c r="BM225" s="156">
        <f>IF(VACnom&gt;Vbat, (C_MOSFET_S_QGD_H_BU+C_MOSFET_S_QGS_H_BU)*10^-9/Table7[[#This Row],[Ioff (A) C]], (C_MOSFET_S_QGD_L_BO+C_MOSFET_S_QGS_L_BO)*10^-9/Table7[[#This Row],[Ioff (A) C]])/10^-9</f>
        <v>3.1858840828329864</v>
      </c>
      <c r="BN225" s="156">
        <f xml:space="preserve"> 0.5*VACnom*Table7[[#This Row],[Ivalley (A) C]]*Table7[[#This Row],[ton (ns) C]]*10^-9*Fsw*10^3+0.5*VACnom*Table7[[#This Row],[Ipeak (A) C]]*Table7[[#This Row],[toff (ns) C]]*10^-9*Fsw*10^3/10^-3</f>
        <v>74.216617414800552</v>
      </c>
      <c r="BO225" s="156">
        <f t="shared" si="49"/>
        <v>129.6</v>
      </c>
      <c r="BP225" s="156">
        <f t="shared" ca="1" si="50"/>
        <v>291.59999999999997</v>
      </c>
      <c r="BQ225" s="156">
        <f t="shared" si="51"/>
        <v>237.6</v>
      </c>
      <c r="BR225" s="156">
        <f>IF(VACnom&gt;Vbat, C_MOSFET_S_VSD_L_BU*Table7[[#This Row],[Ivalley (A) C]]*Fsw*10^3*40*10^-9+C_MOSFET_S_VSD_L_BU*Table7[[#This Row],[Ipeak (A) C]]*Fsw*10^3*30*10^-9, C_MOSFET_S_VSD_H_BO*Table7[[#This Row],[Ivalley (A) C]]*Fsw*10^3*40*10^-9+C_MOSFET_S_VSD_H_BO*Table7[[#This Row],[Ipeak (A) C]]*Fsw*10^3*30*10^-9)/10^-3</f>
        <v>200.80285714285719</v>
      </c>
      <c r="BS225" s="156">
        <f t="shared" ca="1" si="52"/>
        <v>291.59999999999997</v>
      </c>
      <c r="BT225" s="156">
        <f>IF(VACnom&lt;Vbat, Table7[[#This Row],[Duty Cycle]]*Table7[[#This Row],[I_L RMS]]^2*C_MOSFET_S_RDSON_H_BU*10^-3, (1-Table7[[#This Row],[Duty Cycle]])*Table7[[#This Row],[I_L RMS]]^2*C_MOSFET_S_RDSON_H_BO*10^-3)/10^-3</f>
        <v>89.195140807215779</v>
      </c>
      <c r="BU225" s="156">
        <f ca="1">IF(VACnom&gt;Vbat, Table7[[#This Row],[PIV (mW) C]]+Table7[[#This Row],[PQoss (mW) C]]+Table7[[#This Row],[Pgate_top (mW) C]], Table7[[#This Row],[PRR (mW) C]]+Table7[[#This Row],[Pdead (mW) C]]+Table7[[#This Row],[Pgate_top (mW) C]])</f>
        <v>730.00285714285724</v>
      </c>
      <c r="BV225" s="156">
        <f ca="1">Table7[[#This Row],[Pcon_top (mW) C]]+Table7[[#This Row],[Psw_top (mW) C]]</f>
        <v>819.19799795007305</v>
      </c>
      <c r="BW225" s="156">
        <f ca="1">IF(VACnom&gt;Vbat, (1-Table7[[#This Row],[Duty Cycle]])*Table7[[#This Row],[I_L RMS]]^2*C_MOSFET_S_RDSON_L_BU*10^-3, Table7[[#This Row],[Duty Cycle]]*Table7[[#This Row],[I_L RMS]]^2*C_MOSFET_S_RDSON_L_BO*10^-3)/10^-3</f>
        <v>55.551359625546667</v>
      </c>
      <c r="BX225" s="156">
        <f ca="1">IF(VACnom&gt;Vbat, Table7[[#This Row],[PRR (mW) C]]+Table7[[#This Row],[Pdead (mW) C]]+Table7[[#This Row],[Pgate_bottom (mW) C]], Table7[[#This Row],[PIV (mW) C]]+Table7[[#This Row],[PQoss (mW) C]]+Table7[[#This Row],[Pgate_bottom (mW) C]])</f>
        <v>495.4166174148005</v>
      </c>
      <c r="BY225" s="156">
        <f ca="1">Table7[[#This Row],[Pcon_bottom (mW) C]]+Table7[[#This Row],[Psw_bottom (mV) C]]</f>
        <v>550.96797704034714</v>
      </c>
      <c r="BZ225" s="156">
        <f ca="1">Table7[[#This Row],[Pbottom (mW) C]]+Table7[[#This Row],[Ptop (mW) C]]</f>
        <v>1370.1659749904202</v>
      </c>
      <c r="CA225" s="159"/>
      <c r="CB225" s="160">
        <f>(RAC_SNS*10^-3*(Table7[[#This Row],[IOUT (A)]]*Vbat/VACnom)^2/10^-3)</f>
        <v>182.25703125000004</v>
      </c>
      <c r="CC225" s="160">
        <f>(RBAT_SNS*10^-3*Table7[[#This Row],[IOUT (A)]]^2)/10^-3</f>
        <v>59.51250000000001</v>
      </c>
      <c r="CD225" s="160">
        <f>IF(VACnom&gt;Vbat,(L_DRC*10^-3*(Table7[[#This Row],[IOUT (A)]])^2/10^-3),(L_DRC*10^-3*(Table7[[#This Row],[IOUT (A)]]*Vbat/VACnom)^2/10^-3))</f>
        <v>437.41687500000006</v>
      </c>
      <c r="CE225" s="166"/>
      <c r="CF225" s="156">
        <f>(Table7[[#This Row],[R_AC (mW)]]+Table7[[#This Row],[R_SR (mW)]]+Table7[[#This Row],[Inductor Loss (mW)]])/10^3</f>
        <v>0.67918640625000015</v>
      </c>
      <c r="CG225" s="156">
        <f ca="1">Table7[[#This Row],[Total TI (mW)]]/10^3</f>
        <v>2.7549772138716584</v>
      </c>
      <c r="CH225" s="156">
        <f ca="1">Table7[[#This Row],[Total Sense Loss]]+Table7[[#This Row],[Total MOSFET Loss]]</f>
        <v>3.4341636201216588</v>
      </c>
      <c r="CI225" s="161">
        <f ca="1">IF(Table7[[#This Row],[POUT (W)]]=0,0,(Table7[[#This Row],[POUT (W)]])/(Table7[[#This Row],[POUT (W)]]+Table7[[#This Row],[Total Power Loss (W)]]))*100</f>
        <v>92.340297347310397</v>
      </c>
      <c r="CJ225" s="167"/>
      <c r="CK225" s="156">
        <f>(Table7[[#This Row],[R_AC (mW)]]+Table7[[#This Row],[R_SR (mW)]]+Table7[[#This Row],[Inductor Loss (mW)]])/10^3</f>
        <v>0.67918640625000015</v>
      </c>
      <c r="CL225" s="156">
        <f ca="1">Table7[[#This Row],[Total (mW) C]]/10^3</f>
        <v>1.3701659749904203</v>
      </c>
      <c r="CM225" s="156">
        <f ca="1">Table7[[#This Row],[Total Sense Loss C]]+Table7[[#This Row],[Total MOSFET Loss C]]</f>
        <v>2.0493523812404204</v>
      </c>
      <c r="CN225" s="161">
        <f ca="1">IF(Table7[[#This Row],[POUT (W)]]=0,0,(Table7[[#This Row],[POUT (W)]])/(Table7[[#This Row],[POUT (W)]]+Table7[[#This Row],[Total Power Loss (W) C]]))*100</f>
        <v>95.283353447345647</v>
      </c>
      <c r="CO225" s="167"/>
      <c r="CP225" s="161">
        <f>IF(MOSFET_S=Custom_MOSFET,Table7[[#This Row],[Total Sense Loss C]],Table7[[#This Row],[Total Sense Loss]])</f>
        <v>0.67918640625000015</v>
      </c>
      <c r="CQ225" s="161">
        <f ca="1">IF(MOSFET_S=Custom_MOSFET,Table7[[#This Row],[Total MOSFET Loss C]],Table7[[#This Row],[Total MOSFET Loss]])</f>
        <v>2.7549772138716584</v>
      </c>
      <c r="CR225" s="161">
        <f ca="1">IF(MOSFET_S=Custom_MOSFET,Table7[[#This Row],[Efficiency C]],Table7[[#This Row],[Efficiency]])</f>
        <v>92.340297347310397</v>
      </c>
      <c r="CS225" s="167"/>
      <c r="CT225" s="161">
        <f>IF(MOSFET_S=Compare_MOSFET, Table7[[#This Row],[Total Sense Loss C]], -100)</f>
        <v>-100</v>
      </c>
      <c r="CU225" s="161">
        <f>IF(MOSFET_S=Compare_MOSFET, Table7[[#This Row],[Total MOSFET Loss C]], -100)</f>
        <v>-100</v>
      </c>
      <c r="CV225" s="161">
        <f>IF(MOSFET_S=Compare_MOSFET, Table7[[#This Row],[Efficiency C]], -100)</f>
        <v>-100</v>
      </c>
      <c r="CW225" s="167"/>
      <c r="CX225" s="161">
        <f ca="1">IF(Save_Sel=CLR_Save,  Table7[[#This Row],[Total Sense Loss P1]], Table7[[#This Row],[Total Sense Loss P1 Saved]])</f>
        <v>0.67918640625000015</v>
      </c>
      <c r="CY225" s="161">
        <f ca="1">IF(Save_Sel=CLR_Save,  Table7[[#This Row],[Total MOSFET Loss P1]], Table7[[#This Row],[Total MOSFET Loss P1 Saved]] )</f>
        <v>2.0661399382383996</v>
      </c>
      <c r="CZ225" s="161">
        <f ca="1">IF(Save_Sel=CLR_Save, Table7[[#This Row],[Efficiency P1]], Table7[[#This Row],[Efficiency P1 Saved]])</f>
        <v>93.781161967033114</v>
      </c>
      <c r="DA225" s="167"/>
      <c r="DB225" s="161">
        <f ca="1">IF(Save_Sel=CLR_Save,  Table7[[#This Row],[Total Sense Loss P2]], Table7[[#This Row],[Total Sense Loss P2 Saved]])</f>
        <v>0.67918640625000015</v>
      </c>
      <c r="DC225" s="161">
        <f ca="1">IF(Save_Sel=CLR_Save,  Table7[[#This Row],[Total MOSFET Loss P2]], Table7[[#This Row],[Total MOSFET Loss P2 Saved]] )</f>
        <v>1.4156713154440876</v>
      </c>
      <c r="DD225" s="161">
        <f ca="1">IF(Save_Sel=CLR_Save, Table7[[#This Row],[Efficiency P2]], Table7[[#This Row],[Efficiency P2 Saved]])</f>
        <v>95.183665767805863</v>
      </c>
      <c r="DE225" s="167"/>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c r="FH225" s="21"/>
      <c r="FI225" s="21"/>
    </row>
    <row r="226" spans="1:165" x14ac:dyDescent="0.25">
      <c r="A226" s="20"/>
      <c r="B226" s="20"/>
      <c r="C226" s="20"/>
      <c r="D226" s="20"/>
      <c r="E226" s="20"/>
      <c r="F226" s="20"/>
      <c r="G226" s="20"/>
      <c r="H226" s="20"/>
      <c r="I226" s="20"/>
      <c r="J226" s="20"/>
      <c r="K226" s="20"/>
      <c r="L226" s="20"/>
      <c r="M226" s="20"/>
      <c r="N226" s="20"/>
      <c r="O226" s="20"/>
      <c r="P226" s="20"/>
      <c r="Q226" s="20"/>
      <c r="R226" s="20"/>
      <c r="S226" s="20"/>
      <c r="T226" s="20"/>
      <c r="U226" s="21"/>
      <c r="V226" s="21"/>
      <c r="W226" s="21"/>
      <c r="X226" s="21"/>
      <c r="Y226" s="21"/>
      <c r="Z226" s="21"/>
      <c r="AA226" s="21"/>
      <c r="AB226" s="21"/>
      <c r="AC226" s="21"/>
      <c r="AD226" s="21"/>
      <c r="AE226" s="21"/>
      <c r="AF226" s="154">
        <f t="shared" si="54"/>
        <v>70</v>
      </c>
      <c r="AG226" s="154">
        <f t="shared" si="53"/>
        <v>3.5</v>
      </c>
      <c r="AH226" s="155">
        <f t="shared" si="42"/>
        <v>42</v>
      </c>
      <c r="AI226" s="156">
        <f t="shared" si="43"/>
        <v>0.42857142857142855</v>
      </c>
      <c r="AJ226" s="156">
        <f t="shared" si="44"/>
        <v>6.125</v>
      </c>
      <c r="AK226" s="156">
        <f t="shared" si="40"/>
        <v>0.85714285714285721</v>
      </c>
      <c r="AL226" s="156">
        <f t="shared" si="41"/>
        <v>6.1299958800798491</v>
      </c>
      <c r="AM226" s="157"/>
      <c r="AN226" s="156">
        <f>MAX(0,Table7[[#This Row],[I_L]]-0.5*Table7[[#This Row],[I_L pkpk]])</f>
        <v>5.6964285714285712</v>
      </c>
      <c r="AO226" s="156">
        <f>Table7[[#This Row],[I_L]]+0.5*Table7[[#This Row],[I_L pkpk]]</f>
        <v>6.5535714285714288</v>
      </c>
      <c r="AP226" s="156">
        <f ca="1">IF(VACnom&gt;Vbat, (VGS_S-(TI_MOSFET_S_VTH_H_BU+Table7[[#This Row],[I_L]]/TI_MOSFET_S_gFS_H_BU))/3.4, (VGS_S-(TI_MOSFET_S_VTH_L_BO+Table7[[#This Row],[I_L]]/TI_MOSFET_S_gFS_L_BO))/3.4 )</f>
        <v>2.4126131221719458</v>
      </c>
      <c r="AQ226" s="156">
        <f ca="1">IF(VACnom&gt;Vbat, ((TI_MOSFET_S_VTH_H_BU+Table7[[#This Row],[I_L]]/TI_MOSFET_S_gFS_H_BU))/1, ((TI_MOSFET_S_VTH_L_BO+Table7[[#This Row],[I_L]]/TI_MOSFET_S_gFS_L_BO))/1 )</f>
        <v>1.7971153846153847</v>
      </c>
      <c r="AR226" s="156">
        <f ca="1">IF(VACnom&gt;Vbat, (TI_MOSFET_S_QGD_H_BU+TI_MOSFET_S_QGS_H_BU)*10^-9/Table7[[#This Row],[Ion (A)]], (TI_MOSFET_S_QGD_L_BO+TI_MOSFET_S_QGS_L_BO)*10^-9/Table7[[#This Row],[Ion (A)]])/10^-9</f>
        <v>11.937264095651155</v>
      </c>
      <c r="AS226" s="156">
        <f ca="1">IF(VACnom&gt;Vbat, (TI_MOSFET_S_QGD_H_BU+TI_MOSFET_S_QGS_H_BU)*10^-9/Table7[[#This Row],[Ioff (A)]], (TI_MOSFET_S_QGD_L_BO+TI_MOSFET_S_QGS_L_BO)*10^-9/Table7[[#This Row],[Ioff (A)]])/10^-9</f>
        <v>16.025682182985555</v>
      </c>
      <c r="AT226" s="156">
        <f ca="1" xml:space="preserve"> 0.5*VACnom*Table7[[#This Row],[Ivalley (A)]]*Table7[[#This Row],[ton (ns)]]*10^-9*Fsw*10^3+0.5*VACnom*Table7[[#This Row],[Ipeak (A)]]*Table7[[#This Row],[toff (ns)]]*10^-9*Fsw*10^3/10^-3</f>
        <v>378.33642954014221</v>
      </c>
      <c r="AU226" s="156">
        <f t="shared" ca="1" si="45"/>
        <v>262.8</v>
      </c>
      <c r="AV226" s="156">
        <f t="shared" ca="1" si="46"/>
        <v>648</v>
      </c>
      <c r="AW226" s="156">
        <f t="shared" ca="1" si="47"/>
        <v>554.4</v>
      </c>
      <c r="AX226" s="156">
        <f ca="1">IF(VACnom&gt;Vbat, TI_MOSFET_S_VSD_L_BU*Table7[[#This Row],[Ivalley (A)]]*Fsw*10^3*40*10^-9+TI_MOSFET_S_VSD_L_BU*Table7[[#This Row],[Ipeak (A)]]*Fsw*10^3*30*10^-9, TI_MOSFET_S_VSD_H_BO*Table7[[#This Row],[Ivalley (A)]]*Fsw*10^3*40*10^-9+TI_MOSFET_S_VSD_H_BO*Table7[[#This Row],[Ipeak (A)]]*Fsw*10^3*30*10^-9)/10^-3</f>
        <v>183.36857142857144</v>
      </c>
      <c r="AY226" s="156">
        <f t="shared" ca="1" si="48"/>
        <v>648</v>
      </c>
      <c r="AZ226" s="156">
        <f ca="1">IF(VACnom&lt;Vbat, Table7[[#This Row],[Duty Cycle]]*Table7[[#This Row],[I_L RMS]]^2*TI_MOSFET_S_RDSON_H_BU*10^-3, (1-Table7[[#This Row],[Duty Cycle]])*Table7[[#This Row],[I_L RMS]]^2*TI_MOSFET_S_RDSON_H_BO*10^-3)/10^-3</f>
        <v>45.092219387755108</v>
      </c>
      <c r="BA226" s="156">
        <f ca="1">IF(VACnom&gt;Vbat, Table7[[#This Row],[PIV (mW)]]+Table7[[#This Row],[Pqoss (mW)]]+Table7[[#This Row],[Pgate_top (mW)]], Table7[[#This Row],[PRR (mW)]]+Table7[[#This Row],[Pdead (mW)]]+Table7[[#This Row],[Pgate_top (mW)]])</f>
        <v>1385.7685714285715</v>
      </c>
      <c r="BB226" s="156">
        <f ca="1">Table7[[#This Row],[Pcon_top (mW)]]+Table7[[#This Row],[Psw_top (mW)]]</f>
        <v>1430.8607908163267</v>
      </c>
      <c r="BC226" s="156">
        <f ca="1">IF(VACnom&gt;Vbat, (1-Table7[[#This Row],[Duty Cycle]])*Table7[[#This Row],[I_L RMS]]^2*TI_MOSFET_S_RDSON_L_BU*10^-3, Table7[[#This Row],[Duty Cycle]]*Table7[[#This Row],[I_L RMS]]^2*TI_MOSFET_S_RDSON_L_BO*10^-3)/10^-3</f>
        <v>45.092219387755108</v>
      </c>
      <c r="BD226" s="156">
        <f ca="1">IF(VACnom&gt;Vbat, Table7[[#This Row],[PRR (mW)]]+Table7[[#This Row],[Pdead (mW)]]+Table7[[#This Row],[Pgate_bottom (mW)]], Table7[[#This Row],[PIV (mW)]]+Table7[[#This Row],[Pqoss (mW)]]+Table7[[#This Row],[Pgate_bottom (mW)]])</f>
        <v>1289.1364295401422</v>
      </c>
      <c r="BE226" s="158">
        <f ca="1">Table7[[#This Row],[Pcon_bottom (mW)]]+Table7[[#This Row],[Psw_bottom (mW)]]</f>
        <v>1334.2286489278972</v>
      </c>
      <c r="BF226" s="164">
        <f ca="1">Table7[[#This Row],[Pbottom (mW)]]+Table7[[#This Row],[Ptop (mW)]]</f>
        <v>2765.0894397442239</v>
      </c>
      <c r="BG226" s="153"/>
      <c r="BH226" s="156">
        <f>MAX(0,Table7[[#This Row],[I_L]]-0.5*Table7[[#This Row],[I_L pkpk]])</f>
        <v>5.6964285714285712</v>
      </c>
      <c r="BI226" s="156">
        <f>Table7[[#This Row],[I_L]]+0.5*Table7[[#This Row],[I_L pkpk]]</f>
        <v>6.5535714285714288</v>
      </c>
      <c r="BJ226" s="156">
        <f>IF(VACnom&gt;Vbat, (VGS_S-(C_MOSFET_S_VTH_H_BU+Table7[[#This Row],[I_L]]/C_MOSFET_S_gFS_H_BU))/3.4, (VGS_S-(C_MOSFET_S_VTH_L_BO+Table7[[#This Row],[I_L]]/C_MOSFET_S_gFS_L_BO))/3.4 )</f>
        <v>2.3409313725490195</v>
      </c>
      <c r="BK226" s="156">
        <f>IF(VACnom&gt;Vbat, ((C_MOSFET_S_VTH_H_BU+Table7[[#This Row],[I_L]]/C_MOSFET_S_gFS_H_BU))/1, ((C_MOSFET_S_VTH_L_BO+Table7[[#This Row],[I_L]]/C_MOSFET_S_gFS_L_BO))/1 )</f>
        <v>2.0408333333333335</v>
      </c>
      <c r="BL226" s="156">
        <f>IF(VACnom&gt;Vbat, (C_MOSFET_S_QGD_H_BU+C_MOSFET_S_QGS_H_BU)*10^-9/Table7[[#This Row],[Ion (A) C]], (C_MOSFET_S_QGD_L_BO+C_MOSFET_S_QGS_L_BO)*10^-9/Table7[[#This Row],[Ion (A) C]])/10^-9</f>
        <v>2.7766725997277772</v>
      </c>
      <c r="BM226" s="156">
        <f>IF(VACnom&gt;Vbat, (C_MOSFET_S_QGD_H_BU+C_MOSFET_S_QGS_H_BU)*10^-9/Table7[[#This Row],[Ioff (A) C]], (C_MOSFET_S_QGD_L_BO+C_MOSFET_S_QGS_L_BO)*10^-9/Table7[[#This Row],[Ioff (A) C]])/10^-9</f>
        <v>3.1849734585545115</v>
      </c>
      <c r="BN226" s="156">
        <f xml:space="preserve"> 0.5*VACnom*Table7[[#This Row],[Ivalley (A) C]]*Table7[[#This Row],[ton (ns) C]]*10^-9*Fsw*10^3+0.5*VACnom*Table7[[#This Row],[Ipeak (A) C]]*Table7[[#This Row],[toff (ns) C]]*10^-9*Fsw*10^3/10^-3</f>
        <v>75.199565433138361</v>
      </c>
      <c r="BO226" s="156">
        <f t="shared" si="49"/>
        <v>129.6</v>
      </c>
      <c r="BP226" s="156">
        <f t="shared" ca="1" si="50"/>
        <v>291.59999999999997</v>
      </c>
      <c r="BQ226" s="156">
        <f t="shared" si="51"/>
        <v>237.6</v>
      </c>
      <c r="BR226" s="156">
        <f>IF(VACnom&gt;Vbat, C_MOSFET_S_VSD_L_BU*Table7[[#This Row],[Ivalley (A) C]]*Fsw*10^3*40*10^-9+C_MOSFET_S_VSD_L_BU*Table7[[#This Row],[Ipeak (A) C]]*Fsw*10^3*30*10^-9, C_MOSFET_S_VSD_H_BO*Table7[[#This Row],[Ivalley (A) C]]*Fsw*10^3*40*10^-9+C_MOSFET_S_VSD_H_BO*Table7[[#This Row],[Ipeak (A) C]]*Fsw*10^3*30*10^-9)/10^-3</f>
        <v>203.74285714285716</v>
      </c>
      <c r="BS226" s="156">
        <f t="shared" ca="1" si="52"/>
        <v>291.59999999999997</v>
      </c>
      <c r="BT226" s="156">
        <f>IF(VACnom&lt;Vbat, Table7[[#This Row],[Duty Cycle]]*Table7[[#This Row],[I_L RMS]]^2*C_MOSFET_S_RDSON_H_BU*10^-3, (1-Table7[[#This Row],[Duty Cycle]])*Table7[[#This Row],[I_L RMS]]^2*C_MOSFET_S_RDSON_H_BO*10^-3)/10^-3</f>
        <v>91.794875182215762</v>
      </c>
      <c r="BU226" s="156">
        <f ca="1">IF(VACnom&gt;Vbat, Table7[[#This Row],[PIV (mW) C]]+Table7[[#This Row],[PQoss (mW) C]]+Table7[[#This Row],[Pgate_top (mW) C]], Table7[[#This Row],[PRR (mW) C]]+Table7[[#This Row],[Pdead (mW) C]]+Table7[[#This Row],[Pgate_top (mW) C]])</f>
        <v>732.94285714285706</v>
      </c>
      <c r="BV226" s="156">
        <f ca="1">Table7[[#This Row],[Pcon_top (mW) C]]+Table7[[#This Row],[Psw_top (mW) C]]</f>
        <v>824.73773232507278</v>
      </c>
      <c r="BW226" s="156">
        <f ca="1">IF(VACnom&gt;Vbat, (1-Table7[[#This Row],[Duty Cycle]])*Table7[[#This Row],[I_L RMS]]^2*C_MOSFET_S_RDSON_L_BU*10^-3, Table7[[#This Row],[Duty Cycle]]*Table7[[#This Row],[I_L RMS]]^2*C_MOSFET_S_RDSON_L_BO*10^-3)/10^-3</f>
        <v>57.170492438046651</v>
      </c>
      <c r="BX226" s="156">
        <f ca="1">IF(VACnom&gt;Vbat, Table7[[#This Row],[PRR (mW) C]]+Table7[[#This Row],[Pdead (mW) C]]+Table7[[#This Row],[Pgate_bottom (mW) C]], Table7[[#This Row],[PIV (mW) C]]+Table7[[#This Row],[PQoss (mW) C]]+Table7[[#This Row],[Pgate_bottom (mW) C]])</f>
        <v>496.39956543313832</v>
      </c>
      <c r="BY226" s="156">
        <f ca="1">Table7[[#This Row],[Pcon_bottom (mW) C]]+Table7[[#This Row],[Psw_bottom (mV) C]]</f>
        <v>553.57005787118499</v>
      </c>
      <c r="BZ226" s="156">
        <f ca="1">Table7[[#This Row],[Pbottom (mW) C]]+Table7[[#This Row],[Ptop (mW) C]]</f>
        <v>1378.3077901962579</v>
      </c>
      <c r="CA226" s="159"/>
      <c r="CB226" s="160">
        <f>(RAC_SNS*10^-3*(Table7[[#This Row],[IOUT (A)]]*Vbat/VACnom)^2/10^-3)</f>
        <v>187.578125</v>
      </c>
      <c r="CC226" s="160">
        <f>(RBAT_SNS*10^-3*Table7[[#This Row],[IOUT (A)]]^2)/10^-3</f>
        <v>61.25</v>
      </c>
      <c r="CD226" s="160">
        <f>IF(VACnom&gt;Vbat,(L_DRC*10^-3*(Table7[[#This Row],[IOUT (A)]])^2/10^-3),(L_DRC*10^-3*(Table7[[#This Row],[IOUT (A)]]*Vbat/VACnom)^2/10^-3))</f>
        <v>450.1875</v>
      </c>
      <c r="CE226" s="166"/>
      <c r="CF226" s="156">
        <f>(Table7[[#This Row],[R_AC (mW)]]+Table7[[#This Row],[R_SR (mW)]]+Table7[[#This Row],[Inductor Loss (mW)]])/10^3</f>
        <v>0.69901562500000003</v>
      </c>
      <c r="CG226" s="156">
        <f ca="1">Table7[[#This Row],[Total TI (mW)]]/10^3</f>
        <v>2.7650894397442238</v>
      </c>
      <c r="CH226" s="156">
        <f ca="1">Table7[[#This Row],[Total Sense Loss]]+Table7[[#This Row],[Total MOSFET Loss]]</f>
        <v>3.4641050647442237</v>
      </c>
      <c r="CI226" s="161">
        <f ca="1">IF(Table7[[#This Row],[POUT (W)]]=0,0,(Table7[[#This Row],[POUT (W)]])/(Table7[[#This Row],[POUT (W)]]+Table7[[#This Row],[Total Power Loss (W)]]))*100</f>
        <v>92.38057131046331</v>
      </c>
      <c r="CJ226" s="167"/>
      <c r="CK226" s="156">
        <f>(Table7[[#This Row],[R_AC (mW)]]+Table7[[#This Row],[R_SR (mW)]]+Table7[[#This Row],[Inductor Loss (mW)]])/10^3</f>
        <v>0.69901562500000003</v>
      </c>
      <c r="CL226" s="156">
        <f ca="1">Table7[[#This Row],[Total (mW) C]]/10^3</f>
        <v>1.3783077901962579</v>
      </c>
      <c r="CM226" s="156">
        <f ca="1">Table7[[#This Row],[Total Sense Loss C]]+Table7[[#This Row],[Total MOSFET Loss C]]</f>
        <v>2.0773234151962581</v>
      </c>
      <c r="CN226" s="161">
        <f ca="1">IF(Table7[[#This Row],[POUT (W)]]=0,0,(Table7[[#This Row],[POUT (W)]])/(Table7[[#This Row],[POUT (W)]]+Table7[[#This Row],[Total Power Loss (W) C]]))*100</f>
        <v>95.287092649368816</v>
      </c>
      <c r="CO226" s="167"/>
      <c r="CP226" s="161">
        <f>IF(MOSFET_S=Custom_MOSFET,Table7[[#This Row],[Total Sense Loss C]],Table7[[#This Row],[Total Sense Loss]])</f>
        <v>0.69901562500000003</v>
      </c>
      <c r="CQ226" s="161">
        <f ca="1">IF(MOSFET_S=Custom_MOSFET,Table7[[#This Row],[Total MOSFET Loss C]],Table7[[#This Row],[Total MOSFET Loss]])</f>
        <v>2.7650894397442238</v>
      </c>
      <c r="CR226" s="161">
        <f ca="1">IF(MOSFET_S=Custom_MOSFET,Table7[[#This Row],[Efficiency C]],Table7[[#This Row],[Efficiency]])</f>
        <v>92.38057131046331</v>
      </c>
      <c r="CS226" s="167"/>
      <c r="CT226" s="161">
        <f>IF(MOSFET_S=Compare_MOSFET, Table7[[#This Row],[Total Sense Loss C]], -100)</f>
        <v>-100</v>
      </c>
      <c r="CU226" s="161">
        <f>IF(MOSFET_S=Compare_MOSFET, Table7[[#This Row],[Total MOSFET Loss C]], -100)</f>
        <v>-100</v>
      </c>
      <c r="CV226" s="161">
        <f>IF(MOSFET_S=Compare_MOSFET, Table7[[#This Row],[Efficiency C]], -100)</f>
        <v>-100</v>
      </c>
      <c r="CW226" s="167"/>
      <c r="CX226" s="161">
        <f ca="1">IF(Save_Sel=CLR_Save,  Table7[[#This Row],[Total Sense Loss P1]], Table7[[#This Row],[Total Sense Loss P1 Saved]])</f>
        <v>0.69901562500000003</v>
      </c>
      <c r="CY226" s="161">
        <f ca="1">IF(Save_Sel=CLR_Save,  Table7[[#This Row],[Total MOSFET Loss P1]], Table7[[#This Row],[Total MOSFET Loss P1 Saved]] )</f>
        <v>2.0769441186482083</v>
      </c>
      <c r="CZ226" s="161">
        <f ca="1">IF(Save_Sel=CLR_Save, Table7[[#This Row],[Efficiency P1]], Table7[[#This Row],[Efficiency P1 Saved]])</f>
        <v>93.800334466215446</v>
      </c>
      <c r="DA226" s="167"/>
      <c r="DB226" s="161">
        <f ca="1">IF(Save_Sel=CLR_Save,  Table7[[#This Row],[Total Sense Loss P2]], Table7[[#This Row],[Total Sense Loss P2 Saved]])</f>
        <v>0.69901562500000003</v>
      </c>
      <c r="DC226" s="161">
        <f ca="1">IF(Save_Sel=CLR_Save,  Table7[[#This Row],[Total MOSFET Loss P2]], Table7[[#This Row],[Total MOSFET Loss P2 Saved]] )</f>
        <v>1.4251377976352535</v>
      </c>
      <c r="DD226" s="161">
        <f ca="1">IF(Save_Sel=CLR_Save, Table7[[#This Row],[Efficiency P2]], Table7[[#This Row],[Efficiency P2 Saved]])</f>
        <v>95.185962204669565</v>
      </c>
      <c r="DE226" s="167"/>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c r="FH226" s="21"/>
      <c r="FI226" s="21"/>
    </row>
    <row r="227" spans="1:165" x14ac:dyDescent="0.25">
      <c r="A227" s="70"/>
      <c r="B227" s="70"/>
      <c r="C227" s="70"/>
      <c r="D227" s="70"/>
      <c r="E227" s="70"/>
      <c r="F227" s="70"/>
      <c r="G227" s="70"/>
      <c r="H227" s="70"/>
      <c r="I227" s="70"/>
      <c r="J227" s="70"/>
      <c r="K227" s="70"/>
      <c r="L227" s="70"/>
      <c r="M227" s="70"/>
      <c r="N227" s="70"/>
      <c r="O227" s="70"/>
      <c r="P227" s="70"/>
      <c r="Q227" s="70"/>
      <c r="R227" s="70"/>
      <c r="S227" s="70"/>
      <c r="T227" s="70"/>
      <c r="U227" s="21"/>
      <c r="V227" s="21"/>
      <c r="W227" s="21"/>
      <c r="X227" s="21"/>
      <c r="Y227" s="21"/>
      <c r="Z227" s="21"/>
      <c r="AA227" s="21"/>
      <c r="AB227" s="21"/>
      <c r="AC227" s="21"/>
      <c r="AD227" s="21"/>
      <c r="AE227" s="21"/>
      <c r="AF227" s="154">
        <f t="shared" si="54"/>
        <v>71</v>
      </c>
      <c r="AG227" s="154">
        <f t="shared" si="53"/>
        <v>3.55</v>
      </c>
      <c r="AH227" s="155">
        <f t="shared" si="42"/>
        <v>42.599999999999994</v>
      </c>
      <c r="AI227" s="156">
        <f t="shared" si="43"/>
        <v>0.42857142857142855</v>
      </c>
      <c r="AJ227" s="156">
        <f t="shared" si="44"/>
        <v>6.2125000000000004</v>
      </c>
      <c r="AK227" s="156">
        <f t="shared" si="40"/>
        <v>0.85714285714285721</v>
      </c>
      <c r="AL227" s="156">
        <f t="shared" si="41"/>
        <v>6.2174255717134175</v>
      </c>
      <c r="AM227" s="157"/>
      <c r="AN227" s="156">
        <f>MAX(0,Table7[[#This Row],[I_L]]-0.5*Table7[[#This Row],[I_L pkpk]])</f>
        <v>5.7839285714285715</v>
      </c>
      <c r="AO227" s="156">
        <f>Table7[[#This Row],[I_L]]+0.5*Table7[[#This Row],[I_L pkpk]]</f>
        <v>6.6410714285714292</v>
      </c>
      <c r="AP227" s="156">
        <f ca="1">IF(VACnom&gt;Vbat, (VGS_S-(TI_MOSFET_S_VTH_H_BU+Table7[[#This Row],[I_L]]/TI_MOSFET_S_gFS_H_BU))/3.4, (VGS_S-(TI_MOSFET_S_VTH_L_BO+Table7[[#This Row],[I_L]]/TI_MOSFET_S_gFS_L_BO))/3.4 )</f>
        <v>2.4124151583710409</v>
      </c>
      <c r="AQ227" s="156">
        <f ca="1">IF(VACnom&gt;Vbat, ((TI_MOSFET_S_VTH_H_BU+Table7[[#This Row],[I_L]]/TI_MOSFET_S_gFS_H_BU))/1, ((TI_MOSFET_S_VTH_L_BO+Table7[[#This Row],[I_L]]/TI_MOSFET_S_gFS_L_BO))/1 )</f>
        <v>1.7977884615384616</v>
      </c>
      <c r="AR227" s="156">
        <f ca="1">IF(VACnom&gt;Vbat, (TI_MOSFET_S_QGD_H_BU+TI_MOSFET_S_QGS_H_BU)*10^-9/Table7[[#This Row],[Ion (A)]], (TI_MOSFET_S_QGD_L_BO+TI_MOSFET_S_QGS_L_BO)*10^-9/Table7[[#This Row],[Ion (A)]])/10^-9</f>
        <v>11.93824367255548</v>
      </c>
      <c r="AS227" s="156">
        <f ca="1">IF(VACnom&gt;Vbat, (TI_MOSFET_S_QGD_H_BU+TI_MOSFET_S_QGS_H_BU)*10^-9/Table7[[#This Row],[Ioff (A)]], (TI_MOSFET_S_QGD_L_BO+TI_MOSFET_S_QGS_L_BO)*10^-9/Table7[[#This Row],[Ioff (A)]])/10^-9</f>
        <v>16.019682301973578</v>
      </c>
      <c r="AT227" s="156">
        <f ca="1" xml:space="preserve"> 0.5*VACnom*Table7[[#This Row],[Ivalley (A)]]*Table7[[#This Row],[ton (ns)]]*10^-9*Fsw*10^3+0.5*VACnom*Table7[[#This Row],[Ipeak (A)]]*Table7[[#This Row],[toff (ns)]]*10^-9*Fsw*10^3/10^-3</f>
        <v>383.2448557647545</v>
      </c>
      <c r="AU227" s="156">
        <f t="shared" ca="1" si="45"/>
        <v>262.8</v>
      </c>
      <c r="AV227" s="156">
        <f t="shared" ca="1" si="46"/>
        <v>648</v>
      </c>
      <c r="AW227" s="156">
        <f t="shared" ca="1" si="47"/>
        <v>554.4</v>
      </c>
      <c r="AX227" s="156">
        <f ca="1">IF(VACnom&gt;Vbat, TI_MOSFET_S_VSD_L_BU*Table7[[#This Row],[Ivalley (A)]]*Fsw*10^3*40*10^-9+TI_MOSFET_S_VSD_L_BU*Table7[[#This Row],[Ipeak (A)]]*Fsw*10^3*30*10^-9, TI_MOSFET_S_VSD_H_BO*Table7[[#This Row],[Ivalley (A)]]*Fsw*10^3*40*10^-9+TI_MOSFET_S_VSD_H_BO*Table7[[#This Row],[Ipeak (A)]]*Fsw*10^3*30*10^-9)/10^-3</f>
        <v>186.0145714285714</v>
      </c>
      <c r="AY227" s="156">
        <f t="shared" ca="1" si="48"/>
        <v>648</v>
      </c>
      <c r="AZ227" s="156">
        <f ca="1">IF(VACnom&lt;Vbat, Table7[[#This Row],[Duty Cycle]]*Table7[[#This Row],[I_L RMS]]^2*TI_MOSFET_S_RDSON_H_BU*10^-3, (1-Table7[[#This Row],[Duty Cycle]])*Table7[[#This Row],[I_L RMS]]^2*TI_MOSFET_S_RDSON_H_BO*10^-3)/10^-3</f>
        <v>46.387656887755092</v>
      </c>
      <c r="BA227" s="156">
        <f ca="1">IF(VACnom&gt;Vbat, Table7[[#This Row],[PIV (mW)]]+Table7[[#This Row],[Pqoss (mW)]]+Table7[[#This Row],[Pgate_top (mW)]], Table7[[#This Row],[PRR (mW)]]+Table7[[#This Row],[Pdead (mW)]]+Table7[[#This Row],[Pgate_top (mW)]])</f>
        <v>1388.4145714285714</v>
      </c>
      <c r="BB227" s="156">
        <f ca="1">Table7[[#This Row],[Pcon_top (mW)]]+Table7[[#This Row],[Psw_top (mW)]]</f>
        <v>1434.8022283163266</v>
      </c>
      <c r="BC227" s="156">
        <f ca="1">IF(VACnom&gt;Vbat, (1-Table7[[#This Row],[Duty Cycle]])*Table7[[#This Row],[I_L RMS]]^2*TI_MOSFET_S_RDSON_L_BU*10^-3, Table7[[#This Row],[Duty Cycle]]*Table7[[#This Row],[I_L RMS]]^2*TI_MOSFET_S_RDSON_L_BO*10^-3)/10^-3</f>
        <v>46.387656887755092</v>
      </c>
      <c r="BD227" s="156">
        <f ca="1">IF(VACnom&gt;Vbat, Table7[[#This Row],[PRR (mW)]]+Table7[[#This Row],[Pdead (mW)]]+Table7[[#This Row],[Pgate_bottom (mW)]], Table7[[#This Row],[PIV (mW)]]+Table7[[#This Row],[Pqoss (mW)]]+Table7[[#This Row],[Pgate_bottom (mW)]])</f>
        <v>1294.0448557647546</v>
      </c>
      <c r="BE227" s="158">
        <f ca="1">Table7[[#This Row],[Pcon_bottom (mW)]]+Table7[[#This Row],[Psw_bottom (mW)]]</f>
        <v>1340.4325126525098</v>
      </c>
      <c r="BF227" s="164">
        <f ca="1">Table7[[#This Row],[Pbottom (mW)]]+Table7[[#This Row],[Ptop (mW)]]</f>
        <v>2775.2347409688364</v>
      </c>
      <c r="BG227" s="153"/>
      <c r="BH227" s="156">
        <f>MAX(0,Table7[[#This Row],[I_L]]-0.5*Table7[[#This Row],[I_L pkpk]])</f>
        <v>5.7839285714285715</v>
      </c>
      <c r="BI227" s="156">
        <f>Table7[[#This Row],[I_L]]+0.5*Table7[[#This Row],[I_L pkpk]]</f>
        <v>6.6410714285714292</v>
      </c>
      <c r="BJ227" s="156">
        <f>IF(VACnom&gt;Vbat, (VGS_S-(C_MOSFET_S_VTH_H_BU+Table7[[#This Row],[I_L]]/C_MOSFET_S_gFS_H_BU))/3.4, (VGS_S-(C_MOSFET_S_VTH_L_BO+Table7[[#This Row],[I_L]]/C_MOSFET_S_gFS_L_BO))/3.4 )</f>
        <v>2.3407598039215687</v>
      </c>
      <c r="BK227" s="156">
        <f>IF(VACnom&gt;Vbat, ((C_MOSFET_S_VTH_H_BU+Table7[[#This Row],[I_L]]/C_MOSFET_S_gFS_H_BU))/1, ((C_MOSFET_S_VTH_L_BO+Table7[[#This Row],[I_L]]/C_MOSFET_S_gFS_L_BO))/1 )</f>
        <v>2.0414166666666667</v>
      </c>
      <c r="BL227" s="156">
        <f>IF(VACnom&gt;Vbat, (C_MOSFET_S_QGD_H_BU+C_MOSFET_S_QGS_H_BU)*10^-9/Table7[[#This Row],[Ion (A) C]], (C_MOSFET_S_QGD_L_BO+C_MOSFET_S_QGS_L_BO)*10^-9/Table7[[#This Row],[Ion (A) C]])/10^-9</f>
        <v>2.7768761190747933</v>
      </c>
      <c r="BM227" s="156">
        <f>IF(VACnom&gt;Vbat, (C_MOSFET_S_QGD_H_BU+C_MOSFET_S_QGS_H_BU)*10^-9/Table7[[#This Row],[Ioff (A) C]], (C_MOSFET_S_QGD_L_BO+C_MOSFET_S_QGS_L_BO)*10^-9/Table7[[#This Row],[Ioff (A) C]])/10^-9</f>
        <v>3.1840633546964936</v>
      </c>
      <c r="BN227" s="156">
        <f xml:space="preserve"> 0.5*VACnom*Table7[[#This Row],[Ivalley (A) C]]*Table7[[#This Row],[ton (ns) C]]*10^-9*Fsw*10^3+0.5*VACnom*Table7[[#This Row],[Ipeak (A) C]]*Table7[[#This Row],[toff (ns) C]]*10^-9*Fsw*10^3/10^-3</f>
        <v>76.181952329138213</v>
      </c>
      <c r="BO227" s="156">
        <f t="shared" si="49"/>
        <v>129.6</v>
      </c>
      <c r="BP227" s="156">
        <f t="shared" ca="1" si="50"/>
        <v>291.59999999999997</v>
      </c>
      <c r="BQ227" s="156">
        <f t="shared" si="51"/>
        <v>237.6</v>
      </c>
      <c r="BR227" s="156">
        <f>IF(VACnom&gt;Vbat, C_MOSFET_S_VSD_L_BU*Table7[[#This Row],[Ivalley (A) C]]*Fsw*10^3*40*10^-9+C_MOSFET_S_VSD_L_BU*Table7[[#This Row],[Ipeak (A) C]]*Fsw*10^3*30*10^-9, C_MOSFET_S_VSD_H_BO*Table7[[#This Row],[Ivalley (A) C]]*Fsw*10^3*40*10^-9+C_MOSFET_S_VSD_H_BO*Table7[[#This Row],[Ipeak (A) C]]*Fsw*10^3*30*10^-9)/10^-3</f>
        <v>206.68285714285716</v>
      </c>
      <c r="BS227" s="156">
        <f t="shared" ca="1" si="52"/>
        <v>291.59999999999997</v>
      </c>
      <c r="BT227" s="156">
        <f>IF(VACnom&lt;Vbat, Table7[[#This Row],[Duty Cycle]]*Table7[[#This Row],[I_L RMS]]^2*C_MOSFET_S_RDSON_H_BU*10^-3, (1-Table7[[#This Row],[Duty Cycle]])*Table7[[#This Row],[I_L RMS]]^2*C_MOSFET_S_RDSON_H_BO*10^-3)/10^-3</f>
        <v>94.432015807215734</v>
      </c>
      <c r="BU227" s="156">
        <f ca="1">IF(VACnom&gt;Vbat, Table7[[#This Row],[PIV (mW) C]]+Table7[[#This Row],[PQoss (mW) C]]+Table7[[#This Row],[Pgate_top (mW) C]], Table7[[#This Row],[PRR (mW) C]]+Table7[[#This Row],[Pdead (mW) C]]+Table7[[#This Row],[Pgate_top (mW) C]])</f>
        <v>735.88285714285712</v>
      </c>
      <c r="BV227" s="156">
        <f ca="1">Table7[[#This Row],[Pcon_top (mW) C]]+Table7[[#This Row],[Psw_top (mW) C]]</f>
        <v>830.31487295007287</v>
      </c>
      <c r="BW227" s="156">
        <f ca="1">IF(VACnom&gt;Vbat, (1-Table7[[#This Row],[Duty Cycle]])*Table7[[#This Row],[I_L RMS]]^2*C_MOSFET_S_RDSON_L_BU*10^-3, Table7[[#This Row],[Duty Cycle]]*Table7[[#This Row],[I_L RMS]]^2*C_MOSFET_S_RDSON_L_BO*10^-3)/10^-3</f>
        <v>58.812922125546635</v>
      </c>
      <c r="BX227" s="156">
        <f ca="1">IF(VACnom&gt;Vbat, Table7[[#This Row],[PRR (mW) C]]+Table7[[#This Row],[Pdead (mW) C]]+Table7[[#This Row],[Pgate_bottom (mW) C]], Table7[[#This Row],[PIV (mW) C]]+Table7[[#This Row],[PQoss (mW) C]]+Table7[[#This Row],[Pgate_bottom (mW) C]])</f>
        <v>497.38195232913819</v>
      </c>
      <c r="BY227" s="156">
        <f ca="1">Table7[[#This Row],[Pcon_bottom (mW) C]]+Table7[[#This Row],[Psw_bottom (mV) C]]</f>
        <v>556.19487445468485</v>
      </c>
      <c r="BZ227" s="156">
        <f ca="1">Table7[[#This Row],[Pbottom (mW) C]]+Table7[[#This Row],[Ptop (mW) C]]</f>
        <v>1386.5097474047577</v>
      </c>
      <c r="CA227" s="159"/>
      <c r="CB227" s="160">
        <f>(RAC_SNS*10^-3*(Table7[[#This Row],[IOUT (A)]]*Vbat/VACnom)^2/10^-3)</f>
        <v>192.97578124999998</v>
      </c>
      <c r="CC227" s="160">
        <f>(RBAT_SNS*10^-3*Table7[[#This Row],[IOUT (A)]]^2)/10^-3</f>
        <v>63.012499999999996</v>
      </c>
      <c r="CD227" s="160">
        <f>IF(VACnom&gt;Vbat,(L_DRC*10^-3*(Table7[[#This Row],[IOUT (A)]])^2/10^-3),(L_DRC*10^-3*(Table7[[#This Row],[IOUT (A)]]*Vbat/VACnom)^2/10^-3))</f>
        <v>463.14187499999991</v>
      </c>
      <c r="CE227" s="166"/>
      <c r="CF227" s="156">
        <f>(Table7[[#This Row],[R_AC (mW)]]+Table7[[#This Row],[R_SR (mW)]]+Table7[[#This Row],[Inductor Loss (mW)]])/10^3</f>
        <v>0.71913015624999987</v>
      </c>
      <c r="CG227" s="156">
        <f ca="1">Table7[[#This Row],[Total TI (mW)]]/10^3</f>
        <v>2.7752347409688363</v>
      </c>
      <c r="CH227" s="156">
        <f ca="1">Table7[[#This Row],[Total Sense Loss]]+Table7[[#This Row],[Total MOSFET Loss]]</f>
        <v>3.4943648972188361</v>
      </c>
      <c r="CI227" s="161">
        <f ca="1">IF(Table7[[#This Row],[POUT (W)]]=0,0,(Table7[[#This Row],[POUT (W)]])/(Table7[[#This Row],[POUT (W)]]+Table7[[#This Row],[Total Power Loss (W)]]))*100</f>
        <v>92.419106098954686</v>
      </c>
      <c r="CJ227" s="167"/>
      <c r="CK227" s="156">
        <f>(Table7[[#This Row],[R_AC (mW)]]+Table7[[#This Row],[R_SR (mW)]]+Table7[[#This Row],[Inductor Loss (mW)]])/10^3</f>
        <v>0.71913015624999987</v>
      </c>
      <c r="CL227" s="156">
        <f ca="1">Table7[[#This Row],[Total (mW) C]]/10^3</f>
        <v>1.3865097474047576</v>
      </c>
      <c r="CM227" s="156">
        <f ca="1">Table7[[#This Row],[Total Sense Loss C]]+Table7[[#This Row],[Total MOSFET Loss C]]</f>
        <v>2.1056399036547573</v>
      </c>
      <c r="CN227" s="161">
        <f ca="1">IF(Table7[[#This Row],[POUT (W)]]=0,0,(Table7[[#This Row],[POUT (W)]])/(Table7[[#This Row],[POUT (W)]]+Table7[[#This Row],[Total Power Loss (W) C]]))*100</f>
        <v>95.289990461622693</v>
      </c>
      <c r="CO227" s="167"/>
      <c r="CP227" s="161">
        <f>IF(MOSFET_S=Custom_MOSFET,Table7[[#This Row],[Total Sense Loss C]],Table7[[#This Row],[Total Sense Loss]])</f>
        <v>0.71913015624999987</v>
      </c>
      <c r="CQ227" s="161">
        <f ca="1">IF(MOSFET_S=Custom_MOSFET,Table7[[#This Row],[Total MOSFET Loss C]],Table7[[#This Row],[Total MOSFET Loss]])</f>
        <v>2.7752347409688363</v>
      </c>
      <c r="CR227" s="161">
        <f ca="1">IF(MOSFET_S=Custom_MOSFET,Table7[[#This Row],[Efficiency C]],Table7[[#This Row],[Efficiency]])</f>
        <v>92.419106098954686</v>
      </c>
      <c r="CS227" s="167"/>
      <c r="CT227" s="161">
        <f>IF(MOSFET_S=Compare_MOSFET, Table7[[#This Row],[Total Sense Loss C]], -100)</f>
        <v>-100</v>
      </c>
      <c r="CU227" s="161">
        <f>IF(MOSFET_S=Compare_MOSFET, Table7[[#This Row],[Total MOSFET Loss C]], -100)</f>
        <v>-100</v>
      </c>
      <c r="CV227" s="161">
        <f>IF(MOSFET_S=Compare_MOSFET, Table7[[#This Row],[Efficiency C]], -100)</f>
        <v>-100</v>
      </c>
      <c r="CW227" s="167"/>
      <c r="CX227" s="161">
        <f ca="1">IF(Save_Sel=CLR_Save,  Table7[[#This Row],[Total Sense Loss P1]], Table7[[#This Row],[Total Sense Loss P1 Saved]])</f>
        <v>0.71913015624999987</v>
      </c>
      <c r="CY227" s="161">
        <f ca="1">IF(Save_Sel=CLR_Save,  Table7[[#This Row],[Total MOSFET Loss P1]], Table7[[#This Row],[Total MOSFET Loss P1 Saved]] )</f>
        <v>2.087791223315401</v>
      </c>
      <c r="CZ227" s="161">
        <f ca="1">IF(Save_Sel=CLR_Save, Table7[[#This Row],[Efficiency P1]], Table7[[#This Row],[Efficiency P1 Saved]])</f>
        <v>93.818296210611166</v>
      </c>
      <c r="DA227" s="167"/>
      <c r="DB227" s="161">
        <f ca="1">IF(Save_Sel=CLR_Save,  Table7[[#This Row],[Total Sense Loss P2]], Table7[[#This Row],[Total Sense Loss P2 Saved]])</f>
        <v>0.71913015624999987</v>
      </c>
      <c r="DC227" s="161">
        <f ca="1">IF(Save_Sel=CLR_Save,  Table7[[#This Row],[Total MOSFET Loss P2]], Table7[[#This Row],[Total MOSFET Loss P2 Saved]] )</f>
        <v>1.4346834543139944</v>
      </c>
      <c r="DD227" s="161">
        <f ca="1">IF(Save_Sel=CLR_Save, Table7[[#This Row],[Efficiency P2]], Table7[[#This Row],[Efficiency P2 Saved]])</f>
        <v>95.187418821318971</v>
      </c>
      <c r="DE227" s="167"/>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c r="FH227" s="21"/>
      <c r="FI227" s="21"/>
    </row>
    <row r="228" spans="1:165" x14ac:dyDescent="0.25">
      <c r="A228" s="70"/>
      <c r="B228" s="70"/>
      <c r="C228" s="70"/>
      <c r="D228" s="70"/>
      <c r="E228" s="70"/>
      <c r="F228" s="70"/>
      <c r="G228" s="70"/>
      <c r="H228" s="70"/>
      <c r="I228" s="70"/>
      <c r="J228" s="70"/>
      <c r="K228" s="70"/>
      <c r="L228" s="70"/>
      <c r="M228" s="70"/>
      <c r="N228" s="70"/>
      <c r="O228" s="70"/>
      <c r="P228" s="70"/>
      <c r="Q228" s="70"/>
      <c r="R228" s="70"/>
      <c r="S228" s="70"/>
      <c r="T228" s="70"/>
      <c r="U228" s="21"/>
      <c r="V228" s="21"/>
      <c r="W228" s="21"/>
      <c r="X228" s="21"/>
      <c r="Y228" s="21"/>
      <c r="Z228" s="21"/>
      <c r="AA228" s="21"/>
      <c r="AB228" s="21"/>
      <c r="AC228" s="21"/>
      <c r="AD228" s="21"/>
      <c r="AE228" s="21"/>
      <c r="AF228" s="154">
        <f t="shared" si="54"/>
        <v>72</v>
      </c>
      <c r="AG228" s="154">
        <f t="shared" si="53"/>
        <v>3.6</v>
      </c>
      <c r="AH228" s="155">
        <f t="shared" si="42"/>
        <v>43.2</v>
      </c>
      <c r="AI228" s="156">
        <f t="shared" si="43"/>
        <v>0.42857142857142855</v>
      </c>
      <c r="AJ228" s="156">
        <f t="shared" si="44"/>
        <v>6.3000000000000007</v>
      </c>
      <c r="AK228" s="156">
        <f t="shared" si="40"/>
        <v>0.85714285714285721</v>
      </c>
      <c r="AL228" s="156">
        <f t="shared" si="41"/>
        <v>6.3048572140688428</v>
      </c>
      <c r="AM228" s="157"/>
      <c r="AN228" s="156">
        <f>MAX(0,Table7[[#This Row],[I_L]]-0.5*Table7[[#This Row],[I_L pkpk]])</f>
        <v>5.8714285714285719</v>
      </c>
      <c r="AO228" s="156">
        <f>Table7[[#This Row],[I_L]]+0.5*Table7[[#This Row],[I_L pkpk]]</f>
        <v>6.7285714285714295</v>
      </c>
      <c r="AP228" s="156">
        <f ca="1">IF(VACnom&gt;Vbat, (VGS_S-(TI_MOSFET_S_VTH_H_BU+Table7[[#This Row],[I_L]]/TI_MOSFET_S_gFS_H_BU))/3.4, (VGS_S-(TI_MOSFET_S_VTH_L_BO+Table7[[#This Row],[I_L]]/TI_MOSFET_S_gFS_L_BO))/3.4 )</f>
        <v>2.4122171945701361</v>
      </c>
      <c r="AQ228" s="156">
        <f ca="1">IF(VACnom&gt;Vbat, ((TI_MOSFET_S_VTH_H_BU+Table7[[#This Row],[I_L]]/TI_MOSFET_S_gFS_H_BU))/1, ((TI_MOSFET_S_VTH_L_BO+Table7[[#This Row],[I_L]]/TI_MOSFET_S_gFS_L_BO))/1 )</f>
        <v>1.7984615384615386</v>
      </c>
      <c r="AR228" s="156">
        <f ca="1">IF(VACnom&gt;Vbat, (TI_MOSFET_S_QGD_H_BU+TI_MOSFET_S_QGS_H_BU)*10^-9/Table7[[#This Row],[Ion (A)]], (TI_MOSFET_S_QGD_L_BO+TI_MOSFET_S_QGS_L_BO)*10^-9/Table7[[#This Row],[Ion (A)]])/10^-9</f>
        <v>11.939223410241979</v>
      </c>
      <c r="AS228" s="156">
        <f ca="1">IF(VACnom&gt;Vbat, (TI_MOSFET_S_QGD_H_BU+TI_MOSFET_S_QGS_H_BU)*10^-9/Table7[[#This Row],[Ioff (A)]], (TI_MOSFET_S_QGD_L_BO+TI_MOSFET_S_QGS_L_BO)*10^-9/Table7[[#This Row],[Ioff (A)]])/10^-9</f>
        <v>16.013686911890503</v>
      </c>
      <c r="AT228" s="156">
        <f ca="1" xml:space="preserve"> 0.5*VACnom*Table7[[#This Row],[Ivalley (A)]]*Table7[[#This Row],[ton (ns)]]*10^-9*Fsw*10^3+0.5*VACnom*Table7[[#This Row],[Ipeak (A)]]*Table7[[#This Row],[toff (ns)]]*10^-9*Fsw*10^3/10^-3</f>
        <v>388.14961146799061</v>
      </c>
      <c r="AU228" s="156">
        <f t="shared" ca="1" si="45"/>
        <v>262.8</v>
      </c>
      <c r="AV228" s="156">
        <f t="shared" ca="1" si="46"/>
        <v>648</v>
      </c>
      <c r="AW228" s="156">
        <f t="shared" ca="1" si="47"/>
        <v>554.4</v>
      </c>
      <c r="AX228" s="156">
        <f ca="1">IF(VACnom&gt;Vbat, TI_MOSFET_S_VSD_L_BU*Table7[[#This Row],[Ivalley (A)]]*Fsw*10^3*40*10^-9+TI_MOSFET_S_VSD_L_BU*Table7[[#This Row],[Ipeak (A)]]*Fsw*10^3*30*10^-9, TI_MOSFET_S_VSD_H_BO*Table7[[#This Row],[Ivalley (A)]]*Fsw*10^3*40*10^-9+TI_MOSFET_S_VSD_H_BO*Table7[[#This Row],[Ipeak (A)]]*Fsw*10^3*30*10^-9)/10^-3</f>
        <v>188.66057142857144</v>
      </c>
      <c r="AY228" s="156">
        <f t="shared" ca="1" si="48"/>
        <v>648</v>
      </c>
      <c r="AZ228" s="156">
        <f ca="1">IF(VACnom&lt;Vbat, Table7[[#This Row],[Duty Cycle]]*Table7[[#This Row],[I_L RMS]]^2*TI_MOSFET_S_RDSON_H_BU*10^-3, (1-Table7[[#This Row],[Duty Cycle]])*Table7[[#This Row],[I_L RMS]]^2*TI_MOSFET_S_RDSON_H_BO*10^-3)/10^-3</f>
        <v>47.701469387755111</v>
      </c>
      <c r="BA228" s="156">
        <f ca="1">IF(VACnom&gt;Vbat, Table7[[#This Row],[PIV (mW)]]+Table7[[#This Row],[Pqoss (mW)]]+Table7[[#This Row],[Pgate_top (mW)]], Table7[[#This Row],[PRR (mW)]]+Table7[[#This Row],[Pdead (mW)]]+Table7[[#This Row],[Pgate_top (mW)]])</f>
        <v>1391.0605714285714</v>
      </c>
      <c r="BB228" s="156">
        <f ca="1">Table7[[#This Row],[Pcon_top (mW)]]+Table7[[#This Row],[Psw_top (mW)]]</f>
        <v>1438.7620408163266</v>
      </c>
      <c r="BC228" s="156">
        <f ca="1">IF(VACnom&gt;Vbat, (1-Table7[[#This Row],[Duty Cycle]])*Table7[[#This Row],[I_L RMS]]^2*TI_MOSFET_S_RDSON_L_BU*10^-3, Table7[[#This Row],[Duty Cycle]]*Table7[[#This Row],[I_L RMS]]^2*TI_MOSFET_S_RDSON_L_BO*10^-3)/10^-3</f>
        <v>47.701469387755111</v>
      </c>
      <c r="BD228" s="156">
        <f ca="1">IF(VACnom&gt;Vbat, Table7[[#This Row],[PRR (mW)]]+Table7[[#This Row],[Pdead (mW)]]+Table7[[#This Row],[Pgate_bottom (mW)]], Table7[[#This Row],[PIV (mW)]]+Table7[[#This Row],[Pqoss (mW)]]+Table7[[#This Row],[Pgate_bottom (mW)]])</f>
        <v>1298.9496114679905</v>
      </c>
      <c r="BE228" s="158">
        <f ca="1">Table7[[#This Row],[Pcon_bottom (mW)]]+Table7[[#This Row],[Psw_bottom (mW)]]</f>
        <v>1346.6510808557457</v>
      </c>
      <c r="BF228" s="164">
        <f ca="1">Table7[[#This Row],[Pbottom (mW)]]+Table7[[#This Row],[Ptop (mW)]]</f>
        <v>2785.4131216720725</v>
      </c>
      <c r="BG228" s="153"/>
      <c r="BH228" s="156">
        <f>MAX(0,Table7[[#This Row],[I_L]]-0.5*Table7[[#This Row],[I_L pkpk]])</f>
        <v>5.8714285714285719</v>
      </c>
      <c r="BI228" s="156">
        <f>Table7[[#This Row],[I_L]]+0.5*Table7[[#This Row],[I_L pkpk]]</f>
        <v>6.7285714285714295</v>
      </c>
      <c r="BJ228" s="156">
        <f>IF(VACnom&gt;Vbat, (VGS_S-(C_MOSFET_S_VTH_H_BU+Table7[[#This Row],[I_L]]/C_MOSFET_S_gFS_H_BU))/3.4, (VGS_S-(C_MOSFET_S_VTH_L_BO+Table7[[#This Row],[I_L]]/C_MOSFET_S_gFS_L_BO))/3.4 )</f>
        <v>2.3405882352941179</v>
      </c>
      <c r="BK228" s="156">
        <f>IF(VACnom&gt;Vbat, ((C_MOSFET_S_VTH_H_BU+Table7[[#This Row],[I_L]]/C_MOSFET_S_gFS_H_BU))/1, ((C_MOSFET_S_VTH_L_BO+Table7[[#This Row],[I_L]]/C_MOSFET_S_gFS_L_BO))/1 )</f>
        <v>2.0419999999999998</v>
      </c>
      <c r="BL228" s="156">
        <f>IF(VACnom&gt;Vbat, (C_MOSFET_S_QGD_H_BU+C_MOSFET_S_QGS_H_BU)*10^-9/Table7[[#This Row],[Ion (A) C]], (C_MOSFET_S_QGD_L_BO+C_MOSFET_S_QGS_L_BO)*10^-9/Table7[[#This Row],[Ion (A) C]])/10^-9</f>
        <v>2.7770796682583563</v>
      </c>
      <c r="BM228" s="156">
        <f>IF(VACnom&gt;Vbat, (C_MOSFET_S_QGD_H_BU+C_MOSFET_S_QGS_H_BU)*10^-9/Table7[[#This Row],[Ioff (A) C]], (C_MOSFET_S_QGD_L_BO+C_MOSFET_S_QGS_L_BO)*10^-9/Table7[[#This Row],[Ioff (A) C]])/10^-9</f>
        <v>3.1831537708129285</v>
      </c>
      <c r="BN228" s="156">
        <f xml:space="preserve"> 0.5*VACnom*Table7[[#This Row],[Ivalley (A) C]]*Table7[[#This Row],[ton (ns) C]]*10^-9*Fsw*10^3+0.5*VACnom*Table7[[#This Row],[Ipeak (A) C]]*Table7[[#This Row],[toff (ns) C]]*10^-9*Fsw*10^3/10^-3</f>
        <v>77.163778583822264</v>
      </c>
      <c r="BO228" s="156">
        <f t="shared" si="49"/>
        <v>129.6</v>
      </c>
      <c r="BP228" s="156">
        <f t="shared" ca="1" si="50"/>
        <v>291.59999999999997</v>
      </c>
      <c r="BQ228" s="156">
        <f t="shared" si="51"/>
        <v>237.6</v>
      </c>
      <c r="BR228" s="156">
        <f>IF(VACnom&gt;Vbat, C_MOSFET_S_VSD_L_BU*Table7[[#This Row],[Ivalley (A) C]]*Fsw*10^3*40*10^-9+C_MOSFET_S_VSD_L_BU*Table7[[#This Row],[Ipeak (A) C]]*Fsw*10^3*30*10^-9, C_MOSFET_S_VSD_H_BO*Table7[[#This Row],[Ivalley (A) C]]*Fsw*10^3*40*10^-9+C_MOSFET_S_VSD_H_BO*Table7[[#This Row],[Ipeak (A) C]]*Fsw*10^3*30*10^-9)/10^-3</f>
        <v>209.62285714285721</v>
      </c>
      <c r="BS228" s="156">
        <f t="shared" ca="1" si="52"/>
        <v>291.59999999999997</v>
      </c>
      <c r="BT228" s="156">
        <f>IF(VACnom&lt;Vbat, Table7[[#This Row],[Duty Cycle]]*Table7[[#This Row],[I_L RMS]]^2*C_MOSFET_S_RDSON_H_BU*10^-3, (1-Table7[[#This Row],[Duty Cycle]])*Table7[[#This Row],[I_L RMS]]^2*C_MOSFET_S_RDSON_H_BO*10^-3)/10^-3</f>
        <v>97.106562682215767</v>
      </c>
      <c r="BU228" s="156">
        <f ca="1">IF(VACnom&gt;Vbat, Table7[[#This Row],[PIV (mW) C]]+Table7[[#This Row],[PQoss (mW) C]]+Table7[[#This Row],[Pgate_top (mW) C]], Table7[[#This Row],[PRR (mW) C]]+Table7[[#This Row],[Pdead (mW) C]]+Table7[[#This Row],[Pgate_top (mW) C]])</f>
        <v>738.82285714285717</v>
      </c>
      <c r="BV228" s="156">
        <f ca="1">Table7[[#This Row],[Pcon_top (mW) C]]+Table7[[#This Row],[Psw_top (mW) C]]</f>
        <v>835.92941982507296</v>
      </c>
      <c r="BW228" s="156">
        <f ca="1">IF(VACnom&gt;Vbat, (1-Table7[[#This Row],[Duty Cycle]])*Table7[[#This Row],[I_L RMS]]^2*C_MOSFET_S_RDSON_L_BU*10^-3, Table7[[#This Row],[Duty Cycle]]*Table7[[#This Row],[I_L RMS]]^2*C_MOSFET_S_RDSON_L_BO*10^-3)/10^-3</f>
        <v>60.478648688046661</v>
      </c>
      <c r="BX228" s="156">
        <f ca="1">IF(VACnom&gt;Vbat, Table7[[#This Row],[PRR (mW) C]]+Table7[[#This Row],[Pdead (mW) C]]+Table7[[#This Row],[Pgate_bottom (mW) C]], Table7[[#This Row],[PIV (mW) C]]+Table7[[#This Row],[PQoss (mW) C]]+Table7[[#This Row],[Pgate_bottom (mW) C]])</f>
        <v>498.36377858382224</v>
      </c>
      <c r="BY228" s="156">
        <f ca="1">Table7[[#This Row],[Pcon_bottom (mW) C]]+Table7[[#This Row],[Psw_bottom (mV) C]]</f>
        <v>558.84242727186893</v>
      </c>
      <c r="BZ228" s="156">
        <f ca="1">Table7[[#This Row],[Pbottom (mW) C]]+Table7[[#This Row],[Ptop (mW) C]]</f>
        <v>1394.7718470969419</v>
      </c>
      <c r="CA228" s="159"/>
      <c r="CB228" s="160">
        <f>(RAC_SNS*10^-3*(Table7[[#This Row],[IOUT (A)]]*Vbat/VACnom)^2/10^-3)</f>
        <v>198.45000000000007</v>
      </c>
      <c r="CC228" s="160">
        <f>(RBAT_SNS*10^-3*Table7[[#This Row],[IOUT (A)]]^2)/10^-3</f>
        <v>64.800000000000011</v>
      </c>
      <c r="CD228" s="160">
        <f>IF(VACnom&gt;Vbat,(L_DRC*10^-3*(Table7[[#This Row],[IOUT (A)]])^2/10^-3),(L_DRC*10^-3*(Table7[[#This Row],[IOUT (A)]]*Vbat/VACnom)^2/10^-3))</f>
        <v>476.28000000000014</v>
      </c>
      <c r="CE228" s="166"/>
      <c r="CF228" s="156">
        <f>(Table7[[#This Row],[R_AC (mW)]]+Table7[[#This Row],[R_SR (mW)]]+Table7[[#This Row],[Inductor Loss (mW)]])/10^3</f>
        <v>0.73953000000000024</v>
      </c>
      <c r="CG228" s="156">
        <f ca="1">Table7[[#This Row],[Total TI (mW)]]/10^3</f>
        <v>2.7854131216720726</v>
      </c>
      <c r="CH228" s="156">
        <f ca="1">Table7[[#This Row],[Total Sense Loss]]+Table7[[#This Row],[Total MOSFET Loss]]</f>
        <v>3.5249431216720728</v>
      </c>
      <c r="CI228" s="161">
        <f ca="1">IF(Table7[[#This Row],[POUT (W)]]=0,0,(Table7[[#This Row],[POUT (W)]])/(Table7[[#This Row],[POUT (W)]]+Table7[[#This Row],[Total Power Loss (W)]]))*100</f>
        <v>92.455971294618593</v>
      </c>
      <c r="CJ228" s="167"/>
      <c r="CK228" s="156">
        <f>(Table7[[#This Row],[R_AC (mW)]]+Table7[[#This Row],[R_SR (mW)]]+Table7[[#This Row],[Inductor Loss (mW)]])/10^3</f>
        <v>0.73953000000000024</v>
      </c>
      <c r="CL228" s="156">
        <f ca="1">Table7[[#This Row],[Total (mW) C]]/10^3</f>
        <v>1.3947718470969419</v>
      </c>
      <c r="CM228" s="156">
        <f ca="1">Table7[[#This Row],[Total Sense Loss C]]+Table7[[#This Row],[Total MOSFET Loss C]]</f>
        <v>2.1343018470969422</v>
      </c>
      <c r="CN228" s="161">
        <f ca="1">IF(Table7[[#This Row],[POUT (W)]]=0,0,(Table7[[#This Row],[POUT (W)]])/(Table7[[#This Row],[POUT (W)]]+Table7[[#This Row],[Total Power Loss (W) C]]))*100</f>
        <v>95.292081800894408</v>
      </c>
      <c r="CO228" s="167"/>
      <c r="CP228" s="161">
        <f>IF(MOSFET_S=Custom_MOSFET,Table7[[#This Row],[Total Sense Loss C]],Table7[[#This Row],[Total Sense Loss]])</f>
        <v>0.73953000000000024</v>
      </c>
      <c r="CQ228" s="161">
        <f ca="1">IF(MOSFET_S=Custom_MOSFET,Table7[[#This Row],[Total MOSFET Loss C]],Table7[[#This Row],[Total MOSFET Loss]])</f>
        <v>2.7854131216720726</v>
      </c>
      <c r="CR228" s="161">
        <f ca="1">IF(MOSFET_S=Custom_MOSFET,Table7[[#This Row],[Efficiency C]],Table7[[#This Row],[Efficiency]])</f>
        <v>92.455971294618593</v>
      </c>
      <c r="CS228" s="167"/>
      <c r="CT228" s="161">
        <f>IF(MOSFET_S=Compare_MOSFET, Table7[[#This Row],[Total Sense Loss C]], -100)</f>
        <v>-100</v>
      </c>
      <c r="CU228" s="161">
        <f>IF(MOSFET_S=Compare_MOSFET, Table7[[#This Row],[Total MOSFET Loss C]], -100)</f>
        <v>-100</v>
      </c>
      <c r="CV228" s="161">
        <f>IF(MOSFET_S=Compare_MOSFET, Table7[[#This Row],[Efficiency C]], -100)</f>
        <v>-100</v>
      </c>
      <c r="CW228" s="167"/>
      <c r="CX228" s="161">
        <f ca="1">IF(Save_Sel=CLR_Save,  Table7[[#This Row],[Total Sense Loss P1]], Table7[[#This Row],[Total Sense Loss P1 Saved]])</f>
        <v>0.73953000000000024</v>
      </c>
      <c r="CY228" s="161">
        <f ca="1">IF(Save_Sel=CLR_Save,  Table7[[#This Row],[Total MOSFET Loss P1]], Table7[[#This Row],[Total MOSFET Loss P1 Saved]] )</f>
        <v>2.0986812563707198</v>
      </c>
      <c r="CZ228" s="161">
        <f ca="1">IF(Save_Sel=CLR_Save, Table7[[#This Row],[Efficiency P1]], Table7[[#This Row],[Efficiency P1 Saved]])</f>
        <v>93.835096588428016</v>
      </c>
      <c r="DA228" s="167"/>
      <c r="DB228" s="161">
        <f ca="1">IF(Save_Sel=CLR_Save,  Table7[[#This Row],[Total Sense Loss P2]], Table7[[#This Row],[Total Sense Loss P2 Saved]])</f>
        <v>0.73953000000000024</v>
      </c>
      <c r="DC228" s="161">
        <f ca="1">IF(Save_Sel=CLR_Save,  Table7[[#This Row],[Total MOSFET Loss P2]], Table7[[#This Row],[Total MOSFET Loss P2 Saved]] )</f>
        <v>1.4443082859622751</v>
      </c>
      <c r="DD228" s="161">
        <f ca="1">IF(Save_Sel=CLR_Save, Table7[[#This Row],[Efficiency P2]], Table7[[#This Row],[Efficiency P2 Saved]])</f>
        <v>95.188070536912349</v>
      </c>
      <c r="DE228" s="167"/>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c r="FH228" s="21"/>
      <c r="FI228" s="21"/>
    </row>
    <row r="229" spans="1:165" x14ac:dyDescent="0.25">
      <c r="A229" s="70"/>
      <c r="B229" s="70"/>
      <c r="C229" s="70"/>
      <c r="D229" s="70"/>
      <c r="E229" s="70"/>
      <c r="F229" s="70"/>
      <c r="G229" s="70"/>
      <c r="H229" s="70"/>
      <c r="I229" s="70"/>
      <c r="J229" s="70"/>
      <c r="K229" s="70"/>
      <c r="L229" s="70"/>
      <c r="M229" s="70"/>
      <c r="N229" s="70"/>
      <c r="O229" s="70"/>
      <c r="P229" s="70"/>
      <c r="Q229" s="70"/>
      <c r="R229" s="70"/>
      <c r="S229" s="70"/>
      <c r="T229" s="70"/>
      <c r="U229" s="21"/>
      <c r="V229" s="21"/>
      <c r="W229" s="21"/>
      <c r="X229" s="21"/>
      <c r="Y229" s="21"/>
      <c r="Z229" s="21"/>
      <c r="AA229" s="21"/>
      <c r="AB229" s="21"/>
      <c r="AC229" s="21"/>
      <c r="AD229" s="21"/>
      <c r="AE229" s="21"/>
      <c r="AF229" s="154">
        <f t="shared" si="54"/>
        <v>73</v>
      </c>
      <c r="AG229" s="154">
        <f t="shared" si="53"/>
        <v>3.65</v>
      </c>
      <c r="AH229" s="155">
        <f t="shared" si="42"/>
        <v>43.8</v>
      </c>
      <c r="AI229" s="156">
        <f t="shared" si="43"/>
        <v>0.42857142857142855</v>
      </c>
      <c r="AJ229" s="156">
        <f t="shared" si="44"/>
        <v>6.3875000000000002</v>
      </c>
      <c r="AK229" s="156">
        <f t="shared" si="40"/>
        <v>0.85714285714285721</v>
      </c>
      <c r="AL229" s="156">
        <f t="shared" si="41"/>
        <v>6.3922907271021332</v>
      </c>
      <c r="AM229" s="157"/>
      <c r="AN229" s="156">
        <f>MAX(0,Table7[[#This Row],[I_L]]-0.5*Table7[[#This Row],[I_L pkpk]])</f>
        <v>5.9589285714285714</v>
      </c>
      <c r="AO229" s="156">
        <f>Table7[[#This Row],[I_L]]+0.5*Table7[[#This Row],[I_L pkpk]]</f>
        <v>6.816071428571429</v>
      </c>
      <c r="AP229" s="156">
        <f ca="1">IF(VACnom&gt;Vbat, (VGS_S-(TI_MOSFET_S_VTH_H_BU+Table7[[#This Row],[I_L]]/TI_MOSFET_S_gFS_H_BU))/3.4, (VGS_S-(TI_MOSFET_S_VTH_L_BO+Table7[[#This Row],[I_L]]/TI_MOSFET_S_gFS_L_BO))/3.4 )</f>
        <v>2.4120192307692312</v>
      </c>
      <c r="AQ229" s="156">
        <f ca="1">IF(VACnom&gt;Vbat, ((TI_MOSFET_S_VTH_H_BU+Table7[[#This Row],[I_L]]/TI_MOSFET_S_gFS_H_BU))/1, ((TI_MOSFET_S_VTH_L_BO+Table7[[#This Row],[I_L]]/TI_MOSFET_S_gFS_L_BO))/1 )</f>
        <v>1.7991346153846153</v>
      </c>
      <c r="AR229" s="156">
        <f ca="1">IF(VACnom&gt;Vbat, (TI_MOSFET_S_QGD_H_BU+TI_MOSFET_S_QGS_H_BU)*10^-9/Table7[[#This Row],[Ion (A)]], (TI_MOSFET_S_QGD_L_BO+TI_MOSFET_S_QGS_L_BO)*10^-9/Table7[[#This Row],[Ion (A)]])/10^-9</f>
        <v>11.940203308750249</v>
      </c>
      <c r="AS229" s="156">
        <f ca="1">IF(VACnom&gt;Vbat, (TI_MOSFET_S_QGD_H_BU+TI_MOSFET_S_QGS_H_BU)*10^-9/Table7[[#This Row],[Ioff (A)]], (TI_MOSFET_S_QGD_L_BO+TI_MOSFET_S_QGS_L_BO)*10^-9/Table7[[#This Row],[Ioff (A)]])/10^-9</f>
        <v>16.007696007696012</v>
      </c>
      <c r="AT229" s="156">
        <f ca="1" xml:space="preserve"> 0.5*VACnom*Table7[[#This Row],[Ivalley (A)]]*Table7[[#This Row],[ton (ns)]]*10^-9*Fsw*10^3+0.5*VACnom*Table7[[#This Row],[Ipeak (A)]]*Table7[[#This Row],[toff (ns)]]*10^-9*Fsw*10^3/10^-3</f>
        <v>393.05070077025192</v>
      </c>
      <c r="AU229" s="156">
        <f t="shared" ca="1" si="45"/>
        <v>262.8</v>
      </c>
      <c r="AV229" s="156">
        <f t="shared" ca="1" si="46"/>
        <v>648</v>
      </c>
      <c r="AW229" s="156">
        <f t="shared" ca="1" si="47"/>
        <v>554.4</v>
      </c>
      <c r="AX229" s="156">
        <f ca="1">IF(VACnom&gt;Vbat, TI_MOSFET_S_VSD_L_BU*Table7[[#This Row],[Ivalley (A)]]*Fsw*10^3*40*10^-9+TI_MOSFET_S_VSD_L_BU*Table7[[#This Row],[Ipeak (A)]]*Fsw*10^3*30*10^-9, TI_MOSFET_S_VSD_H_BO*Table7[[#This Row],[Ivalley (A)]]*Fsw*10^3*40*10^-9+TI_MOSFET_S_VSD_H_BO*Table7[[#This Row],[Ipeak (A)]]*Fsw*10^3*30*10^-9)/10^-3</f>
        <v>191.30657142857143</v>
      </c>
      <c r="AY229" s="156">
        <f t="shared" ca="1" si="48"/>
        <v>648</v>
      </c>
      <c r="AZ229" s="156">
        <f ca="1">IF(VACnom&lt;Vbat, Table7[[#This Row],[Duty Cycle]]*Table7[[#This Row],[I_L RMS]]^2*TI_MOSFET_S_RDSON_H_BU*10^-3, (1-Table7[[#This Row],[Duty Cycle]])*Table7[[#This Row],[I_L RMS]]^2*TI_MOSFET_S_RDSON_H_BO*10^-3)/10^-3</f>
        <v>49.033656887755093</v>
      </c>
      <c r="BA229" s="156">
        <f ca="1">IF(VACnom&gt;Vbat, Table7[[#This Row],[PIV (mW)]]+Table7[[#This Row],[Pqoss (mW)]]+Table7[[#This Row],[Pgate_top (mW)]], Table7[[#This Row],[PRR (mW)]]+Table7[[#This Row],[Pdead (mW)]]+Table7[[#This Row],[Pgate_top (mW)]])</f>
        <v>1393.7065714285714</v>
      </c>
      <c r="BB229" s="156">
        <f ca="1">Table7[[#This Row],[Pcon_top (mW)]]+Table7[[#This Row],[Psw_top (mW)]]</f>
        <v>1442.7402283163265</v>
      </c>
      <c r="BC229" s="156">
        <f ca="1">IF(VACnom&gt;Vbat, (1-Table7[[#This Row],[Duty Cycle]])*Table7[[#This Row],[I_L RMS]]^2*TI_MOSFET_S_RDSON_L_BU*10^-3, Table7[[#This Row],[Duty Cycle]]*Table7[[#This Row],[I_L RMS]]^2*TI_MOSFET_S_RDSON_L_BO*10^-3)/10^-3</f>
        <v>49.033656887755093</v>
      </c>
      <c r="BD229" s="156">
        <f ca="1">IF(VACnom&gt;Vbat, Table7[[#This Row],[PRR (mW)]]+Table7[[#This Row],[Pdead (mW)]]+Table7[[#This Row],[Pgate_bottom (mW)]], Table7[[#This Row],[PIV (mW)]]+Table7[[#This Row],[Pqoss (mW)]]+Table7[[#This Row],[Pgate_bottom (mW)]])</f>
        <v>1303.8507007702519</v>
      </c>
      <c r="BE229" s="158">
        <f ca="1">Table7[[#This Row],[Pcon_bottom (mW)]]+Table7[[#This Row],[Psw_bottom (mW)]]</f>
        <v>1352.884357658007</v>
      </c>
      <c r="BF229" s="164">
        <f ca="1">Table7[[#This Row],[Pbottom (mW)]]+Table7[[#This Row],[Ptop (mW)]]</f>
        <v>2795.6245859743335</v>
      </c>
      <c r="BG229" s="153"/>
      <c r="BH229" s="156">
        <f>MAX(0,Table7[[#This Row],[I_L]]-0.5*Table7[[#This Row],[I_L pkpk]])</f>
        <v>5.9589285714285714</v>
      </c>
      <c r="BI229" s="156">
        <f>Table7[[#This Row],[I_L]]+0.5*Table7[[#This Row],[I_L pkpk]]</f>
        <v>6.816071428571429</v>
      </c>
      <c r="BJ229" s="156">
        <f>IF(VACnom&gt;Vbat, (VGS_S-(C_MOSFET_S_VTH_H_BU+Table7[[#This Row],[I_L]]/C_MOSFET_S_gFS_H_BU))/3.4, (VGS_S-(C_MOSFET_S_VTH_L_BO+Table7[[#This Row],[I_L]]/C_MOSFET_S_gFS_L_BO))/3.4 )</f>
        <v>2.340416666666667</v>
      </c>
      <c r="BK229" s="156">
        <f>IF(VACnom&gt;Vbat, ((C_MOSFET_S_VTH_H_BU+Table7[[#This Row],[I_L]]/C_MOSFET_S_gFS_H_BU))/1, ((C_MOSFET_S_VTH_L_BO+Table7[[#This Row],[I_L]]/C_MOSFET_S_gFS_L_BO))/1 )</f>
        <v>2.0425833333333334</v>
      </c>
      <c r="BL229" s="156">
        <f>IF(VACnom&gt;Vbat, (C_MOSFET_S_QGD_H_BU+C_MOSFET_S_QGS_H_BU)*10^-9/Table7[[#This Row],[Ion (A) C]], (C_MOSFET_S_QGD_L_BO+C_MOSFET_S_QGS_L_BO)*10^-9/Table7[[#This Row],[Ion (A) C]])/10^-9</f>
        <v>2.7772832472850273</v>
      </c>
      <c r="BM229" s="156">
        <f>IF(VACnom&gt;Vbat, (C_MOSFET_S_QGD_H_BU+C_MOSFET_S_QGS_H_BU)*10^-9/Table7[[#This Row],[Ioff (A) C]], (C_MOSFET_S_QGD_L_BO+C_MOSFET_S_QGS_L_BO)*10^-9/Table7[[#This Row],[Ioff (A) C]])/10^-9</f>
        <v>3.1822447064583246</v>
      </c>
      <c r="BN229" s="156">
        <f xml:space="preserve"> 0.5*VACnom*Table7[[#This Row],[Ivalley (A) C]]*Table7[[#This Row],[ton (ns) C]]*10^-9*Fsw*10^3+0.5*VACnom*Table7[[#This Row],[Ipeak (A) C]]*Table7[[#This Row],[toff (ns) C]]*10^-9*Fsw*10^3/10^-3</f>
        <v>78.145044677663236</v>
      </c>
      <c r="BO229" s="156">
        <f t="shared" si="49"/>
        <v>129.6</v>
      </c>
      <c r="BP229" s="156">
        <f t="shared" ca="1" si="50"/>
        <v>291.59999999999997</v>
      </c>
      <c r="BQ229" s="156">
        <f t="shared" si="51"/>
        <v>237.6</v>
      </c>
      <c r="BR229" s="156">
        <f>IF(VACnom&gt;Vbat, C_MOSFET_S_VSD_L_BU*Table7[[#This Row],[Ivalley (A) C]]*Fsw*10^3*40*10^-9+C_MOSFET_S_VSD_L_BU*Table7[[#This Row],[Ipeak (A) C]]*Fsw*10^3*30*10^-9, C_MOSFET_S_VSD_H_BO*Table7[[#This Row],[Ivalley (A) C]]*Fsw*10^3*40*10^-9+C_MOSFET_S_VSD_H_BO*Table7[[#This Row],[Ipeak (A) C]]*Fsw*10^3*30*10^-9)/10^-3</f>
        <v>212.56285714285715</v>
      </c>
      <c r="BS229" s="156">
        <f t="shared" ca="1" si="52"/>
        <v>291.59999999999997</v>
      </c>
      <c r="BT229" s="156">
        <f>IF(VACnom&lt;Vbat, Table7[[#This Row],[Duty Cycle]]*Table7[[#This Row],[I_L RMS]]^2*C_MOSFET_S_RDSON_H_BU*10^-3, (1-Table7[[#This Row],[Duty Cycle]])*Table7[[#This Row],[I_L RMS]]^2*C_MOSFET_S_RDSON_H_BO*10^-3)/10^-3</f>
        <v>99.818515807215732</v>
      </c>
      <c r="BU229" s="156">
        <f ca="1">IF(VACnom&gt;Vbat, Table7[[#This Row],[PIV (mW) C]]+Table7[[#This Row],[PQoss (mW) C]]+Table7[[#This Row],[Pgate_top (mW) C]], Table7[[#This Row],[PRR (mW) C]]+Table7[[#This Row],[Pdead (mW) C]]+Table7[[#This Row],[Pgate_top (mW) C]])</f>
        <v>741.76285714285711</v>
      </c>
      <c r="BV229" s="156">
        <f ca="1">Table7[[#This Row],[Pcon_top (mW) C]]+Table7[[#This Row],[Psw_top (mW) C]]</f>
        <v>841.58137295007282</v>
      </c>
      <c r="BW229" s="156">
        <f ca="1">IF(VACnom&gt;Vbat, (1-Table7[[#This Row],[Duty Cycle]])*Table7[[#This Row],[I_L RMS]]^2*C_MOSFET_S_RDSON_L_BU*10^-3, Table7[[#This Row],[Duty Cycle]]*Table7[[#This Row],[I_L RMS]]^2*C_MOSFET_S_RDSON_L_BO*10^-3)/10^-3</f>
        <v>62.167672125546638</v>
      </c>
      <c r="BX229" s="156">
        <f ca="1">IF(VACnom&gt;Vbat, Table7[[#This Row],[PRR (mW) C]]+Table7[[#This Row],[Pdead (mW) C]]+Table7[[#This Row],[Pgate_bottom (mW) C]], Table7[[#This Row],[PIV (mW) C]]+Table7[[#This Row],[PQoss (mW) C]]+Table7[[#This Row],[Pgate_bottom (mW) C]])</f>
        <v>499.34504467766317</v>
      </c>
      <c r="BY229" s="156">
        <f ca="1">Table7[[#This Row],[Pcon_bottom (mW) C]]+Table7[[#This Row],[Psw_bottom (mV) C]]</f>
        <v>561.51271680320986</v>
      </c>
      <c r="BZ229" s="156">
        <f ca="1">Table7[[#This Row],[Pbottom (mW) C]]+Table7[[#This Row],[Ptop (mW) C]]</f>
        <v>1403.0940897532828</v>
      </c>
      <c r="CA229" s="159"/>
      <c r="CB229" s="160">
        <f>(RAC_SNS*10^-3*(Table7[[#This Row],[IOUT (A)]]*Vbat/VACnom)^2/10^-3)</f>
        <v>204.00078124999999</v>
      </c>
      <c r="CC229" s="160">
        <f>(RBAT_SNS*10^-3*Table7[[#This Row],[IOUT (A)]]^2)/10^-3</f>
        <v>66.612499999999997</v>
      </c>
      <c r="CD229" s="160">
        <f>IF(VACnom&gt;Vbat,(L_DRC*10^-3*(Table7[[#This Row],[IOUT (A)]])^2/10^-3),(L_DRC*10^-3*(Table7[[#This Row],[IOUT (A)]]*Vbat/VACnom)^2/10^-3))</f>
        <v>489.60187499999989</v>
      </c>
      <c r="CE229" s="166"/>
      <c r="CF229" s="156">
        <f>(Table7[[#This Row],[R_AC (mW)]]+Table7[[#This Row],[R_SR (mW)]]+Table7[[#This Row],[Inductor Loss (mW)]])/10^3</f>
        <v>0.7602151562499998</v>
      </c>
      <c r="CG229" s="156">
        <f ca="1">Table7[[#This Row],[Total TI (mW)]]/10^3</f>
        <v>2.7956245859743336</v>
      </c>
      <c r="CH229" s="156">
        <f ca="1">Table7[[#This Row],[Total Sense Loss]]+Table7[[#This Row],[Total MOSFET Loss]]</f>
        <v>3.5558397422243333</v>
      </c>
      <c r="CI229" s="161">
        <f ca="1">IF(Table7[[#This Row],[POUT (W)]]=0,0,(Table7[[#This Row],[POUT (W)]])/(Table7[[#This Row],[POUT (W)]]+Table7[[#This Row],[Total Power Loss (W)]]))*100</f>
        <v>92.491232841440223</v>
      </c>
      <c r="CJ229" s="167"/>
      <c r="CK229" s="156">
        <f>(Table7[[#This Row],[R_AC (mW)]]+Table7[[#This Row],[R_SR (mW)]]+Table7[[#This Row],[Inductor Loss (mW)]])/10^3</f>
        <v>0.7602151562499998</v>
      </c>
      <c r="CL229" s="156">
        <f ca="1">Table7[[#This Row],[Total (mW) C]]/10^3</f>
        <v>1.4030940897532829</v>
      </c>
      <c r="CM229" s="156">
        <f ca="1">Table7[[#This Row],[Total Sense Loss C]]+Table7[[#This Row],[Total MOSFET Loss C]]</f>
        <v>2.1633092460032826</v>
      </c>
      <c r="CN229" s="161">
        <f ca="1">IF(Table7[[#This Row],[POUT (W)]]=0,0,(Table7[[#This Row],[POUT (W)]])/(Table7[[#This Row],[POUT (W)]]+Table7[[#This Row],[Total Power Loss (W) C]]))*100</f>
        <v>95.293399710571563</v>
      </c>
      <c r="CO229" s="167"/>
      <c r="CP229" s="161">
        <f>IF(MOSFET_S=Custom_MOSFET,Table7[[#This Row],[Total Sense Loss C]],Table7[[#This Row],[Total Sense Loss]])</f>
        <v>0.7602151562499998</v>
      </c>
      <c r="CQ229" s="161">
        <f ca="1">IF(MOSFET_S=Custom_MOSFET,Table7[[#This Row],[Total MOSFET Loss C]],Table7[[#This Row],[Total MOSFET Loss]])</f>
        <v>2.7956245859743336</v>
      </c>
      <c r="CR229" s="161">
        <f ca="1">IF(MOSFET_S=Custom_MOSFET,Table7[[#This Row],[Efficiency C]],Table7[[#This Row],[Efficiency]])</f>
        <v>92.491232841440223</v>
      </c>
      <c r="CS229" s="167"/>
      <c r="CT229" s="161">
        <f>IF(MOSFET_S=Compare_MOSFET, Table7[[#This Row],[Total Sense Loss C]], -100)</f>
        <v>-100</v>
      </c>
      <c r="CU229" s="161">
        <f>IF(MOSFET_S=Compare_MOSFET, Table7[[#This Row],[Total MOSFET Loss C]], -100)</f>
        <v>-100</v>
      </c>
      <c r="CV229" s="161">
        <f>IF(MOSFET_S=Compare_MOSFET, Table7[[#This Row],[Efficiency C]], -100)</f>
        <v>-100</v>
      </c>
      <c r="CW229" s="167"/>
      <c r="CX229" s="161">
        <f ca="1">IF(Save_Sel=CLR_Save,  Table7[[#This Row],[Total Sense Loss P1]], Table7[[#This Row],[Total Sense Loss P1 Saved]])</f>
        <v>0.7602151562499998</v>
      </c>
      <c r="CY229" s="161">
        <f ca="1">IF(Save_Sel=CLR_Save,  Table7[[#This Row],[Total MOSFET Loss P1]], Table7[[#This Row],[Total MOSFET Loss P1 Saved]] )</f>
        <v>2.1096142219387346</v>
      </c>
      <c r="CZ229" s="161">
        <f ca="1">IF(Save_Sel=CLR_Save, Table7[[#This Row],[Efficiency P1]], Table7[[#This Row],[Efficiency P1 Saved]])</f>
        <v>93.850782365341246</v>
      </c>
      <c r="DA229" s="167"/>
      <c r="DB229" s="161">
        <f ca="1">IF(Save_Sel=CLR_Save,  Table7[[#This Row],[Total Sense Loss P2]], Table7[[#This Row],[Total Sense Loss P2 Saved]])</f>
        <v>0.7602151562499998</v>
      </c>
      <c r="DC229" s="161">
        <f ca="1">IF(Save_Sel=CLR_Save,  Table7[[#This Row],[Total MOSFET Loss P2]], Table7[[#This Row],[Total MOSFET Loss P2 Saved]] )</f>
        <v>1.4540122930615116</v>
      </c>
      <c r="DD229" s="161">
        <f ca="1">IF(Save_Sel=CLR_Save, Table7[[#This Row],[Efficiency P2]], Table7[[#This Row],[Efficiency P2 Saved]])</f>
        <v>95.187950396970891</v>
      </c>
      <c r="DE229" s="167"/>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c r="FH229" s="21"/>
      <c r="FI229" s="21"/>
    </row>
    <row r="230" spans="1:165" x14ac:dyDescent="0.25">
      <c r="A230" s="70"/>
      <c r="B230" s="70"/>
      <c r="C230" s="70"/>
      <c r="D230" s="70"/>
      <c r="E230" s="70"/>
      <c r="F230" s="70"/>
      <c r="G230" s="70"/>
      <c r="H230" s="70"/>
      <c r="I230" s="70"/>
      <c r="J230" s="70"/>
      <c r="K230" s="70"/>
      <c r="L230" s="70"/>
      <c r="M230" s="70"/>
      <c r="N230" s="70"/>
      <c r="O230" s="70"/>
      <c r="P230" s="70"/>
      <c r="Q230" s="70"/>
      <c r="R230" s="70"/>
      <c r="S230" s="70"/>
      <c r="T230" s="70"/>
      <c r="U230" s="21"/>
      <c r="V230" s="21"/>
      <c r="W230" s="21"/>
      <c r="X230" s="21"/>
      <c r="Y230" s="21"/>
      <c r="Z230" s="21"/>
      <c r="AA230" s="21"/>
      <c r="AB230" s="21"/>
      <c r="AC230" s="21"/>
      <c r="AD230" s="21"/>
      <c r="AE230" s="21"/>
      <c r="AF230" s="154">
        <f t="shared" si="54"/>
        <v>74</v>
      </c>
      <c r="AG230" s="154">
        <f t="shared" si="53"/>
        <v>3.7</v>
      </c>
      <c r="AH230" s="155">
        <f t="shared" si="42"/>
        <v>44.400000000000006</v>
      </c>
      <c r="AI230" s="156">
        <f t="shared" si="43"/>
        <v>0.42857142857142855</v>
      </c>
      <c r="AJ230" s="156">
        <f t="shared" si="44"/>
        <v>6.4750000000000005</v>
      </c>
      <c r="AK230" s="156">
        <f t="shared" si="40"/>
        <v>0.85714285714285721</v>
      </c>
      <c r="AL230" s="156">
        <f t="shared" si="41"/>
        <v>6.4797260350878974</v>
      </c>
      <c r="AM230" s="157"/>
      <c r="AN230" s="156">
        <f>MAX(0,Table7[[#This Row],[I_L]]-0.5*Table7[[#This Row],[I_L pkpk]])</f>
        <v>6.0464285714285717</v>
      </c>
      <c r="AO230" s="156">
        <f>Table7[[#This Row],[I_L]]+0.5*Table7[[#This Row],[I_L pkpk]]</f>
        <v>6.9035714285714294</v>
      </c>
      <c r="AP230" s="156">
        <f ca="1">IF(VACnom&gt;Vbat, (VGS_S-(TI_MOSFET_S_VTH_H_BU+Table7[[#This Row],[I_L]]/TI_MOSFET_S_gFS_H_BU))/3.4, (VGS_S-(TI_MOSFET_S_VTH_L_BO+Table7[[#This Row],[I_L]]/TI_MOSFET_S_gFS_L_BO))/3.4 )</f>
        <v>2.4118212669683259</v>
      </c>
      <c r="AQ230" s="156">
        <f ca="1">IF(VACnom&gt;Vbat, ((TI_MOSFET_S_VTH_H_BU+Table7[[#This Row],[I_L]]/TI_MOSFET_S_gFS_H_BU))/1, ((TI_MOSFET_S_VTH_L_BO+Table7[[#This Row],[I_L]]/TI_MOSFET_S_gFS_L_BO))/1 )</f>
        <v>1.7998076923076922</v>
      </c>
      <c r="AR230" s="156">
        <f ca="1">IF(VACnom&gt;Vbat, (TI_MOSFET_S_QGD_H_BU+TI_MOSFET_S_QGS_H_BU)*10^-9/Table7[[#This Row],[Ion (A)]], (TI_MOSFET_S_QGD_L_BO+TI_MOSFET_S_QGS_L_BO)*10^-9/Table7[[#This Row],[Ion (A)]])/10^-9</f>
        <v>11.941183368119884</v>
      </c>
      <c r="AS230" s="156">
        <f ca="1">IF(VACnom&gt;Vbat, (TI_MOSFET_S_QGD_H_BU+TI_MOSFET_S_QGS_H_BU)*10^-9/Table7[[#This Row],[Ioff (A)]], (TI_MOSFET_S_QGD_L_BO+TI_MOSFET_S_QGS_L_BO)*10^-9/Table7[[#This Row],[Ioff (A)]])/10^-9</f>
        <v>16.001709584357304</v>
      </c>
      <c r="AT230" s="156">
        <f ca="1" xml:space="preserve"> 0.5*VACnom*Table7[[#This Row],[Ivalley (A)]]*Table7[[#This Row],[ton (ns)]]*10^-9*Fsw*10^3+0.5*VACnom*Table7[[#This Row],[Ipeak (A)]]*Table7[[#This Row],[toff (ns)]]*10^-9*Fsw*10^3/10^-3</f>
        <v>397.94812778577727</v>
      </c>
      <c r="AU230" s="156">
        <f t="shared" ca="1" si="45"/>
        <v>262.8</v>
      </c>
      <c r="AV230" s="156">
        <f t="shared" ca="1" si="46"/>
        <v>648</v>
      </c>
      <c r="AW230" s="156">
        <f t="shared" ca="1" si="47"/>
        <v>554.4</v>
      </c>
      <c r="AX230" s="156">
        <f ca="1">IF(VACnom&gt;Vbat, TI_MOSFET_S_VSD_L_BU*Table7[[#This Row],[Ivalley (A)]]*Fsw*10^3*40*10^-9+TI_MOSFET_S_VSD_L_BU*Table7[[#This Row],[Ipeak (A)]]*Fsw*10^3*30*10^-9, TI_MOSFET_S_VSD_H_BO*Table7[[#This Row],[Ivalley (A)]]*Fsw*10^3*40*10^-9+TI_MOSFET_S_VSD_H_BO*Table7[[#This Row],[Ipeak (A)]]*Fsw*10^3*30*10^-9)/10^-3</f>
        <v>193.95257142857142</v>
      </c>
      <c r="AY230" s="156">
        <f t="shared" ca="1" si="48"/>
        <v>648</v>
      </c>
      <c r="AZ230" s="156">
        <f ca="1">IF(VACnom&lt;Vbat, Table7[[#This Row],[Duty Cycle]]*Table7[[#This Row],[I_L RMS]]^2*TI_MOSFET_S_RDSON_H_BU*10^-3, (1-Table7[[#This Row],[Duty Cycle]])*Table7[[#This Row],[I_L RMS]]^2*TI_MOSFET_S_RDSON_H_BO*10^-3)/10^-3</f>
        <v>50.384219387755095</v>
      </c>
      <c r="BA230" s="156">
        <f ca="1">IF(VACnom&gt;Vbat, Table7[[#This Row],[PIV (mW)]]+Table7[[#This Row],[Pqoss (mW)]]+Table7[[#This Row],[Pgate_top (mW)]], Table7[[#This Row],[PRR (mW)]]+Table7[[#This Row],[Pdead (mW)]]+Table7[[#This Row],[Pgate_top (mW)]])</f>
        <v>1396.3525714285715</v>
      </c>
      <c r="BB230" s="156">
        <f ca="1">Table7[[#This Row],[Pcon_top (mW)]]+Table7[[#This Row],[Psw_top (mW)]]</f>
        <v>1446.7367908163267</v>
      </c>
      <c r="BC230" s="156">
        <f ca="1">IF(VACnom&gt;Vbat, (1-Table7[[#This Row],[Duty Cycle]])*Table7[[#This Row],[I_L RMS]]^2*TI_MOSFET_S_RDSON_L_BU*10^-3, Table7[[#This Row],[Duty Cycle]]*Table7[[#This Row],[I_L RMS]]^2*TI_MOSFET_S_RDSON_L_BO*10^-3)/10^-3</f>
        <v>50.384219387755095</v>
      </c>
      <c r="BD230" s="156">
        <f ca="1">IF(VACnom&gt;Vbat, Table7[[#This Row],[PRR (mW)]]+Table7[[#This Row],[Pdead (mW)]]+Table7[[#This Row],[Pgate_bottom (mW)]], Table7[[#This Row],[PIV (mW)]]+Table7[[#This Row],[Pqoss (mW)]]+Table7[[#This Row],[Pgate_bottom (mW)]])</f>
        <v>1308.7481277857773</v>
      </c>
      <c r="BE230" s="158">
        <f ca="1">Table7[[#This Row],[Pcon_bottom (mW)]]+Table7[[#This Row],[Psw_bottom (mW)]]</f>
        <v>1359.1323471735325</v>
      </c>
      <c r="BF230" s="164">
        <f ca="1">Table7[[#This Row],[Pbottom (mW)]]+Table7[[#This Row],[Ptop (mW)]]</f>
        <v>2805.8691379898592</v>
      </c>
      <c r="BG230" s="153"/>
      <c r="BH230" s="156">
        <f>MAX(0,Table7[[#This Row],[I_L]]-0.5*Table7[[#This Row],[I_L pkpk]])</f>
        <v>6.0464285714285717</v>
      </c>
      <c r="BI230" s="156">
        <f>Table7[[#This Row],[I_L]]+0.5*Table7[[#This Row],[I_L pkpk]]</f>
        <v>6.9035714285714294</v>
      </c>
      <c r="BJ230" s="156">
        <f>IF(VACnom&gt;Vbat, (VGS_S-(C_MOSFET_S_VTH_H_BU+Table7[[#This Row],[I_L]]/C_MOSFET_S_gFS_H_BU))/3.4, (VGS_S-(C_MOSFET_S_VTH_L_BO+Table7[[#This Row],[I_L]]/C_MOSFET_S_gFS_L_BO))/3.4 )</f>
        <v>2.3402450980392158</v>
      </c>
      <c r="BK230" s="156">
        <f>IF(VACnom&gt;Vbat, ((C_MOSFET_S_VTH_H_BU+Table7[[#This Row],[I_L]]/C_MOSFET_S_gFS_H_BU))/1, ((C_MOSFET_S_VTH_L_BO+Table7[[#This Row],[I_L]]/C_MOSFET_S_gFS_L_BO))/1 )</f>
        <v>2.0431666666666666</v>
      </c>
      <c r="BL230" s="156">
        <f>IF(VACnom&gt;Vbat, (C_MOSFET_S_QGD_H_BU+C_MOSFET_S_QGS_H_BU)*10^-9/Table7[[#This Row],[Ion (A) C]], (C_MOSFET_S_QGD_L_BO+C_MOSFET_S_QGS_L_BO)*10^-9/Table7[[#This Row],[Ion (A) C]])/10^-9</f>
        <v>2.7774868561613708</v>
      </c>
      <c r="BM230" s="156">
        <f>IF(VACnom&gt;Vbat, (C_MOSFET_S_QGD_H_BU+C_MOSFET_S_QGS_H_BU)*10^-9/Table7[[#This Row],[Ioff (A) C]], (C_MOSFET_S_QGD_L_BO+C_MOSFET_S_QGS_L_BO)*10^-9/Table7[[#This Row],[Ioff (A) C]])/10^-9</f>
        <v>3.1813361611876987</v>
      </c>
      <c r="BN230" s="156">
        <f xml:space="preserve"> 0.5*VACnom*Table7[[#This Row],[Ivalley (A) C]]*Table7[[#This Row],[ton (ns) C]]*10^-9*Fsw*10^3+0.5*VACnom*Table7[[#This Row],[Ipeak (A) C]]*Table7[[#This Row],[toff (ns) C]]*10^-9*Fsw*10^3/10^-3</f>
        <v>79.125751090585339</v>
      </c>
      <c r="BO230" s="156">
        <f t="shared" si="49"/>
        <v>129.6</v>
      </c>
      <c r="BP230" s="156">
        <f t="shared" ca="1" si="50"/>
        <v>291.59999999999997</v>
      </c>
      <c r="BQ230" s="156">
        <f t="shared" si="51"/>
        <v>237.6</v>
      </c>
      <c r="BR230" s="156">
        <f>IF(VACnom&gt;Vbat, C_MOSFET_S_VSD_L_BU*Table7[[#This Row],[Ivalley (A) C]]*Fsw*10^3*40*10^-9+C_MOSFET_S_VSD_L_BU*Table7[[#This Row],[Ipeak (A) C]]*Fsw*10^3*30*10^-9, C_MOSFET_S_VSD_H_BO*Table7[[#This Row],[Ivalley (A) C]]*Fsw*10^3*40*10^-9+C_MOSFET_S_VSD_H_BO*Table7[[#This Row],[Ipeak (A) C]]*Fsw*10^3*30*10^-9)/10^-3</f>
        <v>215.50285714285721</v>
      </c>
      <c r="BS230" s="156">
        <f t="shared" ca="1" si="52"/>
        <v>291.59999999999997</v>
      </c>
      <c r="BT230" s="156">
        <f>IF(VACnom&lt;Vbat, Table7[[#This Row],[Duty Cycle]]*Table7[[#This Row],[I_L RMS]]^2*C_MOSFET_S_RDSON_H_BU*10^-3, (1-Table7[[#This Row],[Duty Cycle]])*Table7[[#This Row],[I_L RMS]]^2*C_MOSFET_S_RDSON_H_BO*10^-3)/10^-3</f>
        <v>102.56787518221574</v>
      </c>
      <c r="BU230" s="156">
        <f ca="1">IF(VACnom&gt;Vbat, Table7[[#This Row],[PIV (mW) C]]+Table7[[#This Row],[PQoss (mW) C]]+Table7[[#This Row],[Pgate_top (mW) C]], Table7[[#This Row],[PRR (mW) C]]+Table7[[#This Row],[Pdead (mW) C]]+Table7[[#This Row],[Pgate_top (mW) C]])</f>
        <v>744.70285714285717</v>
      </c>
      <c r="BV230" s="156">
        <f ca="1">Table7[[#This Row],[Pcon_top (mW) C]]+Table7[[#This Row],[Psw_top (mW) C]]</f>
        <v>847.27073232507291</v>
      </c>
      <c r="BW230" s="156">
        <f ca="1">IF(VACnom&gt;Vbat, (1-Table7[[#This Row],[Duty Cycle]])*Table7[[#This Row],[I_L RMS]]^2*C_MOSFET_S_RDSON_L_BU*10^-3, Table7[[#This Row],[Duty Cycle]]*Table7[[#This Row],[I_L RMS]]^2*C_MOSFET_S_RDSON_L_BO*10^-3)/10^-3</f>
        <v>63.879992438046635</v>
      </c>
      <c r="BX230" s="156">
        <f ca="1">IF(VACnom&gt;Vbat, Table7[[#This Row],[PRR (mW) C]]+Table7[[#This Row],[Pdead (mW) C]]+Table7[[#This Row],[Pgate_bottom (mW) C]], Table7[[#This Row],[PIV (mW) C]]+Table7[[#This Row],[PQoss (mW) C]]+Table7[[#This Row],[Pgate_bottom (mW) C]])</f>
        <v>500.3257510905853</v>
      </c>
      <c r="BY230" s="156">
        <f ca="1">Table7[[#This Row],[Pcon_bottom (mW) C]]+Table7[[#This Row],[Psw_bottom (mV) C]]</f>
        <v>564.20574352863196</v>
      </c>
      <c r="BZ230" s="156">
        <f ca="1">Table7[[#This Row],[Pbottom (mW) C]]+Table7[[#This Row],[Ptop (mW) C]]</f>
        <v>1411.4764758537049</v>
      </c>
      <c r="CA230" s="159"/>
      <c r="CB230" s="160">
        <f>(RAC_SNS*10^-3*(Table7[[#This Row],[IOUT (A)]]*Vbat/VACnom)^2/10^-3)</f>
        <v>209.62812500000001</v>
      </c>
      <c r="CC230" s="160">
        <f>(RBAT_SNS*10^-3*Table7[[#This Row],[IOUT (A)]]^2)/10^-3</f>
        <v>68.45</v>
      </c>
      <c r="CD230" s="160">
        <f>IF(VACnom&gt;Vbat,(L_DRC*10^-3*(Table7[[#This Row],[IOUT (A)]])^2/10^-3),(L_DRC*10^-3*(Table7[[#This Row],[IOUT (A)]]*Vbat/VACnom)^2/10^-3))</f>
        <v>503.10750000000002</v>
      </c>
      <c r="CE230" s="166"/>
      <c r="CF230" s="156">
        <f>(Table7[[#This Row],[R_AC (mW)]]+Table7[[#This Row],[R_SR (mW)]]+Table7[[#This Row],[Inductor Loss (mW)]])/10^3</f>
        <v>0.78118562500000011</v>
      </c>
      <c r="CG230" s="156">
        <f ca="1">Table7[[#This Row],[Total TI (mW)]]/10^3</f>
        <v>2.805869137989859</v>
      </c>
      <c r="CH230" s="156">
        <f ca="1">Table7[[#This Row],[Total Sense Loss]]+Table7[[#This Row],[Total MOSFET Loss]]</f>
        <v>3.587054762989859</v>
      </c>
      <c r="CI230" s="161">
        <f ca="1">IF(Table7[[#This Row],[POUT (W)]]=0,0,(Table7[[#This Row],[POUT (W)]])/(Table7[[#This Row],[POUT (W)]]+Table7[[#This Row],[Total Power Loss (W)]]))*100</f>
        <v>92.524953280199256</v>
      </c>
      <c r="CJ230" s="167"/>
      <c r="CK230" s="156">
        <f>(Table7[[#This Row],[R_AC (mW)]]+Table7[[#This Row],[R_SR (mW)]]+Table7[[#This Row],[Inductor Loss (mW)]])/10^3</f>
        <v>0.78118562500000011</v>
      </c>
      <c r="CL230" s="156">
        <f ca="1">Table7[[#This Row],[Total (mW) C]]/10^3</f>
        <v>1.4114764758537048</v>
      </c>
      <c r="CM230" s="156">
        <f ca="1">Table7[[#This Row],[Total Sense Loss C]]+Table7[[#This Row],[Total MOSFET Loss C]]</f>
        <v>2.1926621008537048</v>
      </c>
      <c r="CN230" s="161">
        <f ca="1">IF(Table7[[#This Row],[POUT (W)]]=0,0,(Table7[[#This Row],[POUT (W)]])/(Table7[[#This Row],[POUT (W)]]+Table7[[#This Row],[Total Power Loss (W) C]]))*100</f>
        <v>95.293975484578439</v>
      </c>
      <c r="CO230" s="167"/>
      <c r="CP230" s="161">
        <f>IF(MOSFET_S=Custom_MOSFET,Table7[[#This Row],[Total Sense Loss C]],Table7[[#This Row],[Total Sense Loss]])</f>
        <v>0.78118562500000011</v>
      </c>
      <c r="CQ230" s="161">
        <f ca="1">IF(MOSFET_S=Custom_MOSFET,Table7[[#This Row],[Total MOSFET Loss C]],Table7[[#This Row],[Total MOSFET Loss]])</f>
        <v>2.805869137989859</v>
      </c>
      <c r="CR230" s="161">
        <f ca="1">IF(MOSFET_S=Custom_MOSFET,Table7[[#This Row],[Efficiency C]],Table7[[#This Row],[Efficiency]])</f>
        <v>92.524953280199256</v>
      </c>
      <c r="CS230" s="167"/>
      <c r="CT230" s="161">
        <f>IF(MOSFET_S=Compare_MOSFET, Table7[[#This Row],[Total Sense Loss C]], -100)</f>
        <v>-100</v>
      </c>
      <c r="CU230" s="161">
        <f>IF(MOSFET_S=Compare_MOSFET, Table7[[#This Row],[Total MOSFET Loss C]], -100)</f>
        <v>-100</v>
      </c>
      <c r="CV230" s="161">
        <f>IF(MOSFET_S=Compare_MOSFET, Table7[[#This Row],[Efficiency C]], -100)</f>
        <v>-100</v>
      </c>
      <c r="CW230" s="167"/>
      <c r="CX230" s="161">
        <f ca="1">IF(Save_Sel=CLR_Save,  Table7[[#This Row],[Total Sense Loss P1]], Table7[[#This Row],[Total Sense Loss P1 Saved]])</f>
        <v>0.78118562500000011</v>
      </c>
      <c r="CY230" s="161">
        <f ca="1">IF(Save_Sel=CLR_Save,  Table7[[#This Row],[Total MOSFET Loss P1]], Table7[[#This Row],[Total MOSFET Loss P1 Saved]] )</f>
        <v>2.1205901241378569</v>
      </c>
      <c r="CZ230" s="161">
        <f ca="1">IF(Save_Sel=CLR_Save, Table7[[#This Row],[Efficiency P1]], Table7[[#This Row],[Efficiency P1 Saved]])</f>
        <v>93.865397856251207</v>
      </c>
      <c r="DA230" s="167"/>
      <c r="DB230" s="161">
        <f ca="1">IF(Save_Sel=CLR_Save,  Table7[[#This Row],[Total Sense Loss P2]], Table7[[#This Row],[Total Sense Loss P2 Saved]])</f>
        <v>0.78118562500000011</v>
      </c>
      <c r="DC230" s="161">
        <f ca="1">IF(Save_Sel=CLR_Save,  Table7[[#This Row],[Total MOSFET Loss P2]], Table7[[#This Row],[Total MOSFET Loss P2 Saved]] )</f>
        <v>1.4637954760925722</v>
      </c>
      <c r="DD230" s="161">
        <f ca="1">IF(Save_Sel=CLR_Save, Table7[[#This Row],[Efficiency P2]], Table7[[#This Row],[Efficiency P2 Saved]])</f>
        <v>95.187089697330833</v>
      </c>
      <c r="DE230" s="167"/>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c r="FH230" s="21"/>
      <c r="FI230" s="21"/>
    </row>
    <row r="231" spans="1:165" x14ac:dyDescent="0.25">
      <c r="A231" s="70"/>
      <c r="B231" s="70"/>
      <c r="C231" s="70"/>
      <c r="D231" s="70"/>
      <c r="E231" s="70"/>
      <c r="F231" s="70"/>
      <c r="G231" s="70"/>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154">
        <f t="shared" si="54"/>
        <v>75</v>
      </c>
      <c r="AG231" s="154">
        <f t="shared" si="53"/>
        <v>3.75</v>
      </c>
      <c r="AH231" s="155">
        <f t="shared" si="42"/>
        <v>45</v>
      </c>
      <c r="AI231" s="156">
        <f t="shared" si="43"/>
        <v>0.42857142857142855</v>
      </c>
      <c r="AJ231" s="156">
        <f t="shared" si="44"/>
        <v>6.5625</v>
      </c>
      <c r="AK231" s="156">
        <f t="shared" si="40"/>
        <v>0.85714285714285721</v>
      </c>
      <c r="AL231" s="156">
        <f t="shared" si="41"/>
        <v>6.5671630663320615</v>
      </c>
      <c r="AM231" s="157"/>
      <c r="AN231" s="156">
        <f>MAX(0,Table7[[#This Row],[I_L]]-0.5*Table7[[#This Row],[I_L pkpk]])</f>
        <v>6.1339285714285712</v>
      </c>
      <c r="AO231" s="156">
        <f>Table7[[#This Row],[I_L]]+0.5*Table7[[#This Row],[I_L pkpk]]</f>
        <v>6.9910714285714288</v>
      </c>
      <c r="AP231" s="156">
        <f ca="1">IF(VACnom&gt;Vbat, (VGS_S-(TI_MOSFET_S_VTH_H_BU+Table7[[#This Row],[I_L]]/TI_MOSFET_S_gFS_H_BU))/3.4, (VGS_S-(TI_MOSFET_S_VTH_L_BO+Table7[[#This Row],[I_L]]/TI_MOSFET_S_gFS_L_BO))/3.4 )</f>
        <v>2.4116233031674206</v>
      </c>
      <c r="AQ231" s="156">
        <f ca="1">IF(VACnom&gt;Vbat, ((TI_MOSFET_S_VTH_H_BU+Table7[[#This Row],[I_L]]/TI_MOSFET_S_gFS_H_BU))/1, ((TI_MOSFET_S_VTH_L_BO+Table7[[#This Row],[I_L]]/TI_MOSFET_S_gFS_L_BO))/1 )</f>
        <v>1.8004807692307692</v>
      </c>
      <c r="AR231" s="156">
        <f ca="1">IF(VACnom&gt;Vbat, (TI_MOSFET_S_QGD_H_BU+TI_MOSFET_S_QGS_H_BU)*10^-9/Table7[[#This Row],[Ion (A)]], (TI_MOSFET_S_QGD_L_BO+TI_MOSFET_S_QGS_L_BO)*10^-9/Table7[[#This Row],[Ion (A)]])/10^-9</f>
        <v>11.942163588390502</v>
      </c>
      <c r="AS231" s="156">
        <f ca="1">IF(VACnom&gt;Vbat, (TI_MOSFET_S_QGD_H_BU+TI_MOSFET_S_QGS_H_BU)*10^-9/Table7[[#This Row],[Ioff (A)]], (TI_MOSFET_S_QGD_L_BO+TI_MOSFET_S_QGS_L_BO)*10^-9/Table7[[#This Row],[Ioff (A)]])/10^-9</f>
        <v>15.995727636849134</v>
      </c>
      <c r="AT231" s="156">
        <f ca="1" xml:space="preserve"> 0.5*VACnom*Table7[[#This Row],[Ivalley (A)]]*Table7[[#This Row],[ton (ns)]]*10^-9*Fsw*10^3+0.5*VACnom*Table7[[#This Row],[Ipeak (A)]]*Table7[[#This Row],[toff (ns)]]*10^-9*Fsw*10^3/10^-3</f>
        <v>402.84189662265311</v>
      </c>
      <c r="AU231" s="156">
        <f t="shared" ca="1" si="45"/>
        <v>262.8</v>
      </c>
      <c r="AV231" s="156">
        <f t="shared" ca="1" si="46"/>
        <v>648</v>
      </c>
      <c r="AW231" s="156">
        <f t="shared" ca="1" si="47"/>
        <v>554.4</v>
      </c>
      <c r="AX231" s="156">
        <f ca="1">IF(VACnom&gt;Vbat, TI_MOSFET_S_VSD_L_BU*Table7[[#This Row],[Ivalley (A)]]*Fsw*10^3*40*10^-9+TI_MOSFET_S_VSD_L_BU*Table7[[#This Row],[Ipeak (A)]]*Fsw*10^3*30*10^-9, TI_MOSFET_S_VSD_H_BO*Table7[[#This Row],[Ivalley (A)]]*Fsw*10^3*40*10^-9+TI_MOSFET_S_VSD_H_BO*Table7[[#This Row],[Ipeak (A)]]*Fsw*10^3*30*10^-9)/10^-3</f>
        <v>196.5985714285714</v>
      </c>
      <c r="AY231" s="156">
        <f t="shared" ca="1" si="48"/>
        <v>648</v>
      </c>
      <c r="AZ231" s="156">
        <f ca="1">IF(VACnom&lt;Vbat, Table7[[#This Row],[Duty Cycle]]*Table7[[#This Row],[I_L RMS]]^2*TI_MOSFET_S_RDSON_H_BU*10^-3, (1-Table7[[#This Row],[Duty Cycle]])*Table7[[#This Row],[I_L RMS]]^2*TI_MOSFET_S_RDSON_H_BO*10^-3)/10^-3</f>
        <v>51.753156887755104</v>
      </c>
      <c r="BA231" s="156">
        <f ca="1">IF(VACnom&gt;Vbat, Table7[[#This Row],[PIV (mW)]]+Table7[[#This Row],[Pqoss (mW)]]+Table7[[#This Row],[Pgate_top (mW)]], Table7[[#This Row],[PRR (mW)]]+Table7[[#This Row],[Pdead (mW)]]+Table7[[#This Row],[Pgate_top (mW)]])</f>
        <v>1398.9985714285713</v>
      </c>
      <c r="BB231" s="156">
        <f ca="1">Table7[[#This Row],[Pcon_top (mW)]]+Table7[[#This Row],[Psw_top (mW)]]</f>
        <v>1450.7517283163263</v>
      </c>
      <c r="BC231" s="156">
        <f ca="1">IF(VACnom&gt;Vbat, (1-Table7[[#This Row],[Duty Cycle]])*Table7[[#This Row],[I_L RMS]]^2*TI_MOSFET_S_RDSON_L_BU*10^-3, Table7[[#This Row],[Duty Cycle]]*Table7[[#This Row],[I_L RMS]]^2*TI_MOSFET_S_RDSON_L_BO*10^-3)/10^-3</f>
        <v>51.753156887755104</v>
      </c>
      <c r="BD231" s="156">
        <f ca="1">IF(VACnom&gt;Vbat, Table7[[#This Row],[PRR (mW)]]+Table7[[#This Row],[Pdead (mW)]]+Table7[[#This Row],[Pgate_bottom (mW)]], Table7[[#This Row],[PIV (mW)]]+Table7[[#This Row],[Pqoss (mW)]]+Table7[[#This Row],[Pgate_bottom (mW)]])</f>
        <v>1313.6418966226531</v>
      </c>
      <c r="BE231" s="158">
        <f ca="1">Table7[[#This Row],[Pcon_bottom (mW)]]+Table7[[#This Row],[Psw_bottom (mW)]]</f>
        <v>1365.3950535104082</v>
      </c>
      <c r="BF231" s="164">
        <f ca="1">Table7[[#This Row],[Pbottom (mW)]]+Table7[[#This Row],[Ptop (mW)]]</f>
        <v>2816.1467818267347</v>
      </c>
      <c r="BG231" s="153"/>
      <c r="BH231" s="156">
        <f>MAX(0,Table7[[#This Row],[I_L]]-0.5*Table7[[#This Row],[I_L pkpk]])</f>
        <v>6.1339285714285712</v>
      </c>
      <c r="BI231" s="156">
        <f>Table7[[#This Row],[I_L]]+0.5*Table7[[#This Row],[I_L pkpk]]</f>
        <v>6.9910714285714288</v>
      </c>
      <c r="BJ231" s="156">
        <f>IF(VACnom&gt;Vbat, (VGS_S-(C_MOSFET_S_VTH_H_BU+Table7[[#This Row],[I_L]]/C_MOSFET_S_gFS_H_BU))/3.4, (VGS_S-(C_MOSFET_S_VTH_L_BO+Table7[[#This Row],[I_L]]/C_MOSFET_S_gFS_L_BO))/3.4 )</f>
        <v>2.3400735294117645</v>
      </c>
      <c r="BK231" s="156">
        <f>IF(VACnom&gt;Vbat, ((C_MOSFET_S_VTH_H_BU+Table7[[#This Row],[I_L]]/C_MOSFET_S_gFS_H_BU))/1, ((C_MOSFET_S_VTH_L_BO+Table7[[#This Row],[I_L]]/C_MOSFET_S_gFS_L_BO))/1 )</f>
        <v>2.0437500000000002</v>
      </c>
      <c r="BL231" s="156">
        <f>IF(VACnom&gt;Vbat, (C_MOSFET_S_QGD_H_BU+C_MOSFET_S_QGS_H_BU)*10^-9/Table7[[#This Row],[Ion (A) C]], (C_MOSFET_S_QGD_L_BO+C_MOSFET_S_QGS_L_BO)*10^-9/Table7[[#This Row],[Ion (A) C]])/10^-9</f>
        <v>2.7776904948939514</v>
      </c>
      <c r="BM231" s="156">
        <f>IF(VACnom&gt;Vbat, (C_MOSFET_S_QGD_H_BU+C_MOSFET_S_QGS_H_BU)*10^-9/Table7[[#This Row],[Ioff (A) C]], (C_MOSFET_S_QGD_L_BO+C_MOSFET_S_QGS_L_BO)*10^-9/Table7[[#This Row],[Ioff (A) C]])/10^-9</f>
        <v>3.1804281345565748</v>
      </c>
      <c r="BN231" s="156">
        <f xml:space="preserve"> 0.5*VACnom*Table7[[#This Row],[Ivalley (A) C]]*Table7[[#This Row],[ton (ns) C]]*10^-9*Fsw*10^3+0.5*VACnom*Table7[[#This Row],[Ipeak (A) C]]*Table7[[#This Row],[toff (ns) C]]*10^-9*Fsw*10^3/10^-3</f>
        <v>80.105898301964672</v>
      </c>
      <c r="BO231" s="156">
        <f t="shared" si="49"/>
        <v>129.6</v>
      </c>
      <c r="BP231" s="156">
        <f t="shared" ca="1" si="50"/>
        <v>291.59999999999997</v>
      </c>
      <c r="BQ231" s="156">
        <f t="shared" si="51"/>
        <v>237.6</v>
      </c>
      <c r="BR231" s="156">
        <f>IF(VACnom&gt;Vbat, C_MOSFET_S_VSD_L_BU*Table7[[#This Row],[Ivalley (A) C]]*Fsw*10^3*40*10^-9+C_MOSFET_S_VSD_L_BU*Table7[[#This Row],[Ipeak (A) C]]*Fsw*10^3*30*10^-9, C_MOSFET_S_VSD_H_BO*Table7[[#This Row],[Ivalley (A) C]]*Fsw*10^3*40*10^-9+C_MOSFET_S_VSD_H_BO*Table7[[#This Row],[Ipeak (A) C]]*Fsw*10^3*30*10^-9)/10^-3</f>
        <v>218.44285714285721</v>
      </c>
      <c r="BS231" s="156">
        <f t="shared" ca="1" si="52"/>
        <v>291.59999999999997</v>
      </c>
      <c r="BT231" s="156">
        <f>IF(VACnom&lt;Vbat, Table7[[#This Row],[Duty Cycle]]*Table7[[#This Row],[I_L RMS]]^2*C_MOSFET_S_RDSON_H_BU*10^-3, (1-Table7[[#This Row],[Duty Cycle]])*Table7[[#This Row],[I_L RMS]]^2*C_MOSFET_S_RDSON_H_BO*10^-3)/10^-3</f>
        <v>105.35464080721576</v>
      </c>
      <c r="BU231" s="156">
        <f ca="1">IF(VACnom&gt;Vbat, Table7[[#This Row],[PIV (mW) C]]+Table7[[#This Row],[PQoss (mW) C]]+Table7[[#This Row],[Pgate_top (mW) C]], Table7[[#This Row],[PRR (mW) C]]+Table7[[#This Row],[Pdead (mW) C]]+Table7[[#This Row],[Pgate_top (mW) C]])</f>
        <v>747.64285714285711</v>
      </c>
      <c r="BV231" s="156">
        <f ca="1">Table7[[#This Row],[Pcon_top (mW) C]]+Table7[[#This Row],[Psw_top (mW) C]]</f>
        <v>852.9974979500729</v>
      </c>
      <c r="BW231" s="156">
        <f ca="1">IF(VACnom&gt;Vbat, (1-Table7[[#This Row],[Duty Cycle]])*Table7[[#This Row],[I_L RMS]]^2*C_MOSFET_S_RDSON_L_BU*10^-3, Table7[[#This Row],[Duty Cycle]]*Table7[[#This Row],[I_L RMS]]^2*C_MOSFET_S_RDSON_L_BO*10^-3)/10^-3</f>
        <v>65.615609625546654</v>
      </c>
      <c r="BX231" s="156">
        <f ca="1">IF(VACnom&gt;Vbat, Table7[[#This Row],[PRR (mW) C]]+Table7[[#This Row],[Pdead (mW) C]]+Table7[[#This Row],[Pgate_bottom (mW) C]], Table7[[#This Row],[PIV (mW) C]]+Table7[[#This Row],[PQoss (mW) C]]+Table7[[#This Row],[Pgate_bottom (mW) C]])</f>
        <v>501.30589830196465</v>
      </c>
      <c r="BY231" s="156">
        <f ca="1">Table7[[#This Row],[Pcon_bottom (mW) C]]+Table7[[#This Row],[Psw_bottom (mV) C]]</f>
        <v>566.92150792751136</v>
      </c>
      <c r="BZ231" s="156">
        <f ca="1">Table7[[#This Row],[Pbottom (mW) C]]+Table7[[#This Row],[Ptop (mW) C]]</f>
        <v>1419.9190058775844</v>
      </c>
      <c r="CA231" s="159"/>
      <c r="CB231" s="160">
        <f>(RAC_SNS*10^-3*(Table7[[#This Row],[IOUT (A)]]*Vbat/VACnom)^2/10^-3)</f>
        <v>215.33203125</v>
      </c>
      <c r="CC231" s="160">
        <f>(RBAT_SNS*10^-3*Table7[[#This Row],[IOUT (A)]]^2)/10^-3</f>
        <v>70.3125</v>
      </c>
      <c r="CD231" s="160">
        <f>IF(VACnom&gt;Vbat,(L_DRC*10^-3*(Table7[[#This Row],[IOUT (A)]])^2/10^-3),(L_DRC*10^-3*(Table7[[#This Row],[IOUT (A)]]*Vbat/VACnom)^2/10^-3))</f>
        <v>516.796875</v>
      </c>
      <c r="CE231" s="166"/>
      <c r="CF231" s="156">
        <f>(Table7[[#This Row],[R_AC (mW)]]+Table7[[#This Row],[R_SR (mW)]]+Table7[[#This Row],[Inductor Loss (mW)]])/10^3</f>
        <v>0.80244140625000004</v>
      </c>
      <c r="CG231" s="156">
        <f ca="1">Table7[[#This Row],[Total TI (mW)]]/10^3</f>
        <v>2.8161467818267347</v>
      </c>
      <c r="CH231" s="156">
        <f ca="1">Table7[[#This Row],[Total Sense Loss]]+Table7[[#This Row],[Total MOSFET Loss]]</f>
        <v>3.6185881880767345</v>
      </c>
      <c r="CI231" s="161">
        <f ca="1">IF(Table7[[#This Row],[POUT (W)]]=0,0,(Table7[[#This Row],[POUT (W)]])/(Table7[[#This Row],[POUT (W)]]+Table7[[#This Row],[Total Power Loss (W)]]))*100</f>
        <v>92.557191965183065</v>
      </c>
      <c r="CJ231" s="167"/>
      <c r="CK231" s="156">
        <f>(Table7[[#This Row],[R_AC (mW)]]+Table7[[#This Row],[R_SR (mW)]]+Table7[[#This Row],[Inductor Loss (mW)]])/10^3</f>
        <v>0.80244140625000004</v>
      </c>
      <c r="CL231" s="156">
        <f ca="1">Table7[[#This Row],[Total (mW) C]]/10^3</f>
        <v>1.4199190058775844</v>
      </c>
      <c r="CM231" s="156">
        <f ca="1">Table7[[#This Row],[Total Sense Loss C]]+Table7[[#This Row],[Total MOSFET Loss C]]</f>
        <v>2.2223604121275846</v>
      </c>
      <c r="CN231" s="161">
        <f ca="1">IF(Table7[[#This Row],[POUT (W)]]=0,0,(Table7[[#This Row],[POUT (W)]])/(Table7[[#This Row],[POUT (W)]]+Table7[[#This Row],[Total Power Loss (W) C]]))*100</f>
        <v>95.29383878160219</v>
      </c>
      <c r="CO231" s="167"/>
      <c r="CP231" s="161">
        <f>IF(MOSFET_S=Custom_MOSFET,Table7[[#This Row],[Total Sense Loss C]],Table7[[#This Row],[Total Sense Loss]])</f>
        <v>0.80244140625000004</v>
      </c>
      <c r="CQ231" s="161">
        <f ca="1">IF(MOSFET_S=Custom_MOSFET,Table7[[#This Row],[Total MOSFET Loss C]],Table7[[#This Row],[Total MOSFET Loss]])</f>
        <v>2.8161467818267347</v>
      </c>
      <c r="CR231" s="161">
        <f ca="1">IF(MOSFET_S=Custom_MOSFET,Table7[[#This Row],[Efficiency C]],Table7[[#This Row],[Efficiency]])</f>
        <v>92.557191965183065</v>
      </c>
      <c r="CS231" s="167"/>
      <c r="CT231" s="161">
        <f>IF(MOSFET_S=Compare_MOSFET, Table7[[#This Row],[Total Sense Loss C]], -100)</f>
        <v>-100</v>
      </c>
      <c r="CU231" s="161">
        <f>IF(MOSFET_S=Compare_MOSFET, Table7[[#This Row],[Total MOSFET Loss C]], -100)</f>
        <v>-100</v>
      </c>
      <c r="CV231" s="161">
        <f>IF(MOSFET_S=Compare_MOSFET, Table7[[#This Row],[Efficiency C]], -100)</f>
        <v>-100</v>
      </c>
      <c r="CW231" s="167"/>
      <c r="CX231" s="161">
        <f ca="1">IF(Save_Sel=CLR_Save,  Table7[[#This Row],[Total Sense Loss P1]], Table7[[#This Row],[Total Sense Loss P1 Saved]])</f>
        <v>0.80244140625000004</v>
      </c>
      <c r="CY231" s="161">
        <f ca="1">IF(Save_Sel=CLR_Save,  Table7[[#This Row],[Total MOSFET Loss P1]], Table7[[#This Row],[Total MOSFET Loss P1 Saved]] )</f>
        <v>2.1316089670803504</v>
      </c>
      <c r="CZ231" s="161">
        <f ca="1">IF(Save_Sel=CLR_Save, Table7[[#This Row],[Efficiency P1]], Table7[[#This Row],[Efficiency P1 Saved]])</f>
        <v>93.8789850837166</v>
      </c>
      <c r="DA231" s="167"/>
      <c r="DB231" s="161">
        <f ca="1">IF(Save_Sel=CLR_Save,  Table7[[#This Row],[Total Sense Loss P2]], Table7[[#This Row],[Total Sense Loss P2 Saved]])</f>
        <v>0.80244140625000004</v>
      </c>
      <c r="DC231" s="161">
        <f ca="1">IF(Save_Sel=CLR_Save,  Table7[[#This Row],[Total MOSFET Loss P2]], Table7[[#This Row],[Total MOSFET Loss P2 Saved]] )</f>
        <v>1.4736578355357792</v>
      </c>
      <c r="DD231" s="161">
        <f ca="1">IF(Save_Sel=CLR_Save, Table7[[#This Row],[Efficiency P2]], Table7[[#This Row],[Efficiency P2 Saved]])</f>
        <v>95.185518098384037</v>
      </c>
      <c r="DE231" s="167"/>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c r="FH231" s="21"/>
      <c r="FI231" s="21"/>
    </row>
    <row r="232" spans="1:165" x14ac:dyDescent="0.25">
      <c r="A232" s="70"/>
      <c r="B232" s="70"/>
      <c r="C232" s="70"/>
      <c r="D232" s="70"/>
      <c r="E232" s="70"/>
      <c r="F232" s="70"/>
      <c r="G232" s="70"/>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154">
        <f t="shared" si="54"/>
        <v>76</v>
      </c>
      <c r="AG232" s="154">
        <f t="shared" si="53"/>
        <v>3.8</v>
      </c>
      <c r="AH232" s="155">
        <f t="shared" si="42"/>
        <v>45.599999999999994</v>
      </c>
      <c r="AI232" s="156">
        <f t="shared" si="43"/>
        <v>0.42857142857142855</v>
      </c>
      <c r="AJ232" s="156">
        <f t="shared" si="44"/>
        <v>6.65</v>
      </c>
      <c r="AK232" s="156">
        <f t="shared" si="40"/>
        <v>0.85714285714285721</v>
      </c>
      <c r="AL232" s="156">
        <f t="shared" si="41"/>
        <v>6.6546017529072259</v>
      </c>
      <c r="AM232" s="157"/>
      <c r="AN232" s="156">
        <f>MAX(0,Table7[[#This Row],[I_L]]-0.5*Table7[[#This Row],[I_L pkpk]])</f>
        <v>6.2214285714285715</v>
      </c>
      <c r="AO232" s="156">
        <f>Table7[[#This Row],[I_L]]+0.5*Table7[[#This Row],[I_L pkpk]]</f>
        <v>7.0785714285714292</v>
      </c>
      <c r="AP232" s="156">
        <f ca="1">IF(VACnom&gt;Vbat, (VGS_S-(TI_MOSFET_S_VTH_H_BU+Table7[[#This Row],[I_L]]/TI_MOSFET_S_gFS_H_BU))/3.4, (VGS_S-(TI_MOSFET_S_VTH_L_BO+Table7[[#This Row],[I_L]]/TI_MOSFET_S_gFS_L_BO))/3.4 )</f>
        <v>2.4114253393665157</v>
      </c>
      <c r="AQ232" s="156">
        <f ca="1">IF(VACnom&gt;Vbat, ((TI_MOSFET_S_VTH_H_BU+Table7[[#This Row],[I_L]]/TI_MOSFET_S_gFS_H_BU))/1, ((TI_MOSFET_S_VTH_L_BO+Table7[[#This Row],[I_L]]/TI_MOSFET_S_gFS_L_BO))/1 )</f>
        <v>1.8011538461538461</v>
      </c>
      <c r="AR232" s="156">
        <f ca="1">IF(VACnom&gt;Vbat, (TI_MOSFET_S_QGD_H_BU+TI_MOSFET_S_QGS_H_BU)*10^-9/Table7[[#This Row],[Ion (A)]], (TI_MOSFET_S_QGD_L_BO+TI_MOSFET_S_QGS_L_BO)*10^-9/Table7[[#This Row],[Ion (A)]])/10^-9</f>
        <v>11.943143969601728</v>
      </c>
      <c r="AS232" s="156">
        <f ca="1">IF(VACnom&gt;Vbat, (TI_MOSFET_S_QGD_H_BU+TI_MOSFET_S_QGS_H_BU)*10^-9/Table7[[#This Row],[Ioff (A)]], (TI_MOSFET_S_QGD_L_BO+TI_MOSFET_S_QGS_L_BO)*10^-9/Table7[[#This Row],[Ioff (A)]])/10^-9</f>
        <v>15.989750160153749</v>
      </c>
      <c r="AT232" s="156">
        <f ca="1" xml:space="preserve"> 0.5*VACnom*Table7[[#This Row],[Ivalley (A)]]*Table7[[#This Row],[ton (ns)]]*10^-9*Fsw*10^3+0.5*VACnom*Table7[[#This Row],[Ipeak (A)]]*Table7[[#This Row],[toff (ns)]]*10^-9*Fsw*10^3/10^-3</f>
        <v>407.7320113828257</v>
      </c>
      <c r="AU232" s="156">
        <f t="shared" ca="1" si="45"/>
        <v>262.8</v>
      </c>
      <c r="AV232" s="156">
        <f t="shared" ca="1" si="46"/>
        <v>648</v>
      </c>
      <c r="AW232" s="156">
        <f t="shared" ca="1" si="47"/>
        <v>554.4</v>
      </c>
      <c r="AX232" s="156">
        <f ca="1">IF(VACnom&gt;Vbat, TI_MOSFET_S_VSD_L_BU*Table7[[#This Row],[Ivalley (A)]]*Fsw*10^3*40*10^-9+TI_MOSFET_S_VSD_L_BU*Table7[[#This Row],[Ipeak (A)]]*Fsw*10^3*30*10^-9, TI_MOSFET_S_VSD_H_BO*Table7[[#This Row],[Ivalley (A)]]*Fsw*10^3*40*10^-9+TI_MOSFET_S_VSD_H_BO*Table7[[#This Row],[Ipeak (A)]]*Fsw*10^3*30*10^-9)/10^-3</f>
        <v>199.24457142857145</v>
      </c>
      <c r="AY232" s="156">
        <f t="shared" ca="1" si="48"/>
        <v>648</v>
      </c>
      <c r="AZ232" s="156">
        <f ca="1">IF(VACnom&lt;Vbat, Table7[[#This Row],[Duty Cycle]]*Table7[[#This Row],[I_L RMS]]^2*TI_MOSFET_S_RDSON_H_BU*10^-3, (1-Table7[[#This Row],[Duty Cycle]])*Table7[[#This Row],[I_L RMS]]^2*TI_MOSFET_S_RDSON_H_BO*10^-3)/10^-3</f>
        <v>53.140469387755097</v>
      </c>
      <c r="BA232" s="156">
        <f ca="1">IF(VACnom&gt;Vbat, Table7[[#This Row],[PIV (mW)]]+Table7[[#This Row],[Pqoss (mW)]]+Table7[[#This Row],[Pgate_top (mW)]], Table7[[#This Row],[PRR (mW)]]+Table7[[#This Row],[Pdead (mW)]]+Table7[[#This Row],[Pgate_top (mW)]])</f>
        <v>1401.6445714285715</v>
      </c>
      <c r="BB232" s="156">
        <f ca="1">Table7[[#This Row],[Pcon_top (mW)]]+Table7[[#This Row],[Psw_top (mW)]]</f>
        <v>1454.7850408163265</v>
      </c>
      <c r="BC232" s="156">
        <f ca="1">IF(VACnom&gt;Vbat, (1-Table7[[#This Row],[Duty Cycle]])*Table7[[#This Row],[I_L RMS]]^2*TI_MOSFET_S_RDSON_L_BU*10^-3, Table7[[#This Row],[Duty Cycle]]*Table7[[#This Row],[I_L RMS]]^2*TI_MOSFET_S_RDSON_L_BO*10^-3)/10^-3</f>
        <v>53.140469387755097</v>
      </c>
      <c r="BD232" s="156">
        <f ca="1">IF(VACnom&gt;Vbat, Table7[[#This Row],[PRR (mW)]]+Table7[[#This Row],[Pdead (mW)]]+Table7[[#This Row],[Pgate_bottom (mW)]], Table7[[#This Row],[PIV (mW)]]+Table7[[#This Row],[Pqoss (mW)]]+Table7[[#This Row],[Pgate_bottom (mW)]])</f>
        <v>1318.5320113828257</v>
      </c>
      <c r="BE232" s="158">
        <f ca="1">Table7[[#This Row],[Pcon_bottom (mW)]]+Table7[[#This Row],[Psw_bottom (mW)]]</f>
        <v>1371.6724807705807</v>
      </c>
      <c r="BF232" s="164">
        <f ca="1">Table7[[#This Row],[Pbottom (mW)]]+Table7[[#This Row],[Ptop (mW)]]</f>
        <v>2826.4575215869072</v>
      </c>
      <c r="BG232" s="153"/>
      <c r="BH232" s="156">
        <f>MAX(0,Table7[[#This Row],[I_L]]-0.5*Table7[[#This Row],[I_L pkpk]])</f>
        <v>6.2214285714285715</v>
      </c>
      <c r="BI232" s="156">
        <f>Table7[[#This Row],[I_L]]+0.5*Table7[[#This Row],[I_L pkpk]]</f>
        <v>7.0785714285714292</v>
      </c>
      <c r="BJ232" s="156">
        <f>IF(VACnom&gt;Vbat, (VGS_S-(C_MOSFET_S_VTH_H_BU+Table7[[#This Row],[I_L]]/C_MOSFET_S_gFS_H_BU))/3.4, (VGS_S-(C_MOSFET_S_VTH_L_BO+Table7[[#This Row],[I_L]]/C_MOSFET_S_gFS_L_BO))/3.4 )</f>
        <v>2.3399019607843137</v>
      </c>
      <c r="BK232" s="156">
        <f>IF(VACnom&gt;Vbat, ((C_MOSFET_S_VTH_H_BU+Table7[[#This Row],[I_L]]/C_MOSFET_S_gFS_H_BU))/1, ((C_MOSFET_S_VTH_L_BO+Table7[[#This Row],[I_L]]/C_MOSFET_S_gFS_L_BO))/1 )</f>
        <v>2.0443333333333333</v>
      </c>
      <c r="BL232" s="156">
        <f>IF(VACnom&gt;Vbat, (C_MOSFET_S_QGD_H_BU+C_MOSFET_S_QGS_H_BU)*10^-9/Table7[[#This Row],[Ion (A) C]], (C_MOSFET_S_QGD_L_BO+C_MOSFET_S_QGS_L_BO)*10^-9/Table7[[#This Row],[Ion (A) C]])/10^-9</f>
        <v>2.777894163489337</v>
      </c>
      <c r="BM232" s="156">
        <f>IF(VACnom&gt;Vbat, (C_MOSFET_S_QGD_H_BU+C_MOSFET_S_QGS_H_BU)*10^-9/Table7[[#This Row],[Ioff (A) C]], (C_MOSFET_S_QGD_L_BO+C_MOSFET_S_QGS_L_BO)*10^-9/Table7[[#This Row],[Ioff (A) C]])/10^-9</f>
        <v>3.1795206261209845</v>
      </c>
      <c r="BN232" s="156">
        <f xml:space="preserve"> 0.5*VACnom*Table7[[#This Row],[Ivalley (A) C]]*Table7[[#This Row],[ton (ns) C]]*10^-9*Fsw*10^3+0.5*VACnom*Table7[[#This Row],[Ipeak (A) C]]*Table7[[#This Row],[toff (ns) C]]*10^-9*Fsw*10^3/10^-3</f>
        <v>81.085486790630441</v>
      </c>
      <c r="BO232" s="156">
        <f t="shared" si="49"/>
        <v>129.6</v>
      </c>
      <c r="BP232" s="156">
        <f t="shared" ca="1" si="50"/>
        <v>291.59999999999997</v>
      </c>
      <c r="BQ232" s="156">
        <f t="shared" si="51"/>
        <v>237.6</v>
      </c>
      <c r="BR232" s="156">
        <f>IF(VACnom&gt;Vbat, C_MOSFET_S_VSD_L_BU*Table7[[#This Row],[Ivalley (A) C]]*Fsw*10^3*40*10^-9+C_MOSFET_S_VSD_L_BU*Table7[[#This Row],[Ipeak (A) C]]*Fsw*10^3*30*10^-9, C_MOSFET_S_VSD_H_BO*Table7[[#This Row],[Ivalley (A) C]]*Fsw*10^3*40*10^-9+C_MOSFET_S_VSD_H_BO*Table7[[#This Row],[Ipeak (A) C]]*Fsw*10^3*30*10^-9)/10^-3</f>
        <v>221.38285714285718</v>
      </c>
      <c r="BS232" s="156">
        <f t="shared" ca="1" si="52"/>
        <v>291.59999999999997</v>
      </c>
      <c r="BT232" s="156">
        <f>IF(VACnom&lt;Vbat, Table7[[#This Row],[Duty Cycle]]*Table7[[#This Row],[I_L RMS]]^2*C_MOSFET_S_RDSON_H_BU*10^-3, (1-Table7[[#This Row],[Duty Cycle]])*Table7[[#This Row],[I_L RMS]]^2*C_MOSFET_S_RDSON_H_BO*10^-3)/10^-3</f>
        <v>108.17881268221575</v>
      </c>
      <c r="BU232" s="156">
        <f ca="1">IF(VACnom&gt;Vbat, Table7[[#This Row],[PIV (mW) C]]+Table7[[#This Row],[PQoss (mW) C]]+Table7[[#This Row],[Pgate_top (mW) C]], Table7[[#This Row],[PRR (mW) C]]+Table7[[#This Row],[Pdead (mW) C]]+Table7[[#This Row],[Pgate_top (mW) C]])</f>
        <v>750.58285714285716</v>
      </c>
      <c r="BV232" s="156">
        <f ca="1">Table7[[#This Row],[Pcon_top (mW) C]]+Table7[[#This Row],[Psw_top (mW) C]]</f>
        <v>858.76166982507289</v>
      </c>
      <c r="BW232" s="156">
        <f ca="1">IF(VACnom&gt;Vbat, (1-Table7[[#This Row],[Duty Cycle]])*Table7[[#This Row],[I_L RMS]]^2*C_MOSFET_S_RDSON_L_BU*10^-3, Table7[[#This Row],[Duty Cycle]]*Table7[[#This Row],[I_L RMS]]^2*C_MOSFET_S_RDSON_L_BO*10^-3)/10^-3</f>
        <v>67.374523688046636</v>
      </c>
      <c r="BX232" s="156">
        <f ca="1">IF(VACnom&gt;Vbat, Table7[[#This Row],[PRR (mW) C]]+Table7[[#This Row],[Pdead (mW) C]]+Table7[[#This Row],[Pgate_bottom (mW) C]], Table7[[#This Row],[PIV (mW) C]]+Table7[[#This Row],[PQoss (mW) C]]+Table7[[#This Row],[Pgate_bottom (mW) C]])</f>
        <v>502.28548679063039</v>
      </c>
      <c r="BY232" s="156">
        <f ca="1">Table7[[#This Row],[Pcon_bottom (mW) C]]+Table7[[#This Row],[Psw_bottom (mV) C]]</f>
        <v>569.66001047867701</v>
      </c>
      <c r="BZ232" s="156">
        <f ca="1">Table7[[#This Row],[Pbottom (mW) C]]+Table7[[#This Row],[Ptop (mW) C]]</f>
        <v>1428.4216803037498</v>
      </c>
      <c r="CA232" s="159"/>
      <c r="CB232" s="160">
        <f>(RAC_SNS*10^-3*(Table7[[#This Row],[IOUT (A)]]*Vbat/VACnom)^2/10^-3)</f>
        <v>221.11249999999995</v>
      </c>
      <c r="CC232" s="160">
        <f>(RBAT_SNS*10^-3*Table7[[#This Row],[IOUT (A)]]^2)/10^-3</f>
        <v>72.2</v>
      </c>
      <c r="CD232" s="160">
        <f>IF(VACnom&gt;Vbat,(L_DRC*10^-3*(Table7[[#This Row],[IOUT (A)]])^2/10^-3),(L_DRC*10^-3*(Table7[[#This Row],[IOUT (A)]]*Vbat/VACnom)^2/10^-3))</f>
        <v>530.66999999999985</v>
      </c>
      <c r="CE232" s="166"/>
      <c r="CF232" s="156">
        <f>(Table7[[#This Row],[R_AC (mW)]]+Table7[[#This Row],[R_SR (mW)]]+Table7[[#This Row],[Inductor Loss (mW)]])/10^3</f>
        <v>0.82398249999999984</v>
      </c>
      <c r="CG232" s="156">
        <f ca="1">Table7[[#This Row],[Total TI (mW)]]/10^3</f>
        <v>2.826457521586907</v>
      </c>
      <c r="CH232" s="156">
        <f ca="1">Table7[[#This Row],[Total Sense Loss]]+Table7[[#This Row],[Total MOSFET Loss]]</f>
        <v>3.6504400215869071</v>
      </c>
      <c r="CI232" s="161">
        <f ca="1">IF(Table7[[#This Row],[POUT (W)]]=0,0,(Table7[[#This Row],[POUT (W)]])/(Table7[[#This Row],[POUT (W)]]+Table7[[#This Row],[Total Power Loss (W)]]))*100</f>
        <v>92.588005264548116</v>
      </c>
      <c r="CJ232" s="167"/>
      <c r="CK232" s="156">
        <f>(Table7[[#This Row],[R_AC (mW)]]+Table7[[#This Row],[R_SR (mW)]]+Table7[[#This Row],[Inductor Loss (mW)]])/10^3</f>
        <v>0.82398249999999984</v>
      </c>
      <c r="CL232" s="156">
        <f ca="1">Table7[[#This Row],[Total (mW) C]]/10^3</f>
        <v>1.4284216803037497</v>
      </c>
      <c r="CM232" s="156">
        <f ca="1">Table7[[#This Row],[Total Sense Loss C]]+Table7[[#This Row],[Total MOSFET Loss C]]</f>
        <v>2.2524041803037496</v>
      </c>
      <c r="CN232" s="161">
        <f ca="1">IF(Table7[[#This Row],[POUT (W)]]=0,0,(Table7[[#This Row],[POUT (W)]])/(Table7[[#This Row],[POUT (W)]]+Table7[[#This Row],[Total Power Loss (W) C]]))*100</f>
        <v>95.293017730484593</v>
      </c>
      <c r="CO232" s="167"/>
      <c r="CP232" s="161">
        <f>IF(MOSFET_S=Custom_MOSFET,Table7[[#This Row],[Total Sense Loss C]],Table7[[#This Row],[Total Sense Loss]])</f>
        <v>0.82398249999999984</v>
      </c>
      <c r="CQ232" s="161">
        <f ca="1">IF(MOSFET_S=Custom_MOSFET,Table7[[#This Row],[Total MOSFET Loss C]],Table7[[#This Row],[Total MOSFET Loss]])</f>
        <v>2.826457521586907</v>
      </c>
      <c r="CR232" s="161">
        <f ca="1">IF(MOSFET_S=Custom_MOSFET,Table7[[#This Row],[Efficiency C]],Table7[[#This Row],[Efficiency]])</f>
        <v>92.588005264548116</v>
      </c>
      <c r="CS232" s="167"/>
      <c r="CT232" s="161">
        <f>IF(MOSFET_S=Compare_MOSFET, Table7[[#This Row],[Total Sense Loss C]], -100)</f>
        <v>-100</v>
      </c>
      <c r="CU232" s="161">
        <f>IF(MOSFET_S=Compare_MOSFET, Table7[[#This Row],[Total MOSFET Loss C]], -100)</f>
        <v>-100</v>
      </c>
      <c r="CV232" s="161">
        <f>IF(MOSFET_S=Compare_MOSFET, Table7[[#This Row],[Efficiency C]], -100)</f>
        <v>-100</v>
      </c>
      <c r="CW232" s="167"/>
      <c r="CX232" s="161">
        <f ca="1">IF(Save_Sel=CLR_Save,  Table7[[#This Row],[Total Sense Loss P1]], Table7[[#This Row],[Total Sense Loss P1 Saved]])</f>
        <v>0.82398249999999984</v>
      </c>
      <c r="CY232" s="161">
        <f ca="1">IF(Save_Sel=CLR_Save,  Table7[[#This Row],[Total MOSFET Loss P1]], Table7[[#This Row],[Total MOSFET Loss P1 Saved]] )</f>
        <v>2.1426707548723418</v>
      </c>
      <c r="CZ232" s="161">
        <f ca="1">IF(Save_Sel=CLR_Save, Table7[[#This Row],[Efficiency P1]], Table7[[#This Row],[Efficiency P1 Saved]])</f>
        <v>93.891583924254206</v>
      </c>
      <c r="DA232" s="167"/>
      <c r="DB232" s="161">
        <f ca="1">IF(Save_Sel=CLR_Save,  Table7[[#This Row],[Total Sense Loss P2]], Table7[[#This Row],[Total Sense Loss P2 Saved]])</f>
        <v>0.82398249999999984</v>
      </c>
      <c r="DC232" s="161">
        <f ca="1">IF(Save_Sel=CLR_Save,  Table7[[#This Row],[Total MOSFET Loss P2]], Table7[[#This Row],[Total MOSFET Loss P2 Saved]] )</f>
        <v>1.4835993718709073</v>
      </c>
      <c r="DD232" s="161">
        <f ca="1">IF(Save_Sel=CLR_Save, Table7[[#This Row],[Efficiency P2]], Table7[[#This Row],[Efficiency P2 Saved]])</f>
        <v>95.183263730483105</v>
      </c>
      <c r="DE232" s="167"/>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c r="EH232" s="21"/>
      <c r="EI232" s="21"/>
      <c r="EJ232" s="21"/>
      <c r="EK232" s="21"/>
      <c r="EL232" s="21"/>
      <c r="EM232" s="21"/>
      <c r="EN232" s="21"/>
      <c r="EO232" s="21"/>
      <c r="EP232" s="21"/>
      <c r="EQ232" s="21"/>
      <c r="ER232" s="21"/>
      <c r="ES232" s="21"/>
      <c r="ET232" s="21"/>
      <c r="EU232" s="21"/>
      <c r="EV232" s="21"/>
      <c r="EW232" s="21"/>
      <c r="EX232" s="21"/>
      <c r="EY232" s="21"/>
      <c r="EZ232" s="21"/>
      <c r="FA232" s="21"/>
      <c r="FB232" s="21"/>
      <c r="FC232" s="21"/>
      <c r="FD232" s="21"/>
      <c r="FE232" s="21"/>
      <c r="FF232" s="21"/>
      <c r="FG232" s="21"/>
      <c r="FH232" s="21"/>
      <c r="FI232" s="21"/>
    </row>
    <row r="233" spans="1:165" x14ac:dyDescent="0.25">
      <c r="A233" s="70"/>
      <c r="B233" s="70"/>
      <c r="C233" s="70"/>
      <c r="D233" s="70"/>
      <c r="E233" s="70"/>
      <c r="F233" s="70"/>
      <c r="G233" s="70"/>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154">
        <f t="shared" si="54"/>
        <v>77</v>
      </c>
      <c r="AG233" s="154">
        <f t="shared" si="53"/>
        <v>3.85</v>
      </c>
      <c r="AH233" s="155">
        <f t="shared" si="42"/>
        <v>46.2</v>
      </c>
      <c r="AI233" s="156">
        <f t="shared" si="43"/>
        <v>0.42857142857142855</v>
      </c>
      <c r="AJ233" s="156">
        <f t="shared" si="44"/>
        <v>6.7375000000000007</v>
      </c>
      <c r="AK233" s="156">
        <f t="shared" si="40"/>
        <v>0.85714285714285721</v>
      </c>
      <c r="AL233" s="156">
        <f t="shared" si="41"/>
        <v>6.7420420304085855</v>
      </c>
      <c r="AM233" s="157"/>
      <c r="AN233" s="156">
        <f>MAX(0,Table7[[#This Row],[I_L]]-0.5*Table7[[#This Row],[I_L pkpk]])</f>
        <v>6.3089285714285719</v>
      </c>
      <c r="AO233" s="156">
        <f>Table7[[#This Row],[I_L]]+0.5*Table7[[#This Row],[I_L pkpk]]</f>
        <v>7.1660714285714295</v>
      </c>
      <c r="AP233" s="156">
        <f ca="1">IF(VACnom&gt;Vbat, (VGS_S-(TI_MOSFET_S_VTH_H_BU+Table7[[#This Row],[I_L]]/TI_MOSFET_S_gFS_H_BU))/3.4, (VGS_S-(TI_MOSFET_S_VTH_L_BO+Table7[[#This Row],[I_L]]/TI_MOSFET_S_gFS_L_BO))/3.4 )</f>
        <v>2.4112273755656108</v>
      </c>
      <c r="AQ233" s="156">
        <f ca="1">IF(VACnom&gt;Vbat, ((TI_MOSFET_S_VTH_H_BU+Table7[[#This Row],[I_L]]/TI_MOSFET_S_gFS_H_BU))/1, ((TI_MOSFET_S_VTH_L_BO+Table7[[#This Row],[I_L]]/TI_MOSFET_S_gFS_L_BO))/1 )</f>
        <v>1.801826923076923</v>
      </c>
      <c r="AR233" s="156">
        <f ca="1">IF(VACnom&gt;Vbat, (TI_MOSFET_S_QGD_H_BU+TI_MOSFET_S_QGS_H_BU)*10^-9/Table7[[#This Row],[Ion (A)]], (TI_MOSFET_S_QGD_L_BO+TI_MOSFET_S_QGS_L_BO)*10^-9/Table7[[#This Row],[Ion (A)]])/10^-9</f>
        <v>11.9441245117932</v>
      </c>
      <c r="AS233" s="156">
        <f ca="1">IF(VACnom&gt;Vbat, (TI_MOSFET_S_QGD_H_BU+TI_MOSFET_S_QGS_H_BU)*10^-9/Table7[[#This Row],[Ioff (A)]], (TI_MOSFET_S_QGD_L_BO+TI_MOSFET_S_QGS_L_BO)*10^-9/Table7[[#This Row],[Ioff (A)]])/10^-9</f>
        <v>15.9837771492609</v>
      </c>
      <c r="AT233" s="156">
        <f ca="1" xml:space="preserve"> 0.5*VACnom*Table7[[#This Row],[Ivalley (A)]]*Table7[[#This Row],[ton (ns)]]*10^-9*Fsw*10^3+0.5*VACnom*Table7[[#This Row],[Ipeak (A)]]*Table7[[#This Row],[toff (ns)]]*10^-9*Fsw*10^3/10^-3</f>
        <v>412.61847616211259</v>
      </c>
      <c r="AU233" s="156">
        <f t="shared" ca="1" si="45"/>
        <v>262.8</v>
      </c>
      <c r="AV233" s="156">
        <f t="shared" ca="1" si="46"/>
        <v>648</v>
      </c>
      <c r="AW233" s="156">
        <f t="shared" ca="1" si="47"/>
        <v>554.4</v>
      </c>
      <c r="AX233" s="156">
        <f ca="1">IF(VACnom&gt;Vbat, TI_MOSFET_S_VSD_L_BU*Table7[[#This Row],[Ivalley (A)]]*Fsw*10^3*40*10^-9+TI_MOSFET_S_VSD_L_BU*Table7[[#This Row],[Ipeak (A)]]*Fsw*10^3*30*10^-9, TI_MOSFET_S_VSD_H_BO*Table7[[#This Row],[Ivalley (A)]]*Fsw*10^3*40*10^-9+TI_MOSFET_S_VSD_H_BO*Table7[[#This Row],[Ipeak (A)]]*Fsw*10^3*30*10^-9)/10^-3</f>
        <v>201.89057142857141</v>
      </c>
      <c r="AY233" s="156">
        <f t="shared" ca="1" si="48"/>
        <v>648</v>
      </c>
      <c r="AZ233" s="156">
        <f ca="1">IF(VACnom&lt;Vbat, Table7[[#This Row],[Duty Cycle]]*Table7[[#This Row],[I_L RMS]]^2*TI_MOSFET_S_RDSON_H_BU*10^-3, (1-Table7[[#This Row],[Duty Cycle]])*Table7[[#This Row],[I_L RMS]]^2*TI_MOSFET_S_RDSON_H_BO*10^-3)/10^-3</f>
        <v>54.546156887755096</v>
      </c>
      <c r="BA233" s="156">
        <f ca="1">IF(VACnom&gt;Vbat, Table7[[#This Row],[PIV (mW)]]+Table7[[#This Row],[Pqoss (mW)]]+Table7[[#This Row],[Pgate_top (mW)]], Table7[[#This Row],[PRR (mW)]]+Table7[[#This Row],[Pdead (mW)]]+Table7[[#This Row],[Pgate_top (mW)]])</f>
        <v>1404.2905714285714</v>
      </c>
      <c r="BB233" s="156">
        <f ca="1">Table7[[#This Row],[Pcon_top (mW)]]+Table7[[#This Row],[Psw_top (mW)]]</f>
        <v>1458.8367283163266</v>
      </c>
      <c r="BC233" s="156">
        <f ca="1">IF(VACnom&gt;Vbat, (1-Table7[[#This Row],[Duty Cycle]])*Table7[[#This Row],[I_L RMS]]^2*TI_MOSFET_S_RDSON_L_BU*10^-3, Table7[[#This Row],[Duty Cycle]]*Table7[[#This Row],[I_L RMS]]^2*TI_MOSFET_S_RDSON_L_BO*10^-3)/10^-3</f>
        <v>54.546156887755096</v>
      </c>
      <c r="BD233" s="156">
        <f ca="1">IF(VACnom&gt;Vbat, Table7[[#This Row],[PRR (mW)]]+Table7[[#This Row],[Pdead (mW)]]+Table7[[#This Row],[Pgate_bottom (mW)]], Table7[[#This Row],[PIV (mW)]]+Table7[[#This Row],[Pqoss (mW)]]+Table7[[#This Row],[Pgate_bottom (mW)]])</f>
        <v>1323.4184761621127</v>
      </c>
      <c r="BE233" s="158">
        <f ca="1">Table7[[#This Row],[Pcon_bottom (mW)]]+Table7[[#This Row],[Psw_bottom (mW)]]</f>
        <v>1377.9646330498679</v>
      </c>
      <c r="BF233" s="164">
        <f ca="1">Table7[[#This Row],[Pbottom (mW)]]+Table7[[#This Row],[Ptop (mW)]]</f>
        <v>2836.8013613661942</v>
      </c>
      <c r="BG233" s="153"/>
      <c r="BH233" s="156">
        <f>MAX(0,Table7[[#This Row],[I_L]]-0.5*Table7[[#This Row],[I_L pkpk]])</f>
        <v>6.3089285714285719</v>
      </c>
      <c r="BI233" s="156">
        <f>Table7[[#This Row],[I_L]]+0.5*Table7[[#This Row],[I_L pkpk]]</f>
        <v>7.1660714285714295</v>
      </c>
      <c r="BJ233" s="156">
        <f>IF(VACnom&gt;Vbat, (VGS_S-(C_MOSFET_S_VTH_H_BU+Table7[[#This Row],[I_L]]/C_MOSFET_S_gFS_H_BU))/3.4, (VGS_S-(C_MOSFET_S_VTH_L_BO+Table7[[#This Row],[I_L]]/C_MOSFET_S_gFS_L_BO))/3.4 )</f>
        <v>2.3397303921568628</v>
      </c>
      <c r="BK233" s="156">
        <f>IF(VACnom&gt;Vbat, ((C_MOSFET_S_VTH_H_BU+Table7[[#This Row],[I_L]]/C_MOSFET_S_gFS_H_BU))/1, ((C_MOSFET_S_VTH_L_BO+Table7[[#This Row],[I_L]]/C_MOSFET_S_gFS_L_BO))/1 )</f>
        <v>2.0449166666666665</v>
      </c>
      <c r="BL233" s="156">
        <f>IF(VACnom&gt;Vbat, (C_MOSFET_S_QGD_H_BU+C_MOSFET_S_QGS_H_BU)*10^-9/Table7[[#This Row],[Ion (A) C]], (C_MOSFET_S_QGD_L_BO+C_MOSFET_S_QGS_L_BO)*10^-9/Table7[[#This Row],[Ion (A) C]])/10^-9</f>
        <v>2.7780978619540964</v>
      </c>
      <c r="BM233" s="156">
        <f>IF(VACnom&gt;Vbat, (C_MOSFET_S_QGD_H_BU+C_MOSFET_S_QGS_H_BU)*10^-9/Table7[[#This Row],[Ioff (A) C]], (C_MOSFET_S_QGD_L_BO+C_MOSFET_S_QGS_L_BO)*10^-9/Table7[[#This Row],[Ioff (A) C]])/10^-9</f>
        <v>3.1786136354374674</v>
      </c>
      <c r="BN233" s="156">
        <f xml:space="preserve"> 0.5*VACnom*Table7[[#This Row],[Ivalley (A) C]]*Table7[[#This Row],[ton (ns) C]]*10^-9*Fsw*10^3+0.5*VACnom*Table7[[#This Row],[Ipeak (A) C]]*Table7[[#This Row],[toff (ns) C]]*10^-9*Fsw*10^3/10^-3</f>
        <v>82.064517034865403</v>
      </c>
      <c r="BO233" s="156">
        <f t="shared" si="49"/>
        <v>129.6</v>
      </c>
      <c r="BP233" s="156">
        <f t="shared" ca="1" si="50"/>
        <v>291.59999999999997</v>
      </c>
      <c r="BQ233" s="156">
        <f t="shared" si="51"/>
        <v>237.6</v>
      </c>
      <c r="BR233" s="156">
        <f>IF(VACnom&gt;Vbat, C_MOSFET_S_VSD_L_BU*Table7[[#This Row],[Ivalley (A) C]]*Fsw*10^3*40*10^-9+C_MOSFET_S_VSD_L_BU*Table7[[#This Row],[Ipeak (A) C]]*Fsw*10^3*30*10^-9, C_MOSFET_S_VSD_H_BO*Table7[[#This Row],[Ivalley (A) C]]*Fsw*10^3*40*10^-9+C_MOSFET_S_VSD_H_BO*Table7[[#This Row],[Ipeak (A) C]]*Fsw*10^3*30*10^-9)/10^-3</f>
        <v>224.32285714285717</v>
      </c>
      <c r="BS233" s="156">
        <f t="shared" ca="1" si="52"/>
        <v>291.59999999999997</v>
      </c>
      <c r="BT233" s="156">
        <f>IF(VACnom&lt;Vbat, Table7[[#This Row],[Duty Cycle]]*Table7[[#This Row],[I_L RMS]]^2*C_MOSFET_S_RDSON_H_BU*10^-3, (1-Table7[[#This Row],[Duty Cycle]])*Table7[[#This Row],[I_L RMS]]^2*C_MOSFET_S_RDSON_H_BO*10^-3)/10^-3</f>
        <v>111.04039080721573</v>
      </c>
      <c r="BU233" s="156">
        <f ca="1">IF(VACnom&gt;Vbat, Table7[[#This Row],[PIV (mW) C]]+Table7[[#This Row],[PQoss (mW) C]]+Table7[[#This Row],[Pgate_top (mW) C]], Table7[[#This Row],[PRR (mW) C]]+Table7[[#This Row],[Pdead (mW) C]]+Table7[[#This Row],[Pgate_top (mW) C]])</f>
        <v>753.52285714285722</v>
      </c>
      <c r="BV233" s="156">
        <f ca="1">Table7[[#This Row],[Pcon_top (mW) C]]+Table7[[#This Row],[Psw_top (mW) C]]</f>
        <v>864.56324795007299</v>
      </c>
      <c r="BW233" s="156">
        <f ca="1">IF(VACnom&gt;Vbat, (1-Table7[[#This Row],[Duty Cycle]])*Table7[[#This Row],[I_L RMS]]^2*C_MOSFET_S_RDSON_L_BU*10^-3, Table7[[#This Row],[Duty Cycle]]*Table7[[#This Row],[I_L RMS]]^2*C_MOSFET_S_RDSON_L_BO*10^-3)/10^-3</f>
        <v>69.156734625546633</v>
      </c>
      <c r="BX233" s="156">
        <f ca="1">IF(VACnom&gt;Vbat, Table7[[#This Row],[PRR (mW) C]]+Table7[[#This Row],[Pdead (mW) C]]+Table7[[#This Row],[Pgate_bottom (mW) C]], Table7[[#This Row],[PIV (mW) C]]+Table7[[#This Row],[PQoss (mW) C]]+Table7[[#This Row],[Pgate_bottom (mW) C]])</f>
        <v>503.26451703486538</v>
      </c>
      <c r="BY233" s="156">
        <f ca="1">Table7[[#This Row],[Pcon_bottom (mW) C]]+Table7[[#This Row],[Psw_bottom (mV) C]]</f>
        <v>572.42125166041205</v>
      </c>
      <c r="BZ233" s="156">
        <f ca="1">Table7[[#This Row],[Pbottom (mW) C]]+Table7[[#This Row],[Ptop (mW) C]]</f>
        <v>1436.984499610485</v>
      </c>
      <c r="CA233" s="159"/>
      <c r="CB233" s="160">
        <f>(RAC_SNS*10^-3*(Table7[[#This Row],[IOUT (A)]]*Vbat/VACnom)^2/10^-3)</f>
        <v>226.96953125000005</v>
      </c>
      <c r="CC233" s="160">
        <f>(RBAT_SNS*10^-3*Table7[[#This Row],[IOUT (A)]]^2)/10^-3</f>
        <v>74.112500000000011</v>
      </c>
      <c r="CD233" s="160">
        <f>IF(VACnom&gt;Vbat,(L_DRC*10^-3*(Table7[[#This Row],[IOUT (A)]])^2/10^-3),(L_DRC*10^-3*(Table7[[#This Row],[IOUT (A)]]*Vbat/VACnom)^2/10^-3))</f>
        <v>544.72687500000006</v>
      </c>
      <c r="CE233" s="166"/>
      <c r="CF233" s="156">
        <f>(Table7[[#This Row],[R_AC (mW)]]+Table7[[#This Row],[R_SR (mW)]]+Table7[[#This Row],[Inductor Loss (mW)]])/10^3</f>
        <v>0.84580890625000005</v>
      </c>
      <c r="CG233" s="156">
        <f ca="1">Table7[[#This Row],[Total TI (mW)]]/10^3</f>
        <v>2.8368013613661942</v>
      </c>
      <c r="CH233" s="156">
        <f ca="1">Table7[[#This Row],[Total Sense Loss]]+Table7[[#This Row],[Total MOSFET Loss]]</f>
        <v>3.6826102676161945</v>
      </c>
      <c r="CI233" s="161">
        <f ca="1">IF(Table7[[#This Row],[POUT (W)]]=0,0,(Table7[[#This Row],[POUT (W)]])/(Table7[[#This Row],[POUT (W)]]+Table7[[#This Row],[Total Power Loss (W)]]))*100</f>
        <v>92.617446745751096</v>
      </c>
      <c r="CJ233" s="167"/>
      <c r="CK233" s="156">
        <f>(Table7[[#This Row],[R_AC (mW)]]+Table7[[#This Row],[R_SR (mW)]]+Table7[[#This Row],[Inductor Loss (mW)]])/10^3</f>
        <v>0.84580890625000005</v>
      </c>
      <c r="CL233" s="156">
        <f ca="1">Table7[[#This Row],[Total (mW) C]]/10^3</f>
        <v>1.436984499610485</v>
      </c>
      <c r="CM233" s="156">
        <f ca="1">Table7[[#This Row],[Total Sense Loss C]]+Table7[[#This Row],[Total MOSFET Loss C]]</f>
        <v>2.2827934058604851</v>
      </c>
      <c r="CN233" s="161">
        <f ca="1">IF(Table7[[#This Row],[POUT (W)]]=0,0,(Table7[[#This Row],[POUT (W)]])/(Table7[[#This Row],[POUT (W)]]+Table7[[#This Row],[Total Power Loss (W) C]]))*100</f>
        <v>95.291539027566529</v>
      </c>
      <c r="CO233" s="167"/>
      <c r="CP233" s="161">
        <f>IF(MOSFET_S=Custom_MOSFET,Table7[[#This Row],[Total Sense Loss C]],Table7[[#This Row],[Total Sense Loss]])</f>
        <v>0.84580890625000005</v>
      </c>
      <c r="CQ233" s="161">
        <f ca="1">IF(MOSFET_S=Custom_MOSFET,Table7[[#This Row],[Total MOSFET Loss C]],Table7[[#This Row],[Total MOSFET Loss]])</f>
        <v>2.8368013613661942</v>
      </c>
      <c r="CR233" s="161">
        <f ca="1">IF(MOSFET_S=Custom_MOSFET,Table7[[#This Row],[Efficiency C]],Table7[[#This Row],[Efficiency]])</f>
        <v>92.617446745751096</v>
      </c>
      <c r="CS233" s="167"/>
      <c r="CT233" s="161">
        <f>IF(MOSFET_S=Compare_MOSFET, Table7[[#This Row],[Total Sense Loss C]], -100)</f>
        <v>-100</v>
      </c>
      <c r="CU233" s="161">
        <f>IF(MOSFET_S=Compare_MOSFET, Table7[[#This Row],[Total MOSFET Loss C]], -100)</f>
        <v>-100</v>
      </c>
      <c r="CV233" s="161">
        <f>IF(MOSFET_S=Compare_MOSFET, Table7[[#This Row],[Efficiency C]], -100)</f>
        <v>-100</v>
      </c>
      <c r="CW233" s="167"/>
      <c r="CX233" s="161">
        <f ca="1">IF(Save_Sel=CLR_Save,  Table7[[#This Row],[Total Sense Loss P1]], Table7[[#This Row],[Total Sense Loss P1 Saved]])</f>
        <v>0.84580890625000005</v>
      </c>
      <c r="CY233" s="161">
        <f ca="1">IF(Save_Sel=CLR_Save,  Table7[[#This Row],[Total MOSFET Loss P1]], Table7[[#This Row],[Total MOSFET Loss P1 Saved]] )</f>
        <v>2.153775491613835</v>
      </c>
      <c r="CZ233" s="161">
        <f ca="1">IF(Save_Sel=CLR_Save, Table7[[#This Row],[Efficiency P1]], Table7[[#This Row],[Efficiency P1 Saved]])</f>
        <v>93.903232243575474</v>
      </c>
      <c r="DA233" s="167"/>
      <c r="DB233" s="161">
        <f ca="1">IF(Save_Sel=CLR_Save,  Table7[[#This Row],[Total Sense Loss P2]], Table7[[#This Row],[Total Sense Loss P2 Saved]])</f>
        <v>0.84580890625000005</v>
      </c>
      <c r="DC233" s="161">
        <f ca="1">IF(Save_Sel=CLR_Save,  Table7[[#This Row],[Total MOSFET Loss P2]], Table7[[#This Row],[Total MOSFET Loss P2 Saved]] )</f>
        <v>1.4936200855771873</v>
      </c>
      <c r="DD233" s="161">
        <f ca="1">IF(Save_Sel=CLR_Save, Table7[[#This Row],[Efficiency P2]], Table7[[#This Row],[Efficiency P2 Saved]])</f>
        <v>95.180353291298317</v>
      </c>
      <c r="DE233" s="167"/>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c r="FH233" s="21"/>
      <c r="FI233" s="21"/>
    </row>
    <row r="234" spans="1:165" x14ac:dyDescent="0.25">
      <c r="A234" s="70"/>
      <c r="B234" s="70"/>
      <c r="C234" s="70"/>
      <c r="D234" s="70"/>
      <c r="E234" s="70"/>
      <c r="F234" s="70"/>
      <c r="G234" s="70"/>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154">
        <f t="shared" si="54"/>
        <v>78</v>
      </c>
      <c r="AG234" s="154">
        <f t="shared" si="53"/>
        <v>3.9</v>
      </c>
      <c r="AH234" s="155">
        <f t="shared" si="42"/>
        <v>46.8</v>
      </c>
      <c r="AI234" s="156">
        <f t="shared" si="43"/>
        <v>0.42857142857142855</v>
      </c>
      <c r="AJ234" s="156">
        <f t="shared" si="44"/>
        <v>6.8250000000000002</v>
      </c>
      <c r="AK234" s="156">
        <f t="shared" si="40"/>
        <v>0.85714285714285721</v>
      </c>
      <c r="AL234" s="156">
        <f t="shared" si="41"/>
        <v>6.8294838377285823</v>
      </c>
      <c r="AM234" s="157"/>
      <c r="AN234" s="156">
        <f>MAX(0,Table7[[#This Row],[I_L]]-0.5*Table7[[#This Row],[I_L pkpk]])</f>
        <v>6.3964285714285714</v>
      </c>
      <c r="AO234" s="156">
        <f>Table7[[#This Row],[I_L]]+0.5*Table7[[#This Row],[I_L pkpk]]</f>
        <v>7.253571428571429</v>
      </c>
      <c r="AP234" s="156">
        <f ca="1">IF(VACnom&gt;Vbat, (VGS_S-(TI_MOSFET_S_VTH_H_BU+Table7[[#This Row],[I_L]]/TI_MOSFET_S_gFS_H_BU))/3.4, (VGS_S-(TI_MOSFET_S_VTH_L_BO+Table7[[#This Row],[I_L]]/TI_MOSFET_S_gFS_L_BO))/3.4 )</f>
        <v>2.411029411764706</v>
      </c>
      <c r="AQ234" s="156">
        <f ca="1">IF(VACnom&gt;Vbat, ((TI_MOSFET_S_VTH_H_BU+Table7[[#This Row],[I_L]]/TI_MOSFET_S_gFS_H_BU))/1, ((TI_MOSFET_S_VTH_L_BO+Table7[[#This Row],[I_L]]/TI_MOSFET_S_gFS_L_BO))/1 )</f>
        <v>1.8025</v>
      </c>
      <c r="AR234" s="156">
        <f ca="1">IF(VACnom&gt;Vbat, (TI_MOSFET_S_QGD_H_BU+TI_MOSFET_S_QGS_H_BU)*10^-9/Table7[[#This Row],[Ion (A)]], (TI_MOSFET_S_QGD_L_BO+TI_MOSFET_S_QGS_L_BO)*10^-9/Table7[[#This Row],[Ion (A)]])/10^-9</f>
        <v>11.945105215004576</v>
      </c>
      <c r="AS234" s="156">
        <f ca="1">IF(VACnom&gt;Vbat, (TI_MOSFET_S_QGD_H_BU+TI_MOSFET_S_QGS_H_BU)*10^-9/Table7[[#This Row],[Ioff (A)]], (TI_MOSFET_S_QGD_L_BO+TI_MOSFET_S_QGS_L_BO)*10^-9/Table7[[#This Row],[Ioff (A)]])/10^-9</f>
        <v>15.977808599167822</v>
      </c>
      <c r="AT234" s="156">
        <f ca="1" xml:space="preserve"> 0.5*VACnom*Table7[[#This Row],[Ivalley (A)]]*Table7[[#This Row],[ton (ns)]]*10^-9*Fsw*10^3+0.5*VACnom*Table7[[#This Row],[Ipeak (A)]]*Table7[[#This Row],[toff (ns)]]*10^-9*Fsw*10^3/10^-3</f>
        <v>417.50129505021334</v>
      </c>
      <c r="AU234" s="156">
        <f t="shared" ca="1" si="45"/>
        <v>262.8</v>
      </c>
      <c r="AV234" s="156">
        <f t="shared" ca="1" si="46"/>
        <v>648</v>
      </c>
      <c r="AW234" s="156">
        <f t="shared" ca="1" si="47"/>
        <v>554.4</v>
      </c>
      <c r="AX234" s="156">
        <f ca="1">IF(VACnom&gt;Vbat, TI_MOSFET_S_VSD_L_BU*Table7[[#This Row],[Ivalley (A)]]*Fsw*10^3*40*10^-9+TI_MOSFET_S_VSD_L_BU*Table7[[#This Row],[Ipeak (A)]]*Fsw*10^3*30*10^-9, TI_MOSFET_S_VSD_H_BO*Table7[[#This Row],[Ivalley (A)]]*Fsw*10^3*40*10^-9+TI_MOSFET_S_VSD_H_BO*Table7[[#This Row],[Ipeak (A)]]*Fsw*10^3*30*10^-9)/10^-3</f>
        <v>204.53657142857139</v>
      </c>
      <c r="AY234" s="156">
        <f t="shared" ca="1" si="48"/>
        <v>648</v>
      </c>
      <c r="AZ234" s="156">
        <f ca="1">IF(VACnom&lt;Vbat, Table7[[#This Row],[Duty Cycle]]*Table7[[#This Row],[I_L RMS]]^2*TI_MOSFET_S_RDSON_H_BU*10^-3, (1-Table7[[#This Row],[Duty Cycle]])*Table7[[#This Row],[I_L RMS]]^2*TI_MOSFET_S_RDSON_H_BO*10^-3)/10^-3</f>
        <v>55.970219387755101</v>
      </c>
      <c r="BA234" s="156">
        <f ca="1">IF(VACnom&gt;Vbat, Table7[[#This Row],[PIV (mW)]]+Table7[[#This Row],[Pqoss (mW)]]+Table7[[#This Row],[Pgate_top (mW)]], Table7[[#This Row],[PRR (mW)]]+Table7[[#This Row],[Pdead (mW)]]+Table7[[#This Row],[Pgate_top (mW)]])</f>
        <v>1406.9365714285714</v>
      </c>
      <c r="BB234" s="156">
        <f ca="1">Table7[[#This Row],[Pcon_top (mW)]]+Table7[[#This Row],[Psw_top (mW)]]</f>
        <v>1462.9067908163265</v>
      </c>
      <c r="BC234" s="156">
        <f ca="1">IF(VACnom&gt;Vbat, (1-Table7[[#This Row],[Duty Cycle]])*Table7[[#This Row],[I_L RMS]]^2*TI_MOSFET_S_RDSON_L_BU*10^-3, Table7[[#This Row],[Duty Cycle]]*Table7[[#This Row],[I_L RMS]]^2*TI_MOSFET_S_RDSON_L_BO*10^-3)/10^-3</f>
        <v>55.970219387755101</v>
      </c>
      <c r="BD234" s="156">
        <f ca="1">IF(VACnom&gt;Vbat, Table7[[#This Row],[PRR (mW)]]+Table7[[#This Row],[Pdead (mW)]]+Table7[[#This Row],[Pgate_bottom (mW)]], Table7[[#This Row],[PIV (mW)]]+Table7[[#This Row],[Pqoss (mW)]]+Table7[[#This Row],[Pgate_bottom (mW)]])</f>
        <v>1328.3012950502134</v>
      </c>
      <c r="BE234" s="158">
        <f ca="1">Table7[[#This Row],[Pcon_bottom (mW)]]+Table7[[#This Row],[Psw_bottom (mW)]]</f>
        <v>1384.2715144379686</v>
      </c>
      <c r="BF234" s="164">
        <f ca="1">Table7[[#This Row],[Pbottom (mW)]]+Table7[[#This Row],[Ptop (mW)]]</f>
        <v>2847.1783052542951</v>
      </c>
      <c r="BG234" s="153"/>
      <c r="BH234" s="156">
        <f>MAX(0,Table7[[#This Row],[I_L]]-0.5*Table7[[#This Row],[I_L pkpk]])</f>
        <v>6.3964285714285714</v>
      </c>
      <c r="BI234" s="156">
        <f>Table7[[#This Row],[I_L]]+0.5*Table7[[#This Row],[I_L pkpk]]</f>
        <v>7.253571428571429</v>
      </c>
      <c r="BJ234" s="156">
        <f>IF(VACnom&gt;Vbat, (VGS_S-(C_MOSFET_S_VTH_H_BU+Table7[[#This Row],[I_L]]/C_MOSFET_S_gFS_H_BU))/3.4, (VGS_S-(C_MOSFET_S_VTH_L_BO+Table7[[#This Row],[I_L]]/C_MOSFET_S_gFS_L_BO))/3.4 )</f>
        <v>2.3395588235294116</v>
      </c>
      <c r="BK234" s="156">
        <f>IF(VACnom&gt;Vbat, ((C_MOSFET_S_VTH_H_BU+Table7[[#This Row],[I_L]]/C_MOSFET_S_gFS_H_BU))/1, ((C_MOSFET_S_VTH_L_BO+Table7[[#This Row],[I_L]]/C_MOSFET_S_gFS_L_BO))/1 )</f>
        <v>2.0455000000000001</v>
      </c>
      <c r="BL234" s="156">
        <f>IF(VACnom&gt;Vbat, (C_MOSFET_S_QGD_H_BU+C_MOSFET_S_QGS_H_BU)*10^-9/Table7[[#This Row],[Ion (A) C]], (C_MOSFET_S_QGD_L_BO+C_MOSFET_S_QGS_L_BO)*10^-9/Table7[[#This Row],[Ion (A) C]])/10^-9</f>
        <v>2.7783015902948018</v>
      </c>
      <c r="BM234" s="156">
        <f>IF(VACnom&gt;Vbat, (C_MOSFET_S_QGD_H_BU+C_MOSFET_S_QGS_H_BU)*10^-9/Table7[[#This Row],[Ioff (A) C]], (C_MOSFET_S_QGD_L_BO+C_MOSFET_S_QGS_L_BO)*10^-9/Table7[[#This Row],[Ioff (A) C]])/10^-9</f>
        <v>3.177707162063065</v>
      </c>
      <c r="BN234" s="156">
        <f xml:space="preserve"> 0.5*VACnom*Table7[[#This Row],[Ivalley (A) C]]*Table7[[#This Row],[ton (ns) C]]*10^-9*Fsw*10^3+0.5*VACnom*Table7[[#This Row],[Ipeak (A) C]]*Table7[[#This Row],[toff (ns) C]]*10^-9*Fsw*10^3/10^-3</f>
        <v>83.042989512406749</v>
      </c>
      <c r="BO234" s="156">
        <f t="shared" si="49"/>
        <v>129.6</v>
      </c>
      <c r="BP234" s="156">
        <f t="shared" ca="1" si="50"/>
        <v>291.59999999999997</v>
      </c>
      <c r="BQ234" s="156">
        <f t="shared" si="51"/>
        <v>237.6</v>
      </c>
      <c r="BR234" s="156">
        <f>IF(VACnom&gt;Vbat, C_MOSFET_S_VSD_L_BU*Table7[[#This Row],[Ivalley (A) C]]*Fsw*10^3*40*10^-9+C_MOSFET_S_VSD_L_BU*Table7[[#This Row],[Ipeak (A) C]]*Fsw*10^3*30*10^-9, C_MOSFET_S_VSD_H_BO*Table7[[#This Row],[Ivalley (A) C]]*Fsw*10^3*40*10^-9+C_MOSFET_S_VSD_H_BO*Table7[[#This Row],[Ipeak (A) C]]*Fsw*10^3*30*10^-9)/10^-3</f>
        <v>227.26285714285717</v>
      </c>
      <c r="BS234" s="156">
        <f t="shared" ca="1" si="52"/>
        <v>291.59999999999997</v>
      </c>
      <c r="BT234" s="156">
        <f>IF(VACnom&lt;Vbat, Table7[[#This Row],[Duty Cycle]]*Table7[[#This Row],[I_L RMS]]^2*C_MOSFET_S_RDSON_H_BU*10^-3, (1-Table7[[#This Row],[Duty Cycle]])*Table7[[#This Row],[I_L RMS]]^2*C_MOSFET_S_RDSON_H_BO*10^-3)/10^-3</f>
        <v>113.93937518221576</v>
      </c>
      <c r="BU234" s="156">
        <f ca="1">IF(VACnom&gt;Vbat, Table7[[#This Row],[PIV (mW) C]]+Table7[[#This Row],[PQoss (mW) C]]+Table7[[#This Row],[Pgate_top (mW) C]], Table7[[#This Row],[PRR (mW) C]]+Table7[[#This Row],[Pdead (mW) C]]+Table7[[#This Row],[Pgate_top (mW) C]])</f>
        <v>756.46285714285705</v>
      </c>
      <c r="BV234" s="156">
        <f ca="1">Table7[[#This Row],[Pcon_top (mW) C]]+Table7[[#This Row],[Psw_top (mW) C]]</f>
        <v>870.40223232507276</v>
      </c>
      <c r="BW234" s="156">
        <f ca="1">IF(VACnom&gt;Vbat, (1-Table7[[#This Row],[Duty Cycle]])*Table7[[#This Row],[I_L RMS]]^2*C_MOSFET_S_RDSON_L_BU*10^-3, Table7[[#This Row],[Duty Cycle]]*Table7[[#This Row],[I_L RMS]]^2*C_MOSFET_S_RDSON_L_BO*10^-3)/10^-3</f>
        <v>70.962242438046644</v>
      </c>
      <c r="BX234" s="156">
        <f ca="1">IF(VACnom&gt;Vbat, Table7[[#This Row],[PRR (mW) C]]+Table7[[#This Row],[Pdead (mW) C]]+Table7[[#This Row],[Pgate_bottom (mW) C]], Table7[[#This Row],[PIV (mW) C]]+Table7[[#This Row],[PQoss (mW) C]]+Table7[[#This Row],[Pgate_bottom (mW) C]])</f>
        <v>504.24298951240672</v>
      </c>
      <c r="BY234" s="156">
        <f ca="1">Table7[[#This Row],[Pcon_bottom (mW) C]]+Table7[[#This Row],[Psw_bottom (mV) C]]</f>
        <v>575.20523195045337</v>
      </c>
      <c r="BZ234" s="156">
        <f ca="1">Table7[[#This Row],[Pbottom (mW) C]]+Table7[[#This Row],[Ptop (mW) C]]</f>
        <v>1445.6074642755261</v>
      </c>
      <c r="CA234" s="159"/>
      <c r="CB234" s="160">
        <f>(RAC_SNS*10^-3*(Table7[[#This Row],[IOUT (A)]]*Vbat/VACnom)^2/10^-3)</f>
        <v>232.90312499999996</v>
      </c>
      <c r="CC234" s="160">
        <f>(RBAT_SNS*10^-3*Table7[[#This Row],[IOUT (A)]]^2)/10^-3</f>
        <v>76.05</v>
      </c>
      <c r="CD234" s="160">
        <f>IF(VACnom&gt;Vbat,(L_DRC*10^-3*(Table7[[#This Row],[IOUT (A)]])^2/10^-3),(L_DRC*10^-3*(Table7[[#This Row],[IOUT (A)]]*Vbat/VACnom)^2/10^-3))</f>
        <v>558.96749999999997</v>
      </c>
      <c r="CE234" s="166"/>
      <c r="CF234" s="156">
        <f>(Table7[[#This Row],[R_AC (mW)]]+Table7[[#This Row],[R_SR (mW)]]+Table7[[#This Row],[Inductor Loss (mW)]])/10^3</f>
        <v>0.867920625</v>
      </c>
      <c r="CG234" s="156">
        <f ca="1">Table7[[#This Row],[Total TI (mW)]]/10^3</f>
        <v>2.8471783052542952</v>
      </c>
      <c r="CH234" s="156">
        <f ca="1">Table7[[#This Row],[Total Sense Loss]]+Table7[[#This Row],[Total MOSFET Loss]]</f>
        <v>3.7150989302542952</v>
      </c>
      <c r="CI234" s="161">
        <f ca="1">IF(Table7[[#This Row],[POUT (W)]]=0,0,(Table7[[#This Row],[POUT (W)]])/(Table7[[#This Row],[POUT (W)]]+Table7[[#This Row],[Total Power Loss (W)]]))*100</f>
        <v>92.645567347331749</v>
      </c>
      <c r="CJ234" s="167"/>
      <c r="CK234" s="156">
        <f>(Table7[[#This Row],[R_AC (mW)]]+Table7[[#This Row],[R_SR (mW)]]+Table7[[#This Row],[Inductor Loss (mW)]])/10^3</f>
        <v>0.867920625</v>
      </c>
      <c r="CL234" s="156">
        <f ca="1">Table7[[#This Row],[Total (mW) C]]/10^3</f>
        <v>1.4456074642755261</v>
      </c>
      <c r="CM234" s="156">
        <f ca="1">Table7[[#This Row],[Total Sense Loss C]]+Table7[[#This Row],[Total MOSFET Loss C]]</f>
        <v>2.3135280892755263</v>
      </c>
      <c r="CN234" s="161">
        <f ca="1">IF(Table7[[#This Row],[POUT (W)]]=0,0,(Table7[[#This Row],[POUT (W)]])/(Table7[[#This Row],[POUT (W)]]+Table7[[#This Row],[Total Power Loss (W) C]]))*100</f>
        <v>95.289428026693287</v>
      </c>
      <c r="CO234" s="167"/>
      <c r="CP234" s="161">
        <f>IF(MOSFET_S=Custom_MOSFET,Table7[[#This Row],[Total Sense Loss C]],Table7[[#This Row],[Total Sense Loss]])</f>
        <v>0.867920625</v>
      </c>
      <c r="CQ234" s="161">
        <f ca="1">IF(MOSFET_S=Custom_MOSFET,Table7[[#This Row],[Total MOSFET Loss C]],Table7[[#This Row],[Total MOSFET Loss]])</f>
        <v>2.8471783052542952</v>
      </c>
      <c r="CR234" s="161">
        <f ca="1">IF(MOSFET_S=Custom_MOSFET,Table7[[#This Row],[Efficiency C]],Table7[[#This Row],[Efficiency]])</f>
        <v>92.645567347331749</v>
      </c>
      <c r="CS234" s="167"/>
      <c r="CT234" s="161">
        <f>IF(MOSFET_S=Compare_MOSFET, Table7[[#This Row],[Total Sense Loss C]], -100)</f>
        <v>-100</v>
      </c>
      <c r="CU234" s="161">
        <f>IF(MOSFET_S=Compare_MOSFET, Table7[[#This Row],[Total MOSFET Loss C]], -100)</f>
        <v>-100</v>
      </c>
      <c r="CV234" s="161">
        <f>IF(MOSFET_S=Compare_MOSFET, Table7[[#This Row],[Efficiency C]], -100)</f>
        <v>-100</v>
      </c>
      <c r="CW234" s="167"/>
      <c r="CX234" s="161">
        <f ca="1">IF(Save_Sel=CLR_Save,  Table7[[#This Row],[Total Sense Loss P1]], Table7[[#This Row],[Total Sense Loss P1 Saved]])</f>
        <v>0.867920625</v>
      </c>
      <c r="CY234" s="161">
        <f ca="1">IF(Save_Sel=CLR_Save,  Table7[[#This Row],[Total MOSFET Loss P1]], Table7[[#This Row],[Total MOSFET Loss P1 Saved]] )</f>
        <v>2.1649231813987191</v>
      </c>
      <c r="CZ234" s="161">
        <f ca="1">IF(Save_Sel=CLR_Save, Table7[[#This Row],[Efficiency P1]], Table7[[#This Row],[Efficiency P1 Saved]])</f>
        <v>93.913966021723823</v>
      </c>
      <c r="DA234" s="167"/>
      <c r="DB234" s="161">
        <f ca="1">IF(Save_Sel=CLR_Save,  Table7[[#This Row],[Total Sense Loss P2]], Table7[[#This Row],[Total Sense Loss P2 Saved]])</f>
        <v>0.867920625</v>
      </c>
      <c r="DC234" s="161">
        <f ca="1">IF(Save_Sel=CLR_Save,  Table7[[#This Row],[Total MOSFET Loss P2]], Table7[[#This Row],[Total MOSFET Loss P2 Saved]] )</f>
        <v>1.503719977133303</v>
      </c>
      <c r="DD234" s="161">
        <f ca="1">IF(Save_Sel=CLR_Save, Table7[[#This Row],[Efficiency P2]], Table7[[#This Row],[Efficiency P2 Saved]])</f>
        <v>95.176812135834226</v>
      </c>
      <c r="DE234" s="167"/>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c r="FH234" s="21"/>
      <c r="FI234" s="21"/>
    </row>
    <row r="235" spans="1:165" x14ac:dyDescent="0.25">
      <c r="A235" s="70"/>
      <c r="B235" s="70"/>
      <c r="C235" s="70"/>
      <c r="D235" s="70"/>
      <c r="E235" s="70"/>
      <c r="F235" s="70"/>
      <c r="G235" s="70"/>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154">
        <f t="shared" si="54"/>
        <v>79</v>
      </c>
      <c r="AG235" s="154">
        <f t="shared" si="53"/>
        <v>3.95</v>
      </c>
      <c r="AH235" s="155">
        <f t="shared" si="42"/>
        <v>47.400000000000006</v>
      </c>
      <c r="AI235" s="156">
        <f t="shared" si="43"/>
        <v>0.42857142857142855</v>
      </c>
      <c r="AJ235" s="156">
        <f t="shared" si="44"/>
        <v>6.9125000000000005</v>
      </c>
      <c r="AK235" s="156">
        <f t="shared" si="40"/>
        <v>0.85714285714285721</v>
      </c>
      <c r="AL235" s="156">
        <f t="shared" si="41"/>
        <v>6.9169271168486324</v>
      </c>
      <c r="AM235" s="157"/>
      <c r="AN235" s="156">
        <f>MAX(0,Table7[[#This Row],[I_L]]-0.5*Table7[[#This Row],[I_L pkpk]])</f>
        <v>6.4839285714285717</v>
      </c>
      <c r="AO235" s="156">
        <f>Table7[[#This Row],[I_L]]+0.5*Table7[[#This Row],[I_L pkpk]]</f>
        <v>7.3410714285714294</v>
      </c>
      <c r="AP235" s="156">
        <f ca="1">IF(VACnom&gt;Vbat, (VGS_S-(TI_MOSFET_S_VTH_H_BU+Table7[[#This Row],[I_L]]/TI_MOSFET_S_gFS_H_BU))/3.4, (VGS_S-(TI_MOSFET_S_VTH_L_BO+Table7[[#This Row],[I_L]]/TI_MOSFET_S_gFS_L_BO))/3.4 )</f>
        <v>2.4108314479638011</v>
      </c>
      <c r="AQ235" s="156">
        <f ca="1">IF(VACnom&gt;Vbat, ((TI_MOSFET_S_VTH_H_BU+Table7[[#This Row],[I_L]]/TI_MOSFET_S_gFS_H_BU))/1, ((TI_MOSFET_S_VTH_L_BO+Table7[[#This Row],[I_L]]/TI_MOSFET_S_gFS_L_BO))/1 )</f>
        <v>1.8031730769230769</v>
      </c>
      <c r="AR235" s="156">
        <f ca="1">IF(VACnom&gt;Vbat, (TI_MOSFET_S_QGD_H_BU+TI_MOSFET_S_QGS_H_BU)*10^-9/Table7[[#This Row],[Ion (A)]], (TI_MOSFET_S_QGD_L_BO+TI_MOSFET_S_QGS_L_BO)*10^-9/Table7[[#This Row],[Ion (A)]])/10^-9</f>
        <v>11.946086079275515</v>
      </c>
      <c r="AS235" s="156">
        <f ca="1">IF(VACnom&gt;Vbat, (TI_MOSFET_S_QGD_H_BU+TI_MOSFET_S_QGS_H_BU)*10^-9/Table7[[#This Row],[Ioff (A)]], (TI_MOSFET_S_QGD_L_BO+TI_MOSFET_S_QGS_L_BO)*10^-9/Table7[[#This Row],[Ioff (A)]])/10^-9</f>
        <v>15.97184450487922</v>
      </c>
      <c r="AT235" s="156">
        <f ca="1" xml:space="preserve"> 0.5*VACnom*Table7[[#This Row],[Ivalley (A)]]*Table7[[#This Row],[ton (ns)]]*10^-9*Fsw*10^3+0.5*VACnom*Table7[[#This Row],[Ipeak (A)]]*Table7[[#This Row],[toff (ns)]]*10^-9*Fsw*10^3/10^-3</f>
        <v>422.38047213072218</v>
      </c>
      <c r="AU235" s="156">
        <f t="shared" ca="1" si="45"/>
        <v>262.8</v>
      </c>
      <c r="AV235" s="156">
        <f t="shared" ca="1" si="46"/>
        <v>648</v>
      </c>
      <c r="AW235" s="156">
        <f t="shared" ca="1" si="47"/>
        <v>554.4</v>
      </c>
      <c r="AX235" s="156">
        <f ca="1">IF(VACnom&gt;Vbat, TI_MOSFET_S_VSD_L_BU*Table7[[#This Row],[Ivalley (A)]]*Fsw*10^3*40*10^-9+TI_MOSFET_S_VSD_L_BU*Table7[[#This Row],[Ipeak (A)]]*Fsw*10^3*30*10^-9, TI_MOSFET_S_VSD_H_BO*Table7[[#This Row],[Ivalley (A)]]*Fsw*10^3*40*10^-9+TI_MOSFET_S_VSD_H_BO*Table7[[#This Row],[Ipeak (A)]]*Fsw*10^3*30*10^-9)/10^-3</f>
        <v>207.18257142857144</v>
      </c>
      <c r="AY235" s="156">
        <f t="shared" ca="1" si="48"/>
        <v>648</v>
      </c>
      <c r="AZ235" s="156">
        <f ca="1">IF(VACnom&lt;Vbat, Table7[[#This Row],[Duty Cycle]]*Table7[[#This Row],[I_L RMS]]^2*TI_MOSFET_S_RDSON_H_BU*10^-3, (1-Table7[[#This Row],[Duty Cycle]])*Table7[[#This Row],[I_L RMS]]^2*TI_MOSFET_S_RDSON_H_BO*10^-3)/10^-3</f>
        <v>57.412656887755112</v>
      </c>
      <c r="BA235" s="156">
        <f ca="1">IF(VACnom&gt;Vbat, Table7[[#This Row],[PIV (mW)]]+Table7[[#This Row],[Pqoss (mW)]]+Table7[[#This Row],[Pgate_top (mW)]], Table7[[#This Row],[PRR (mW)]]+Table7[[#This Row],[Pdead (mW)]]+Table7[[#This Row],[Pgate_top (mW)]])</f>
        <v>1409.5825714285716</v>
      </c>
      <c r="BB235" s="156">
        <f ca="1">Table7[[#This Row],[Pcon_top (mW)]]+Table7[[#This Row],[Psw_top (mW)]]</f>
        <v>1466.9952283163266</v>
      </c>
      <c r="BC235" s="156">
        <f ca="1">IF(VACnom&gt;Vbat, (1-Table7[[#This Row],[Duty Cycle]])*Table7[[#This Row],[I_L RMS]]^2*TI_MOSFET_S_RDSON_L_BU*10^-3, Table7[[#This Row],[Duty Cycle]]*Table7[[#This Row],[I_L RMS]]^2*TI_MOSFET_S_RDSON_L_BO*10^-3)/10^-3</f>
        <v>57.412656887755112</v>
      </c>
      <c r="BD235" s="156">
        <f ca="1">IF(VACnom&gt;Vbat, Table7[[#This Row],[PRR (mW)]]+Table7[[#This Row],[Pdead (mW)]]+Table7[[#This Row],[Pgate_bottom (mW)]], Table7[[#This Row],[PIV (mW)]]+Table7[[#This Row],[Pqoss (mW)]]+Table7[[#This Row],[Pgate_bottom (mW)]])</f>
        <v>1333.1804721307221</v>
      </c>
      <c r="BE235" s="158">
        <f ca="1">Table7[[#This Row],[Pcon_bottom (mW)]]+Table7[[#This Row],[Psw_bottom (mW)]]</f>
        <v>1390.5931290184772</v>
      </c>
      <c r="BF235" s="164">
        <f ca="1">Table7[[#This Row],[Pbottom (mW)]]+Table7[[#This Row],[Ptop (mW)]]</f>
        <v>2857.5883573348037</v>
      </c>
      <c r="BG235" s="153"/>
      <c r="BH235" s="156">
        <f>MAX(0,Table7[[#This Row],[I_L]]-0.5*Table7[[#This Row],[I_L pkpk]])</f>
        <v>6.4839285714285717</v>
      </c>
      <c r="BI235" s="156">
        <f>Table7[[#This Row],[I_L]]+0.5*Table7[[#This Row],[I_L pkpk]]</f>
        <v>7.3410714285714294</v>
      </c>
      <c r="BJ235" s="156">
        <f>IF(VACnom&gt;Vbat, (VGS_S-(C_MOSFET_S_VTH_H_BU+Table7[[#This Row],[I_L]]/C_MOSFET_S_gFS_H_BU))/3.4, (VGS_S-(C_MOSFET_S_VTH_L_BO+Table7[[#This Row],[I_L]]/C_MOSFET_S_gFS_L_BO))/3.4 )</f>
        <v>2.3393872549019608</v>
      </c>
      <c r="BK235" s="156">
        <f>IF(VACnom&gt;Vbat, ((C_MOSFET_S_VTH_H_BU+Table7[[#This Row],[I_L]]/C_MOSFET_S_gFS_H_BU))/1, ((C_MOSFET_S_VTH_L_BO+Table7[[#This Row],[I_L]]/C_MOSFET_S_gFS_L_BO))/1 )</f>
        <v>2.0460833333333333</v>
      </c>
      <c r="BL235" s="156">
        <f>IF(VACnom&gt;Vbat, (C_MOSFET_S_QGD_H_BU+C_MOSFET_S_QGS_H_BU)*10^-9/Table7[[#This Row],[Ion (A) C]], (C_MOSFET_S_QGD_L_BO+C_MOSFET_S_QGS_L_BO)*10^-9/Table7[[#This Row],[Ion (A) C]])/10^-9</f>
        <v>2.778505348518026</v>
      </c>
      <c r="BM235" s="156">
        <f>IF(VACnom&gt;Vbat, (C_MOSFET_S_QGD_H_BU+C_MOSFET_S_QGS_H_BU)*10^-9/Table7[[#This Row],[Ioff (A) C]], (C_MOSFET_S_QGD_L_BO+C_MOSFET_S_QGS_L_BO)*10^-9/Table7[[#This Row],[Ioff (A) C]])/10^-9</f>
        <v>3.1768012055553294</v>
      </c>
      <c r="BN235" s="156">
        <f xml:space="preserve"> 0.5*VACnom*Table7[[#This Row],[Ivalley (A) C]]*Table7[[#This Row],[ton (ns) C]]*10^-9*Fsw*10^3+0.5*VACnom*Table7[[#This Row],[Ipeak (A) C]]*Table7[[#This Row],[toff (ns) C]]*10^-9*Fsw*10^3/10^-3</f>
        <v>84.020904700447048</v>
      </c>
      <c r="BO235" s="156">
        <f t="shared" si="49"/>
        <v>129.6</v>
      </c>
      <c r="BP235" s="156">
        <f t="shared" ca="1" si="50"/>
        <v>291.59999999999997</v>
      </c>
      <c r="BQ235" s="156">
        <f t="shared" si="51"/>
        <v>237.6</v>
      </c>
      <c r="BR235" s="156">
        <f>IF(VACnom&gt;Vbat, C_MOSFET_S_VSD_L_BU*Table7[[#This Row],[Ivalley (A) C]]*Fsw*10^3*40*10^-9+C_MOSFET_S_VSD_L_BU*Table7[[#This Row],[Ipeak (A) C]]*Fsw*10^3*30*10^-9, C_MOSFET_S_VSD_H_BO*Table7[[#This Row],[Ivalley (A) C]]*Fsw*10^3*40*10^-9+C_MOSFET_S_VSD_H_BO*Table7[[#This Row],[Ipeak (A) C]]*Fsw*10^3*30*10^-9)/10^-3</f>
        <v>230.2028571428572</v>
      </c>
      <c r="BS235" s="156">
        <f t="shared" ca="1" si="52"/>
        <v>291.59999999999997</v>
      </c>
      <c r="BT235" s="156">
        <f>IF(VACnom&lt;Vbat, Table7[[#This Row],[Duty Cycle]]*Table7[[#This Row],[I_L RMS]]^2*C_MOSFET_S_RDSON_H_BU*10^-3, (1-Table7[[#This Row],[Duty Cycle]])*Table7[[#This Row],[I_L RMS]]^2*C_MOSFET_S_RDSON_H_BO*10^-3)/10^-3</f>
        <v>116.87576580721577</v>
      </c>
      <c r="BU235" s="156">
        <f ca="1">IF(VACnom&gt;Vbat, Table7[[#This Row],[PIV (mW) C]]+Table7[[#This Row],[PQoss (mW) C]]+Table7[[#This Row],[Pgate_top (mW) C]], Table7[[#This Row],[PRR (mW) C]]+Table7[[#This Row],[Pdead (mW) C]]+Table7[[#This Row],[Pgate_top (mW) C]])</f>
        <v>759.4028571428571</v>
      </c>
      <c r="BV235" s="156">
        <f ca="1">Table7[[#This Row],[Pcon_top (mW) C]]+Table7[[#This Row],[Psw_top (mW) C]]</f>
        <v>876.27862295007287</v>
      </c>
      <c r="BW235" s="156">
        <f ca="1">IF(VACnom&gt;Vbat, (1-Table7[[#This Row],[Duty Cycle]])*Table7[[#This Row],[I_L RMS]]^2*C_MOSFET_S_RDSON_L_BU*10^-3, Table7[[#This Row],[Duty Cycle]]*Table7[[#This Row],[I_L RMS]]^2*C_MOSFET_S_RDSON_L_BO*10^-3)/10^-3</f>
        <v>72.791047125546655</v>
      </c>
      <c r="BX235" s="156">
        <f ca="1">IF(VACnom&gt;Vbat, Table7[[#This Row],[PRR (mW) C]]+Table7[[#This Row],[Pdead (mW) C]]+Table7[[#This Row],[Pgate_bottom (mW) C]], Table7[[#This Row],[PIV (mW) C]]+Table7[[#This Row],[PQoss (mW) C]]+Table7[[#This Row],[Pgate_bottom (mW) C]])</f>
        <v>505.22090470044702</v>
      </c>
      <c r="BY235" s="156">
        <f ca="1">Table7[[#This Row],[Pcon_bottom (mW) C]]+Table7[[#This Row],[Psw_bottom (mV) C]]</f>
        <v>578.01195182599372</v>
      </c>
      <c r="BZ235" s="156">
        <f ca="1">Table7[[#This Row],[Pbottom (mW) C]]+Table7[[#This Row],[Ptop (mW) C]]</f>
        <v>1454.2905747760665</v>
      </c>
      <c r="CA235" s="159"/>
      <c r="CB235" s="160">
        <f>(RAC_SNS*10^-3*(Table7[[#This Row],[IOUT (A)]]*Vbat/VACnom)^2/10^-3)</f>
        <v>238.91328125000004</v>
      </c>
      <c r="CC235" s="160">
        <f>(RBAT_SNS*10^-3*Table7[[#This Row],[IOUT (A)]]^2)/10^-3</f>
        <v>78.012500000000017</v>
      </c>
      <c r="CD235" s="160">
        <f>IF(VACnom&gt;Vbat,(L_DRC*10^-3*(Table7[[#This Row],[IOUT (A)]])^2/10^-3),(L_DRC*10^-3*(Table7[[#This Row],[IOUT (A)]]*Vbat/VACnom)^2/10^-3))</f>
        <v>573.39187500000014</v>
      </c>
      <c r="CE235" s="166"/>
      <c r="CF235" s="156">
        <f>(Table7[[#This Row],[R_AC (mW)]]+Table7[[#This Row],[R_SR (mW)]]+Table7[[#This Row],[Inductor Loss (mW)]])/10^3</f>
        <v>0.89031765625000026</v>
      </c>
      <c r="CG235" s="156">
        <f ca="1">Table7[[#This Row],[Total TI (mW)]]/10^3</f>
        <v>2.8575883573348038</v>
      </c>
      <c r="CH235" s="156">
        <f ca="1">Table7[[#This Row],[Total Sense Loss]]+Table7[[#This Row],[Total MOSFET Loss]]</f>
        <v>3.7479060135848039</v>
      </c>
      <c r="CI235" s="161">
        <f ca="1">IF(Table7[[#This Row],[POUT (W)]]=0,0,(Table7[[#This Row],[POUT (W)]])/(Table7[[#This Row],[POUT (W)]]+Table7[[#This Row],[Total Power Loss (W)]]))*100</f>
        <v>92.672415538205286</v>
      </c>
      <c r="CJ235" s="167"/>
      <c r="CK235" s="156">
        <f>(Table7[[#This Row],[R_AC (mW)]]+Table7[[#This Row],[R_SR (mW)]]+Table7[[#This Row],[Inductor Loss (mW)]])/10^3</f>
        <v>0.89031765625000026</v>
      </c>
      <c r="CL235" s="156">
        <f ca="1">Table7[[#This Row],[Total (mW) C]]/10^3</f>
        <v>1.4542905747760664</v>
      </c>
      <c r="CM235" s="156">
        <f ca="1">Table7[[#This Row],[Total Sense Loss C]]+Table7[[#This Row],[Total MOSFET Loss C]]</f>
        <v>2.3446082310260667</v>
      </c>
      <c r="CN235" s="161">
        <f ca="1">IF(Table7[[#This Row],[POUT (W)]]=0,0,(Table7[[#This Row],[POUT (W)]])/(Table7[[#This Row],[POUT (W)]]+Table7[[#This Row],[Total Power Loss (W) C]]))*100</f>
        <v>95.286708822517738</v>
      </c>
      <c r="CO235" s="167"/>
      <c r="CP235" s="161">
        <f>IF(MOSFET_S=Custom_MOSFET,Table7[[#This Row],[Total Sense Loss C]],Table7[[#This Row],[Total Sense Loss]])</f>
        <v>0.89031765625000026</v>
      </c>
      <c r="CQ235" s="161">
        <f ca="1">IF(MOSFET_S=Custom_MOSFET,Table7[[#This Row],[Total MOSFET Loss C]],Table7[[#This Row],[Total MOSFET Loss]])</f>
        <v>2.8575883573348038</v>
      </c>
      <c r="CR235" s="161">
        <f ca="1">IF(MOSFET_S=Custom_MOSFET,Table7[[#This Row],[Efficiency C]],Table7[[#This Row],[Efficiency]])</f>
        <v>92.672415538205286</v>
      </c>
      <c r="CS235" s="167"/>
      <c r="CT235" s="161">
        <f>IF(MOSFET_S=Compare_MOSFET, Table7[[#This Row],[Total Sense Loss C]], -100)</f>
        <v>-100</v>
      </c>
      <c r="CU235" s="161">
        <f>IF(MOSFET_S=Compare_MOSFET, Table7[[#This Row],[Total MOSFET Loss C]], -100)</f>
        <v>-100</v>
      </c>
      <c r="CV235" s="161">
        <f>IF(MOSFET_S=Compare_MOSFET, Table7[[#This Row],[Efficiency C]], -100)</f>
        <v>-100</v>
      </c>
      <c r="CW235" s="167"/>
      <c r="CX235" s="161">
        <f ca="1">IF(Save_Sel=CLR_Save,  Table7[[#This Row],[Total Sense Loss P1]], Table7[[#This Row],[Total Sense Loss P1 Saved]])</f>
        <v>0.89031765625000026</v>
      </c>
      <c r="CY235" s="161">
        <f ca="1">IF(Save_Sel=CLR_Save,  Table7[[#This Row],[Total MOSFET Loss P1]], Table7[[#This Row],[Total MOSFET Loss P1 Saved]] )</f>
        <v>2.1761138283147829</v>
      </c>
      <c r="CZ235" s="161">
        <f ca="1">IF(Save_Sel=CLR_Save, Table7[[#This Row],[Efficiency P1]], Table7[[#This Row],[Efficiency P1 Saved]])</f>
        <v>93.923819468981776</v>
      </c>
      <c r="DA235" s="167"/>
      <c r="DB235" s="161">
        <f ca="1">IF(Save_Sel=CLR_Save,  Table7[[#This Row],[Total Sense Loss P2]], Table7[[#This Row],[Total Sense Loss P2 Saved]])</f>
        <v>0.89031765625000026</v>
      </c>
      <c r="DC235" s="161">
        <f ca="1">IF(Save_Sel=CLR_Save,  Table7[[#This Row],[Total MOSFET Loss P2]], Table7[[#This Row],[Total MOSFET Loss P2 Saved]] )</f>
        <v>1.5138990470173976</v>
      </c>
      <c r="DD235" s="161">
        <f ca="1">IF(Save_Sel=CLR_Save, Table7[[#This Row],[Efficiency P2]], Table7[[#This Row],[Efficiency P2 Saved]])</f>
        <v>95.172664359743536</v>
      </c>
      <c r="DE235" s="167"/>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c r="FH235" s="21"/>
      <c r="FI235" s="21"/>
    </row>
    <row r="236" spans="1:165" x14ac:dyDescent="0.25">
      <c r="A236" s="70"/>
      <c r="B236" s="70"/>
      <c r="C236" s="70"/>
      <c r="D236" s="70"/>
      <c r="E236" s="70"/>
      <c r="F236" s="70"/>
      <c r="G236" s="70"/>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154">
        <f t="shared" si="54"/>
        <v>80</v>
      </c>
      <c r="AG236" s="154">
        <f t="shared" si="53"/>
        <v>4</v>
      </c>
      <c r="AH236" s="155">
        <f t="shared" si="42"/>
        <v>48</v>
      </c>
      <c r="AI236" s="156">
        <f t="shared" si="43"/>
        <v>0.42857142857142855</v>
      </c>
      <c r="AJ236" s="156">
        <f t="shared" si="44"/>
        <v>7</v>
      </c>
      <c r="AK236" s="156">
        <f t="shared" si="40"/>
        <v>0.85714285714285721</v>
      </c>
      <c r="AL236" s="156">
        <f t="shared" si="41"/>
        <v>7.0043718126464363</v>
      </c>
      <c r="AM236" s="157"/>
      <c r="AN236" s="156">
        <f>MAX(0,Table7[[#This Row],[I_L]]-0.5*Table7[[#This Row],[I_L pkpk]])</f>
        <v>6.5714285714285712</v>
      </c>
      <c r="AO236" s="156">
        <f>Table7[[#This Row],[I_L]]+0.5*Table7[[#This Row],[I_L pkpk]]</f>
        <v>7.4285714285714288</v>
      </c>
      <c r="AP236" s="156">
        <f ca="1">IF(VACnom&gt;Vbat, (VGS_S-(TI_MOSFET_S_VTH_H_BU+Table7[[#This Row],[I_L]]/TI_MOSFET_S_gFS_H_BU))/3.4, (VGS_S-(TI_MOSFET_S_VTH_L_BO+Table7[[#This Row],[I_L]]/TI_MOSFET_S_gFS_L_BO))/3.4 )</f>
        <v>2.4106334841628962</v>
      </c>
      <c r="AQ236" s="156">
        <f ca="1">IF(VACnom&gt;Vbat, ((TI_MOSFET_S_VTH_H_BU+Table7[[#This Row],[I_L]]/TI_MOSFET_S_gFS_H_BU))/1, ((TI_MOSFET_S_VTH_L_BO+Table7[[#This Row],[I_L]]/TI_MOSFET_S_gFS_L_BO))/1 )</f>
        <v>1.8038461538461539</v>
      </c>
      <c r="AR236" s="156">
        <f ca="1">IF(VACnom&gt;Vbat, (TI_MOSFET_S_QGD_H_BU+TI_MOSFET_S_QGS_H_BU)*10^-9/Table7[[#This Row],[Ion (A)]], (TI_MOSFET_S_QGD_L_BO+TI_MOSFET_S_QGS_L_BO)*10^-9/Table7[[#This Row],[Ion (A)]])/10^-9</f>
        <v>11.947067104645704</v>
      </c>
      <c r="AS236" s="156">
        <f ca="1">IF(VACnom&gt;Vbat, (TI_MOSFET_S_QGD_H_BU+TI_MOSFET_S_QGS_H_BU)*10^-9/Table7[[#This Row],[Ioff (A)]], (TI_MOSFET_S_QGD_L_BO+TI_MOSFET_S_QGS_L_BO)*10^-9/Table7[[#This Row],[Ioff (A)]])/10^-9</f>
        <v>15.965884861407249</v>
      </c>
      <c r="AT236" s="156">
        <f ca="1" xml:space="preserve"> 0.5*VACnom*Table7[[#This Row],[Ivalley (A)]]*Table7[[#This Row],[ton (ns)]]*10^-9*Fsw*10^3+0.5*VACnom*Table7[[#This Row],[Ipeak (A)]]*Table7[[#This Row],[toff (ns)]]*10^-9*Fsw*10^3/10^-3</f>
        <v>427.25601148113805</v>
      </c>
      <c r="AU236" s="156">
        <f t="shared" ca="1" si="45"/>
        <v>262.8</v>
      </c>
      <c r="AV236" s="156">
        <f t="shared" ca="1" si="46"/>
        <v>648</v>
      </c>
      <c r="AW236" s="156">
        <f t="shared" ca="1" si="47"/>
        <v>554.4</v>
      </c>
      <c r="AX236" s="156">
        <f ca="1">IF(VACnom&gt;Vbat, TI_MOSFET_S_VSD_L_BU*Table7[[#This Row],[Ivalley (A)]]*Fsw*10^3*40*10^-9+TI_MOSFET_S_VSD_L_BU*Table7[[#This Row],[Ipeak (A)]]*Fsw*10^3*30*10^-9, TI_MOSFET_S_VSD_H_BO*Table7[[#This Row],[Ivalley (A)]]*Fsw*10^3*40*10^-9+TI_MOSFET_S_VSD_H_BO*Table7[[#This Row],[Ipeak (A)]]*Fsw*10^3*30*10^-9)/10^-3</f>
        <v>209.82857142857142</v>
      </c>
      <c r="AY236" s="156">
        <f t="shared" ca="1" si="48"/>
        <v>648</v>
      </c>
      <c r="AZ236" s="156">
        <f ca="1">IF(VACnom&lt;Vbat, Table7[[#This Row],[Duty Cycle]]*Table7[[#This Row],[I_L RMS]]^2*TI_MOSFET_S_RDSON_H_BU*10^-3, (1-Table7[[#This Row],[Duty Cycle]])*Table7[[#This Row],[I_L RMS]]^2*TI_MOSFET_S_RDSON_H_BO*10^-3)/10^-3</f>
        <v>58.873469387755108</v>
      </c>
      <c r="BA236" s="156">
        <f ca="1">IF(VACnom&gt;Vbat, Table7[[#This Row],[PIV (mW)]]+Table7[[#This Row],[Pqoss (mW)]]+Table7[[#This Row],[Pgate_top (mW)]], Table7[[#This Row],[PRR (mW)]]+Table7[[#This Row],[Pdead (mW)]]+Table7[[#This Row],[Pgate_top (mW)]])</f>
        <v>1412.2285714285713</v>
      </c>
      <c r="BB236" s="156">
        <f ca="1">Table7[[#This Row],[Pcon_top (mW)]]+Table7[[#This Row],[Psw_top (mW)]]</f>
        <v>1471.1020408163263</v>
      </c>
      <c r="BC236" s="156">
        <f ca="1">IF(VACnom&gt;Vbat, (1-Table7[[#This Row],[Duty Cycle]])*Table7[[#This Row],[I_L RMS]]^2*TI_MOSFET_S_RDSON_L_BU*10^-3, Table7[[#This Row],[Duty Cycle]]*Table7[[#This Row],[I_L RMS]]^2*TI_MOSFET_S_RDSON_L_BO*10^-3)/10^-3</f>
        <v>58.873469387755108</v>
      </c>
      <c r="BD236" s="156">
        <f ca="1">IF(VACnom&gt;Vbat, Table7[[#This Row],[PRR (mW)]]+Table7[[#This Row],[Pdead (mW)]]+Table7[[#This Row],[Pgate_bottom (mW)]], Table7[[#This Row],[PIV (mW)]]+Table7[[#This Row],[Pqoss (mW)]]+Table7[[#This Row],[Pgate_bottom (mW)]])</f>
        <v>1338.0560114811381</v>
      </c>
      <c r="BE236" s="158">
        <f ca="1">Table7[[#This Row],[Pcon_bottom (mW)]]+Table7[[#This Row],[Psw_bottom (mW)]]</f>
        <v>1396.9294808688933</v>
      </c>
      <c r="BF236" s="164">
        <f ca="1">Table7[[#This Row],[Pbottom (mW)]]+Table7[[#This Row],[Ptop (mW)]]</f>
        <v>2868.0315216852196</v>
      </c>
      <c r="BG236" s="153"/>
      <c r="BH236" s="156">
        <f>MAX(0,Table7[[#This Row],[I_L]]-0.5*Table7[[#This Row],[I_L pkpk]])</f>
        <v>6.5714285714285712</v>
      </c>
      <c r="BI236" s="156">
        <f>Table7[[#This Row],[I_L]]+0.5*Table7[[#This Row],[I_L pkpk]]</f>
        <v>7.4285714285714288</v>
      </c>
      <c r="BJ236" s="156">
        <f>IF(VACnom&gt;Vbat, (VGS_S-(C_MOSFET_S_VTH_H_BU+Table7[[#This Row],[I_L]]/C_MOSFET_S_gFS_H_BU))/3.4, (VGS_S-(C_MOSFET_S_VTH_L_BO+Table7[[#This Row],[I_L]]/C_MOSFET_S_gFS_L_BO))/3.4 )</f>
        <v>2.3392156862745099</v>
      </c>
      <c r="BK236" s="156">
        <f>IF(VACnom&gt;Vbat, ((C_MOSFET_S_VTH_H_BU+Table7[[#This Row],[I_L]]/C_MOSFET_S_gFS_H_BU))/1, ((C_MOSFET_S_VTH_L_BO+Table7[[#This Row],[I_L]]/C_MOSFET_S_gFS_L_BO))/1 )</f>
        <v>2.0466666666666669</v>
      </c>
      <c r="BL236" s="156">
        <f>IF(VACnom&gt;Vbat, (C_MOSFET_S_QGD_H_BU+C_MOSFET_S_QGS_H_BU)*10^-9/Table7[[#This Row],[Ion (A) C]], (C_MOSFET_S_QGD_L_BO+C_MOSFET_S_QGS_L_BO)*10^-9/Table7[[#This Row],[Ion (A) C]])/10^-9</f>
        <v>2.7787091366303436</v>
      </c>
      <c r="BM236" s="156">
        <f>IF(VACnom&gt;Vbat, (C_MOSFET_S_QGD_H_BU+C_MOSFET_S_QGS_H_BU)*10^-9/Table7[[#This Row],[Ioff (A) C]], (C_MOSFET_S_QGD_L_BO+C_MOSFET_S_QGS_L_BO)*10^-9/Table7[[#This Row],[Ioff (A) C]])/10^-9</f>
        <v>3.1758957654723123</v>
      </c>
      <c r="BN236" s="156">
        <f xml:space="preserve"> 0.5*VACnom*Table7[[#This Row],[Ivalley (A) C]]*Table7[[#This Row],[ton (ns) C]]*10^-9*Fsw*10^3+0.5*VACnom*Table7[[#This Row],[Ipeak (A) C]]*Table7[[#This Row],[toff (ns) C]]*10^-9*Fsw*10^3/10^-3</f>
        <v>84.998263075634711</v>
      </c>
      <c r="BO236" s="156">
        <f t="shared" si="49"/>
        <v>129.6</v>
      </c>
      <c r="BP236" s="156">
        <f t="shared" ca="1" si="50"/>
        <v>291.59999999999997</v>
      </c>
      <c r="BQ236" s="156">
        <f t="shared" si="51"/>
        <v>237.6</v>
      </c>
      <c r="BR236" s="156">
        <f>IF(VACnom&gt;Vbat, C_MOSFET_S_VSD_L_BU*Table7[[#This Row],[Ivalley (A) C]]*Fsw*10^3*40*10^-9+C_MOSFET_S_VSD_L_BU*Table7[[#This Row],[Ipeak (A) C]]*Fsw*10^3*30*10^-9, C_MOSFET_S_VSD_H_BO*Table7[[#This Row],[Ivalley (A) C]]*Fsw*10^3*40*10^-9+C_MOSFET_S_VSD_H_BO*Table7[[#This Row],[Ipeak (A) C]]*Fsw*10^3*30*10^-9)/10^-3</f>
        <v>233.14285714285714</v>
      </c>
      <c r="BS236" s="156">
        <f t="shared" ca="1" si="52"/>
        <v>291.59999999999997</v>
      </c>
      <c r="BT236" s="156">
        <f>IF(VACnom&lt;Vbat, Table7[[#This Row],[Duty Cycle]]*Table7[[#This Row],[I_L RMS]]^2*C_MOSFET_S_RDSON_H_BU*10^-3, (1-Table7[[#This Row],[Duty Cycle]])*Table7[[#This Row],[I_L RMS]]^2*C_MOSFET_S_RDSON_H_BO*10^-3)/10^-3</f>
        <v>119.84956268221576</v>
      </c>
      <c r="BU236" s="156">
        <f ca="1">IF(VACnom&gt;Vbat, Table7[[#This Row],[PIV (mW) C]]+Table7[[#This Row],[PQoss (mW) C]]+Table7[[#This Row],[Pgate_top (mW) C]], Table7[[#This Row],[PRR (mW) C]]+Table7[[#This Row],[Pdead (mW) C]]+Table7[[#This Row],[Pgate_top (mW) C]])</f>
        <v>762.34285714285716</v>
      </c>
      <c r="BV236" s="156">
        <f ca="1">Table7[[#This Row],[Pcon_top (mW) C]]+Table7[[#This Row],[Psw_top (mW) C]]</f>
        <v>882.19241982507288</v>
      </c>
      <c r="BW236" s="156">
        <f ca="1">IF(VACnom&gt;Vbat, (1-Table7[[#This Row],[Duty Cycle]])*Table7[[#This Row],[I_L RMS]]^2*C_MOSFET_S_RDSON_L_BU*10^-3, Table7[[#This Row],[Duty Cycle]]*Table7[[#This Row],[I_L RMS]]^2*C_MOSFET_S_RDSON_L_BO*10^-3)/10^-3</f>
        <v>74.643148688046651</v>
      </c>
      <c r="BX236" s="156">
        <f ca="1">IF(VACnom&gt;Vbat, Table7[[#This Row],[PRR (mW) C]]+Table7[[#This Row],[Pdead (mW) C]]+Table7[[#This Row],[Pgate_bottom (mW) C]], Table7[[#This Row],[PIV (mW) C]]+Table7[[#This Row],[PQoss (mW) C]]+Table7[[#This Row],[Pgate_bottom (mW) C]])</f>
        <v>506.19826307563466</v>
      </c>
      <c r="BY236" s="156">
        <f ca="1">Table7[[#This Row],[Pcon_bottom (mW) C]]+Table7[[#This Row],[Psw_bottom (mV) C]]</f>
        <v>580.84141176368132</v>
      </c>
      <c r="BZ236" s="156">
        <f ca="1">Table7[[#This Row],[Pbottom (mW) C]]+Table7[[#This Row],[Ptop (mW) C]]</f>
        <v>1463.0338315887543</v>
      </c>
      <c r="CA236" s="159"/>
      <c r="CB236" s="160">
        <f>(RAC_SNS*10^-3*(Table7[[#This Row],[IOUT (A)]]*Vbat/VACnom)^2/10^-3)</f>
        <v>245</v>
      </c>
      <c r="CC236" s="160">
        <f>(RBAT_SNS*10^-3*Table7[[#This Row],[IOUT (A)]]^2)/10^-3</f>
        <v>80</v>
      </c>
      <c r="CD236" s="160">
        <f>IF(VACnom&gt;Vbat,(L_DRC*10^-3*(Table7[[#This Row],[IOUT (A)]])^2/10^-3),(L_DRC*10^-3*(Table7[[#This Row],[IOUT (A)]]*Vbat/VACnom)^2/10^-3))</f>
        <v>588</v>
      </c>
      <c r="CE236" s="166"/>
      <c r="CF236" s="156">
        <f>(Table7[[#This Row],[R_AC (mW)]]+Table7[[#This Row],[R_SR (mW)]]+Table7[[#This Row],[Inductor Loss (mW)]])/10^3</f>
        <v>0.91300000000000003</v>
      </c>
      <c r="CG236" s="156">
        <f ca="1">Table7[[#This Row],[Total TI (mW)]]/10^3</f>
        <v>2.8680315216852197</v>
      </c>
      <c r="CH236" s="156">
        <f ca="1">Table7[[#This Row],[Total Sense Loss]]+Table7[[#This Row],[Total MOSFET Loss]]</f>
        <v>3.7810315216852199</v>
      </c>
      <c r="CI236" s="161">
        <f ca="1">IF(Table7[[#This Row],[POUT (W)]]=0,0,(Table7[[#This Row],[POUT (W)]])/(Table7[[#This Row],[POUT (W)]]+Table7[[#This Row],[Total Power Loss (W)]]))*100</f>
        <v>92.698037465511334</v>
      </c>
      <c r="CJ236" s="167"/>
      <c r="CK236" s="156">
        <f>(Table7[[#This Row],[R_AC (mW)]]+Table7[[#This Row],[R_SR (mW)]]+Table7[[#This Row],[Inductor Loss (mW)]])/10^3</f>
        <v>0.91300000000000003</v>
      </c>
      <c r="CL236" s="156">
        <f ca="1">Table7[[#This Row],[Total (mW) C]]/10^3</f>
        <v>1.4630338315887543</v>
      </c>
      <c r="CM236" s="156">
        <f ca="1">Table7[[#This Row],[Total Sense Loss C]]+Table7[[#This Row],[Total MOSFET Loss C]]</f>
        <v>2.3760338315887544</v>
      </c>
      <c r="CN236" s="161">
        <f ca="1">IF(Table7[[#This Row],[POUT (W)]]=0,0,(Table7[[#This Row],[POUT (W)]])/(Table7[[#This Row],[POUT (W)]]+Table7[[#This Row],[Total Power Loss (W) C]]))*100</f>
        <v>95.283404327676863</v>
      </c>
      <c r="CO236" s="167"/>
      <c r="CP236" s="161">
        <f>IF(MOSFET_S=Custom_MOSFET,Table7[[#This Row],[Total Sense Loss C]],Table7[[#This Row],[Total Sense Loss]])</f>
        <v>0.91300000000000003</v>
      </c>
      <c r="CQ236" s="161">
        <f ca="1">IF(MOSFET_S=Custom_MOSFET,Table7[[#This Row],[Total MOSFET Loss C]],Table7[[#This Row],[Total MOSFET Loss]])</f>
        <v>2.8680315216852197</v>
      </c>
      <c r="CR236" s="161">
        <f ca="1">IF(MOSFET_S=Custom_MOSFET,Table7[[#This Row],[Efficiency C]],Table7[[#This Row],[Efficiency]])</f>
        <v>92.698037465511334</v>
      </c>
      <c r="CS236" s="167"/>
      <c r="CT236" s="161">
        <f>IF(MOSFET_S=Compare_MOSFET, Table7[[#This Row],[Total Sense Loss C]], -100)</f>
        <v>-100</v>
      </c>
      <c r="CU236" s="161">
        <f>IF(MOSFET_S=Compare_MOSFET, Table7[[#This Row],[Total MOSFET Loss C]], -100)</f>
        <v>-100</v>
      </c>
      <c r="CV236" s="161">
        <f>IF(MOSFET_S=Compare_MOSFET, Table7[[#This Row],[Efficiency C]], -100)</f>
        <v>-100</v>
      </c>
      <c r="CW236" s="167"/>
      <c r="CX236" s="161">
        <f ca="1">IF(Save_Sel=CLR_Save,  Table7[[#This Row],[Total Sense Loss P1]], Table7[[#This Row],[Total Sense Loss P1 Saved]])</f>
        <v>0.91300000000000003</v>
      </c>
      <c r="CY236" s="161">
        <f ca="1">IF(Save_Sel=CLR_Save,  Table7[[#This Row],[Total MOSFET Loss P1]], Table7[[#This Row],[Total MOSFET Loss P1 Saved]] )</f>
        <v>2.1873474364437233</v>
      </c>
      <c r="CZ236" s="161">
        <f ca="1">IF(Save_Sel=CLR_Save, Table7[[#This Row],[Efficiency P1]], Table7[[#This Row],[Efficiency P1 Saved]])</f>
        <v>93.932825133332415</v>
      </c>
      <c r="DA236" s="167"/>
      <c r="DB236" s="161">
        <f ca="1">IF(Save_Sel=CLR_Save,  Table7[[#This Row],[Total Sense Loss P2]], Table7[[#This Row],[Total Sense Loss P2 Saved]])</f>
        <v>0.91300000000000003</v>
      </c>
      <c r="DC236" s="161">
        <f ca="1">IF(Save_Sel=CLR_Save,  Table7[[#This Row],[Total MOSFET Loss P2]], Table7[[#This Row],[Total MOSFET Loss P2 Saved]] )</f>
        <v>1.5241572957070684</v>
      </c>
      <c r="DD236" s="161">
        <f ca="1">IF(Save_Sel=CLR_Save, Table7[[#This Row],[Efficiency P2]], Table7[[#This Row],[Efficiency P2 Saved]])</f>
        <v>95.167932876513433</v>
      </c>
      <c r="DE236" s="167"/>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c r="FH236" s="21"/>
      <c r="FI236" s="21"/>
    </row>
    <row r="237" spans="1:165" x14ac:dyDescent="0.25">
      <c r="A237" s="70"/>
      <c r="B237" s="70"/>
      <c r="C237" s="70"/>
      <c r="D237" s="70"/>
      <c r="E237" s="70"/>
      <c r="F237" s="70"/>
      <c r="G237" s="70"/>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154">
        <f t="shared" si="54"/>
        <v>81</v>
      </c>
      <c r="AG237" s="154">
        <f t="shared" si="53"/>
        <v>4.05</v>
      </c>
      <c r="AH237" s="155">
        <f t="shared" si="42"/>
        <v>48.599999999999994</v>
      </c>
      <c r="AI237" s="156">
        <f t="shared" si="43"/>
        <v>0.42857142857142855</v>
      </c>
      <c r="AJ237" s="156">
        <f t="shared" si="44"/>
        <v>7.0875000000000004</v>
      </c>
      <c r="AK237" s="156">
        <f t="shared" si="40"/>
        <v>0.85714285714285721</v>
      </c>
      <c r="AL237" s="156">
        <f t="shared" si="41"/>
        <v>7.0918178727175389</v>
      </c>
      <c r="AM237" s="157"/>
      <c r="AN237" s="156">
        <f>MAX(0,Table7[[#This Row],[I_L]]-0.5*Table7[[#This Row],[I_L pkpk]])</f>
        <v>6.6589285714285715</v>
      </c>
      <c r="AO237" s="156">
        <f>Table7[[#This Row],[I_L]]+0.5*Table7[[#This Row],[I_L pkpk]]</f>
        <v>7.5160714285714292</v>
      </c>
      <c r="AP237" s="156">
        <f ca="1">IF(VACnom&gt;Vbat, (VGS_S-(TI_MOSFET_S_VTH_H_BU+Table7[[#This Row],[I_L]]/TI_MOSFET_S_gFS_H_BU))/3.4, (VGS_S-(TI_MOSFET_S_VTH_L_BO+Table7[[#This Row],[I_L]]/TI_MOSFET_S_gFS_L_BO))/3.4 )</f>
        <v>2.4104355203619909</v>
      </c>
      <c r="AQ237" s="156">
        <f ca="1">IF(VACnom&gt;Vbat, ((TI_MOSFET_S_VTH_H_BU+Table7[[#This Row],[I_L]]/TI_MOSFET_S_gFS_H_BU))/1, ((TI_MOSFET_S_VTH_L_BO+Table7[[#This Row],[I_L]]/TI_MOSFET_S_gFS_L_BO))/1 )</f>
        <v>1.8045192307692308</v>
      </c>
      <c r="AR237" s="156">
        <f ca="1">IF(VACnom&gt;Vbat, (TI_MOSFET_S_QGD_H_BU+TI_MOSFET_S_QGS_H_BU)*10^-9/Table7[[#This Row],[Ion (A)]], (TI_MOSFET_S_QGD_L_BO+TI_MOSFET_S_QGS_L_BO)*10^-9/Table7[[#This Row],[Ion (A)]])/10^-9</f>
        <v>11.948048291154835</v>
      </c>
      <c r="AS237" s="156">
        <f ca="1">IF(VACnom&gt;Vbat, (TI_MOSFET_S_QGD_H_BU+TI_MOSFET_S_QGS_H_BU)*10^-9/Table7[[#This Row],[Ioff (A)]], (TI_MOSFET_S_QGD_L_BO+TI_MOSFET_S_QGS_L_BO)*10^-9/Table7[[#This Row],[Ioff (A)]])/10^-9</f>
        <v>15.959929663771515</v>
      </c>
      <c r="AT237" s="156">
        <f ca="1" xml:space="preserve"> 0.5*VACnom*Table7[[#This Row],[Ivalley (A)]]*Table7[[#This Row],[ton (ns)]]*10^-9*Fsw*10^3+0.5*VACnom*Table7[[#This Row],[Ipeak (A)]]*Table7[[#This Row],[toff (ns)]]*10^-9*Fsw*10^3/10^-3</f>
        <v>432.12791717287735</v>
      </c>
      <c r="AU237" s="156">
        <f t="shared" ca="1" si="45"/>
        <v>262.8</v>
      </c>
      <c r="AV237" s="156">
        <f t="shared" ca="1" si="46"/>
        <v>648</v>
      </c>
      <c r="AW237" s="156">
        <f t="shared" ca="1" si="47"/>
        <v>554.4</v>
      </c>
      <c r="AX237" s="156">
        <f ca="1">IF(VACnom&gt;Vbat, TI_MOSFET_S_VSD_L_BU*Table7[[#This Row],[Ivalley (A)]]*Fsw*10^3*40*10^-9+TI_MOSFET_S_VSD_L_BU*Table7[[#This Row],[Ipeak (A)]]*Fsw*10^3*30*10^-9, TI_MOSFET_S_VSD_H_BO*Table7[[#This Row],[Ivalley (A)]]*Fsw*10^3*40*10^-9+TI_MOSFET_S_VSD_H_BO*Table7[[#This Row],[Ipeak (A)]]*Fsw*10^3*30*10^-9)/10^-3</f>
        <v>212.47457142857144</v>
      </c>
      <c r="AY237" s="156">
        <f t="shared" ca="1" si="48"/>
        <v>648</v>
      </c>
      <c r="AZ237" s="156">
        <f ca="1">IF(VACnom&lt;Vbat, Table7[[#This Row],[Duty Cycle]]*Table7[[#This Row],[I_L RMS]]^2*TI_MOSFET_S_RDSON_H_BU*10^-3, (1-Table7[[#This Row],[Duty Cycle]])*Table7[[#This Row],[I_L RMS]]^2*TI_MOSFET_S_RDSON_H_BO*10^-3)/10^-3</f>
        <v>60.352656887755096</v>
      </c>
      <c r="BA237" s="156">
        <f ca="1">IF(VACnom&gt;Vbat, Table7[[#This Row],[PIV (mW)]]+Table7[[#This Row],[Pqoss (mW)]]+Table7[[#This Row],[Pgate_top (mW)]], Table7[[#This Row],[PRR (mW)]]+Table7[[#This Row],[Pdead (mW)]]+Table7[[#This Row],[Pgate_top (mW)]])</f>
        <v>1414.8745714285715</v>
      </c>
      <c r="BB237" s="156">
        <f ca="1">Table7[[#This Row],[Pcon_top (mW)]]+Table7[[#This Row],[Psw_top (mW)]]</f>
        <v>1475.2272283163265</v>
      </c>
      <c r="BC237" s="156">
        <f ca="1">IF(VACnom&gt;Vbat, (1-Table7[[#This Row],[Duty Cycle]])*Table7[[#This Row],[I_L RMS]]^2*TI_MOSFET_S_RDSON_L_BU*10^-3, Table7[[#This Row],[Duty Cycle]]*Table7[[#This Row],[I_L RMS]]^2*TI_MOSFET_S_RDSON_L_BO*10^-3)/10^-3</f>
        <v>60.352656887755096</v>
      </c>
      <c r="BD237" s="156">
        <f ca="1">IF(VACnom&gt;Vbat, Table7[[#This Row],[PRR (mW)]]+Table7[[#This Row],[Pdead (mW)]]+Table7[[#This Row],[Pgate_bottom (mW)]], Table7[[#This Row],[PIV (mW)]]+Table7[[#This Row],[Pqoss (mW)]]+Table7[[#This Row],[Pgate_bottom (mW)]])</f>
        <v>1342.9279171728774</v>
      </c>
      <c r="BE237" s="158">
        <f ca="1">Table7[[#This Row],[Pcon_bottom (mW)]]+Table7[[#This Row],[Psw_bottom (mW)]]</f>
        <v>1403.2805740606325</v>
      </c>
      <c r="BF237" s="164">
        <f ca="1">Table7[[#This Row],[Pbottom (mW)]]+Table7[[#This Row],[Ptop (mW)]]</f>
        <v>2878.5078023769593</v>
      </c>
      <c r="BG237" s="153"/>
      <c r="BH237" s="156">
        <f>MAX(0,Table7[[#This Row],[I_L]]-0.5*Table7[[#This Row],[I_L pkpk]])</f>
        <v>6.6589285714285715</v>
      </c>
      <c r="BI237" s="156">
        <f>Table7[[#This Row],[I_L]]+0.5*Table7[[#This Row],[I_L pkpk]]</f>
        <v>7.5160714285714292</v>
      </c>
      <c r="BJ237" s="156">
        <f>IF(VACnom&gt;Vbat, (VGS_S-(C_MOSFET_S_VTH_H_BU+Table7[[#This Row],[I_L]]/C_MOSFET_S_gFS_H_BU))/3.4, (VGS_S-(C_MOSFET_S_VTH_L_BO+Table7[[#This Row],[I_L]]/C_MOSFET_S_gFS_L_BO))/3.4 )</f>
        <v>2.3390441176470587</v>
      </c>
      <c r="BK237" s="156">
        <f>IF(VACnom&gt;Vbat, ((C_MOSFET_S_VTH_H_BU+Table7[[#This Row],[I_L]]/C_MOSFET_S_gFS_H_BU))/1, ((C_MOSFET_S_VTH_L_BO+Table7[[#This Row],[I_L]]/C_MOSFET_S_gFS_L_BO))/1 )</f>
        <v>2.04725</v>
      </c>
      <c r="BL237" s="156">
        <f>IF(VACnom&gt;Vbat, (C_MOSFET_S_QGD_H_BU+C_MOSFET_S_QGS_H_BU)*10^-9/Table7[[#This Row],[Ion (A) C]], (C_MOSFET_S_QGD_L_BO+C_MOSFET_S_QGS_L_BO)*10^-9/Table7[[#This Row],[Ion (A) C]])/10^-9</f>
        <v>2.7789129546383329</v>
      </c>
      <c r="BM237" s="156">
        <f>IF(VACnom&gt;Vbat, (C_MOSFET_S_QGD_H_BU+C_MOSFET_S_QGS_H_BU)*10^-9/Table7[[#This Row],[Ioff (A) C]], (C_MOSFET_S_QGD_L_BO+C_MOSFET_S_QGS_L_BO)*10^-9/Table7[[#This Row],[Ioff (A) C]])/10^-9</f>
        <v>3.1749908413725727</v>
      </c>
      <c r="BN237" s="156">
        <f xml:space="preserve"> 0.5*VACnom*Table7[[#This Row],[Ivalley (A) C]]*Table7[[#This Row],[ton (ns) C]]*10^-9*Fsw*10^3+0.5*VACnom*Table7[[#This Row],[Ipeak (A) C]]*Table7[[#This Row],[toff (ns) C]]*10^-9*Fsw*10^3/10^-3</f>
        <v>85.975065114075051</v>
      </c>
      <c r="BO237" s="156">
        <f t="shared" si="49"/>
        <v>129.6</v>
      </c>
      <c r="BP237" s="156">
        <f t="shared" ca="1" si="50"/>
        <v>291.59999999999997</v>
      </c>
      <c r="BQ237" s="156">
        <f t="shared" si="51"/>
        <v>237.6</v>
      </c>
      <c r="BR237" s="156">
        <f>IF(VACnom&gt;Vbat, C_MOSFET_S_VSD_L_BU*Table7[[#This Row],[Ivalley (A) C]]*Fsw*10^3*40*10^-9+C_MOSFET_S_VSD_L_BU*Table7[[#This Row],[Ipeak (A) C]]*Fsw*10^3*30*10^-9, C_MOSFET_S_VSD_H_BO*Table7[[#This Row],[Ivalley (A) C]]*Fsw*10^3*40*10^-9+C_MOSFET_S_VSD_H_BO*Table7[[#This Row],[Ipeak (A) C]]*Fsw*10^3*30*10^-9)/10^-3</f>
        <v>236.08285714285719</v>
      </c>
      <c r="BS237" s="156">
        <f t="shared" ca="1" si="52"/>
        <v>291.59999999999997</v>
      </c>
      <c r="BT237" s="156">
        <f>IF(VACnom&lt;Vbat, Table7[[#This Row],[Duty Cycle]]*Table7[[#This Row],[I_L RMS]]^2*C_MOSFET_S_RDSON_H_BU*10^-3, (1-Table7[[#This Row],[Duty Cycle]])*Table7[[#This Row],[I_L RMS]]^2*C_MOSFET_S_RDSON_H_BO*10^-3)/10^-3</f>
        <v>122.86076580721574</v>
      </c>
      <c r="BU237" s="156">
        <f ca="1">IF(VACnom&gt;Vbat, Table7[[#This Row],[PIV (mW) C]]+Table7[[#This Row],[PQoss (mW) C]]+Table7[[#This Row],[Pgate_top (mW) C]], Table7[[#This Row],[PRR (mW) C]]+Table7[[#This Row],[Pdead (mW) C]]+Table7[[#This Row],[Pgate_top (mW) C]])</f>
        <v>765.28285714285721</v>
      </c>
      <c r="BV237" s="156">
        <f ca="1">Table7[[#This Row],[Pcon_top (mW) C]]+Table7[[#This Row],[Psw_top (mW) C]]</f>
        <v>888.143622950073</v>
      </c>
      <c r="BW237" s="156">
        <f ca="1">IF(VACnom&gt;Vbat, (1-Table7[[#This Row],[Duty Cycle]])*Table7[[#This Row],[I_L RMS]]^2*C_MOSFET_S_RDSON_L_BU*10^-3, Table7[[#This Row],[Duty Cycle]]*Table7[[#This Row],[I_L RMS]]^2*C_MOSFET_S_RDSON_L_BO*10^-3)/10^-3</f>
        <v>76.518547125546633</v>
      </c>
      <c r="BX237" s="156">
        <f ca="1">IF(VACnom&gt;Vbat, Table7[[#This Row],[PRR (mW) C]]+Table7[[#This Row],[Pdead (mW) C]]+Table7[[#This Row],[Pgate_bottom (mW) C]], Table7[[#This Row],[PIV (mW) C]]+Table7[[#This Row],[PQoss (mW) C]]+Table7[[#This Row],[Pgate_bottom (mW) C]])</f>
        <v>507.17506511407498</v>
      </c>
      <c r="BY237" s="156">
        <f ca="1">Table7[[#This Row],[Pcon_bottom (mW) C]]+Table7[[#This Row],[Psw_bottom (mV) C]]</f>
        <v>583.69361223962164</v>
      </c>
      <c r="BZ237" s="156">
        <f ca="1">Table7[[#This Row],[Pbottom (mW) C]]+Table7[[#This Row],[Ptop (mW) C]]</f>
        <v>1471.8372351896946</v>
      </c>
      <c r="CA237" s="159"/>
      <c r="CB237" s="160">
        <f>(RAC_SNS*10^-3*(Table7[[#This Row],[IOUT (A)]]*Vbat/VACnom)^2/10^-3)</f>
        <v>251.16328124999998</v>
      </c>
      <c r="CC237" s="160">
        <f>(RBAT_SNS*10^-3*Table7[[#This Row],[IOUT (A)]]^2)/10^-3</f>
        <v>82.012500000000003</v>
      </c>
      <c r="CD237" s="160">
        <f>IF(VACnom&gt;Vbat,(L_DRC*10^-3*(Table7[[#This Row],[IOUT (A)]])^2/10^-3),(L_DRC*10^-3*(Table7[[#This Row],[IOUT (A)]]*Vbat/VACnom)^2/10^-3))</f>
        <v>602.79187499999989</v>
      </c>
      <c r="CE237" s="166"/>
      <c r="CF237" s="156">
        <f>(Table7[[#This Row],[R_AC (mW)]]+Table7[[#This Row],[R_SR (mW)]]+Table7[[#This Row],[Inductor Loss (mW)]])/10^3</f>
        <v>0.93596765624999989</v>
      </c>
      <c r="CG237" s="156">
        <f ca="1">Table7[[#This Row],[Total TI (mW)]]/10^3</f>
        <v>2.8785078023769595</v>
      </c>
      <c r="CH237" s="156">
        <f ca="1">Table7[[#This Row],[Total Sense Loss]]+Table7[[#This Row],[Total MOSFET Loss]]</f>
        <v>3.8144754586269594</v>
      </c>
      <c r="CI237" s="161">
        <f ca="1">IF(Table7[[#This Row],[POUT (W)]]=0,0,(Table7[[#This Row],[POUT (W)]])/(Table7[[#This Row],[POUT (W)]]+Table7[[#This Row],[Total Power Loss (W)]]))*100</f>
        <v>92.722477091966908</v>
      </c>
      <c r="CJ237" s="167"/>
      <c r="CK237" s="156">
        <f>(Table7[[#This Row],[R_AC (mW)]]+Table7[[#This Row],[R_SR (mW)]]+Table7[[#This Row],[Inductor Loss (mW)]])/10^3</f>
        <v>0.93596765624999989</v>
      </c>
      <c r="CL237" s="156">
        <f ca="1">Table7[[#This Row],[Total (mW) C]]/10^3</f>
        <v>1.4718372351896947</v>
      </c>
      <c r="CM237" s="156">
        <f ca="1">Table7[[#This Row],[Total Sense Loss C]]+Table7[[#This Row],[Total MOSFET Loss C]]</f>
        <v>2.4078048914396946</v>
      </c>
      <c r="CN237" s="161">
        <f ca="1">IF(Table7[[#This Row],[POUT (W)]]=0,0,(Table7[[#This Row],[POUT (W)]])/(Table7[[#This Row],[POUT (W)]]+Table7[[#This Row],[Total Power Loss (W) C]]))*100</f>
        <v>95.279536344360935</v>
      </c>
      <c r="CO237" s="167"/>
      <c r="CP237" s="161">
        <f>IF(MOSFET_S=Custom_MOSFET,Table7[[#This Row],[Total Sense Loss C]],Table7[[#This Row],[Total Sense Loss]])</f>
        <v>0.93596765624999989</v>
      </c>
      <c r="CQ237" s="161">
        <f ca="1">IF(MOSFET_S=Custom_MOSFET,Table7[[#This Row],[Total MOSFET Loss C]],Table7[[#This Row],[Total MOSFET Loss]])</f>
        <v>2.8785078023769595</v>
      </c>
      <c r="CR237" s="161">
        <f ca="1">IF(MOSFET_S=Custom_MOSFET,Table7[[#This Row],[Efficiency C]],Table7[[#This Row],[Efficiency]])</f>
        <v>92.722477091966908</v>
      </c>
      <c r="CS237" s="167"/>
      <c r="CT237" s="161">
        <f>IF(MOSFET_S=Compare_MOSFET, Table7[[#This Row],[Total Sense Loss C]], -100)</f>
        <v>-100</v>
      </c>
      <c r="CU237" s="161">
        <f>IF(MOSFET_S=Compare_MOSFET, Table7[[#This Row],[Total MOSFET Loss C]], -100)</f>
        <v>-100</v>
      </c>
      <c r="CV237" s="161">
        <f>IF(MOSFET_S=Compare_MOSFET, Table7[[#This Row],[Efficiency C]], -100)</f>
        <v>-100</v>
      </c>
      <c r="CW237" s="167"/>
      <c r="CX237" s="161">
        <f ca="1">IF(Save_Sel=CLR_Save,  Table7[[#This Row],[Total Sense Loss P1]], Table7[[#This Row],[Total Sense Loss P1 Saved]])</f>
        <v>0.93596765624999989</v>
      </c>
      <c r="CY237" s="161">
        <f ca="1">IF(Save_Sel=CLR_Save,  Table7[[#This Row],[Total MOSFET Loss P1]], Table7[[#This Row],[Total MOSFET Loss P1 Saved]] )</f>
        <v>2.1986240098611596</v>
      </c>
      <c r="CZ237" s="161">
        <f ca="1">IF(Save_Sel=CLR_Save, Table7[[#This Row],[Efficiency P1]], Table7[[#This Row],[Efficiency P1 Saved]])</f>
        <v>93.941014000184936</v>
      </c>
      <c r="DA237" s="167"/>
      <c r="DB237" s="161">
        <f ca="1">IF(Save_Sel=CLR_Save,  Table7[[#This Row],[Total Sense Loss P2]], Table7[[#This Row],[Total Sense Loss P2 Saved]])</f>
        <v>0.93596765624999989</v>
      </c>
      <c r="DC237" s="161">
        <f ca="1">IF(Save_Sel=CLR_Save,  Table7[[#This Row],[Total MOSFET Loss P2]], Table7[[#This Row],[Total MOSFET Loss P2 Saved]] )</f>
        <v>1.5344947236793718</v>
      </c>
      <c r="DD237" s="161">
        <f ca="1">IF(Save_Sel=CLR_Save, Table7[[#This Row],[Efficiency P2]], Table7[[#This Row],[Efficiency P2 Saved]])</f>
        <v>95.16263948904394</v>
      </c>
      <c r="DE237" s="167"/>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row>
    <row r="238" spans="1:165" x14ac:dyDescent="0.25">
      <c r="A238" s="70"/>
      <c r="B238" s="70"/>
      <c r="C238" s="70"/>
      <c r="D238" s="70"/>
      <c r="E238" s="70"/>
      <c r="F238" s="70"/>
      <c r="G238" s="70"/>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154">
        <f t="shared" si="54"/>
        <v>82</v>
      </c>
      <c r="AG238" s="154">
        <f t="shared" si="53"/>
        <v>4.0999999999999996</v>
      </c>
      <c r="AH238" s="155">
        <f t="shared" si="42"/>
        <v>49.199999999999996</v>
      </c>
      <c r="AI238" s="156">
        <f t="shared" si="43"/>
        <v>0.42857142857142855</v>
      </c>
      <c r="AJ238" s="156">
        <f t="shared" si="44"/>
        <v>7.1749999999999998</v>
      </c>
      <c r="AK238" s="156">
        <f t="shared" si="40"/>
        <v>0.85714285714285721</v>
      </c>
      <c r="AL238" s="156">
        <f t="shared" si="41"/>
        <v>7.1792652472099059</v>
      </c>
      <c r="AM238" s="157"/>
      <c r="AN238" s="156">
        <f>MAX(0,Table7[[#This Row],[I_L]]-0.5*Table7[[#This Row],[I_L pkpk]])</f>
        <v>6.746428571428571</v>
      </c>
      <c r="AO238" s="156">
        <f>Table7[[#This Row],[I_L]]+0.5*Table7[[#This Row],[I_L pkpk]]</f>
        <v>7.6035714285714286</v>
      </c>
      <c r="AP238" s="156">
        <f ca="1">IF(VACnom&gt;Vbat, (VGS_S-(TI_MOSFET_S_VTH_H_BU+Table7[[#This Row],[I_L]]/TI_MOSFET_S_gFS_H_BU))/3.4, (VGS_S-(TI_MOSFET_S_VTH_L_BO+Table7[[#This Row],[I_L]]/TI_MOSFET_S_gFS_L_BO))/3.4 )</f>
        <v>2.4102375565610861</v>
      </c>
      <c r="AQ238" s="156">
        <f ca="1">IF(VACnom&gt;Vbat, ((TI_MOSFET_S_VTH_H_BU+Table7[[#This Row],[I_L]]/TI_MOSFET_S_gFS_H_BU))/1, ((TI_MOSFET_S_VTH_L_BO+Table7[[#This Row],[I_L]]/TI_MOSFET_S_gFS_L_BO))/1 )</f>
        <v>1.8051923076923078</v>
      </c>
      <c r="AR238" s="156">
        <f ca="1">IF(VACnom&gt;Vbat, (TI_MOSFET_S_QGD_H_BU+TI_MOSFET_S_QGS_H_BU)*10^-9/Table7[[#This Row],[Ion (A)]], (TI_MOSFET_S_QGD_L_BO+TI_MOSFET_S_QGS_L_BO)*10^-9/Table7[[#This Row],[Ion (A)]])/10^-9</f>
        <v>11.949029638842607</v>
      </c>
      <c r="AS238" s="156">
        <f ca="1">IF(VACnom&gt;Vbat, (TI_MOSFET_S_QGD_H_BU+TI_MOSFET_S_QGS_H_BU)*10^-9/Table7[[#This Row],[Ioff (A)]], (TI_MOSFET_S_QGD_L_BO+TI_MOSFET_S_QGS_L_BO)*10^-9/Table7[[#This Row],[Ioff (A)]])/10^-9</f>
        <v>15.953978906999042</v>
      </c>
      <c r="AT238" s="156">
        <f ca="1" xml:space="preserve"> 0.5*VACnom*Table7[[#This Row],[Ivalley (A)]]*Table7[[#This Row],[ton (ns)]]*10^-9*Fsw*10^3+0.5*VACnom*Table7[[#This Row],[Ipeak (A)]]*Table7[[#This Row],[toff (ns)]]*10^-9*Fsw*10^3/10^-3</f>
        <v>436.99619327128374</v>
      </c>
      <c r="AU238" s="156">
        <f t="shared" ca="1" si="45"/>
        <v>262.8</v>
      </c>
      <c r="AV238" s="156">
        <f t="shared" ca="1" si="46"/>
        <v>648</v>
      </c>
      <c r="AW238" s="156">
        <f t="shared" ca="1" si="47"/>
        <v>554.4</v>
      </c>
      <c r="AX238" s="156">
        <f ca="1">IF(VACnom&gt;Vbat, TI_MOSFET_S_VSD_L_BU*Table7[[#This Row],[Ivalley (A)]]*Fsw*10^3*40*10^-9+TI_MOSFET_S_VSD_L_BU*Table7[[#This Row],[Ipeak (A)]]*Fsw*10^3*30*10^-9, TI_MOSFET_S_VSD_H_BO*Table7[[#This Row],[Ivalley (A)]]*Fsw*10^3*40*10^-9+TI_MOSFET_S_VSD_H_BO*Table7[[#This Row],[Ipeak (A)]]*Fsw*10^3*30*10^-9)/10^-3</f>
        <v>215.1205714285714</v>
      </c>
      <c r="AY238" s="156">
        <f t="shared" ca="1" si="48"/>
        <v>648</v>
      </c>
      <c r="AZ238" s="156">
        <f ca="1">IF(VACnom&lt;Vbat, Table7[[#This Row],[Duty Cycle]]*Table7[[#This Row],[I_L RMS]]^2*TI_MOSFET_S_RDSON_H_BU*10^-3, (1-Table7[[#This Row],[Duty Cycle]])*Table7[[#This Row],[I_L RMS]]^2*TI_MOSFET_S_RDSON_H_BO*10^-3)/10^-3</f>
        <v>61.850219387755082</v>
      </c>
      <c r="BA238" s="156">
        <f ca="1">IF(VACnom&gt;Vbat, Table7[[#This Row],[PIV (mW)]]+Table7[[#This Row],[Pqoss (mW)]]+Table7[[#This Row],[Pgate_top (mW)]], Table7[[#This Row],[PRR (mW)]]+Table7[[#This Row],[Pdead (mW)]]+Table7[[#This Row],[Pgate_top (mW)]])</f>
        <v>1417.5205714285714</v>
      </c>
      <c r="BB238" s="156">
        <f ca="1">Table7[[#This Row],[Pcon_top (mW)]]+Table7[[#This Row],[Psw_top (mW)]]</f>
        <v>1479.3707908163265</v>
      </c>
      <c r="BC238" s="156">
        <f ca="1">IF(VACnom&gt;Vbat, (1-Table7[[#This Row],[Duty Cycle]])*Table7[[#This Row],[I_L RMS]]^2*TI_MOSFET_S_RDSON_L_BU*10^-3, Table7[[#This Row],[Duty Cycle]]*Table7[[#This Row],[I_L RMS]]^2*TI_MOSFET_S_RDSON_L_BO*10^-3)/10^-3</f>
        <v>61.850219387755082</v>
      </c>
      <c r="BD238" s="156">
        <f ca="1">IF(VACnom&gt;Vbat, Table7[[#This Row],[PRR (mW)]]+Table7[[#This Row],[Pdead (mW)]]+Table7[[#This Row],[Pgate_bottom (mW)]], Table7[[#This Row],[PIV (mW)]]+Table7[[#This Row],[Pqoss (mW)]]+Table7[[#This Row],[Pgate_bottom (mW)]])</f>
        <v>1347.7961932712838</v>
      </c>
      <c r="BE238" s="158">
        <f ca="1">Table7[[#This Row],[Pcon_bottom (mW)]]+Table7[[#This Row],[Psw_bottom (mW)]]</f>
        <v>1409.6464126590388</v>
      </c>
      <c r="BF238" s="164">
        <f ca="1">Table7[[#This Row],[Pbottom (mW)]]+Table7[[#This Row],[Ptop (mW)]]</f>
        <v>2889.017203475365</v>
      </c>
      <c r="BG238" s="153"/>
      <c r="BH238" s="156">
        <f>MAX(0,Table7[[#This Row],[I_L]]-0.5*Table7[[#This Row],[I_L pkpk]])</f>
        <v>6.746428571428571</v>
      </c>
      <c r="BI238" s="156">
        <f>Table7[[#This Row],[I_L]]+0.5*Table7[[#This Row],[I_L pkpk]]</f>
        <v>7.6035714285714286</v>
      </c>
      <c r="BJ238" s="156">
        <f>IF(VACnom&gt;Vbat, (VGS_S-(C_MOSFET_S_VTH_H_BU+Table7[[#This Row],[I_L]]/C_MOSFET_S_gFS_H_BU))/3.4, (VGS_S-(C_MOSFET_S_VTH_L_BO+Table7[[#This Row],[I_L]]/C_MOSFET_S_gFS_L_BO))/3.4 )</f>
        <v>2.3388725490196078</v>
      </c>
      <c r="BK238" s="156">
        <f>IF(VACnom&gt;Vbat, ((C_MOSFET_S_VTH_H_BU+Table7[[#This Row],[I_L]]/C_MOSFET_S_gFS_H_BU))/1, ((C_MOSFET_S_VTH_L_BO+Table7[[#This Row],[I_L]]/C_MOSFET_S_gFS_L_BO))/1 )</f>
        <v>2.0478333333333332</v>
      </c>
      <c r="BL238" s="156">
        <f>IF(VACnom&gt;Vbat, (C_MOSFET_S_QGD_H_BU+C_MOSFET_S_QGS_H_BU)*10^-9/Table7[[#This Row],[Ion (A) C]], (C_MOSFET_S_QGD_L_BO+C_MOSFET_S_QGS_L_BO)*10^-9/Table7[[#This Row],[Ion (A) C]])/10^-9</f>
        <v>2.7791168025485713</v>
      </c>
      <c r="BM238" s="156">
        <f>IF(VACnom&gt;Vbat, (C_MOSFET_S_QGD_H_BU+C_MOSFET_S_QGS_H_BU)*10^-9/Table7[[#This Row],[Ioff (A) C]], (C_MOSFET_S_QGD_L_BO+C_MOSFET_S_QGS_L_BO)*10^-9/Table7[[#This Row],[Ioff (A) C]])/10^-9</f>
        <v>3.1740864328151708</v>
      </c>
      <c r="BN238" s="156">
        <f xml:space="preserve"> 0.5*VACnom*Table7[[#This Row],[Ivalley (A) C]]*Table7[[#This Row],[ton (ns) C]]*10^-9*Fsw*10^3+0.5*VACnom*Table7[[#This Row],[Ipeak (A) C]]*Table7[[#This Row],[toff (ns) C]]*10^-9*Fsw*10^3/10^-3</f>
        <v>86.951311291330867</v>
      </c>
      <c r="BO238" s="156">
        <f t="shared" si="49"/>
        <v>129.6</v>
      </c>
      <c r="BP238" s="156">
        <f t="shared" ca="1" si="50"/>
        <v>291.59999999999997</v>
      </c>
      <c r="BQ238" s="156">
        <f t="shared" si="51"/>
        <v>237.6</v>
      </c>
      <c r="BR238" s="156">
        <f>IF(VACnom&gt;Vbat, C_MOSFET_S_VSD_L_BU*Table7[[#This Row],[Ivalley (A) C]]*Fsw*10^3*40*10^-9+C_MOSFET_S_VSD_L_BU*Table7[[#This Row],[Ipeak (A) C]]*Fsw*10^3*30*10^-9, C_MOSFET_S_VSD_H_BO*Table7[[#This Row],[Ivalley (A) C]]*Fsw*10^3*40*10^-9+C_MOSFET_S_VSD_H_BO*Table7[[#This Row],[Ipeak (A) C]]*Fsw*10^3*30*10^-9)/10^-3</f>
        <v>239.02285714285716</v>
      </c>
      <c r="BS238" s="156">
        <f t="shared" ca="1" si="52"/>
        <v>291.59999999999997</v>
      </c>
      <c r="BT238" s="156">
        <f>IF(VACnom&lt;Vbat, Table7[[#This Row],[Duty Cycle]]*Table7[[#This Row],[I_L RMS]]^2*C_MOSFET_S_RDSON_H_BU*10^-3, (1-Table7[[#This Row],[Duty Cycle]])*Table7[[#This Row],[I_L RMS]]^2*C_MOSFET_S_RDSON_H_BO*10^-3)/10^-3</f>
        <v>125.90937518221573</v>
      </c>
      <c r="BU238" s="156">
        <f ca="1">IF(VACnom&gt;Vbat, Table7[[#This Row],[PIV (mW) C]]+Table7[[#This Row],[PQoss (mW) C]]+Table7[[#This Row],[Pgate_top (mW) C]], Table7[[#This Row],[PRR (mW) C]]+Table7[[#This Row],[Pdead (mW) C]]+Table7[[#This Row],[Pgate_top (mW) C]])</f>
        <v>768.22285714285704</v>
      </c>
      <c r="BV238" s="156">
        <f ca="1">Table7[[#This Row],[Pcon_top (mW) C]]+Table7[[#This Row],[Psw_top (mW) C]]</f>
        <v>894.13223232507278</v>
      </c>
      <c r="BW238" s="156">
        <f ca="1">IF(VACnom&gt;Vbat, (1-Table7[[#This Row],[Duty Cycle]])*Table7[[#This Row],[I_L RMS]]^2*C_MOSFET_S_RDSON_L_BU*10^-3, Table7[[#This Row],[Duty Cycle]]*Table7[[#This Row],[I_L RMS]]^2*C_MOSFET_S_RDSON_L_BO*10^-3)/10^-3</f>
        <v>78.417242438046628</v>
      </c>
      <c r="BX238" s="156">
        <f ca="1">IF(VACnom&gt;Vbat, Table7[[#This Row],[PRR (mW) C]]+Table7[[#This Row],[Pdead (mW) C]]+Table7[[#This Row],[Pgate_bottom (mW) C]], Table7[[#This Row],[PIV (mW) C]]+Table7[[#This Row],[PQoss (mW) C]]+Table7[[#This Row],[Pgate_bottom (mW) C]])</f>
        <v>508.15131129133084</v>
      </c>
      <c r="BY238" s="156">
        <f ca="1">Table7[[#This Row],[Pcon_bottom (mW) C]]+Table7[[#This Row],[Psw_bottom (mV) C]]</f>
        <v>586.56855372937753</v>
      </c>
      <c r="BZ238" s="156">
        <f ca="1">Table7[[#This Row],[Pbottom (mW) C]]+Table7[[#This Row],[Ptop (mW) C]]</f>
        <v>1480.7007860544504</v>
      </c>
      <c r="CA238" s="159"/>
      <c r="CB238" s="160">
        <f>(RAC_SNS*10^-3*(Table7[[#This Row],[IOUT (A)]]*Vbat/VACnom)^2/10^-3)</f>
        <v>257.40312499999999</v>
      </c>
      <c r="CC238" s="160">
        <f>(RBAT_SNS*10^-3*Table7[[#This Row],[IOUT (A)]]^2)/10^-3</f>
        <v>84.05</v>
      </c>
      <c r="CD238" s="160">
        <f>IF(VACnom&gt;Vbat,(L_DRC*10^-3*(Table7[[#This Row],[IOUT (A)]])^2/10^-3),(L_DRC*10^-3*(Table7[[#This Row],[IOUT (A)]]*Vbat/VACnom)^2/10^-3))</f>
        <v>617.76749999999993</v>
      </c>
      <c r="CE238" s="166"/>
      <c r="CF238" s="156">
        <f>(Table7[[#This Row],[R_AC (mW)]]+Table7[[#This Row],[R_SR (mW)]]+Table7[[#This Row],[Inductor Loss (mW)]])/10^3</f>
        <v>0.95922062499999994</v>
      </c>
      <c r="CG238" s="156">
        <f ca="1">Table7[[#This Row],[Total TI (mW)]]/10^3</f>
        <v>2.8890172034753649</v>
      </c>
      <c r="CH238" s="156">
        <f ca="1">Table7[[#This Row],[Total Sense Loss]]+Table7[[#This Row],[Total MOSFET Loss]]</f>
        <v>3.8482378284753649</v>
      </c>
      <c r="CI238" s="161">
        <f ca="1">IF(Table7[[#This Row],[POUT (W)]]=0,0,(Table7[[#This Row],[POUT (W)]])/(Table7[[#This Row],[POUT (W)]]+Table7[[#This Row],[Total Power Loss (W)]]))*100</f>
        <v>92.745776323582803</v>
      </c>
      <c r="CJ238" s="167"/>
      <c r="CK238" s="156">
        <f>(Table7[[#This Row],[R_AC (mW)]]+Table7[[#This Row],[R_SR (mW)]]+Table7[[#This Row],[Inductor Loss (mW)]])/10^3</f>
        <v>0.95922062499999994</v>
      </c>
      <c r="CL238" s="156">
        <f ca="1">Table7[[#This Row],[Total (mW) C]]/10^3</f>
        <v>1.4807007860544503</v>
      </c>
      <c r="CM238" s="156">
        <f ca="1">Table7[[#This Row],[Total Sense Loss C]]+Table7[[#This Row],[Total MOSFET Loss C]]</f>
        <v>2.43992141105445</v>
      </c>
      <c r="CN238" s="161">
        <f ca="1">IF(Table7[[#This Row],[POUT (W)]]=0,0,(Table7[[#This Row],[POUT (W)]])/(Table7[[#This Row],[POUT (W)]]+Table7[[#This Row],[Total Power Loss (W) C]]))*100</f>
        <v>95.275125630744782</v>
      </c>
      <c r="CO238" s="167"/>
      <c r="CP238" s="161">
        <f>IF(MOSFET_S=Custom_MOSFET,Table7[[#This Row],[Total Sense Loss C]],Table7[[#This Row],[Total Sense Loss]])</f>
        <v>0.95922062499999994</v>
      </c>
      <c r="CQ238" s="161">
        <f ca="1">IF(MOSFET_S=Custom_MOSFET,Table7[[#This Row],[Total MOSFET Loss C]],Table7[[#This Row],[Total MOSFET Loss]])</f>
        <v>2.8890172034753649</v>
      </c>
      <c r="CR238" s="161">
        <f ca="1">IF(MOSFET_S=Custom_MOSFET,Table7[[#This Row],[Efficiency C]],Table7[[#This Row],[Efficiency]])</f>
        <v>92.745776323582803</v>
      </c>
      <c r="CS238" s="167"/>
      <c r="CT238" s="161">
        <f>IF(MOSFET_S=Compare_MOSFET, Table7[[#This Row],[Total Sense Loss C]], -100)</f>
        <v>-100</v>
      </c>
      <c r="CU238" s="161">
        <f>IF(MOSFET_S=Compare_MOSFET, Table7[[#This Row],[Total MOSFET Loss C]], -100)</f>
        <v>-100</v>
      </c>
      <c r="CV238" s="161">
        <f>IF(MOSFET_S=Compare_MOSFET, Table7[[#This Row],[Efficiency C]], -100)</f>
        <v>-100</v>
      </c>
      <c r="CW238" s="167"/>
      <c r="CX238" s="161">
        <f ca="1">IF(Save_Sel=CLR_Save,  Table7[[#This Row],[Total Sense Loss P1]], Table7[[#This Row],[Total Sense Loss P1 Saved]])</f>
        <v>0.95922062499999994</v>
      </c>
      <c r="CY238" s="161">
        <f ca="1">IF(Save_Sel=CLR_Save,  Table7[[#This Row],[Total MOSFET Loss P1]], Table7[[#This Row],[Total MOSFET Loss P1 Saved]] )</f>
        <v>2.2099435526366418</v>
      </c>
      <c r="CZ238" s="161">
        <f ca="1">IF(Save_Sel=CLR_Save, Table7[[#This Row],[Efficiency P1]], Table7[[#This Row],[Efficiency P1 Saved]])</f>
        <v>93.948415585005691</v>
      </c>
      <c r="DA238" s="167"/>
      <c r="DB238" s="161">
        <f ca="1">IF(Save_Sel=CLR_Save,  Table7[[#This Row],[Total Sense Loss P2]], Table7[[#This Row],[Total Sense Loss P2 Saved]])</f>
        <v>0.95922062499999994</v>
      </c>
      <c r="DC238" s="161">
        <f ca="1">IF(Save_Sel=CLR_Save,  Table7[[#This Row],[Total MOSFET Loss P2]], Table7[[#This Row],[Total MOSFET Loss P2 Saved]] )</f>
        <v>1.5449113314108227</v>
      </c>
      <c r="DD238" s="161">
        <f ca="1">IF(Save_Sel=CLR_Save, Table7[[#This Row],[Efficiency P2]], Table7[[#This Row],[Efficiency P2 Saved]])</f>
        <v>95.156804956087583</v>
      </c>
      <c r="DE238" s="167"/>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1"/>
      <c r="FH238" s="21"/>
      <c r="FI238" s="21"/>
    </row>
    <row r="239" spans="1:165" x14ac:dyDescent="0.25">
      <c r="A239" s="70"/>
      <c r="B239" s="70"/>
      <c r="C239" s="70"/>
      <c r="D239" s="70"/>
      <c r="E239" s="70"/>
      <c r="F239" s="70"/>
      <c r="G239" s="70"/>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154">
        <f t="shared" si="54"/>
        <v>83</v>
      </c>
      <c r="AG239" s="154">
        <f t="shared" si="53"/>
        <v>4.1500000000000004</v>
      </c>
      <c r="AH239" s="155">
        <f t="shared" si="42"/>
        <v>49.800000000000004</v>
      </c>
      <c r="AI239" s="156">
        <f t="shared" si="43"/>
        <v>0.42857142857142855</v>
      </c>
      <c r="AJ239" s="156">
        <f t="shared" si="44"/>
        <v>7.2625000000000011</v>
      </c>
      <c r="AK239" s="156">
        <f t="shared" si="40"/>
        <v>0.85714285714285721</v>
      </c>
      <c r="AL239" s="156">
        <f t="shared" si="41"/>
        <v>7.266713888670445</v>
      </c>
      <c r="AM239" s="157"/>
      <c r="AN239" s="156">
        <f>MAX(0,Table7[[#This Row],[I_L]]-0.5*Table7[[#This Row],[I_L pkpk]])</f>
        <v>6.8339285714285722</v>
      </c>
      <c r="AO239" s="156">
        <f>Table7[[#This Row],[I_L]]+0.5*Table7[[#This Row],[I_L pkpk]]</f>
        <v>7.6910714285714299</v>
      </c>
      <c r="AP239" s="156">
        <f ca="1">IF(VACnom&gt;Vbat, (VGS_S-(TI_MOSFET_S_VTH_H_BU+Table7[[#This Row],[I_L]]/TI_MOSFET_S_gFS_H_BU))/3.4, (VGS_S-(TI_MOSFET_S_VTH_L_BO+Table7[[#This Row],[I_L]]/TI_MOSFET_S_gFS_L_BO))/3.4 )</f>
        <v>2.4100395927601812</v>
      </c>
      <c r="AQ239" s="156">
        <f ca="1">IF(VACnom&gt;Vbat, ((TI_MOSFET_S_VTH_H_BU+Table7[[#This Row],[I_L]]/TI_MOSFET_S_gFS_H_BU))/1, ((TI_MOSFET_S_VTH_L_BO+Table7[[#This Row],[I_L]]/TI_MOSFET_S_gFS_L_BO))/1 )</f>
        <v>1.8058653846153847</v>
      </c>
      <c r="AR239" s="156">
        <f ca="1">IF(VACnom&gt;Vbat, (TI_MOSFET_S_QGD_H_BU+TI_MOSFET_S_QGS_H_BU)*10^-9/Table7[[#This Row],[Ion (A)]], (TI_MOSFET_S_QGD_L_BO+TI_MOSFET_S_QGS_L_BO)*10^-9/Table7[[#This Row],[Ion (A)]])/10^-9</f>
        <v>11.950011147748741</v>
      </c>
      <c r="AS239" s="156">
        <f ca="1">IF(VACnom&gt;Vbat, (TI_MOSFET_S_QGD_H_BU+TI_MOSFET_S_QGS_H_BU)*10^-9/Table7[[#This Row],[Ioff (A)]], (TI_MOSFET_S_QGD_L_BO+TI_MOSFET_S_QGS_L_BO)*10^-9/Table7[[#This Row],[Ioff (A)]])/10^-9</f>
        <v>15.948032586124274</v>
      </c>
      <c r="AT239" s="156">
        <f ca="1" xml:space="preserve"> 0.5*VACnom*Table7[[#This Row],[Ivalley (A)]]*Table7[[#This Row],[ton (ns)]]*10^-9*Fsw*10^3+0.5*VACnom*Table7[[#This Row],[Ipeak (A)]]*Table7[[#This Row],[toff (ns)]]*10^-9*Fsw*10^3/10^-3</f>
        <v>441.86084383564094</v>
      </c>
      <c r="AU239" s="156">
        <f t="shared" ca="1" si="45"/>
        <v>262.8</v>
      </c>
      <c r="AV239" s="156">
        <f t="shared" ca="1" si="46"/>
        <v>648</v>
      </c>
      <c r="AW239" s="156">
        <f t="shared" ca="1" si="47"/>
        <v>554.4</v>
      </c>
      <c r="AX239" s="156">
        <f ca="1">IF(VACnom&gt;Vbat, TI_MOSFET_S_VSD_L_BU*Table7[[#This Row],[Ivalley (A)]]*Fsw*10^3*40*10^-9+TI_MOSFET_S_VSD_L_BU*Table7[[#This Row],[Ipeak (A)]]*Fsw*10^3*30*10^-9, TI_MOSFET_S_VSD_H_BO*Table7[[#This Row],[Ivalley (A)]]*Fsw*10^3*40*10^-9+TI_MOSFET_S_VSD_H_BO*Table7[[#This Row],[Ipeak (A)]]*Fsw*10^3*30*10^-9)/10^-3</f>
        <v>217.76657142857147</v>
      </c>
      <c r="AY239" s="156">
        <f t="shared" ca="1" si="48"/>
        <v>648</v>
      </c>
      <c r="AZ239" s="156">
        <f ca="1">IF(VACnom&lt;Vbat, Table7[[#This Row],[Duty Cycle]]*Table7[[#This Row],[I_L RMS]]^2*TI_MOSFET_S_RDSON_H_BU*10^-3, (1-Table7[[#This Row],[Duty Cycle]])*Table7[[#This Row],[I_L RMS]]^2*TI_MOSFET_S_RDSON_H_BO*10^-3)/10^-3</f>
        <v>63.366156887755125</v>
      </c>
      <c r="BA239" s="156">
        <f ca="1">IF(VACnom&gt;Vbat, Table7[[#This Row],[PIV (mW)]]+Table7[[#This Row],[Pqoss (mW)]]+Table7[[#This Row],[Pgate_top (mW)]], Table7[[#This Row],[PRR (mW)]]+Table7[[#This Row],[Pdead (mW)]]+Table7[[#This Row],[Pgate_top (mW)]])</f>
        <v>1420.1665714285714</v>
      </c>
      <c r="BB239" s="156">
        <f ca="1">Table7[[#This Row],[Pcon_top (mW)]]+Table7[[#This Row],[Psw_top (mW)]]</f>
        <v>1483.5327283163265</v>
      </c>
      <c r="BC239" s="156">
        <f ca="1">IF(VACnom&gt;Vbat, (1-Table7[[#This Row],[Duty Cycle]])*Table7[[#This Row],[I_L RMS]]^2*TI_MOSFET_S_RDSON_L_BU*10^-3, Table7[[#This Row],[Duty Cycle]]*Table7[[#This Row],[I_L RMS]]^2*TI_MOSFET_S_RDSON_L_BO*10^-3)/10^-3</f>
        <v>63.366156887755125</v>
      </c>
      <c r="BD239" s="156">
        <f ca="1">IF(VACnom&gt;Vbat, Table7[[#This Row],[PRR (mW)]]+Table7[[#This Row],[Pdead (mW)]]+Table7[[#This Row],[Pgate_bottom (mW)]], Table7[[#This Row],[PIV (mW)]]+Table7[[#This Row],[Pqoss (mW)]]+Table7[[#This Row],[Pgate_bottom (mW)]])</f>
        <v>1352.6608438356409</v>
      </c>
      <c r="BE239" s="158">
        <f ca="1">Table7[[#This Row],[Pcon_bottom (mW)]]+Table7[[#This Row],[Psw_bottom (mW)]]</f>
        <v>1416.027000723396</v>
      </c>
      <c r="BF239" s="164">
        <f ca="1">Table7[[#This Row],[Pbottom (mW)]]+Table7[[#This Row],[Ptop (mW)]]</f>
        <v>2899.5597290397227</v>
      </c>
      <c r="BG239" s="153"/>
      <c r="BH239" s="156">
        <f>MAX(0,Table7[[#This Row],[I_L]]-0.5*Table7[[#This Row],[I_L pkpk]])</f>
        <v>6.8339285714285722</v>
      </c>
      <c r="BI239" s="156">
        <f>Table7[[#This Row],[I_L]]+0.5*Table7[[#This Row],[I_L pkpk]]</f>
        <v>7.6910714285714299</v>
      </c>
      <c r="BJ239" s="156">
        <f>IF(VACnom&gt;Vbat, (VGS_S-(C_MOSFET_S_VTH_H_BU+Table7[[#This Row],[I_L]]/C_MOSFET_S_gFS_H_BU))/3.4, (VGS_S-(C_MOSFET_S_VTH_L_BO+Table7[[#This Row],[I_L]]/C_MOSFET_S_gFS_L_BO))/3.4 )</f>
        <v>2.338700980392157</v>
      </c>
      <c r="BK239" s="156">
        <f>IF(VACnom&gt;Vbat, ((C_MOSFET_S_VTH_H_BU+Table7[[#This Row],[I_L]]/C_MOSFET_S_gFS_H_BU))/1, ((C_MOSFET_S_VTH_L_BO+Table7[[#This Row],[I_L]]/C_MOSFET_S_gFS_L_BO))/1 )</f>
        <v>2.0484166666666668</v>
      </c>
      <c r="BL239" s="156">
        <f>IF(VACnom&gt;Vbat, (C_MOSFET_S_QGD_H_BU+C_MOSFET_S_QGS_H_BU)*10^-9/Table7[[#This Row],[Ion (A) C]], (C_MOSFET_S_QGD_L_BO+C_MOSFET_S_QGS_L_BO)*10^-9/Table7[[#This Row],[Ion (A) C]])/10^-9</f>
        <v>2.7793206803676416</v>
      </c>
      <c r="BM239" s="156">
        <f>IF(VACnom&gt;Vbat, (C_MOSFET_S_QGD_H_BU+C_MOSFET_S_QGS_H_BU)*10^-9/Table7[[#This Row],[Ioff (A) C]], (C_MOSFET_S_QGD_L_BO+C_MOSFET_S_QGS_L_BO)*10^-9/Table7[[#This Row],[Ioff (A) C]])/10^-9</f>
        <v>3.1731825393596678</v>
      </c>
      <c r="BN239" s="156">
        <f xml:space="preserve"> 0.5*VACnom*Table7[[#This Row],[Ivalley (A) C]]*Table7[[#This Row],[ton (ns) C]]*10^-9*Fsw*10^3+0.5*VACnom*Table7[[#This Row],[Ipeak (A) C]]*Table7[[#This Row],[toff (ns) C]]*10^-9*Fsw*10^3/10^-3</f>
        <v>87.927002082423371</v>
      </c>
      <c r="BO239" s="156">
        <f t="shared" si="49"/>
        <v>129.6</v>
      </c>
      <c r="BP239" s="156">
        <f t="shared" ca="1" si="50"/>
        <v>291.59999999999997</v>
      </c>
      <c r="BQ239" s="156">
        <f t="shared" si="51"/>
        <v>237.6</v>
      </c>
      <c r="BR239" s="156">
        <f>IF(VACnom&gt;Vbat, C_MOSFET_S_VSD_L_BU*Table7[[#This Row],[Ivalley (A) C]]*Fsw*10^3*40*10^-9+C_MOSFET_S_VSD_L_BU*Table7[[#This Row],[Ipeak (A) C]]*Fsw*10^3*30*10^-9, C_MOSFET_S_VSD_H_BO*Table7[[#This Row],[Ivalley (A) C]]*Fsw*10^3*40*10^-9+C_MOSFET_S_VSD_H_BO*Table7[[#This Row],[Ipeak (A) C]]*Fsw*10^3*30*10^-9)/10^-3</f>
        <v>241.96285714285719</v>
      </c>
      <c r="BS239" s="156">
        <f t="shared" ca="1" si="52"/>
        <v>291.59999999999997</v>
      </c>
      <c r="BT239" s="156">
        <f>IF(VACnom&lt;Vbat, Table7[[#This Row],[Duty Cycle]]*Table7[[#This Row],[I_L RMS]]^2*C_MOSFET_S_RDSON_H_BU*10^-3, (1-Table7[[#This Row],[Duty Cycle]])*Table7[[#This Row],[I_L RMS]]^2*C_MOSFET_S_RDSON_H_BO*10^-3)/10^-3</f>
        <v>128.99539080721581</v>
      </c>
      <c r="BU239" s="156">
        <f ca="1">IF(VACnom&gt;Vbat, Table7[[#This Row],[PIV (mW) C]]+Table7[[#This Row],[PQoss (mW) C]]+Table7[[#This Row],[Pgate_top (mW) C]], Table7[[#This Row],[PRR (mW) C]]+Table7[[#This Row],[Pdead (mW) C]]+Table7[[#This Row],[Pgate_top (mW) C]])</f>
        <v>771.16285714285709</v>
      </c>
      <c r="BV239" s="156">
        <f ca="1">Table7[[#This Row],[Pcon_top (mW) C]]+Table7[[#This Row],[Psw_top (mW) C]]</f>
        <v>900.15824795007291</v>
      </c>
      <c r="BW239" s="156">
        <f ca="1">IF(VACnom&gt;Vbat, (1-Table7[[#This Row],[Duty Cycle]])*Table7[[#This Row],[I_L RMS]]^2*C_MOSFET_S_RDSON_L_BU*10^-3, Table7[[#This Row],[Duty Cycle]]*Table7[[#This Row],[I_L RMS]]^2*C_MOSFET_S_RDSON_L_BO*10^-3)/10^-3</f>
        <v>80.33923462554668</v>
      </c>
      <c r="BX239" s="156">
        <f ca="1">IF(VACnom&gt;Vbat, Table7[[#This Row],[PRR (mW) C]]+Table7[[#This Row],[Pdead (mW) C]]+Table7[[#This Row],[Pgate_bottom (mW) C]], Table7[[#This Row],[PIV (mW) C]]+Table7[[#This Row],[PQoss (mW) C]]+Table7[[#This Row],[Pgate_bottom (mW) C]])</f>
        <v>509.12700208242336</v>
      </c>
      <c r="BY239" s="156">
        <f ca="1">Table7[[#This Row],[Pcon_bottom (mW) C]]+Table7[[#This Row],[Psw_bottom (mV) C]]</f>
        <v>589.46623670796998</v>
      </c>
      <c r="BZ239" s="156">
        <f ca="1">Table7[[#This Row],[Pbottom (mW) C]]+Table7[[#This Row],[Ptop (mW) C]]</f>
        <v>1489.624484658043</v>
      </c>
      <c r="CA239" s="159"/>
      <c r="CB239" s="160">
        <f>(RAC_SNS*10^-3*(Table7[[#This Row],[IOUT (A)]]*Vbat/VACnom)^2/10^-3)</f>
        <v>263.71953125000005</v>
      </c>
      <c r="CC239" s="160">
        <f>(RBAT_SNS*10^-3*Table7[[#This Row],[IOUT (A)]]^2)/10^-3</f>
        <v>86.112500000000026</v>
      </c>
      <c r="CD239" s="160">
        <f>IF(VACnom&gt;Vbat,(L_DRC*10^-3*(Table7[[#This Row],[IOUT (A)]])^2/10^-3),(L_DRC*10^-3*(Table7[[#This Row],[IOUT (A)]]*Vbat/VACnom)^2/10^-3))</f>
        <v>632.926875</v>
      </c>
      <c r="CE239" s="166"/>
      <c r="CF239" s="156">
        <f>(Table7[[#This Row],[R_AC (mW)]]+Table7[[#This Row],[R_SR (mW)]]+Table7[[#This Row],[Inductor Loss (mW)]])/10^3</f>
        <v>0.98275890625000006</v>
      </c>
      <c r="CG239" s="156">
        <f ca="1">Table7[[#This Row],[Total TI (mW)]]/10^3</f>
        <v>2.8995597290397228</v>
      </c>
      <c r="CH239" s="156">
        <f ca="1">Table7[[#This Row],[Total Sense Loss]]+Table7[[#This Row],[Total MOSFET Loss]]</f>
        <v>3.8823186352897228</v>
      </c>
      <c r="CI239" s="161">
        <f ca="1">IF(Table7[[#This Row],[POUT (W)]]=0,0,(Table7[[#This Row],[POUT (W)]])/(Table7[[#This Row],[POUT (W)]]+Table7[[#This Row],[Total Power Loss (W)]]))*100</f>
        <v>92.767975128522934</v>
      </c>
      <c r="CJ239" s="167"/>
      <c r="CK239" s="156">
        <f>(Table7[[#This Row],[R_AC (mW)]]+Table7[[#This Row],[R_SR (mW)]]+Table7[[#This Row],[Inductor Loss (mW)]])/10^3</f>
        <v>0.98275890625000006</v>
      </c>
      <c r="CL239" s="156">
        <f ca="1">Table7[[#This Row],[Total (mW) C]]/10^3</f>
        <v>1.4896244846580431</v>
      </c>
      <c r="CM239" s="156">
        <f ca="1">Table7[[#This Row],[Total Sense Loss C]]+Table7[[#This Row],[Total MOSFET Loss C]]</f>
        <v>2.472383390908043</v>
      </c>
      <c r="CN239" s="161">
        <f ca="1">IF(Table7[[#This Row],[POUT (W)]]=0,0,(Table7[[#This Row],[POUT (W)]])/(Table7[[#This Row],[POUT (W)]]+Table7[[#This Row],[Total Power Loss (W) C]]))*100</f>
        <v>95.270191962706491</v>
      </c>
      <c r="CO239" s="167"/>
      <c r="CP239" s="161">
        <f>IF(MOSFET_S=Custom_MOSFET,Table7[[#This Row],[Total Sense Loss C]],Table7[[#This Row],[Total Sense Loss]])</f>
        <v>0.98275890625000006</v>
      </c>
      <c r="CQ239" s="161">
        <f ca="1">IF(MOSFET_S=Custom_MOSFET,Table7[[#This Row],[Total MOSFET Loss C]],Table7[[#This Row],[Total MOSFET Loss]])</f>
        <v>2.8995597290397228</v>
      </c>
      <c r="CR239" s="161">
        <f ca="1">IF(MOSFET_S=Custom_MOSFET,Table7[[#This Row],[Efficiency C]],Table7[[#This Row],[Efficiency]])</f>
        <v>92.767975128522934</v>
      </c>
      <c r="CS239" s="167"/>
      <c r="CT239" s="161">
        <f>IF(MOSFET_S=Compare_MOSFET, Table7[[#This Row],[Total Sense Loss C]], -100)</f>
        <v>-100</v>
      </c>
      <c r="CU239" s="161">
        <f>IF(MOSFET_S=Compare_MOSFET, Table7[[#This Row],[Total MOSFET Loss C]], -100)</f>
        <v>-100</v>
      </c>
      <c r="CV239" s="161">
        <f>IF(MOSFET_S=Compare_MOSFET, Table7[[#This Row],[Efficiency C]], -100)</f>
        <v>-100</v>
      </c>
      <c r="CW239" s="167"/>
      <c r="CX239" s="161">
        <f ca="1">IF(Save_Sel=CLR_Save,  Table7[[#This Row],[Total Sense Loss P1]], Table7[[#This Row],[Total Sense Loss P1 Saved]])</f>
        <v>0.98275890625000006</v>
      </c>
      <c r="CY239" s="161">
        <f ca="1">IF(Save_Sel=CLR_Save,  Table7[[#This Row],[Total MOSFET Loss P1]], Table7[[#This Row],[Total MOSFET Loss P1 Saved]] )</f>
        <v>2.2213060688336665</v>
      </c>
      <c r="CZ239" s="161">
        <f ca="1">IF(Save_Sel=CLR_Save, Table7[[#This Row],[Efficiency P1]], Table7[[#This Row],[Efficiency P1 Saved]])</f>
        <v>93.955058019437104</v>
      </c>
      <c r="DA239" s="167"/>
      <c r="DB239" s="161">
        <f ca="1">IF(Save_Sel=CLR_Save,  Table7[[#This Row],[Total Sense Loss P2]], Table7[[#This Row],[Total Sense Loss P2 Saved]])</f>
        <v>0.98275890625000006</v>
      </c>
      <c r="DC239" s="161">
        <f ca="1">IF(Save_Sel=CLR_Save,  Table7[[#This Row],[Total MOSFET Loss P2]], Table7[[#This Row],[Total MOSFET Loss P2 Saved]] )</f>
        <v>1.5554071193773948</v>
      </c>
      <c r="DD239" s="161">
        <f ca="1">IF(Save_Sel=CLR_Save, Table7[[#This Row],[Efficiency P2]], Table7[[#This Row],[Efficiency P2 Saved]])</f>
        <v>95.150449053976047</v>
      </c>
      <c r="DE239" s="167"/>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c r="FH239" s="21"/>
      <c r="FI239" s="21"/>
    </row>
    <row r="240" spans="1:165" x14ac:dyDescent="0.25">
      <c r="A240" s="70"/>
      <c r="B240" s="70"/>
      <c r="C240" s="70"/>
      <c r="D240" s="70"/>
      <c r="E240" s="70"/>
      <c r="F240" s="70"/>
      <c r="G240" s="70"/>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154">
        <f t="shared" si="54"/>
        <v>84</v>
      </c>
      <c r="AG240" s="154">
        <f t="shared" si="53"/>
        <v>4.2</v>
      </c>
      <c r="AH240" s="155">
        <f t="shared" si="42"/>
        <v>50.400000000000006</v>
      </c>
      <c r="AI240" s="156">
        <f t="shared" si="43"/>
        <v>0.42857142857142855</v>
      </c>
      <c r="AJ240" s="156">
        <f t="shared" si="44"/>
        <v>7.3500000000000005</v>
      </c>
      <c r="AK240" s="156">
        <f t="shared" si="40"/>
        <v>0.85714285714285721</v>
      </c>
      <c r="AL240" s="156">
        <f t="shared" si="41"/>
        <v>7.3541637519024503</v>
      </c>
      <c r="AM240" s="157"/>
      <c r="AN240" s="156">
        <f>MAX(0,Table7[[#This Row],[I_L]]-0.5*Table7[[#This Row],[I_L pkpk]])</f>
        <v>6.9214285714285717</v>
      </c>
      <c r="AO240" s="156">
        <f>Table7[[#This Row],[I_L]]+0.5*Table7[[#This Row],[I_L pkpk]]</f>
        <v>7.7785714285714294</v>
      </c>
      <c r="AP240" s="156">
        <f ca="1">IF(VACnom&gt;Vbat, (VGS_S-(TI_MOSFET_S_VTH_H_BU+Table7[[#This Row],[I_L]]/TI_MOSFET_S_gFS_H_BU))/3.4, (VGS_S-(TI_MOSFET_S_VTH_L_BO+Table7[[#This Row],[I_L]]/TI_MOSFET_S_gFS_L_BO))/3.4 )</f>
        <v>2.4098416289592759</v>
      </c>
      <c r="AQ240" s="156">
        <f ca="1">IF(VACnom&gt;Vbat, ((TI_MOSFET_S_VTH_H_BU+Table7[[#This Row],[I_L]]/TI_MOSFET_S_gFS_H_BU))/1, ((TI_MOSFET_S_VTH_L_BO+Table7[[#This Row],[I_L]]/TI_MOSFET_S_gFS_L_BO))/1 )</f>
        <v>1.8065384615384616</v>
      </c>
      <c r="AR240" s="156">
        <f ca="1">IF(VACnom&gt;Vbat, (TI_MOSFET_S_QGD_H_BU+TI_MOSFET_S_QGS_H_BU)*10^-9/Table7[[#This Row],[Ion (A)]], (TI_MOSFET_S_QGD_L_BO+TI_MOSFET_S_QGS_L_BO)*10^-9/Table7[[#This Row],[Ion (A)]])/10^-9</f>
        <v>11.950992817912971</v>
      </c>
      <c r="AS240" s="156">
        <f ca="1">IF(VACnom&gt;Vbat, (TI_MOSFET_S_QGD_H_BU+TI_MOSFET_S_QGS_H_BU)*10^-9/Table7[[#This Row],[Ioff (A)]], (TI_MOSFET_S_QGD_L_BO+TI_MOSFET_S_QGS_L_BO)*10^-9/Table7[[#This Row],[Ioff (A)]])/10^-9</f>
        <v>15.942090696189057</v>
      </c>
      <c r="AT240" s="156">
        <f ca="1" xml:space="preserve"> 0.5*VACnom*Table7[[#This Row],[Ivalley (A)]]*Table7[[#This Row],[ton (ns)]]*10^-9*Fsw*10^3+0.5*VACnom*Table7[[#This Row],[Ipeak (A)]]*Table7[[#This Row],[toff (ns)]]*10^-9*Fsw*10^3/10^-3</f>
        <v>446.72187291918283</v>
      </c>
      <c r="AU240" s="156">
        <f t="shared" ca="1" si="45"/>
        <v>262.8</v>
      </c>
      <c r="AV240" s="156">
        <f t="shared" ca="1" si="46"/>
        <v>648</v>
      </c>
      <c r="AW240" s="156">
        <f t="shared" ca="1" si="47"/>
        <v>554.4</v>
      </c>
      <c r="AX240" s="156">
        <f ca="1">IF(VACnom&gt;Vbat, TI_MOSFET_S_VSD_L_BU*Table7[[#This Row],[Ivalley (A)]]*Fsw*10^3*40*10^-9+TI_MOSFET_S_VSD_L_BU*Table7[[#This Row],[Ipeak (A)]]*Fsw*10^3*30*10^-9, TI_MOSFET_S_VSD_H_BO*Table7[[#This Row],[Ivalley (A)]]*Fsw*10^3*40*10^-9+TI_MOSFET_S_VSD_H_BO*Table7[[#This Row],[Ipeak (A)]]*Fsw*10^3*30*10^-9)/10^-3</f>
        <v>220.4125714285714</v>
      </c>
      <c r="AY240" s="156">
        <f t="shared" ca="1" si="48"/>
        <v>648</v>
      </c>
      <c r="AZ240" s="156">
        <f ca="1">IF(VACnom&lt;Vbat, Table7[[#This Row],[Duty Cycle]]*Table7[[#This Row],[I_L RMS]]^2*TI_MOSFET_S_RDSON_H_BU*10^-3, (1-Table7[[#This Row],[Duty Cycle]])*Table7[[#This Row],[I_L RMS]]^2*TI_MOSFET_S_RDSON_H_BO*10^-3)/10^-3</f>
        <v>64.900469387755109</v>
      </c>
      <c r="BA240" s="156">
        <f ca="1">IF(VACnom&gt;Vbat, Table7[[#This Row],[PIV (mW)]]+Table7[[#This Row],[Pqoss (mW)]]+Table7[[#This Row],[Pgate_top (mW)]], Table7[[#This Row],[PRR (mW)]]+Table7[[#This Row],[Pdead (mW)]]+Table7[[#This Row],[Pgate_top (mW)]])</f>
        <v>1422.8125714285713</v>
      </c>
      <c r="BB240" s="156">
        <f ca="1">Table7[[#This Row],[Pcon_top (mW)]]+Table7[[#This Row],[Psw_top (mW)]]</f>
        <v>1487.7130408163264</v>
      </c>
      <c r="BC240" s="156">
        <f ca="1">IF(VACnom&gt;Vbat, (1-Table7[[#This Row],[Duty Cycle]])*Table7[[#This Row],[I_L RMS]]^2*TI_MOSFET_S_RDSON_L_BU*10^-3, Table7[[#This Row],[Duty Cycle]]*Table7[[#This Row],[I_L RMS]]^2*TI_MOSFET_S_RDSON_L_BO*10^-3)/10^-3</f>
        <v>64.900469387755109</v>
      </c>
      <c r="BD240" s="156">
        <f ca="1">IF(VACnom&gt;Vbat, Table7[[#This Row],[PRR (mW)]]+Table7[[#This Row],[Pdead (mW)]]+Table7[[#This Row],[Pgate_bottom (mW)]], Table7[[#This Row],[PIV (mW)]]+Table7[[#This Row],[Pqoss (mW)]]+Table7[[#This Row],[Pgate_bottom (mW)]])</f>
        <v>1357.5218729191829</v>
      </c>
      <c r="BE240" s="158">
        <f ca="1">Table7[[#This Row],[Pcon_bottom (mW)]]+Table7[[#This Row],[Psw_bottom (mW)]]</f>
        <v>1422.4223423069379</v>
      </c>
      <c r="BF240" s="164">
        <f ca="1">Table7[[#This Row],[Pbottom (mW)]]+Table7[[#This Row],[Ptop (mW)]]</f>
        <v>2910.1353831232645</v>
      </c>
      <c r="BG240" s="153"/>
      <c r="BH240" s="156">
        <f>MAX(0,Table7[[#This Row],[I_L]]-0.5*Table7[[#This Row],[I_L pkpk]])</f>
        <v>6.9214285714285717</v>
      </c>
      <c r="BI240" s="156">
        <f>Table7[[#This Row],[I_L]]+0.5*Table7[[#This Row],[I_L pkpk]]</f>
        <v>7.7785714285714294</v>
      </c>
      <c r="BJ240" s="156">
        <f>IF(VACnom&gt;Vbat, (VGS_S-(C_MOSFET_S_VTH_H_BU+Table7[[#This Row],[I_L]]/C_MOSFET_S_gFS_H_BU))/3.4, (VGS_S-(C_MOSFET_S_VTH_L_BO+Table7[[#This Row],[I_L]]/C_MOSFET_S_gFS_L_BO))/3.4 )</f>
        <v>2.3385294117647062</v>
      </c>
      <c r="BK240" s="156">
        <f>IF(VACnom&gt;Vbat, ((C_MOSFET_S_VTH_H_BU+Table7[[#This Row],[I_L]]/C_MOSFET_S_gFS_H_BU))/1, ((C_MOSFET_S_VTH_L_BO+Table7[[#This Row],[I_L]]/C_MOSFET_S_gFS_L_BO))/1 )</f>
        <v>2.0489999999999999</v>
      </c>
      <c r="BL240" s="156">
        <f>IF(VACnom&gt;Vbat, (C_MOSFET_S_QGD_H_BU+C_MOSFET_S_QGS_H_BU)*10^-9/Table7[[#This Row],[Ion (A) C]], (C_MOSFET_S_QGD_L_BO+C_MOSFET_S_QGS_L_BO)*10^-9/Table7[[#This Row],[Ion (A) C]])/10^-9</f>
        <v>2.7795245881021251</v>
      </c>
      <c r="BM240" s="156">
        <f>IF(VACnom&gt;Vbat, (C_MOSFET_S_QGD_H_BU+C_MOSFET_S_QGS_H_BU)*10^-9/Table7[[#This Row],[Ioff (A) C]], (C_MOSFET_S_QGD_L_BO+C_MOSFET_S_QGS_L_BO)*10^-9/Table7[[#This Row],[Ioff (A) C]])/10^-9</f>
        <v>3.1722791605661298</v>
      </c>
      <c r="BN240" s="156">
        <f xml:space="preserve"> 0.5*VACnom*Table7[[#This Row],[Ivalley (A) C]]*Table7[[#This Row],[ton (ns) C]]*10^-9*Fsw*10^3+0.5*VACnom*Table7[[#This Row],[Ipeak (A) C]]*Table7[[#This Row],[toff (ns) C]]*10^-9*Fsw*10^3/10^-3</f>
        <v>88.902137961832807</v>
      </c>
      <c r="BO240" s="156">
        <f t="shared" si="49"/>
        <v>129.6</v>
      </c>
      <c r="BP240" s="156">
        <f t="shared" ca="1" si="50"/>
        <v>291.59999999999997</v>
      </c>
      <c r="BQ240" s="156">
        <f t="shared" si="51"/>
        <v>237.6</v>
      </c>
      <c r="BR240" s="156">
        <f>IF(VACnom&gt;Vbat, C_MOSFET_S_VSD_L_BU*Table7[[#This Row],[Ivalley (A) C]]*Fsw*10^3*40*10^-9+C_MOSFET_S_VSD_L_BU*Table7[[#This Row],[Ipeak (A) C]]*Fsw*10^3*30*10^-9, C_MOSFET_S_VSD_H_BO*Table7[[#This Row],[Ivalley (A) C]]*Fsw*10^3*40*10^-9+C_MOSFET_S_VSD_H_BO*Table7[[#This Row],[Ipeak (A) C]]*Fsw*10^3*30*10^-9)/10^-3</f>
        <v>244.90285714285719</v>
      </c>
      <c r="BS240" s="156">
        <f t="shared" ca="1" si="52"/>
        <v>291.59999999999997</v>
      </c>
      <c r="BT240" s="156">
        <f>IF(VACnom&lt;Vbat, Table7[[#This Row],[Duty Cycle]]*Table7[[#This Row],[I_L RMS]]^2*C_MOSFET_S_RDSON_H_BU*10^-3, (1-Table7[[#This Row],[Duty Cycle]])*Table7[[#This Row],[I_L RMS]]^2*C_MOSFET_S_RDSON_H_BO*10^-3)/10^-3</f>
        <v>132.11881268221578</v>
      </c>
      <c r="BU240" s="156">
        <f ca="1">IF(VACnom&gt;Vbat, Table7[[#This Row],[PIV (mW) C]]+Table7[[#This Row],[PQoss (mW) C]]+Table7[[#This Row],[Pgate_top (mW) C]], Table7[[#This Row],[PRR (mW) C]]+Table7[[#This Row],[Pdead (mW) C]]+Table7[[#This Row],[Pgate_top (mW) C]])</f>
        <v>774.10285714285715</v>
      </c>
      <c r="BV240" s="156">
        <f ca="1">Table7[[#This Row],[Pcon_top (mW) C]]+Table7[[#This Row],[Psw_top (mW) C]]</f>
        <v>906.22166982507292</v>
      </c>
      <c r="BW240" s="156">
        <f ca="1">IF(VACnom&gt;Vbat, (1-Table7[[#This Row],[Duty Cycle]])*Table7[[#This Row],[I_L RMS]]^2*C_MOSFET_S_RDSON_L_BU*10^-3, Table7[[#This Row],[Duty Cycle]]*Table7[[#This Row],[I_L RMS]]^2*C_MOSFET_S_RDSON_L_BO*10^-3)/10^-3</f>
        <v>82.284523688046647</v>
      </c>
      <c r="BX240" s="156">
        <f ca="1">IF(VACnom&gt;Vbat, Table7[[#This Row],[PRR (mW) C]]+Table7[[#This Row],[Pdead (mW) C]]+Table7[[#This Row],[Pgate_bottom (mW) C]], Table7[[#This Row],[PIV (mW) C]]+Table7[[#This Row],[PQoss (mW) C]]+Table7[[#This Row],[Pgate_bottom (mW) C]])</f>
        <v>510.1021379618328</v>
      </c>
      <c r="BY240" s="156">
        <f ca="1">Table7[[#This Row],[Pcon_bottom (mW) C]]+Table7[[#This Row],[Psw_bottom (mV) C]]</f>
        <v>592.38666164987944</v>
      </c>
      <c r="BZ240" s="156">
        <f ca="1">Table7[[#This Row],[Pbottom (mW) C]]+Table7[[#This Row],[Ptop (mW) C]]</f>
        <v>1498.6083314749524</v>
      </c>
      <c r="CA240" s="159"/>
      <c r="CB240" s="160">
        <f>(RAC_SNS*10^-3*(Table7[[#This Row],[IOUT (A)]]*Vbat/VACnom)^2/10^-3)</f>
        <v>270.11250000000001</v>
      </c>
      <c r="CC240" s="160">
        <f>(RBAT_SNS*10^-3*Table7[[#This Row],[IOUT (A)]]^2)/10^-3</f>
        <v>88.2</v>
      </c>
      <c r="CD240" s="160">
        <f>IF(VACnom&gt;Vbat,(L_DRC*10^-3*(Table7[[#This Row],[IOUT (A)]])^2/10^-3),(L_DRC*10^-3*(Table7[[#This Row],[IOUT (A)]]*Vbat/VACnom)^2/10^-3))</f>
        <v>648.2700000000001</v>
      </c>
      <c r="CE240" s="166"/>
      <c r="CF240" s="156">
        <f>(Table7[[#This Row],[R_AC (mW)]]+Table7[[#This Row],[R_SR (mW)]]+Table7[[#This Row],[Inductor Loss (mW)]])/10^3</f>
        <v>1.0065825000000002</v>
      </c>
      <c r="CG240" s="156">
        <f ca="1">Table7[[#This Row],[Total TI (mW)]]/10^3</f>
        <v>2.9101353831232646</v>
      </c>
      <c r="CH240" s="156">
        <f ca="1">Table7[[#This Row],[Total Sense Loss]]+Table7[[#This Row],[Total MOSFET Loss]]</f>
        <v>3.9167178831232645</v>
      </c>
      <c r="CI240" s="161">
        <f ca="1">IF(Table7[[#This Row],[POUT (W)]]=0,0,(Table7[[#This Row],[POUT (W)]])/(Table7[[#This Row],[POUT (W)]]+Table7[[#This Row],[Total Power Loss (W)]]))*100</f>
        <v>92.789111647815119</v>
      </c>
      <c r="CJ240" s="167"/>
      <c r="CK240" s="156">
        <f>(Table7[[#This Row],[R_AC (mW)]]+Table7[[#This Row],[R_SR (mW)]]+Table7[[#This Row],[Inductor Loss (mW)]])/10^3</f>
        <v>1.0065825000000002</v>
      </c>
      <c r="CL240" s="156">
        <f ca="1">Table7[[#This Row],[Total (mW) C]]/10^3</f>
        <v>1.4986083314749523</v>
      </c>
      <c r="CM240" s="156">
        <f ca="1">Table7[[#This Row],[Total Sense Loss C]]+Table7[[#This Row],[Total MOSFET Loss C]]</f>
        <v>2.5051908314749527</v>
      </c>
      <c r="CN240" s="161">
        <f ca="1">IF(Table7[[#This Row],[POUT (W)]]=0,0,(Table7[[#This Row],[POUT (W)]])/(Table7[[#This Row],[POUT (W)]]+Table7[[#This Row],[Total Power Loss (W) C]]))*100</f>
        <v>95.264754191219097</v>
      </c>
      <c r="CO240" s="167"/>
      <c r="CP240" s="161">
        <f>IF(MOSFET_S=Custom_MOSFET,Table7[[#This Row],[Total Sense Loss C]],Table7[[#This Row],[Total Sense Loss]])</f>
        <v>1.0065825000000002</v>
      </c>
      <c r="CQ240" s="161">
        <f ca="1">IF(MOSFET_S=Custom_MOSFET,Table7[[#This Row],[Total MOSFET Loss C]],Table7[[#This Row],[Total MOSFET Loss]])</f>
        <v>2.9101353831232646</v>
      </c>
      <c r="CR240" s="161">
        <f ca="1">IF(MOSFET_S=Custom_MOSFET,Table7[[#This Row],[Efficiency C]],Table7[[#This Row],[Efficiency]])</f>
        <v>92.789111647815119</v>
      </c>
      <c r="CS240" s="167"/>
      <c r="CT240" s="161">
        <f>IF(MOSFET_S=Compare_MOSFET, Table7[[#This Row],[Total Sense Loss C]], -100)</f>
        <v>-100</v>
      </c>
      <c r="CU240" s="161">
        <f>IF(MOSFET_S=Compare_MOSFET, Table7[[#This Row],[Total MOSFET Loss C]], -100)</f>
        <v>-100</v>
      </c>
      <c r="CV240" s="161">
        <f>IF(MOSFET_S=Compare_MOSFET, Table7[[#This Row],[Efficiency C]], -100)</f>
        <v>-100</v>
      </c>
      <c r="CW240" s="167"/>
      <c r="CX240" s="161">
        <f ca="1">IF(Save_Sel=CLR_Save,  Table7[[#This Row],[Total Sense Loss P1]], Table7[[#This Row],[Total Sense Loss P1 Saved]])</f>
        <v>1.0065825000000002</v>
      </c>
      <c r="CY240" s="161">
        <f ca="1">IF(Save_Sel=CLR_Save,  Table7[[#This Row],[Total MOSFET Loss P1]], Table7[[#This Row],[Total MOSFET Loss P1 Saved]] )</f>
        <v>2.2327115625096821</v>
      </c>
      <c r="CZ240" s="161">
        <f ca="1">IF(Save_Sel=CLR_Save, Table7[[#This Row],[Efficiency P1]], Table7[[#This Row],[Efficiency P1 Saved]])</f>
        <v>93.960968131432338</v>
      </c>
      <c r="DA240" s="167"/>
      <c r="DB240" s="161">
        <f ca="1">IF(Save_Sel=CLR_Save,  Table7[[#This Row],[Total Sense Loss P2]], Table7[[#This Row],[Total Sense Loss P2 Saved]])</f>
        <v>1.0065825000000002</v>
      </c>
      <c r="DC240" s="161">
        <f ca="1">IF(Save_Sel=CLR_Save,  Table7[[#This Row],[Total MOSFET Loss P2]], Table7[[#This Row],[Total MOSFET Loss P2 Saved]] )</f>
        <v>1.5659820880545217</v>
      </c>
      <c r="DD240" s="161">
        <f ca="1">IF(Save_Sel=CLR_Save, Table7[[#This Row],[Efficiency P2]], Table7[[#This Row],[Efficiency P2 Saved]])</f>
        <v>95.143590634019176</v>
      </c>
      <c r="DE240" s="167"/>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c r="FH240" s="21"/>
      <c r="FI240" s="21"/>
    </row>
    <row r="241" spans="1:165" x14ac:dyDescent="0.25">
      <c r="A241" s="70"/>
      <c r="B241" s="70"/>
      <c r="C241" s="70"/>
      <c r="D241" s="70"/>
      <c r="E241" s="70"/>
      <c r="F241" s="70"/>
      <c r="G241" s="70"/>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154">
        <f t="shared" si="54"/>
        <v>85</v>
      </c>
      <c r="AG241" s="154">
        <f t="shared" si="53"/>
        <v>4.25</v>
      </c>
      <c r="AH241" s="155">
        <f t="shared" si="42"/>
        <v>51</v>
      </c>
      <c r="AI241" s="156">
        <f t="shared" si="43"/>
        <v>0.42857142857142855</v>
      </c>
      <c r="AJ241" s="156">
        <f t="shared" si="44"/>
        <v>7.4375</v>
      </c>
      <c r="AK241" s="156">
        <f t="shared" si="40"/>
        <v>0.85714285714285721</v>
      </c>
      <c r="AL241" s="156">
        <f t="shared" si="41"/>
        <v>7.4416147938331179</v>
      </c>
      <c r="AM241" s="157"/>
      <c r="AN241" s="156">
        <f>MAX(0,Table7[[#This Row],[I_L]]-0.5*Table7[[#This Row],[I_L pkpk]])</f>
        <v>7.0089285714285712</v>
      </c>
      <c r="AO241" s="156">
        <f>Table7[[#This Row],[I_L]]+0.5*Table7[[#This Row],[I_L pkpk]]</f>
        <v>7.8660714285714288</v>
      </c>
      <c r="AP241" s="156">
        <f ca="1">IF(VACnom&gt;Vbat, (VGS_S-(TI_MOSFET_S_VTH_H_BU+Table7[[#This Row],[I_L]]/TI_MOSFET_S_gFS_H_BU))/3.4, (VGS_S-(TI_MOSFET_S_VTH_L_BO+Table7[[#This Row],[I_L]]/TI_MOSFET_S_gFS_L_BO))/3.4 )</f>
        <v>2.409643665158371</v>
      </c>
      <c r="AQ241" s="156">
        <f ca="1">IF(VACnom&gt;Vbat, ((TI_MOSFET_S_VTH_H_BU+Table7[[#This Row],[I_L]]/TI_MOSFET_S_gFS_H_BU))/1, ((TI_MOSFET_S_VTH_L_BO+Table7[[#This Row],[I_L]]/TI_MOSFET_S_gFS_L_BO))/1 )</f>
        <v>1.8072115384615384</v>
      </c>
      <c r="AR241" s="156">
        <f ca="1">IF(VACnom&gt;Vbat, (TI_MOSFET_S_QGD_H_BU+TI_MOSFET_S_QGS_H_BU)*10^-9/Table7[[#This Row],[Ion (A)]], (TI_MOSFET_S_QGD_L_BO+TI_MOSFET_S_QGS_L_BO)*10^-9/Table7[[#This Row],[Ion (A)]])/10^-9</f>
        <v>11.951974649375037</v>
      </c>
      <c r="AS241" s="156">
        <f ca="1">IF(VACnom&gt;Vbat, (TI_MOSFET_S_QGD_H_BU+TI_MOSFET_S_QGS_H_BU)*10^-9/Table7[[#This Row],[Ioff (A)]], (TI_MOSFET_S_QGD_L_BO+TI_MOSFET_S_QGS_L_BO)*10^-9/Table7[[#This Row],[Ioff (A)]])/10^-9</f>
        <v>15.936153232242619</v>
      </c>
      <c r="AT241" s="156">
        <f ca="1" xml:space="preserve"> 0.5*VACnom*Table7[[#This Row],[Ivalley (A)]]*Table7[[#This Row],[ton (ns)]]*10^-9*Fsw*10^3+0.5*VACnom*Table7[[#This Row],[Ipeak (A)]]*Table7[[#This Row],[toff (ns)]]*10^-9*Fsw*10^3/10^-3</f>
        <v>451.57928456910554</v>
      </c>
      <c r="AU241" s="156">
        <f t="shared" ca="1" si="45"/>
        <v>262.8</v>
      </c>
      <c r="AV241" s="156">
        <f t="shared" ca="1" si="46"/>
        <v>648</v>
      </c>
      <c r="AW241" s="156">
        <f t="shared" ca="1" si="47"/>
        <v>554.4</v>
      </c>
      <c r="AX241" s="156">
        <f ca="1">IF(VACnom&gt;Vbat, TI_MOSFET_S_VSD_L_BU*Table7[[#This Row],[Ivalley (A)]]*Fsw*10^3*40*10^-9+TI_MOSFET_S_VSD_L_BU*Table7[[#This Row],[Ipeak (A)]]*Fsw*10^3*30*10^-9, TI_MOSFET_S_VSD_H_BO*Table7[[#This Row],[Ivalley (A)]]*Fsw*10^3*40*10^-9+TI_MOSFET_S_VSD_H_BO*Table7[[#This Row],[Ipeak (A)]]*Fsw*10^3*30*10^-9)/10^-3</f>
        <v>223.05857142857144</v>
      </c>
      <c r="AY241" s="156">
        <f t="shared" ca="1" si="48"/>
        <v>648</v>
      </c>
      <c r="AZ241" s="156">
        <f ca="1">IF(VACnom&lt;Vbat, Table7[[#This Row],[Duty Cycle]]*Table7[[#This Row],[I_L RMS]]^2*TI_MOSFET_S_RDSON_H_BU*10^-3, (1-Table7[[#This Row],[Duty Cycle]])*Table7[[#This Row],[I_L RMS]]^2*TI_MOSFET_S_RDSON_H_BO*10^-3)/10^-3</f>
        <v>66.4531568877551</v>
      </c>
      <c r="BA241" s="156">
        <f ca="1">IF(VACnom&gt;Vbat, Table7[[#This Row],[PIV (mW)]]+Table7[[#This Row],[Pqoss (mW)]]+Table7[[#This Row],[Pgate_top (mW)]], Table7[[#This Row],[PRR (mW)]]+Table7[[#This Row],[Pdead (mW)]]+Table7[[#This Row],[Pgate_top (mW)]])</f>
        <v>1425.4585714285713</v>
      </c>
      <c r="BB241" s="156">
        <f ca="1">Table7[[#This Row],[Pcon_top (mW)]]+Table7[[#This Row],[Psw_top (mW)]]</f>
        <v>1491.9117283163264</v>
      </c>
      <c r="BC241" s="156">
        <f ca="1">IF(VACnom&gt;Vbat, (1-Table7[[#This Row],[Duty Cycle]])*Table7[[#This Row],[I_L RMS]]^2*TI_MOSFET_S_RDSON_L_BU*10^-3, Table7[[#This Row],[Duty Cycle]]*Table7[[#This Row],[I_L RMS]]^2*TI_MOSFET_S_RDSON_L_BO*10^-3)/10^-3</f>
        <v>66.4531568877551</v>
      </c>
      <c r="BD241" s="156">
        <f ca="1">IF(VACnom&gt;Vbat, Table7[[#This Row],[PRR (mW)]]+Table7[[#This Row],[Pdead (mW)]]+Table7[[#This Row],[Pgate_bottom (mW)]], Table7[[#This Row],[PIV (mW)]]+Table7[[#This Row],[Pqoss (mW)]]+Table7[[#This Row],[Pgate_bottom (mW)]])</f>
        <v>1362.3792845691055</v>
      </c>
      <c r="BE241" s="158">
        <f ca="1">Table7[[#This Row],[Pcon_bottom (mW)]]+Table7[[#This Row],[Psw_bottom (mW)]]</f>
        <v>1428.8324414568606</v>
      </c>
      <c r="BF241" s="164">
        <f ca="1">Table7[[#This Row],[Pbottom (mW)]]+Table7[[#This Row],[Ptop (mW)]]</f>
        <v>2920.744169773187</v>
      </c>
      <c r="BG241" s="153"/>
      <c r="BH241" s="156">
        <f>MAX(0,Table7[[#This Row],[I_L]]-0.5*Table7[[#This Row],[I_L pkpk]])</f>
        <v>7.0089285714285712</v>
      </c>
      <c r="BI241" s="156">
        <f>Table7[[#This Row],[I_L]]+0.5*Table7[[#This Row],[I_L pkpk]]</f>
        <v>7.8660714285714288</v>
      </c>
      <c r="BJ241" s="156">
        <f>IF(VACnom&gt;Vbat, (VGS_S-(C_MOSFET_S_VTH_H_BU+Table7[[#This Row],[I_L]]/C_MOSFET_S_gFS_H_BU))/3.4, (VGS_S-(C_MOSFET_S_VTH_L_BO+Table7[[#This Row],[I_L]]/C_MOSFET_S_gFS_L_BO))/3.4 )</f>
        <v>2.3383578431372549</v>
      </c>
      <c r="BK241" s="156">
        <f>IF(VACnom&gt;Vbat, ((C_MOSFET_S_VTH_H_BU+Table7[[#This Row],[I_L]]/C_MOSFET_S_gFS_H_BU))/1, ((C_MOSFET_S_VTH_L_BO+Table7[[#This Row],[I_L]]/C_MOSFET_S_gFS_L_BO))/1 )</f>
        <v>2.0495833333333335</v>
      </c>
      <c r="BL241" s="156">
        <f>IF(VACnom&gt;Vbat, (C_MOSFET_S_QGD_H_BU+C_MOSFET_S_QGS_H_BU)*10^-9/Table7[[#This Row],[Ion (A) C]], (C_MOSFET_S_QGD_L_BO+C_MOSFET_S_QGS_L_BO)*10^-9/Table7[[#This Row],[Ion (A) C]])/10^-9</f>
        <v>2.7797285257586077</v>
      </c>
      <c r="BM241" s="156">
        <f>IF(VACnom&gt;Vbat, (C_MOSFET_S_QGD_H_BU+C_MOSFET_S_QGS_H_BU)*10^-9/Table7[[#This Row],[Ioff (A) C]], (C_MOSFET_S_QGD_L_BO+C_MOSFET_S_QGS_L_BO)*10^-9/Table7[[#This Row],[Ioff (A) C]])/10^-9</f>
        <v>3.1713762959951204</v>
      </c>
      <c r="BN241" s="156">
        <f xml:space="preserve"> 0.5*VACnom*Table7[[#This Row],[Ivalley (A) C]]*Table7[[#This Row],[ton (ns) C]]*10^-9*Fsw*10^3+0.5*VACnom*Table7[[#This Row],[Ipeak (A) C]]*Table7[[#This Row],[toff (ns) C]]*10^-9*Fsw*10^3/10^-3</f>
        <v>89.876719403499266</v>
      </c>
      <c r="BO241" s="156">
        <f t="shared" si="49"/>
        <v>129.6</v>
      </c>
      <c r="BP241" s="156">
        <f t="shared" ca="1" si="50"/>
        <v>291.59999999999997</v>
      </c>
      <c r="BQ241" s="156">
        <f t="shared" si="51"/>
        <v>237.6</v>
      </c>
      <c r="BR241" s="156">
        <f>IF(VACnom&gt;Vbat, C_MOSFET_S_VSD_L_BU*Table7[[#This Row],[Ivalley (A) C]]*Fsw*10^3*40*10^-9+C_MOSFET_S_VSD_L_BU*Table7[[#This Row],[Ipeak (A) C]]*Fsw*10^3*30*10^-9, C_MOSFET_S_VSD_H_BO*Table7[[#This Row],[Ivalley (A) C]]*Fsw*10^3*40*10^-9+C_MOSFET_S_VSD_H_BO*Table7[[#This Row],[Ipeak (A) C]]*Fsw*10^3*30*10^-9)/10^-3</f>
        <v>247.84285714285718</v>
      </c>
      <c r="BS241" s="156">
        <f t="shared" ca="1" si="52"/>
        <v>291.59999999999997</v>
      </c>
      <c r="BT241" s="156">
        <f>IF(VACnom&lt;Vbat, Table7[[#This Row],[Duty Cycle]]*Table7[[#This Row],[I_L RMS]]^2*C_MOSFET_S_RDSON_H_BU*10^-3, (1-Table7[[#This Row],[Duty Cycle]])*Table7[[#This Row],[I_L RMS]]^2*C_MOSFET_S_RDSON_H_BO*10^-3)/10^-3</f>
        <v>135.27964080721574</v>
      </c>
      <c r="BU241" s="156">
        <f ca="1">IF(VACnom&gt;Vbat, Table7[[#This Row],[PIV (mW) C]]+Table7[[#This Row],[PQoss (mW) C]]+Table7[[#This Row],[Pgate_top (mW) C]], Table7[[#This Row],[PRR (mW) C]]+Table7[[#This Row],[Pdead (mW) C]]+Table7[[#This Row],[Pgate_top (mW) C]])</f>
        <v>777.0428571428572</v>
      </c>
      <c r="BV241" s="156">
        <f ca="1">Table7[[#This Row],[Pcon_top (mW) C]]+Table7[[#This Row],[Psw_top (mW) C]]</f>
        <v>912.32249795007294</v>
      </c>
      <c r="BW241" s="156">
        <f ca="1">IF(VACnom&gt;Vbat, (1-Table7[[#This Row],[Duty Cycle]])*Table7[[#This Row],[I_L RMS]]^2*C_MOSFET_S_RDSON_L_BU*10^-3, Table7[[#This Row],[Duty Cycle]]*Table7[[#This Row],[I_L RMS]]^2*C_MOSFET_S_RDSON_L_BO*10^-3)/10^-3</f>
        <v>84.253109625546642</v>
      </c>
      <c r="BX241" s="156">
        <f ca="1">IF(VACnom&gt;Vbat, Table7[[#This Row],[PRR (mW) C]]+Table7[[#This Row],[Pdead (mW) C]]+Table7[[#This Row],[Pgate_bottom (mW) C]], Table7[[#This Row],[PIV (mW) C]]+Table7[[#This Row],[PQoss (mW) C]]+Table7[[#This Row],[Pgate_bottom (mW) C]])</f>
        <v>511.07671940349923</v>
      </c>
      <c r="BY241" s="156">
        <f ca="1">Table7[[#This Row],[Pcon_bottom (mW) C]]+Table7[[#This Row],[Psw_bottom (mV) C]]</f>
        <v>595.32982902904587</v>
      </c>
      <c r="BZ241" s="156">
        <f ca="1">Table7[[#This Row],[Pbottom (mW) C]]+Table7[[#This Row],[Ptop (mW) C]]</f>
        <v>1507.6523269791187</v>
      </c>
      <c r="CA241" s="159"/>
      <c r="CB241" s="160">
        <f>(RAC_SNS*10^-3*(Table7[[#This Row],[IOUT (A)]]*Vbat/VACnom)^2/10^-3)</f>
        <v>276.58203125</v>
      </c>
      <c r="CC241" s="160">
        <f>(RBAT_SNS*10^-3*Table7[[#This Row],[IOUT (A)]]^2)/10^-3</f>
        <v>90.3125</v>
      </c>
      <c r="CD241" s="160">
        <f>IF(VACnom&gt;Vbat,(L_DRC*10^-3*(Table7[[#This Row],[IOUT (A)]])^2/10^-3),(L_DRC*10^-3*(Table7[[#This Row],[IOUT (A)]]*Vbat/VACnom)^2/10^-3))</f>
        <v>663.796875</v>
      </c>
      <c r="CE241" s="166"/>
      <c r="CF241" s="156">
        <f>(Table7[[#This Row],[R_AC (mW)]]+Table7[[#This Row],[R_SR (mW)]]+Table7[[#This Row],[Inductor Loss (mW)]])/10^3</f>
        <v>1.0306914062500001</v>
      </c>
      <c r="CG241" s="156">
        <f ca="1">Table7[[#This Row],[Total TI (mW)]]/10^3</f>
        <v>2.9207441697731871</v>
      </c>
      <c r="CH241" s="156">
        <f ca="1">Table7[[#This Row],[Total Sense Loss]]+Table7[[#This Row],[Total MOSFET Loss]]</f>
        <v>3.9514355760231874</v>
      </c>
      <c r="CI241" s="161">
        <f ca="1">IF(Table7[[#This Row],[POUT (W)]]=0,0,(Table7[[#This Row],[POUT (W)]])/(Table7[[#This Row],[POUT (W)]]+Table7[[#This Row],[Total Power Loss (W)]]))*100</f>
        <v>92.809222298557557</v>
      </c>
      <c r="CJ241" s="167"/>
      <c r="CK241" s="156">
        <f>(Table7[[#This Row],[R_AC (mW)]]+Table7[[#This Row],[R_SR (mW)]]+Table7[[#This Row],[Inductor Loss (mW)]])/10^3</f>
        <v>1.0306914062500001</v>
      </c>
      <c r="CL241" s="156">
        <f ca="1">Table7[[#This Row],[Total (mW) C]]/10^3</f>
        <v>1.5076523269791187</v>
      </c>
      <c r="CM241" s="156">
        <f ca="1">Table7[[#This Row],[Total Sense Loss C]]+Table7[[#This Row],[Total MOSFET Loss C]]</f>
        <v>2.5383437332291185</v>
      </c>
      <c r="CN241" s="161">
        <f ca="1">IF(Table7[[#This Row],[POUT (W)]]=0,0,(Table7[[#This Row],[POUT (W)]])/(Table7[[#This Row],[POUT (W)]]+Table7[[#This Row],[Total Power Loss (W) C]]))*100</f>
        <v>95.258830295764881</v>
      </c>
      <c r="CO241" s="167"/>
      <c r="CP241" s="161">
        <f>IF(MOSFET_S=Custom_MOSFET,Table7[[#This Row],[Total Sense Loss C]],Table7[[#This Row],[Total Sense Loss]])</f>
        <v>1.0306914062500001</v>
      </c>
      <c r="CQ241" s="161">
        <f ca="1">IF(MOSFET_S=Custom_MOSFET,Table7[[#This Row],[Total MOSFET Loss C]],Table7[[#This Row],[Total MOSFET Loss]])</f>
        <v>2.9207441697731871</v>
      </c>
      <c r="CR241" s="161">
        <f ca="1">IF(MOSFET_S=Custom_MOSFET,Table7[[#This Row],[Efficiency C]],Table7[[#This Row],[Efficiency]])</f>
        <v>92.809222298557557</v>
      </c>
      <c r="CS241" s="167"/>
      <c r="CT241" s="161">
        <f>IF(MOSFET_S=Compare_MOSFET, Table7[[#This Row],[Total Sense Loss C]], -100)</f>
        <v>-100</v>
      </c>
      <c r="CU241" s="161">
        <f>IF(MOSFET_S=Compare_MOSFET, Table7[[#This Row],[Total MOSFET Loss C]], -100)</f>
        <v>-100</v>
      </c>
      <c r="CV241" s="161">
        <f>IF(MOSFET_S=Compare_MOSFET, Table7[[#This Row],[Efficiency C]], -100)</f>
        <v>-100</v>
      </c>
      <c r="CW241" s="167"/>
      <c r="CX241" s="161">
        <f ca="1">IF(Save_Sel=CLR_Save,  Table7[[#This Row],[Total Sense Loss P1]], Table7[[#This Row],[Total Sense Loss P1 Saved]])</f>
        <v>1.0306914062500001</v>
      </c>
      <c r="CY241" s="161">
        <f ca="1">IF(Save_Sel=CLR_Save,  Table7[[#This Row],[Total MOSFET Loss P1]], Table7[[#This Row],[Total MOSFET Loss P1 Saved]] )</f>
        <v>2.2441600377161048</v>
      </c>
      <c r="CZ241" s="161">
        <f ca="1">IF(Save_Sel=CLR_Save, Table7[[#This Row],[Efficiency P1]], Table7[[#This Row],[Efficiency P1 Saved]])</f>
        <v>93.966171519885052</v>
      </c>
      <c r="DA241" s="167"/>
      <c r="DB241" s="161">
        <f ca="1">IF(Save_Sel=CLR_Save,  Table7[[#This Row],[Total Sense Loss P2]], Table7[[#This Row],[Total Sense Loss P2 Saved]])</f>
        <v>1.0306914062500001</v>
      </c>
      <c r="DC241" s="161">
        <f ca="1">IF(Save_Sel=CLR_Save,  Table7[[#This Row],[Total MOSFET Loss P2]], Table7[[#This Row],[Total MOSFET Loss P2 Saved]] )</f>
        <v>1.5766362379170986</v>
      </c>
      <c r="DD241" s="161">
        <f ca="1">IF(Save_Sel=CLR_Save, Table7[[#This Row],[Efficiency P2]], Table7[[#This Row],[Efficiency P2 Saved]])</f>
        <v>95.136247675926072</v>
      </c>
      <c r="DE241" s="167"/>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c r="FH241" s="21"/>
      <c r="FI241" s="21"/>
    </row>
    <row r="242" spans="1:165" x14ac:dyDescent="0.25">
      <c r="A242" s="70"/>
      <c r="B242" s="70"/>
      <c r="C242" s="70"/>
      <c r="D242" s="70"/>
      <c r="E242" s="70"/>
      <c r="F242" s="70"/>
      <c r="G242" s="70"/>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154">
        <f t="shared" si="54"/>
        <v>86</v>
      </c>
      <c r="AG242" s="154">
        <f t="shared" si="53"/>
        <v>4.3</v>
      </c>
      <c r="AH242" s="155">
        <f t="shared" si="42"/>
        <v>51.599999999999994</v>
      </c>
      <c r="AI242" s="156">
        <f t="shared" si="43"/>
        <v>0.42857142857142855</v>
      </c>
      <c r="AJ242" s="156">
        <f t="shared" si="44"/>
        <v>7.5250000000000004</v>
      </c>
      <c r="AK242" s="156">
        <f t="shared" si="40"/>
        <v>0.85714285714285721</v>
      </c>
      <c r="AL242" s="156">
        <f t="shared" si="41"/>
        <v>7.5290669733902567</v>
      </c>
      <c r="AM242" s="157"/>
      <c r="AN242" s="156">
        <f>MAX(0,Table7[[#This Row],[I_L]]-0.5*Table7[[#This Row],[I_L pkpk]])</f>
        <v>7.0964285714285715</v>
      </c>
      <c r="AO242" s="156">
        <f>Table7[[#This Row],[I_L]]+0.5*Table7[[#This Row],[I_L pkpk]]</f>
        <v>7.9535714285714292</v>
      </c>
      <c r="AP242" s="156">
        <f ca="1">IF(VACnom&gt;Vbat, (VGS_S-(TI_MOSFET_S_VTH_H_BU+Table7[[#This Row],[I_L]]/TI_MOSFET_S_gFS_H_BU))/3.4, (VGS_S-(TI_MOSFET_S_VTH_L_BO+Table7[[#This Row],[I_L]]/TI_MOSFET_S_gFS_L_BO))/3.4 )</f>
        <v>2.4094457013574662</v>
      </c>
      <c r="AQ242" s="156">
        <f ca="1">IF(VACnom&gt;Vbat, ((TI_MOSFET_S_VTH_H_BU+Table7[[#This Row],[I_L]]/TI_MOSFET_S_gFS_H_BU))/1, ((TI_MOSFET_S_VTH_L_BO+Table7[[#This Row],[I_L]]/TI_MOSFET_S_gFS_L_BO))/1 )</f>
        <v>1.8078846153846153</v>
      </c>
      <c r="AR242" s="156">
        <f ca="1">IF(VACnom&gt;Vbat, (TI_MOSFET_S_QGD_H_BU+TI_MOSFET_S_QGS_H_BU)*10^-9/Table7[[#This Row],[Ion (A)]], (TI_MOSFET_S_QGD_L_BO+TI_MOSFET_S_QGS_L_BO)*10^-9/Table7[[#This Row],[Ion (A)]])/10^-9</f>
        <v>11.952956642174698</v>
      </c>
      <c r="AS242" s="156">
        <f ca="1">IF(VACnom&gt;Vbat, (TI_MOSFET_S_QGD_H_BU+TI_MOSFET_S_QGS_H_BU)*10^-9/Table7[[#This Row],[Ioff (A)]], (TI_MOSFET_S_QGD_L_BO+TI_MOSFET_S_QGS_L_BO)*10^-9/Table7[[#This Row],[Ioff (A)]])/10^-9</f>
        <v>15.93022018934156</v>
      </c>
      <c r="AT242" s="156">
        <f ca="1" xml:space="preserve"> 0.5*VACnom*Table7[[#This Row],[Ivalley (A)]]*Table7[[#This Row],[ton (ns)]]*10^-9*Fsw*10^3+0.5*VACnom*Table7[[#This Row],[Ipeak (A)]]*Table7[[#This Row],[toff (ns)]]*10^-9*Fsw*10^3/10^-3</f>
        <v>456.43308282657847</v>
      </c>
      <c r="AU242" s="156">
        <f t="shared" ca="1" si="45"/>
        <v>262.8</v>
      </c>
      <c r="AV242" s="156">
        <f t="shared" ca="1" si="46"/>
        <v>648</v>
      </c>
      <c r="AW242" s="156">
        <f t="shared" ca="1" si="47"/>
        <v>554.4</v>
      </c>
      <c r="AX242" s="156">
        <f ca="1">IF(VACnom&gt;Vbat, TI_MOSFET_S_VSD_L_BU*Table7[[#This Row],[Ivalley (A)]]*Fsw*10^3*40*10^-9+TI_MOSFET_S_VSD_L_BU*Table7[[#This Row],[Ipeak (A)]]*Fsw*10^3*30*10^-9, TI_MOSFET_S_VSD_H_BO*Table7[[#This Row],[Ivalley (A)]]*Fsw*10^3*40*10^-9+TI_MOSFET_S_VSD_H_BO*Table7[[#This Row],[Ipeak (A)]]*Fsw*10^3*30*10^-9)/10^-3</f>
        <v>225.70457142857146</v>
      </c>
      <c r="AY242" s="156">
        <f t="shared" ca="1" si="48"/>
        <v>648</v>
      </c>
      <c r="AZ242" s="156">
        <f ca="1">IF(VACnom&lt;Vbat, Table7[[#This Row],[Duty Cycle]]*Table7[[#This Row],[I_L RMS]]^2*TI_MOSFET_S_RDSON_H_BU*10^-3, (1-Table7[[#This Row],[Duty Cycle]])*Table7[[#This Row],[I_L RMS]]^2*TI_MOSFET_S_RDSON_H_BO*10^-3)/10^-3</f>
        <v>68.024219387755082</v>
      </c>
      <c r="BA242" s="156">
        <f ca="1">IF(VACnom&gt;Vbat, Table7[[#This Row],[PIV (mW)]]+Table7[[#This Row],[Pqoss (mW)]]+Table7[[#This Row],[Pgate_top (mW)]], Table7[[#This Row],[PRR (mW)]]+Table7[[#This Row],[Pdead (mW)]]+Table7[[#This Row],[Pgate_top (mW)]])</f>
        <v>1428.1045714285715</v>
      </c>
      <c r="BB242" s="156">
        <f ca="1">Table7[[#This Row],[Pcon_top (mW)]]+Table7[[#This Row],[Psw_top (mW)]]</f>
        <v>1496.1287908163265</v>
      </c>
      <c r="BC242" s="156">
        <f ca="1">IF(VACnom&gt;Vbat, (1-Table7[[#This Row],[Duty Cycle]])*Table7[[#This Row],[I_L RMS]]^2*TI_MOSFET_S_RDSON_L_BU*10^-3, Table7[[#This Row],[Duty Cycle]]*Table7[[#This Row],[I_L RMS]]^2*TI_MOSFET_S_RDSON_L_BO*10^-3)/10^-3</f>
        <v>68.024219387755082</v>
      </c>
      <c r="BD242" s="156">
        <f ca="1">IF(VACnom&gt;Vbat, Table7[[#This Row],[PRR (mW)]]+Table7[[#This Row],[Pdead (mW)]]+Table7[[#This Row],[Pgate_bottom (mW)]], Table7[[#This Row],[PIV (mW)]]+Table7[[#This Row],[Pqoss (mW)]]+Table7[[#This Row],[Pgate_bottom (mW)]])</f>
        <v>1367.2330828265785</v>
      </c>
      <c r="BE242" s="158">
        <f ca="1">Table7[[#This Row],[Pcon_bottom (mW)]]+Table7[[#This Row],[Psw_bottom (mW)]]</f>
        <v>1435.2573022143335</v>
      </c>
      <c r="BF242" s="164">
        <f ca="1">Table7[[#This Row],[Pbottom (mW)]]+Table7[[#This Row],[Ptop (mW)]]</f>
        <v>2931.38609303066</v>
      </c>
      <c r="BG242" s="153"/>
      <c r="BH242" s="156">
        <f>MAX(0,Table7[[#This Row],[I_L]]-0.5*Table7[[#This Row],[I_L pkpk]])</f>
        <v>7.0964285714285715</v>
      </c>
      <c r="BI242" s="156">
        <f>Table7[[#This Row],[I_L]]+0.5*Table7[[#This Row],[I_L pkpk]]</f>
        <v>7.9535714285714292</v>
      </c>
      <c r="BJ242" s="156">
        <f>IF(VACnom&gt;Vbat, (VGS_S-(C_MOSFET_S_VTH_H_BU+Table7[[#This Row],[I_L]]/C_MOSFET_S_gFS_H_BU))/3.4, (VGS_S-(C_MOSFET_S_VTH_L_BO+Table7[[#This Row],[I_L]]/C_MOSFET_S_gFS_L_BO))/3.4 )</f>
        <v>2.3381862745098041</v>
      </c>
      <c r="BK242" s="156">
        <f>IF(VACnom&gt;Vbat, ((C_MOSFET_S_VTH_H_BU+Table7[[#This Row],[I_L]]/C_MOSFET_S_gFS_H_BU))/1, ((C_MOSFET_S_VTH_L_BO+Table7[[#This Row],[I_L]]/C_MOSFET_S_gFS_L_BO))/1 )</f>
        <v>2.0501666666666667</v>
      </c>
      <c r="BL242" s="156">
        <f>IF(VACnom&gt;Vbat, (C_MOSFET_S_QGD_H_BU+C_MOSFET_S_QGS_H_BU)*10^-9/Table7[[#This Row],[Ion (A) C]], (C_MOSFET_S_QGD_L_BO+C_MOSFET_S_QGS_L_BO)*10^-9/Table7[[#This Row],[Ion (A) C]])/10^-9</f>
        <v>2.7799324933436758</v>
      </c>
      <c r="BM242" s="156">
        <f>IF(VACnom&gt;Vbat, (C_MOSFET_S_QGD_H_BU+C_MOSFET_S_QGS_H_BU)*10^-9/Table7[[#This Row],[Ioff (A) C]], (C_MOSFET_S_QGD_L_BO+C_MOSFET_S_QGS_L_BO)*10^-9/Table7[[#This Row],[Ioff (A) C]])/10^-9</f>
        <v>3.1704739452077066</v>
      </c>
      <c r="BN242" s="156">
        <f xml:space="preserve"> 0.5*VACnom*Table7[[#This Row],[Ivalley (A) C]]*Table7[[#This Row],[ton (ns) C]]*10^-9*Fsw*10^3+0.5*VACnom*Table7[[#This Row],[Ipeak (A) C]]*Table7[[#This Row],[toff (ns) C]]*10^-9*Fsw*10^3/10^-3</f>
        <v>90.850746880823635</v>
      </c>
      <c r="BO242" s="156">
        <f t="shared" si="49"/>
        <v>129.6</v>
      </c>
      <c r="BP242" s="156">
        <f t="shared" ca="1" si="50"/>
        <v>291.59999999999997</v>
      </c>
      <c r="BQ242" s="156">
        <f t="shared" si="51"/>
        <v>237.6</v>
      </c>
      <c r="BR242" s="156">
        <f>IF(VACnom&gt;Vbat, C_MOSFET_S_VSD_L_BU*Table7[[#This Row],[Ivalley (A) C]]*Fsw*10^3*40*10^-9+C_MOSFET_S_VSD_L_BU*Table7[[#This Row],[Ipeak (A) C]]*Fsw*10^3*30*10^-9, C_MOSFET_S_VSD_H_BO*Table7[[#This Row],[Ivalley (A) C]]*Fsw*10^3*40*10^-9+C_MOSFET_S_VSD_H_BO*Table7[[#This Row],[Ipeak (A) C]]*Fsw*10^3*30*10^-9)/10^-3</f>
        <v>250.78285714285718</v>
      </c>
      <c r="BS242" s="156">
        <f t="shared" ca="1" si="52"/>
        <v>291.59999999999997</v>
      </c>
      <c r="BT242" s="156">
        <f>IF(VACnom&lt;Vbat, Table7[[#This Row],[Duty Cycle]]*Table7[[#This Row],[I_L RMS]]^2*C_MOSFET_S_RDSON_H_BU*10^-3, (1-Table7[[#This Row],[Duty Cycle]])*Table7[[#This Row],[I_L RMS]]^2*C_MOSFET_S_RDSON_H_BO*10^-3)/10^-3</f>
        <v>138.47787518221574</v>
      </c>
      <c r="BU242" s="156">
        <f ca="1">IF(VACnom&gt;Vbat, Table7[[#This Row],[PIV (mW) C]]+Table7[[#This Row],[PQoss (mW) C]]+Table7[[#This Row],[Pgate_top (mW) C]], Table7[[#This Row],[PRR (mW) C]]+Table7[[#This Row],[Pdead (mW) C]]+Table7[[#This Row],[Pgate_top (mW) C]])</f>
        <v>779.98285714285714</v>
      </c>
      <c r="BV242" s="156">
        <f ca="1">Table7[[#This Row],[Pcon_top (mW) C]]+Table7[[#This Row],[Psw_top (mW) C]]</f>
        <v>918.46073232507285</v>
      </c>
      <c r="BW242" s="156">
        <f ca="1">IF(VACnom&gt;Vbat, (1-Table7[[#This Row],[Duty Cycle]])*Table7[[#This Row],[I_L RMS]]^2*C_MOSFET_S_RDSON_L_BU*10^-3, Table7[[#This Row],[Duty Cycle]]*Table7[[#This Row],[I_L RMS]]^2*C_MOSFET_S_RDSON_L_BO*10^-3)/10^-3</f>
        <v>86.244992438046637</v>
      </c>
      <c r="BX242" s="156">
        <f ca="1">IF(VACnom&gt;Vbat, Table7[[#This Row],[PRR (mW) C]]+Table7[[#This Row],[Pdead (mW) C]]+Table7[[#This Row],[Pgate_bottom (mW) C]], Table7[[#This Row],[PIV (mW) C]]+Table7[[#This Row],[PQoss (mW) C]]+Table7[[#This Row],[Pgate_bottom (mW) C]])</f>
        <v>512.05074688082357</v>
      </c>
      <c r="BY242" s="156">
        <f ca="1">Table7[[#This Row],[Pcon_bottom (mW) C]]+Table7[[#This Row],[Psw_bottom (mV) C]]</f>
        <v>598.29573931887023</v>
      </c>
      <c r="BZ242" s="156">
        <f ca="1">Table7[[#This Row],[Pbottom (mW) C]]+Table7[[#This Row],[Ptop (mW) C]]</f>
        <v>1516.7564716439431</v>
      </c>
      <c r="CA242" s="159"/>
      <c r="CB242" s="160">
        <f>(RAC_SNS*10^-3*(Table7[[#This Row],[IOUT (A)]]*Vbat/VACnom)^2/10^-3)</f>
        <v>283.12812499999995</v>
      </c>
      <c r="CC242" s="160">
        <f>(RBAT_SNS*10^-3*Table7[[#This Row],[IOUT (A)]]^2)/10^-3</f>
        <v>92.449999999999989</v>
      </c>
      <c r="CD242" s="160">
        <f>IF(VACnom&gt;Vbat,(L_DRC*10^-3*(Table7[[#This Row],[IOUT (A)]])^2/10^-3),(L_DRC*10^-3*(Table7[[#This Row],[IOUT (A)]]*Vbat/VACnom)^2/10^-3))</f>
        <v>679.50749999999994</v>
      </c>
      <c r="CE242" s="166"/>
      <c r="CF242" s="156">
        <f>(Table7[[#This Row],[R_AC (mW)]]+Table7[[#This Row],[R_SR (mW)]]+Table7[[#This Row],[Inductor Loss (mW)]])/10^3</f>
        <v>1.055085625</v>
      </c>
      <c r="CG242" s="156">
        <f ca="1">Table7[[#This Row],[Total TI (mW)]]/10^3</f>
        <v>2.9313860930306599</v>
      </c>
      <c r="CH242" s="156">
        <f ca="1">Table7[[#This Row],[Total Sense Loss]]+Table7[[#This Row],[Total MOSFET Loss]]</f>
        <v>3.9864717180306597</v>
      </c>
      <c r="CI242" s="161">
        <f ca="1">IF(Table7[[#This Row],[POUT (W)]]=0,0,(Table7[[#This Row],[POUT (W)]])/(Table7[[#This Row],[POUT (W)]]+Table7[[#This Row],[Total Power Loss (W)]]))*100</f>
        <v>92.828341870208035</v>
      </c>
      <c r="CJ242" s="167"/>
      <c r="CK242" s="156">
        <f>(Table7[[#This Row],[R_AC (mW)]]+Table7[[#This Row],[R_SR (mW)]]+Table7[[#This Row],[Inductor Loss (mW)]])/10^3</f>
        <v>1.055085625</v>
      </c>
      <c r="CL242" s="156">
        <f ca="1">Table7[[#This Row],[Total (mW) C]]/10^3</f>
        <v>1.516756471643943</v>
      </c>
      <c r="CM242" s="156">
        <f ca="1">Table7[[#This Row],[Total Sense Loss C]]+Table7[[#This Row],[Total MOSFET Loss C]]</f>
        <v>2.5718420966439428</v>
      </c>
      <c r="CN242" s="161">
        <f ca="1">IF(Table7[[#This Row],[POUT (W)]]=0,0,(Table7[[#This Row],[POUT (W)]])/(Table7[[#This Row],[POUT (W)]]+Table7[[#This Row],[Total Power Loss (W) C]]))*100</f>
        <v>95.252437434090382</v>
      </c>
      <c r="CO242" s="167"/>
      <c r="CP242" s="161">
        <f>IF(MOSFET_S=Custom_MOSFET,Table7[[#This Row],[Total Sense Loss C]],Table7[[#This Row],[Total Sense Loss]])</f>
        <v>1.055085625</v>
      </c>
      <c r="CQ242" s="161">
        <f ca="1">IF(MOSFET_S=Custom_MOSFET,Table7[[#This Row],[Total MOSFET Loss C]],Table7[[#This Row],[Total MOSFET Loss]])</f>
        <v>2.9313860930306599</v>
      </c>
      <c r="CR242" s="161">
        <f ca="1">IF(MOSFET_S=Custom_MOSFET,Table7[[#This Row],[Efficiency C]],Table7[[#This Row],[Efficiency]])</f>
        <v>92.828341870208035</v>
      </c>
      <c r="CS242" s="167"/>
      <c r="CT242" s="161">
        <f>IF(MOSFET_S=Compare_MOSFET, Table7[[#This Row],[Total Sense Loss C]], -100)</f>
        <v>-100</v>
      </c>
      <c r="CU242" s="161">
        <f>IF(MOSFET_S=Compare_MOSFET, Table7[[#This Row],[Total MOSFET Loss C]], -100)</f>
        <v>-100</v>
      </c>
      <c r="CV242" s="161">
        <f>IF(MOSFET_S=Compare_MOSFET, Table7[[#This Row],[Efficiency C]], -100)</f>
        <v>-100</v>
      </c>
      <c r="CW242" s="167"/>
      <c r="CX242" s="161">
        <f ca="1">IF(Save_Sel=CLR_Save,  Table7[[#This Row],[Total Sense Loss P1]], Table7[[#This Row],[Total Sense Loss P1 Saved]])</f>
        <v>1.055085625</v>
      </c>
      <c r="CY242" s="161">
        <f ca="1">IF(Save_Sel=CLR_Save,  Table7[[#This Row],[Total MOSFET Loss P1]], Table7[[#This Row],[Total MOSFET Loss P1 Saved]] )</f>
        <v>2.2556514984983278</v>
      </c>
      <c r="CZ242" s="161">
        <f ca="1">IF(Save_Sel=CLR_Save, Table7[[#This Row],[Efficiency P1]], Table7[[#This Row],[Efficiency P1 Saved]])</f>
        <v>93.970692624190718</v>
      </c>
      <c r="DA242" s="167"/>
      <c r="DB242" s="161">
        <f ca="1">IF(Save_Sel=CLR_Save,  Table7[[#This Row],[Total Sense Loss P2]], Table7[[#This Row],[Total Sense Loss P2 Saved]])</f>
        <v>1.055085625</v>
      </c>
      <c r="DC242" s="161">
        <f ca="1">IF(Save_Sel=CLR_Save,  Table7[[#This Row],[Total MOSFET Loss P2]], Table7[[#This Row],[Total MOSFET Loss P2 Saved]] )</f>
        <v>1.5873695694394814</v>
      </c>
      <c r="DD242" s="161">
        <f ca="1">IF(Save_Sel=CLR_Save, Table7[[#This Row],[Efficiency P2]], Table7[[#This Row],[Efficiency P2 Saved]])</f>
        <v>95.128437337566609</v>
      </c>
      <c r="DE242" s="167"/>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row>
    <row r="243" spans="1:165" x14ac:dyDescent="0.25">
      <c r="A243" s="70"/>
      <c r="B243" s="70"/>
      <c r="C243" s="70"/>
      <c r="D243" s="70"/>
      <c r="E243" s="70"/>
      <c r="F243" s="70"/>
      <c r="G243" s="70"/>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154">
        <f t="shared" si="54"/>
        <v>87</v>
      </c>
      <c r="AG243" s="154">
        <f t="shared" si="53"/>
        <v>4.3499999999999996</v>
      </c>
      <c r="AH243" s="155">
        <f t="shared" si="42"/>
        <v>52.199999999999996</v>
      </c>
      <c r="AI243" s="156">
        <f t="shared" si="43"/>
        <v>0.42857142857142855</v>
      </c>
      <c r="AJ243" s="156">
        <f t="shared" si="44"/>
        <v>7.6124999999999998</v>
      </c>
      <c r="AK243" s="156">
        <f t="shared" si="40"/>
        <v>0.85714285714285721</v>
      </c>
      <c r="AL243" s="156">
        <f t="shared" si="41"/>
        <v>7.6165202513875006</v>
      </c>
      <c r="AM243" s="157"/>
      <c r="AN243" s="156">
        <f>MAX(0,Table7[[#This Row],[I_L]]-0.5*Table7[[#This Row],[I_L pkpk]])</f>
        <v>7.183928571428571</v>
      </c>
      <c r="AO243" s="156">
        <f>Table7[[#This Row],[I_L]]+0.5*Table7[[#This Row],[I_L pkpk]]</f>
        <v>8.0410714285714278</v>
      </c>
      <c r="AP243" s="156">
        <f ca="1">IF(VACnom&gt;Vbat, (VGS_S-(TI_MOSFET_S_VTH_H_BU+Table7[[#This Row],[I_L]]/TI_MOSFET_S_gFS_H_BU))/3.4, (VGS_S-(TI_MOSFET_S_VTH_L_BO+Table7[[#This Row],[I_L]]/TI_MOSFET_S_gFS_L_BO))/3.4 )</f>
        <v>2.4092477375565613</v>
      </c>
      <c r="AQ243" s="156">
        <f ca="1">IF(VACnom&gt;Vbat, ((TI_MOSFET_S_VTH_H_BU+Table7[[#This Row],[I_L]]/TI_MOSFET_S_gFS_H_BU))/1, ((TI_MOSFET_S_VTH_L_BO+Table7[[#This Row],[I_L]]/TI_MOSFET_S_gFS_L_BO))/1 )</f>
        <v>1.8085576923076923</v>
      </c>
      <c r="AR243" s="156">
        <f ca="1">IF(VACnom&gt;Vbat, (TI_MOSFET_S_QGD_H_BU+TI_MOSFET_S_QGS_H_BU)*10^-9/Table7[[#This Row],[Ion (A)]], (TI_MOSFET_S_QGD_L_BO+TI_MOSFET_S_QGS_L_BO)*10^-9/Table7[[#This Row],[Ion (A)]])/10^-9</f>
        <v>11.953938796351727</v>
      </c>
      <c r="AS243" s="156">
        <f ca="1">IF(VACnom&gt;Vbat, (TI_MOSFET_S_QGD_H_BU+TI_MOSFET_S_QGS_H_BU)*10^-9/Table7[[#This Row],[Ioff (A)]], (TI_MOSFET_S_QGD_L_BO+TI_MOSFET_S_QGS_L_BO)*10^-9/Table7[[#This Row],[Ioff (A)]])/10^-9</f>
        <v>15.924291562549845</v>
      </c>
      <c r="AT243" s="156">
        <f ca="1" xml:space="preserve"> 0.5*VACnom*Table7[[#This Row],[Ivalley (A)]]*Table7[[#This Row],[ton (ns)]]*10^-9*Fsw*10^3+0.5*VACnom*Table7[[#This Row],[Ipeak (A)]]*Table7[[#This Row],[toff (ns)]]*10^-9*Fsw*10^3/10^-3</f>
        <v>461.283271726755</v>
      </c>
      <c r="AU243" s="156">
        <f t="shared" ca="1" si="45"/>
        <v>262.8</v>
      </c>
      <c r="AV243" s="156">
        <f t="shared" ca="1" si="46"/>
        <v>648</v>
      </c>
      <c r="AW243" s="156">
        <f t="shared" ca="1" si="47"/>
        <v>554.4</v>
      </c>
      <c r="AX243" s="156">
        <f ca="1">IF(VACnom&gt;Vbat, TI_MOSFET_S_VSD_L_BU*Table7[[#This Row],[Ivalley (A)]]*Fsw*10^3*40*10^-9+TI_MOSFET_S_VSD_L_BU*Table7[[#This Row],[Ipeak (A)]]*Fsw*10^3*30*10^-9, TI_MOSFET_S_VSD_H_BO*Table7[[#This Row],[Ivalley (A)]]*Fsw*10^3*40*10^-9+TI_MOSFET_S_VSD_H_BO*Table7[[#This Row],[Ipeak (A)]]*Fsw*10^3*30*10^-9)/10^-3</f>
        <v>228.35057142857139</v>
      </c>
      <c r="AY243" s="156">
        <f t="shared" ca="1" si="48"/>
        <v>648</v>
      </c>
      <c r="AZ243" s="156">
        <f ca="1">IF(VACnom&lt;Vbat, Table7[[#This Row],[Duty Cycle]]*Table7[[#This Row],[I_L RMS]]^2*TI_MOSFET_S_RDSON_H_BU*10^-3, (1-Table7[[#This Row],[Duty Cycle]])*Table7[[#This Row],[I_L RMS]]^2*TI_MOSFET_S_RDSON_H_BO*10^-3)/10^-3</f>
        <v>69.613656887755099</v>
      </c>
      <c r="BA243" s="156">
        <f ca="1">IF(VACnom&gt;Vbat, Table7[[#This Row],[PIV (mW)]]+Table7[[#This Row],[Pqoss (mW)]]+Table7[[#This Row],[Pgate_top (mW)]], Table7[[#This Row],[PRR (mW)]]+Table7[[#This Row],[Pdead (mW)]]+Table7[[#This Row],[Pgate_top (mW)]])</f>
        <v>1430.7505714285712</v>
      </c>
      <c r="BB243" s="156">
        <f ca="1">Table7[[#This Row],[Pcon_top (mW)]]+Table7[[#This Row],[Psw_top (mW)]]</f>
        <v>1500.3642283163263</v>
      </c>
      <c r="BC243" s="156">
        <f ca="1">IF(VACnom&gt;Vbat, (1-Table7[[#This Row],[Duty Cycle]])*Table7[[#This Row],[I_L RMS]]^2*TI_MOSFET_S_RDSON_L_BU*10^-3, Table7[[#This Row],[Duty Cycle]]*Table7[[#This Row],[I_L RMS]]^2*TI_MOSFET_S_RDSON_L_BO*10^-3)/10^-3</f>
        <v>69.613656887755099</v>
      </c>
      <c r="BD243" s="156">
        <f ca="1">IF(VACnom&gt;Vbat, Table7[[#This Row],[PRR (mW)]]+Table7[[#This Row],[Pdead (mW)]]+Table7[[#This Row],[Pgate_bottom (mW)]], Table7[[#This Row],[PIV (mW)]]+Table7[[#This Row],[Pqoss (mW)]]+Table7[[#This Row],[Pgate_bottom (mW)]])</f>
        <v>1372.0832717267549</v>
      </c>
      <c r="BE243" s="158">
        <f ca="1">Table7[[#This Row],[Pcon_bottom (mW)]]+Table7[[#This Row],[Psw_bottom (mW)]]</f>
        <v>1441.6969286145099</v>
      </c>
      <c r="BF243" s="164">
        <f ca="1">Table7[[#This Row],[Pbottom (mW)]]+Table7[[#This Row],[Ptop (mW)]]</f>
        <v>2942.0611569308362</v>
      </c>
      <c r="BG243" s="153"/>
      <c r="BH243" s="156">
        <f>MAX(0,Table7[[#This Row],[I_L]]-0.5*Table7[[#This Row],[I_L pkpk]])</f>
        <v>7.183928571428571</v>
      </c>
      <c r="BI243" s="156">
        <f>Table7[[#This Row],[I_L]]+0.5*Table7[[#This Row],[I_L pkpk]]</f>
        <v>8.0410714285714278</v>
      </c>
      <c r="BJ243" s="156">
        <f>IF(VACnom&gt;Vbat, (VGS_S-(C_MOSFET_S_VTH_H_BU+Table7[[#This Row],[I_L]]/C_MOSFET_S_gFS_H_BU))/3.4, (VGS_S-(C_MOSFET_S_VTH_L_BO+Table7[[#This Row],[I_L]]/C_MOSFET_S_gFS_L_BO))/3.4 )</f>
        <v>2.3380147058823528</v>
      </c>
      <c r="BK243" s="156">
        <f>IF(VACnom&gt;Vbat, ((C_MOSFET_S_VTH_H_BU+Table7[[#This Row],[I_L]]/C_MOSFET_S_gFS_H_BU))/1, ((C_MOSFET_S_VTH_L_BO+Table7[[#This Row],[I_L]]/C_MOSFET_S_gFS_L_BO))/1 )</f>
        <v>2.0507499999999999</v>
      </c>
      <c r="BL243" s="156">
        <f>IF(VACnom&gt;Vbat, (C_MOSFET_S_QGD_H_BU+C_MOSFET_S_QGS_H_BU)*10^-9/Table7[[#This Row],[Ion (A) C]], (C_MOSFET_S_QGD_L_BO+C_MOSFET_S_QGS_L_BO)*10^-9/Table7[[#This Row],[Ion (A) C]])/10^-9</f>
        <v>2.7801364908639181</v>
      </c>
      <c r="BM243" s="156">
        <f>IF(VACnom&gt;Vbat, (C_MOSFET_S_QGD_H_BU+C_MOSFET_S_QGS_H_BU)*10^-9/Table7[[#This Row],[Ioff (A) C]], (C_MOSFET_S_QGD_L_BO+C_MOSFET_S_QGS_L_BO)*10^-9/Table7[[#This Row],[Ioff (A) C]])/10^-9</f>
        <v>3.1695721077654522</v>
      </c>
      <c r="BN243" s="156">
        <f xml:space="preserve"> 0.5*VACnom*Table7[[#This Row],[Ivalley (A) C]]*Table7[[#This Row],[ton (ns) C]]*10^-9*Fsw*10^3+0.5*VACnom*Table7[[#This Row],[Ipeak (A) C]]*Table7[[#This Row],[toff (ns) C]]*10^-9*Fsw*10^3/10^-3</f>
        <v>91.824220866667972</v>
      </c>
      <c r="BO243" s="156">
        <f t="shared" si="49"/>
        <v>129.6</v>
      </c>
      <c r="BP243" s="156">
        <f t="shared" ca="1" si="50"/>
        <v>291.59999999999997</v>
      </c>
      <c r="BQ243" s="156">
        <f t="shared" si="51"/>
        <v>237.6</v>
      </c>
      <c r="BR243" s="156">
        <f>IF(VACnom&gt;Vbat, C_MOSFET_S_VSD_L_BU*Table7[[#This Row],[Ivalley (A) C]]*Fsw*10^3*40*10^-9+C_MOSFET_S_VSD_L_BU*Table7[[#This Row],[Ipeak (A) C]]*Fsw*10^3*30*10^-9, C_MOSFET_S_VSD_H_BO*Table7[[#This Row],[Ivalley (A) C]]*Fsw*10^3*40*10^-9+C_MOSFET_S_VSD_H_BO*Table7[[#This Row],[Ipeak (A) C]]*Fsw*10^3*30*10^-9)/10^-3</f>
        <v>253.72285714285712</v>
      </c>
      <c r="BS243" s="156">
        <f t="shared" ca="1" si="52"/>
        <v>291.59999999999997</v>
      </c>
      <c r="BT243" s="156">
        <f>IF(VACnom&lt;Vbat, Table7[[#This Row],[Duty Cycle]]*Table7[[#This Row],[I_L RMS]]^2*C_MOSFET_S_RDSON_H_BU*10^-3, (1-Table7[[#This Row],[Duty Cycle]])*Table7[[#This Row],[I_L RMS]]^2*C_MOSFET_S_RDSON_H_BO*10^-3)/10^-3</f>
        <v>141.71351580721574</v>
      </c>
      <c r="BU243" s="156">
        <f ca="1">IF(VACnom&gt;Vbat, Table7[[#This Row],[PIV (mW) C]]+Table7[[#This Row],[PQoss (mW) C]]+Table7[[#This Row],[Pgate_top (mW) C]], Table7[[#This Row],[PRR (mW) C]]+Table7[[#This Row],[Pdead (mW) C]]+Table7[[#This Row],[Pgate_top (mW) C]])</f>
        <v>782.92285714285708</v>
      </c>
      <c r="BV243" s="156">
        <f ca="1">Table7[[#This Row],[Pcon_top (mW) C]]+Table7[[#This Row],[Psw_top (mW) C]]</f>
        <v>924.63637295007288</v>
      </c>
      <c r="BW243" s="156">
        <f ca="1">IF(VACnom&gt;Vbat, (1-Table7[[#This Row],[Duty Cycle]])*Table7[[#This Row],[I_L RMS]]^2*C_MOSFET_S_RDSON_L_BU*10^-3, Table7[[#This Row],[Duty Cycle]]*Table7[[#This Row],[I_L RMS]]^2*C_MOSFET_S_RDSON_L_BO*10^-3)/10^-3</f>
        <v>88.260172125546646</v>
      </c>
      <c r="BX243" s="156">
        <f ca="1">IF(VACnom&gt;Vbat, Table7[[#This Row],[PRR (mW) C]]+Table7[[#This Row],[Pdead (mW) C]]+Table7[[#This Row],[Pgate_bottom (mW) C]], Table7[[#This Row],[PIV (mW) C]]+Table7[[#This Row],[PQoss (mW) C]]+Table7[[#This Row],[Pgate_bottom (mW) C]])</f>
        <v>513.02422086666797</v>
      </c>
      <c r="BY243" s="156">
        <f ca="1">Table7[[#This Row],[Pcon_bottom (mW) C]]+Table7[[#This Row],[Psw_bottom (mV) C]]</f>
        <v>601.28439299221463</v>
      </c>
      <c r="BZ243" s="156">
        <f ca="1">Table7[[#This Row],[Pbottom (mW) C]]+Table7[[#This Row],[Ptop (mW) C]]</f>
        <v>1525.9207659422875</v>
      </c>
      <c r="CA243" s="159"/>
      <c r="CB243" s="160">
        <f>(RAC_SNS*10^-3*(Table7[[#This Row],[IOUT (A)]]*Vbat/VACnom)^2/10^-3)</f>
        <v>289.75078124999999</v>
      </c>
      <c r="CC243" s="160">
        <f>(RBAT_SNS*10^-3*Table7[[#This Row],[IOUT (A)]]^2)/10^-3</f>
        <v>94.612499999999983</v>
      </c>
      <c r="CD243" s="160">
        <f>IF(VACnom&gt;Vbat,(L_DRC*10^-3*(Table7[[#This Row],[IOUT (A)]])^2/10^-3),(L_DRC*10^-3*(Table7[[#This Row],[IOUT (A)]]*Vbat/VACnom)^2/10^-3))</f>
        <v>695.40187500000002</v>
      </c>
      <c r="CE243" s="166"/>
      <c r="CF243" s="156">
        <f>(Table7[[#This Row],[R_AC (mW)]]+Table7[[#This Row],[R_SR (mW)]]+Table7[[#This Row],[Inductor Loss (mW)]])/10^3</f>
        <v>1.0797651562499999</v>
      </c>
      <c r="CG243" s="156">
        <f ca="1">Table7[[#This Row],[Total TI (mW)]]/10^3</f>
        <v>2.9420611569308361</v>
      </c>
      <c r="CH243" s="156">
        <f ca="1">Table7[[#This Row],[Total Sense Loss]]+Table7[[#This Row],[Total MOSFET Loss]]</f>
        <v>4.0218263131808358</v>
      </c>
      <c r="CI243" s="161">
        <f ca="1">IF(Table7[[#This Row],[POUT (W)]]=0,0,(Table7[[#This Row],[POUT (W)]])/(Table7[[#This Row],[POUT (W)]]+Table7[[#This Row],[Total Power Loss (W)]]))*100</f>
        <v>92.846503614490473</v>
      </c>
      <c r="CJ243" s="167"/>
      <c r="CK243" s="156">
        <f>(Table7[[#This Row],[R_AC (mW)]]+Table7[[#This Row],[R_SR (mW)]]+Table7[[#This Row],[Inductor Loss (mW)]])/10^3</f>
        <v>1.0797651562499999</v>
      </c>
      <c r="CL243" s="156">
        <f ca="1">Table7[[#This Row],[Total (mW) C]]/10^3</f>
        <v>1.5259207659422875</v>
      </c>
      <c r="CM243" s="156">
        <f ca="1">Table7[[#This Row],[Total Sense Loss C]]+Table7[[#This Row],[Total MOSFET Loss C]]</f>
        <v>2.6056859221922872</v>
      </c>
      <c r="CN243" s="161">
        <f ca="1">IF(Table7[[#This Row],[POUT (W)]]=0,0,(Table7[[#This Row],[POUT (W)]])/(Table7[[#This Row],[POUT (W)]]+Table7[[#This Row],[Total Power Loss (W) C]]))*100</f>
        <v>95.245591988591144</v>
      </c>
      <c r="CO243" s="167"/>
      <c r="CP243" s="161">
        <f>IF(MOSFET_S=Custom_MOSFET,Table7[[#This Row],[Total Sense Loss C]],Table7[[#This Row],[Total Sense Loss]])</f>
        <v>1.0797651562499999</v>
      </c>
      <c r="CQ243" s="161">
        <f ca="1">IF(MOSFET_S=Custom_MOSFET,Table7[[#This Row],[Total MOSFET Loss C]],Table7[[#This Row],[Total MOSFET Loss]])</f>
        <v>2.9420611569308361</v>
      </c>
      <c r="CR243" s="161">
        <f ca="1">IF(MOSFET_S=Custom_MOSFET,Table7[[#This Row],[Efficiency C]],Table7[[#This Row],[Efficiency]])</f>
        <v>92.846503614490473</v>
      </c>
      <c r="CS243" s="167"/>
      <c r="CT243" s="161">
        <f>IF(MOSFET_S=Compare_MOSFET, Table7[[#This Row],[Total Sense Loss C]], -100)</f>
        <v>-100</v>
      </c>
      <c r="CU243" s="161">
        <f>IF(MOSFET_S=Compare_MOSFET, Table7[[#This Row],[Total MOSFET Loss C]], -100)</f>
        <v>-100</v>
      </c>
      <c r="CV243" s="161">
        <f>IF(MOSFET_S=Compare_MOSFET, Table7[[#This Row],[Efficiency C]], -100)</f>
        <v>-100</v>
      </c>
      <c r="CW243" s="167"/>
      <c r="CX243" s="161">
        <f ca="1">IF(Save_Sel=CLR_Save,  Table7[[#This Row],[Total Sense Loss P1]], Table7[[#This Row],[Total Sense Loss P1 Saved]])</f>
        <v>1.0797651562499999</v>
      </c>
      <c r="CY243" s="161">
        <f ca="1">IF(Save_Sel=CLR_Save,  Table7[[#This Row],[Total MOSFET Loss P1]], Table7[[#This Row],[Total MOSFET Loss P1 Saved]] )</f>
        <v>2.2671859488957344</v>
      </c>
      <c r="CZ243" s="161">
        <f ca="1">IF(Save_Sel=CLR_Save, Table7[[#This Row],[Efficiency P1]], Table7[[#This Row],[Efficiency P1 Saved]])</f>
        <v>93.97455478913642</v>
      </c>
      <c r="DA243" s="167"/>
      <c r="DB243" s="161">
        <f ca="1">IF(Save_Sel=CLR_Save,  Table7[[#This Row],[Total Sense Loss P2]], Table7[[#This Row],[Total Sense Loss P2 Saved]])</f>
        <v>1.0797651562499999</v>
      </c>
      <c r="DC243" s="161">
        <f ca="1">IF(Save_Sel=CLR_Save,  Table7[[#This Row],[Total MOSFET Loss P2]], Table7[[#This Row],[Total MOSFET Loss P2 Saved]] )</f>
        <v>1.5981820830954889</v>
      </c>
      <c r="DD243" s="161">
        <f ca="1">IF(Save_Sel=CLR_Save, Table7[[#This Row],[Efficiency P2]], Table7[[#This Row],[Efficiency P2 Saved]])</f>
        <v>95.120176001361983</v>
      </c>
      <c r="DE243" s="167"/>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c r="FH243" s="21"/>
      <c r="FI243" s="21"/>
    </row>
    <row r="244" spans="1:165" x14ac:dyDescent="0.25">
      <c r="A244" s="70"/>
      <c r="B244" s="70"/>
      <c r="C244" s="70"/>
      <c r="D244" s="70"/>
      <c r="E244" s="70"/>
      <c r="F244" s="70"/>
      <c r="G244" s="70"/>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154">
        <f t="shared" si="54"/>
        <v>88</v>
      </c>
      <c r="AG244" s="154">
        <f t="shared" si="53"/>
        <v>4.4000000000000004</v>
      </c>
      <c r="AH244" s="155">
        <f t="shared" si="42"/>
        <v>52.800000000000004</v>
      </c>
      <c r="AI244" s="156">
        <f t="shared" si="43"/>
        <v>0.42857142857142855</v>
      </c>
      <c r="AJ244" s="156">
        <f t="shared" si="44"/>
        <v>7.7000000000000011</v>
      </c>
      <c r="AK244" s="156">
        <f t="shared" si="40"/>
        <v>0.85714285714285721</v>
      </c>
      <c r="AL244" s="156">
        <f t="shared" si="41"/>
        <v>7.7039745904173342</v>
      </c>
      <c r="AM244" s="157"/>
      <c r="AN244" s="156">
        <f>MAX(0,Table7[[#This Row],[I_L]]-0.5*Table7[[#This Row],[I_L pkpk]])</f>
        <v>7.2714285714285722</v>
      </c>
      <c r="AO244" s="156">
        <f>Table7[[#This Row],[I_L]]+0.5*Table7[[#This Row],[I_L pkpk]]</f>
        <v>8.1285714285714299</v>
      </c>
      <c r="AP244" s="156">
        <f ca="1">IF(VACnom&gt;Vbat, (VGS_S-(TI_MOSFET_S_VTH_H_BU+Table7[[#This Row],[I_L]]/TI_MOSFET_S_gFS_H_BU))/3.4, (VGS_S-(TI_MOSFET_S_VTH_L_BO+Table7[[#This Row],[I_L]]/TI_MOSFET_S_gFS_L_BO))/3.4 )</f>
        <v>2.409049773755656</v>
      </c>
      <c r="AQ244" s="156">
        <f ca="1">IF(VACnom&gt;Vbat, ((TI_MOSFET_S_VTH_H_BU+Table7[[#This Row],[I_L]]/TI_MOSFET_S_gFS_H_BU))/1, ((TI_MOSFET_S_VTH_L_BO+Table7[[#This Row],[I_L]]/TI_MOSFET_S_gFS_L_BO))/1 )</f>
        <v>1.8092307692307692</v>
      </c>
      <c r="AR244" s="156">
        <f ca="1">IF(VACnom&gt;Vbat, (TI_MOSFET_S_QGD_H_BU+TI_MOSFET_S_QGS_H_BU)*10^-9/Table7[[#This Row],[Ion (A)]], (TI_MOSFET_S_QGD_L_BO+TI_MOSFET_S_QGS_L_BO)*10^-9/Table7[[#This Row],[Ion (A)]])/10^-9</f>
        <v>11.954921111945907</v>
      </c>
      <c r="AS244" s="156">
        <f ca="1">IF(VACnom&gt;Vbat, (TI_MOSFET_S_QGD_H_BU+TI_MOSFET_S_QGS_H_BU)*10^-9/Table7[[#This Row],[Ioff (A)]], (TI_MOSFET_S_QGD_L_BO+TI_MOSFET_S_QGS_L_BO)*10^-9/Table7[[#This Row],[Ioff (A)]])/10^-9</f>
        <v>15.918367346938776</v>
      </c>
      <c r="AT244" s="156">
        <f ca="1" xml:space="preserve"> 0.5*VACnom*Table7[[#This Row],[Ivalley (A)]]*Table7[[#This Row],[ton (ns)]]*10^-9*Fsw*10^3+0.5*VACnom*Table7[[#This Row],[Ipeak (A)]]*Table7[[#This Row],[toff (ns)]]*10^-9*Fsw*10^3/10^-3</f>
        <v>466.12985529878466</v>
      </c>
      <c r="AU244" s="156">
        <f t="shared" ca="1" si="45"/>
        <v>262.8</v>
      </c>
      <c r="AV244" s="156">
        <f t="shared" ca="1" si="46"/>
        <v>648</v>
      </c>
      <c r="AW244" s="156">
        <f t="shared" ca="1" si="47"/>
        <v>554.4</v>
      </c>
      <c r="AX244" s="156">
        <f ca="1">IF(VACnom&gt;Vbat, TI_MOSFET_S_VSD_L_BU*Table7[[#This Row],[Ivalley (A)]]*Fsw*10^3*40*10^-9+TI_MOSFET_S_VSD_L_BU*Table7[[#This Row],[Ipeak (A)]]*Fsw*10^3*30*10^-9, TI_MOSFET_S_VSD_H_BO*Table7[[#This Row],[Ivalley (A)]]*Fsw*10^3*40*10^-9+TI_MOSFET_S_VSD_H_BO*Table7[[#This Row],[Ipeak (A)]]*Fsw*10^3*30*10^-9)/10^-3</f>
        <v>230.99657142857146</v>
      </c>
      <c r="AY244" s="156">
        <f t="shared" ca="1" si="48"/>
        <v>648</v>
      </c>
      <c r="AZ244" s="156">
        <f ca="1">IF(VACnom&lt;Vbat, Table7[[#This Row],[Duty Cycle]]*Table7[[#This Row],[I_L RMS]]^2*TI_MOSFET_S_RDSON_H_BU*10^-3, (1-Table7[[#This Row],[Duty Cycle]])*Table7[[#This Row],[I_L RMS]]^2*TI_MOSFET_S_RDSON_H_BO*10^-3)/10^-3</f>
        <v>71.221469387755107</v>
      </c>
      <c r="BA244" s="156">
        <f ca="1">IF(VACnom&gt;Vbat, Table7[[#This Row],[PIV (mW)]]+Table7[[#This Row],[Pqoss (mW)]]+Table7[[#This Row],[Pgate_top (mW)]], Table7[[#This Row],[PRR (mW)]]+Table7[[#This Row],[Pdead (mW)]]+Table7[[#This Row],[Pgate_top (mW)]])</f>
        <v>1433.3965714285714</v>
      </c>
      <c r="BB244" s="156">
        <f ca="1">Table7[[#This Row],[Pcon_top (mW)]]+Table7[[#This Row],[Psw_top (mW)]]</f>
        <v>1504.6180408163266</v>
      </c>
      <c r="BC244" s="156">
        <f ca="1">IF(VACnom&gt;Vbat, (1-Table7[[#This Row],[Duty Cycle]])*Table7[[#This Row],[I_L RMS]]^2*TI_MOSFET_S_RDSON_L_BU*10^-3, Table7[[#This Row],[Duty Cycle]]*Table7[[#This Row],[I_L RMS]]^2*TI_MOSFET_S_RDSON_L_BO*10^-3)/10^-3</f>
        <v>71.221469387755107</v>
      </c>
      <c r="BD244" s="156">
        <f ca="1">IF(VACnom&gt;Vbat, Table7[[#This Row],[PRR (mW)]]+Table7[[#This Row],[Pdead (mW)]]+Table7[[#This Row],[Pgate_bottom (mW)]], Table7[[#This Row],[PIV (mW)]]+Table7[[#This Row],[Pqoss (mW)]]+Table7[[#This Row],[Pgate_bottom (mW)]])</f>
        <v>1376.9298552987848</v>
      </c>
      <c r="BE244" s="158">
        <f ca="1">Table7[[#This Row],[Pcon_bottom (mW)]]+Table7[[#This Row],[Psw_bottom (mW)]]</f>
        <v>1448.15132468654</v>
      </c>
      <c r="BF244" s="164">
        <f ca="1">Table7[[#This Row],[Pbottom (mW)]]+Table7[[#This Row],[Ptop (mW)]]</f>
        <v>2952.7693655028665</v>
      </c>
      <c r="BG244" s="153"/>
      <c r="BH244" s="156">
        <f>MAX(0,Table7[[#This Row],[I_L]]-0.5*Table7[[#This Row],[I_L pkpk]])</f>
        <v>7.2714285714285722</v>
      </c>
      <c r="BI244" s="156">
        <f>Table7[[#This Row],[I_L]]+0.5*Table7[[#This Row],[I_L pkpk]]</f>
        <v>8.1285714285714299</v>
      </c>
      <c r="BJ244" s="156">
        <f>IF(VACnom&gt;Vbat, (VGS_S-(C_MOSFET_S_VTH_H_BU+Table7[[#This Row],[I_L]]/C_MOSFET_S_gFS_H_BU))/3.4, (VGS_S-(C_MOSFET_S_VTH_L_BO+Table7[[#This Row],[I_L]]/C_MOSFET_S_gFS_L_BO))/3.4 )</f>
        <v>2.337843137254902</v>
      </c>
      <c r="BK244" s="156">
        <f>IF(VACnom&gt;Vbat, ((C_MOSFET_S_VTH_H_BU+Table7[[#This Row],[I_L]]/C_MOSFET_S_gFS_H_BU))/1, ((C_MOSFET_S_VTH_L_BO+Table7[[#This Row],[I_L]]/C_MOSFET_S_gFS_L_BO))/1 )</f>
        <v>2.0513333333333335</v>
      </c>
      <c r="BL244" s="156">
        <f>IF(VACnom&gt;Vbat, (C_MOSFET_S_QGD_H_BU+C_MOSFET_S_QGS_H_BU)*10^-9/Table7[[#This Row],[Ion (A) C]], (C_MOSFET_S_QGD_L_BO+C_MOSFET_S_QGS_L_BO)*10^-9/Table7[[#This Row],[Ion (A) C]])/10^-9</f>
        <v>2.7803405183259247</v>
      </c>
      <c r="BM244" s="156">
        <f>IF(VACnom&gt;Vbat, (C_MOSFET_S_QGD_H_BU+C_MOSFET_S_QGS_H_BU)*10^-9/Table7[[#This Row],[Ioff (A) C]], (C_MOSFET_S_QGD_L_BO+C_MOSFET_S_QGS_L_BO)*10^-9/Table7[[#This Row],[Ioff (A) C]])/10^-9</f>
        <v>3.1686707832304188</v>
      </c>
      <c r="BN244" s="156">
        <f xml:space="preserve"> 0.5*VACnom*Table7[[#This Row],[Ivalley (A) C]]*Table7[[#This Row],[ton (ns) C]]*10^-9*Fsw*10^3+0.5*VACnom*Table7[[#This Row],[Ipeak (A) C]]*Table7[[#This Row],[toff (ns) C]]*10^-9*Fsw*10^3/10^-3</f>
        <v>92.797141833356747</v>
      </c>
      <c r="BO244" s="156">
        <f t="shared" si="49"/>
        <v>129.6</v>
      </c>
      <c r="BP244" s="156">
        <f t="shared" ca="1" si="50"/>
        <v>291.59999999999997</v>
      </c>
      <c r="BQ244" s="156">
        <f t="shared" si="51"/>
        <v>237.6</v>
      </c>
      <c r="BR244" s="156">
        <f>IF(VACnom&gt;Vbat, C_MOSFET_S_VSD_L_BU*Table7[[#This Row],[Ivalley (A) C]]*Fsw*10^3*40*10^-9+C_MOSFET_S_VSD_L_BU*Table7[[#This Row],[Ipeak (A) C]]*Fsw*10^3*30*10^-9, C_MOSFET_S_VSD_H_BO*Table7[[#This Row],[Ivalley (A) C]]*Fsw*10^3*40*10^-9+C_MOSFET_S_VSD_H_BO*Table7[[#This Row],[Ipeak (A) C]]*Fsw*10^3*30*10^-9)/10^-3</f>
        <v>256.66285714285726</v>
      </c>
      <c r="BS244" s="156">
        <f t="shared" ca="1" si="52"/>
        <v>291.59999999999997</v>
      </c>
      <c r="BT244" s="156">
        <f>IF(VACnom&lt;Vbat, Table7[[#This Row],[Duty Cycle]]*Table7[[#This Row],[I_L RMS]]^2*C_MOSFET_S_RDSON_H_BU*10^-3, (1-Table7[[#This Row],[Duty Cycle]])*Table7[[#This Row],[I_L RMS]]^2*C_MOSFET_S_RDSON_H_BO*10^-3)/10^-3</f>
        <v>144.98656268221578</v>
      </c>
      <c r="BU244" s="156">
        <f ca="1">IF(VACnom&gt;Vbat, Table7[[#This Row],[PIV (mW) C]]+Table7[[#This Row],[PQoss (mW) C]]+Table7[[#This Row],[Pgate_top (mW) C]], Table7[[#This Row],[PRR (mW) C]]+Table7[[#This Row],[Pdead (mW) C]]+Table7[[#This Row],[Pgate_top (mW) C]])</f>
        <v>785.86285714285714</v>
      </c>
      <c r="BV244" s="156">
        <f ca="1">Table7[[#This Row],[Pcon_top (mW) C]]+Table7[[#This Row],[Psw_top (mW) C]]</f>
        <v>930.84941982507291</v>
      </c>
      <c r="BW244" s="156">
        <f ca="1">IF(VACnom&gt;Vbat, (1-Table7[[#This Row],[Duty Cycle]])*Table7[[#This Row],[I_L RMS]]^2*C_MOSFET_S_RDSON_L_BU*10^-3, Table7[[#This Row],[Duty Cycle]]*Table7[[#This Row],[I_L RMS]]^2*C_MOSFET_S_RDSON_L_BO*10^-3)/10^-3</f>
        <v>90.298648688046654</v>
      </c>
      <c r="BX244" s="156">
        <f ca="1">IF(VACnom&gt;Vbat, Table7[[#This Row],[PRR (mW) C]]+Table7[[#This Row],[Pdead (mW) C]]+Table7[[#This Row],[Pgate_bottom (mW) C]], Table7[[#This Row],[PIV (mW) C]]+Table7[[#This Row],[PQoss (mW) C]]+Table7[[#This Row],[Pgate_bottom (mW) C]])</f>
        <v>513.99714183335664</v>
      </c>
      <c r="BY244" s="156">
        <f ca="1">Table7[[#This Row],[Pcon_bottom (mW) C]]+Table7[[#This Row],[Psw_bottom (mV) C]]</f>
        <v>604.29579052140332</v>
      </c>
      <c r="BZ244" s="156">
        <f ca="1">Table7[[#This Row],[Pbottom (mW) C]]+Table7[[#This Row],[Ptop (mW) C]]</f>
        <v>1535.1452103464762</v>
      </c>
      <c r="CA244" s="159"/>
      <c r="CB244" s="160">
        <f>(RAC_SNS*10^-3*(Table7[[#This Row],[IOUT (A)]]*Vbat/VACnom)^2/10^-3)</f>
        <v>296.45000000000005</v>
      </c>
      <c r="CC244" s="160">
        <f>(RBAT_SNS*10^-3*Table7[[#This Row],[IOUT (A)]]^2)/10^-3</f>
        <v>96.800000000000011</v>
      </c>
      <c r="CD244" s="160">
        <f>IF(VACnom&gt;Vbat,(L_DRC*10^-3*(Table7[[#This Row],[IOUT (A)]])^2/10^-3),(L_DRC*10^-3*(Table7[[#This Row],[IOUT (A)]]*Vbat/VACnom)^2/10^-3))</f>
        <v>711.48000000000013</v>
      </c>
      <c r="CE244" s="166"/>
      <c r="CF244" s="156">
        <f>(Table7[[#This Row],[R_AC (mW)]]+Table7[[#This Row],[R_SR (mW)]]+Table7[[#This Row],[Inductor Loss (mW)]])/10^3</f>
        <v>1.1047300000000002</v>
      </c>
      <c r="CG244" s="156">
        <f ca="1">Table7[[#This Row],[Total TI (mW)]]/10^3</f>
        <v>2.9527693655028666</v>
      </c>
      <c r="CH244" s="156">
        <f ca="1">Table7[[#This Row],[Total Sense Loss]]+Table7[[#This Row],[Total MOSFET Loss]]</f>
        <v>4.0574993655028671</v>
      </c>
      <c r="CI244" s="161">
        <f ca="1">IF(Table7[[#This Row],[POUT (W)]]=0,0,(Table7[[#This Row],[POUT (W)]])/(Table7[[#This Row],[POUT (W)]]+Table7[[#This Row],[Total Power Loss (W)]]))*100</f>
        <v>92.863739329407309</v>
      </c>
      <c r="CJ244" s="167"/>
      <c r="CK244" s="156">
        <f>(Table7[[#This Row],[R_AC (mW)]]+Table7[[#This Row],[R_SR (mW)]]+Table7[[#This Row],[Inductor Loss (mW)]])/10^3</f>
        <v>1.1047300000000002</v>
      </c>
      <c r="CL244" s="156">
        <f ca="1">Table7[[#This Row],[Total (mW) C]]/10^3</f>
        <v>1.5351452103464762</v>
      </c>
      <c r="CM244" s="156">
        <f ca="1">Table7[[#This Row],[Total Sense Loss C]]+Table7[[#This Row],[Total MOSFET Loss C]]</f>
        <v>2.6398752103464762</v>
      </c>
      <c r="CN244" s="161">
        <f ca="1">IF(Table7[[#This Row],[POUT (W)]]=0,0,(Table7[[#This Row],[POUT (W)]])/(Table7[[#This Row],[POUT (W)]]+Table7[[#This Row],[Total Power Loss (W) C]]))*100</f>
        <v>95.238309609589805</v>
      </c>
      <c r="CO244" s="167"/>
      <c r="CP244" s="161">
        <f>IF(MOSFET_S=Custom_MOSFET,Table7[[#This Row],[Total Sense Loss C]],Table7[[#This Row],[Total Sense Loss]])</f>
        <v>1.1047300000000002</v>
      </c>
      <c r="CQ244" s="161">
        <f ca="1">IF(MOSFET_S=Custom_MOSFET,Table7[[#This Row],[Total MOSFET Loss C]],Table7[[#This Row],[Total MOSFET Loss]])</f>
        <v>2.9527693655028666</v>
      </c>
      <c r="CR244" s="161">
        <f ca="1">IF(MOSFET_S=Custom_MOSFET,Table7[[#This Row],[Efficiency C]],Table7[[#This Row],[Efficiency]])</f>
        <v>92.863739329407309</v>
      </c>
      <c r="CS244" s="167"/>
      <c r="CT244" s="161">
        <f>IF(MOSFET_S=Compare_MOSFET, Table7[[#This Row],[Total Sense Loss C]], -100)</f>
        <v>-100</v>
      </c>
      <c r="CU244" s="161">
        <f>IF(MOSFET_S=Compare_MOSFET, Table7[[#This Row],[Total MOSFET Loss C]], -100)</f>
        <v>-100</v>
      </c>
      <c r="CV244" s="161">
        <f>IF(MOSFET_S=Compare_MOSFET, Table7[[#This Row],[Efficiency C]], -100)</f>
        <v>-100</v>
      </c>
      <c r="CW244" s="167"/>
      <c r="CX244" s="161">
        <f ca="1">IF(Save_Sel=CLR_Save,  Table7[[#This Row],[Total Sense Loss P1]], Table7[[#This Row],[Total Sense Loss P1 Saved]])</f>
        <v>1.1047300000000002</v>
      </c>
      <c r="CY244" s="161">
        <f ca="1">IF(Save_Sel=CLR_Save,  Table7[[#This Row],[Total MOSFET Loss P1]], Table7[[#This Row],[Total MOSFET Loss P1 Saved]] )</f>
        <v>2.2787633929417059</v>
      </c>
      <c r="CZ244" s="161">
        <f ca="1">IF(Save_Sel=CLR_Save, Table7[[#This Row],[Efficiency P1]], Table7[[#This Row],[Efficiency P1 Saved]])</f>
        <v>93.977780325481191</v>
      </c>
      <c r="DA244" s="167"/>
      <c r="DB244" s="161">
        <f ca="1">IF(Save_Sel=CLR_Save,  Table7[[#This Row],[Total Sense Loss P2]], Table7[[#This Row],[Total Sense Loss P2 Saved]])</f>
        <v>1.1047300000000002</v>
      </c>
      <c r="DC244" s="161">
        <f ca="1">IF(Save_Sel=CLR_Save,  Table7[[#This Row],[Total MOSFET Loss P2]], Table7[[#This Row],[Total MOSFET Loss P2 Saved]] )</f>
        <v>1.6090737793584031</v>
      </c>
      <c r="DD244" s="161">
        <f ca="1">IF(Save_Sel=CLR_Save, Table7[[#This Row],[Efficiency P2]], Table7[[#This Row],[Efficiency P2 Saved]])</f>
        <v>95.111479317568453</v>
      </c>
      <c r="DE244" s="167"/>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c r="FH244" s="21"/>
      <c r="FI244" s="21"/>
    </row>
    <row r="245" spans="1:165" x14ac:dyDescent="0.25">
      <c r="A245" s="70"/>
      <c r="B245" s="70"/>
      <c r="C245" s="70"/>
      <c r="D245" s="70"/>
      <c r="E245" s="70"/>
      <c r="F245" s="70"/>
      <c r="G245" s="70"/>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154">
        <f t="shared" si="54"/>
        <v>89</v>
      </c>
      <c r="AG245" s="154">
        <f t="shared" si="53"/>
        <v>4.45</v>
      </c>
      <c r="AH245" s="155">
        <f t="shared" si="42"/>
        <v>53.400000000000006</v>
      </c>
      <c r="AI245" s="156">
        <f t="shared" si="43"/>
        <v>0.42857142857142855</v>
      </c>
      <c r="AJ245" s="156">
        <f t="shared" si="44"/>
        <v>7.7875000000000005</v>
      </c>
      <c r="AK245" s="156">
        <f t="shared" si="40"/>
        <v>0.85714285714285721</v>
      </c>
      <c r="AL245" s="156">
        <f t="shared" si="41"/>
        <v>7.7914299547513055</v>
      </c>
      <c r="AM245" s="157"/>
      <c r="AN245" s="156">
        <f>MAX(0,Table7[[#This Row],[I_L]]-0.5*Table7[[#This Row],[I_L pkpk]])</f>
        <v>7.3589285714285717</v>
      </c>
      <c r="AO245" s="156">
        <f>Table7[[#This Row],[I_L]]+0.5*Table7[[#This Row],[I_L pkpk]]</f>
        <v>8.2160714285714285</v>
      </c>
      <c r="AP245" s="156">
        <f ca="1">IF(VACnom&gt;Vbat, (VGS_S-(TI_MOSFET_S_VTH_H_BU+Table7[[#This Row],[I_L]]/TI_MOSFET_S_gFS_H_BU))/3.4, (VGS_S-(TI_MOSFET_S_VTH_L_BO+Table7[[#This Row],[I_L]]/TI_MOSFET_S_gFS_L_BO))/3.4 )</f>
        <v>2.4088518099547511</v>
      </c>
      <c r="AQ245" s="156">
        <f ca="1">IF(VACnom&gt;Vbat, ((TI_MOSFET_S_VTH_H_BU+Table7[[#This Row],[I_L]]/TI_MOSFET_S_gFS_H_BU))/1, ((TI_MOSFET_S_VTH_L_BO+Table7[[#This Row],[I_L]]/TI_MOSFET_S_gFS_L_BO))/1 )</f>
        <v>1.8099038461538461</v>
      </c>
      <c r="AR245" s="156">
        <f ca="1">IF(VACnom&gt;Vbat, (TI_MOSFET_S_QGD_H_BU+TI_MOSFET_S_QGS_H_BU)*10^-9/Table7[[#This Row],[Ion (A)]], (TI_MOSFET_S_QGD_L_BO+TI_MOSFET_S_QGS_L_BO)*10^-9/Table7[[#This Row],[Ion (A)]])/10^-9</f>
        <v>11.95590358899703</v>
      </c>
      <c r="AS245" s="156">
        <f ca="1">IF(VACnom&gt;Vbat, (TI_MOSFET_S_QGD_H_BU+TI_MOSFET_S_QGS_H_BU)*10^-9/Table7[[#This Row],[Ioff (A)]], (TI_MOSFET_S_QGD_L_BO+TI_MOSFET_S_QGS_L_BO)*10^-9/Table7[[#This Row],[Ioff (A)]])/10^-9</f>
        <v>15.912447537586996</v>
      </c>
      <c r="AT245" s="156">
        <f ca="1" xml:space="preserve"> 0.5*VACnom*Table7[[#This Row],[Ivalley (A)]]*Table7[[#This Row],[ton (ns)]]*10^-9*Fsw*10^3+0.5*VACnom*Table7[[#This Row],[Ipeak (A)]]*Table7[[#This Row],[toff (ns)]]*10^-9*Fsw*10^3/10^-3</f>
        <v>470.972837565823</v>
      </c>
      <c r="AU245" s="156">
        <f t="shared" ca="1" si="45"/>
        <v>262.8</v>
      </c>
      <c r="AV245" s="156">
        <f t="shared" ca="1" si="46"/>
        <v>648</v>
      </c>
      <c r="AW245" s="156">
        <f t="shared" ca="1" si="47"/>
        <v>554.4</v>
      </c>
      <c r="AX245" s="156">
        <f ca="1">IF(VACnom&gt;Vbat, TI_MOSFET_S_VSD_L_BU*Table7[[#This Row],[Ivalley (A)]]*Fsw*10^3*40*10^-9+TI_MOSFET_S_VSD_L_BU*Table7[[#This Row],[Ipeak (A)]]*Fsw*10^3*30*10^-9, TI_MOSFET_S_VSD_H_BO*Table7[[#This Row],[Ivalley (A)]]*Fsw*10^3*40*10^-9+TI_MOSFET_S_VSD_H_BO*Table7[[#This Row],[Ipeak (A)]]*Fsw*10^3*30*10^-9)/10^-3</f>
        <v>233.64257142857142</v>
      </c>
      <c r="AY245" s="156">
        <f t="shared" ca="1" si="48"/>
        <v>648</v>
      </c>
      <c r="AZ245" s="156">
        <f ca="1">IF(VACnom&lt;Vbat, Table7[[#This Row],[Duty Cycle]]*Table7[[#This Row],[I_L RMS]]^2*TI_MOSFET_S_RDSON_H_BU*10^-3, (1-Table7[[#This Row],[Duty Cycle]])*Table7[[#This Row],[I_L RMS]]^2*TI_MOSFET_S_RDSON_H_BO*10^-3)/10^-3</f>
        <v>72.847656887755107</v>
      </c>
      <c r="BA245" s="156">
        <f ca="1">IF(VACnom&gt;Vbat, Table7[[#This Row],[PIV (mW)]]+Table7[[#This Row],[Pqoss (mW)]]+Table7[[#This Row],[Pgate_top (mW)]], Table7[[#This Row],[PRR (mW)]]+Table7[[#This Row],[Pdead (mW)]]+Table7[[#This Row],[Pgate_top (mW)]])</f>
        <v>1436.0425714285714</v>
      </c>
      <c r="BB245" s="156">
        <f ca="1">Table7[[#This Row],[Pcon_top (mW)]]+Table7[[#This Row],[Psw_top (mW)]]</f>
        <v>1508.8902283163266</v>
      </c>
      <c r="BC245" s="156">
        <f ca="1">IF(VACnom&gt;Vbat, (1-Table7[[#This Row],[Duty Cycle]])*Table7[[#This Row],[I_L RMS]]^2*TI_MOSFET_S_RDSON_L_BU*10^-3, Table7[[#This Row],[Duty Cycle]]*Table7[[#This Row],[I_L RMS]]^2*TI_MOSFET_S_RDSON_L_BO*10^-3)/10^-3</f>
        <v>72.847656887755107</v>
      </c>
      <c r="BD245" s="156">
        <f ca="1">IF(VACnom&gt;Vbat, Table7[[#This Row],[PRR (mW)]]+Table7[[#This Row],[Pdead (mW)]]+Table7[[#This Row],[Pgate_bottom (mW)]], Table7[[#This Row],[PIV (mW)]]+Table7[[#This Row],[Pqoss (mW)]]+Table7[[#This Row],[Pgate_bottom (mW)]])</f>
        <v>1381.772837565823</v>
      </c>
      <c r="BE245" s="158">
        <f ca="1">Table7[[#This Row],[Pcon_bottom (mW)]]+Table7[[#This Row],[Psw_bottom (mW)]]</f>
        <v>1454.6204944535782</v>
      </c>
      <c r="BF245" s="164">
        <f ca="1">Table7[[#This Row],[Pbottom (mW)]]+Table7[[#This Row],[Ptop (mW)]]</f>
        <v>2963.5107227699045</v>
      </c>
      <c r="BG245" s="153"/>
      <c r="BH245" s="156">
        <f>MAX(0,Table7[[#This Row],[I_L]]-0.5*Table7[[#This Row],[I_L pkpk]])</f>
        <v>7.3589285714285717</v>
      </c>
      <c r="BI245" s="156">
        <f>Table7[[#This Row],[I_L]]+0.5*Table7[[#This Row],[I_L pkpk]]</f>
        <v>8.2160714285714285</v>
      </c>
      <c r="BJ245" s="156">
        <f>IF(VACnom&gt;Vbat, (VGS_S-(C_MOSFET_S_VTH_H_BU+Table7[[#This Row],[I_L]]/C_MOSFET_S_gFS_H_BU))/3.4, (VGS_S-(C_MOSFET_S_VTH_L_BO+Table7[[#This Row],[I_L]]/C_MOSFET_S_gFS_L_BO))/3.4 )</f>
        <v>2.3376715686274507</v>
      </c>
      <c r="BK245" s="156">
        <f>IF(VACnom&gt;Vbat, ((C_MOSFET_S_VTH_H_BU+Table7[[#This Row],[I_L]]/C_MOSFET_S_gFS_H_BU))/1, ((C_MOSFET_S_VTH_L_BO+Table7[[#This Row],[I_L]]/C_MOSFET_S_gFS_L_BO))/1 )</f>
        <v>2.0519166666666666</v>
      </c>
      <c r="BL245" s="156">
        <f>IF(VACnom&gt;Vbat, (C_MOSFET_S_QGD_H_BU+C_MOSFET_S_QGS_H_BU)*10^-9/Table7[[#This Row],[Ion (A) C]], (C_MOSFET_S_QGD_L_BO+C_MOSFET_S_QGS_L_BO)*10^-9/Table7[[#This Row],[Ion (A) C]])/10^-9</f>
        <v>2.7805445757362888</v>
      </c>
      <c r="BM245" s="156">
        <f>IF(VACnom&gt;Vbat, (C_MOSFET_S_QGD_H_BU+C_MOSFET_S_QGS_H_BU)*10^-9/Table7[[#This Row],[Ioff (A) C]], (C_MOSFET_S_QGD_L_BO+C_MOSFET_S_QGS_L_BO)*10^-9/Table7[[#This Row],[Ioff (A) C]])/10^-9</f>
        <v>3.1677699711651708</v>
      </c>
      <c r="BN245" s="156">
        <f xml:space="preserve"> 0.5*VACnom*Table7[[#This Row],[Ivalley (A) C]]*Table7[[#This Row],[ton (ns) C]]*10^-9*Fsw*10^3+0.5*VACnom*Table7[[#This Row],[Ipeak (A) C]]*Table7[[#This Row],[toff (ns) C]]*10^-9*Fsw*10^3/10^-3</f>
        <v>93.769510252677165</v>
      </c>
      <c r="BO245" s="156">
        <f t="shared" si="49"/>
        <v>129.6</v>
      </c>
      <c r="BP245" s="156">
        <f t="shared" ca="1" si="50"/>
        <v>291.59999999999997</v>
      </c>
      <c r="BQ245" s="156">
        <f t="shared" si="51"/>
        <v>237.6</v>
      </c>
      <c r="BR245" s="156">
        <f>IF(VACnom&gt;Vbat, C_MOSFET_S_VSD_L_BU*Table7[[#This Row],[Ivalley (A) C]]*Fsw*10^3*40*10^-9+C_MOSFET_S_VSD_L_BU*Table7[[#This Row],[Ipeak (A) C]]*Fsw*10^3*30*10^-9, C_MOSFET_S_VSD_H_BO*Table7[[#This Row],[Ivalley (A) C]]*Fsw*10^3*40*10^-9+C_MOSFET_S_VSD_H_BO*Table7[[#This Row],[Ipeak (A) C]]*Fsw*10^3*30*10^-9)/10^-3</f>
        <v>259.6028571428572</v>
      </c>
      <c r="BS245" s="156">
        <f t="shared" ca="1" si="52"/>
        <v>291.59999999999997</v>
      </c>
      <c r="BT245" s="156">
        <f>IF(VACnom&lt;Vbat, Table7[[#This Row],[Duty Cycle]]*Table7[[#This Row],[I_L RMS]]^2*C_MOSFET_S_RDSON_H_BU*10^-3, (1-Table7[[#This Row],[Duty Cycle]])*Table7[[#This Row],[I_L RMS]]^2*C_MOSFET_S_RDSON_H_BO*10^-3)/10^-3</f>
        <v>148.29701580721576</v>
      </c>
      <c r="BU245" s="156">
        <f ca="1">IF(VACnom&gt;Vbat, Table7[[#This Row],[PIV (mW) C]]+Table7[[#This Row],[PQoss (mW) C]]+Table7[[#This Row],[Pgate_top (mW) C]], Table7[[#This Row],[PRR (mW) C]]+Table7[[#This Row],[Pdead (mW) C]]+Table7[[#This Row],[Pgate_top (mW) C]])</f>
        <v>788.80285714285719</v>
      </c>
      <c r="BV245" s="156">
        <f ca="1">Table7[[#This Row],[Pcon_top (mW) C]]+Table7[[#This Row],[Psw_top (mW) C]]</f>
        <v>937.09987295007295</v>
      </c>
      <c r="BW245" s="156">
        <f ca="1">IF(VACnom&gt;Vbat, (1-Table7[[#This Row],[Duty Cycle]])*Table7[[#This Row],[I_L RMS]]^2*C_MOSFET_S_RDSON_L_BU*10^-3, Table7[[#This Row],[Duty Cycle]]*Table7[[#This Row],[I_L RMS]]^2*C_MOSFET_S_RDSON_L_BO*10^-3)/10^-3</f>
        <v>92.360422125546663</v>
      </c>
      <c r="BX245" s="156">
        <f ca="1">IF(VACnom&gt;Vbat, Table7[[#This Row],[PRR (mW) C]]+Table7[[#This Row],[Pdead (mW) C]]+Table7[[#This Row],[Pgate_bottom (mW) C]], Table7[[#This Row],[PIV (mW) C]]+Table7[[#This Row],[PQoss (mW) C]]+Table7[[#This Row],[Pgate_bottom (mW) C]])</f>
        <v>514.96951025267708</v>
      </c>
      <c r="BY245" s="156">
        <f ca="1">Table7[[#This Row],[Pcon_bottom (mW) C]]+Table7[[#This Row],[Psw_bottom (mV) C]]</f>
        <v>607.3299323782237</v>
      </c>
      <c r="BZ245" s="156">
        <f ca="1">Table7[[#This Row],[Pbottom (mW) C]]+Table7[[#This Row],[Ptop (mW) C]]</f>
        <v>1544.4298053282967</v>
      </c>
      <c r="CA245" s="159"/>
      <c r="CB245" s="160">
        <f>(RAC_SNS*10^-3*(Table7[[#This Row],[IOUT (A)]]*Vbat/VACnom)^2/10^-3)</f>
        <v>303.22578125000007</v>
      </c>
      <c r="CC245" s="160">
        <f>(RBAT_SNS*10^-3*Table7[[#This Row],[IOUT (A)]]^2)/10^-3</f>
        <v>99.012500000000017</v>
      </c>
      <c r="CD245" s="160">
        <f>IF(VACnom&gt;Vbat,(L_DRC*10^-3*(Table7[[#This Row],[IOUT (A)]])^2/10^-3),(L_DRC*10^-3*(Table7[[#This Row],[IOUT (A)]]*Vbat/VACnom)^2/10^-3))</f>
        <v>727.74187500000005</v>
      </c>
      <c r="CE245" s="166"/>
      <c r="CF245" s="156">
        <f>(Table7[[#This Row],[R_AC (mW)]]+Table7[[#This Row],[R_SR (mW)]]+Table7[[#This Row],[Inductor Loss (mW)]])/10^3</f>
        <v>1.1299801562500003</v>
      </c>
      <c r="CG245" s="156">
        <f ca="1">Table7[[#This Row],[Total TI (mW)]]/10^3</f>
        <v>2.9635107227699047</v>
      </c>
      <c r="CH245" s="156">
        <f ca="1">Table7[[#This Row],[Total Sense Loss]]+Table7[[#This Row],[Total MOSFET Loss]]</f>
        <v>4.0934908790199049</v>
      </c>
      <c r="CI245" s="161">
        <f ca="1">IF(Table7[[#This Row],[POUT (W)]]=0,0,(Table7[[#This Row],[POUT (W)]])/(Table7[[#This Row],[POUT (W)]]+Table7[[#This Row],[Total Power Loss (W)]]))*100</f>
        <v>92.880079437803502</v>
      </c>
      <c r="CJ245" s="167"/>
      <c r="CK245" s="156">
        <f>(Table7[[#This Row],[R_AC (mW)]]+Table7[[#This Row],[R_SR (mW)]]+Table7[[#This Row],[Inductor Loss (mW)]])/10^3</f>
        <v>1.1299801562500003</v>
      </c>
      <c r="CL245" s="156">
        <f ca="1">Table7[[#This Row],[Total (mW) C]]/10^3</f>
        <v>1.5444298053282965</v>
      </c>
      <c r="CM245" s="156">
        <f ca="1">Table7[[#This Row],[Total Sense Loss C]]+Table7[[#This Row],[Total MOSFET Loss C]]</f>
        <v>2.6744099615782968</v>
      </c>
      <c r="CN245" s="161">
        <f ca="1">IF(Table7[[#This Row],[POUT (W)]]=0,0,(Table7[[#This Row],[POUT (W)]])/(Table7[[#This Row],[POUT (W)]]+Table7[[#This Row],[Total Power Loss (W) C]]))*100</f>
        <v>95.230605255747165</v>
      </c>
      <c r="CO245" s="167"/>
      <c r="CP245" s="161">
        <f>IF(MOSFET_S=Custom_MOSFET,Table7[[#This Row],[Total Sense Loss C]],Table7[[#This Row],[Total Sense Loss]])</f>
        <v>1.1299801562500003</v>
      </c>
      <c r="CQ245" s="161">
        <f ca="1">IF(MOSFET_S=Custom_MOSFET,Table7[[#This Row],[Total MOSFET Loss C]],Table7[[#This Row],[Total MOSFET Loss]])</f>
        <v>2.9635107227699047</v>
      </c>
      <c r="CR245" s="161">
        <f ca="1">IF(MOSFET_S=Custom_MOSFET,Table7[[#This Row],[Efficiency C]],Table7[[#This Row],[Efficiency]])</f>
        <v>92.880079437803502</v>
      </c>
      <c r="CS245" s="167"/>
      <c r="CT245" s="161">
        <f>IF(MOSFET_S=Compare_MOSFET, Table7[[#This Row],[Total Sense Loss C]], -100)</f>
        <v>-100</v>
      </c>
      <c r="CU245" s="161">
        <f>IF(MOSFET_S=Compare_MOSFET, Table7[[#This Row],[Total MOSFET Loss C]], -100)</f>
        <v>-100</v>
      </c>
      <c r="CV245" s="161">
        <f>IF(MOSFET_S=Compare_MOSFET, Table7[[#This Row],[Efficiency C]], -100)</f>
        <v>-100</v>
      </c>
      <c r="CW245" s="167"/>
      <c r="CX245" s="161">
        <f ca="1">IF(Save_Sel=CLR_Save,  Table7[[#This Row],[Total Sense Loss P1]], Table7[[#This Row],[Total Sense Loss P1 Saved]])</f>
        <v>1.1299801562500003</v>
      </c>
      <c r="CY245" s="161">
        <f ca="1">IF(Save_Sel=CLR_Save,  Table7[[#This Row],[Total MOSFET Loss P1]], Table7[[#This Row],[Total MOSFET Loss P1 Saved]] )</f>
        <v>2.2903838346636358</v>
      </c>
      <c r="CZ245" s="161">
        <f ca="1">IF(Save_Sel=CLR_Save, Table7[[#This Row],[Efficiency P1]], Table7[[#This Row],[Efficiency P1 Saved]])</f>
        <v>93.980390566557091</v>
      </c>
      <c r="DA245" s="167"/>
      <c r="DB245" s="161">
        <f ca="1">IF(Save_Sel=CLR_Save,  Table7[[#This Row],[Total Sense Loss P2]], Table7[[#This Row],[Total Sense Loss P2 Saved]])</f>
        <v>1.1299801562500003</v>
      </c>
      <c r="DC245" s="161">
        <f ca="1">IF(Save_Sel=CLR_Save,  Table7[[#This Row],[Total MOSFET Loss P2]], Table7[[#This Row],[Total MOSFET Loss P2 Saved]] )</f>
        <v>1.6200446587009687</v>
      </c>
      <c r="DD245" s="161">
        <f ca="1">IF(Save_Sel=CLR_Save, Table7[[#This Row],[Efficiency P2]], Table7[[#This Row],[Efficiency P2 Saved]])</f>
        <v>95.102362244693566</v>
      </c>
      <c r="DE245" s="167"/>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c r="FH245" s="21"/>
      <c r="FI245" s="21"/>
    </row>
    <row r="246" spans="1:165" x14ac:dyDescent="0.25">
      <c r="A246" s="70"/>
      <c r="B246" s="70"/>
      <c r="C246" s="70"/>
      <c r="D246" s="70"/>
      <c r="E246" s="70"/>
      <c r="F246" s="70"/>
      <c r="G246" s="70"/>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154">
        <f t="shared" si="54"/>
        <v>90</v>
      </c>
      <c r="AG246" s="154">
        <f t="shared" si="53"/>
        <v>4.5</v>
      </c>
      <c r="AH246" s="155">
        <f t="shared" si="42"/>
        <v>54</v>
      </c>
      <c r="AI246" s="156">
        <f t="shared" si="43"/>
        <v>0.42857142857142855</v>
      </c>
      <c r="AJ246" s="156">
        <f t="shared" si="44"/>
        <v>7.875</v>
      </c>
      <c r="AK246" s="156">
        <f t="shared" si="40"/>
        <v>0.85714285714285721</v>
      </c>
      <c r="AL246" s="156">
        <f t="shared" si="41"/>
        <v>7.8788863102468945</v>
      </c>
      <c r="AM246" s="157"/>
      <c r="AN246" s="156">
        <f>MAX(0,Table7[[#This Row],[I_L]]-0.5*Table7[[#This Row],[I_L pkpk]])</f>
        <v>7.4464285714285712</v>
      </c>
      <c r="AO246" s="156">
        <f>Table7[[#This Row],[I_L]]+0.5*Table7[[#This Row],[I_L pkpk]]</f>
        <v>8.3035714285714288</v>
      </c>
      <c r="AP246" s="156">
        <f ca="1">IF(VACnom&gt;Vbat, (VGS_S-(TI_MOSFET_S_VTH_H_BU+Table7[[#This Row],[I_L]]/TI_MOSFET_S_gFS_H_BU))/3.4, (VGS_S-(TI_MOSFET_S_VTH_L_BO+Table7[[#This Row],[I_L]]/TI_MOSFET_S_gFS_L_BO))/3.4 )</f>
        <v>2.4086538461538463</v>
      </c>
      <c r="AQ246" s="156">
        <f ca="1">IF(VACnom&gt;Vbat, ((TI_MOSFET_S_VTH_H_BU+Table7[[#This Row],[I_L]]/TI_MOSFET_S_gFS_H_BU))/1, ((TI_MOSFET_S_VTH_L_BO+Table7[[#This Row],[I_L]]/TI_MOSFET_S_gFS_L_BO))/1 )</f>
        <v>1.8105769230769231</v>
      </c>
      <c r="AR246" s="156">
        <f ca="1">IF(VACnom&gt;Vbat, (TI_MOSFET_S_QGD_H_BU+TI_MOSFET_S_QGS_H_BU)*10^-9/Table7[[#This Row],[Ion (A)]], (TI_MOSFET_S_QGD_L_BO+TI_MOSFET_S_QGS_L_BO)*10^-9/Table7[[#This Row],[Ion (A)]])/10^-9</f>
        <v>11.95688622754491</v>
      </c>
      <c r="AS246" s="156">
        <f ca="1">IF(VACnom&gt;Vbat, (TI_MOSFET_S_QGD_H_BU+TI_MOSFET_S_QGS_H_BU)*10^-9/Table7[[#This Row],[Ioff (A)]], (TI_MOSFET_S_QGD_L_BO+TI_MOSFET_S_QGS_L_BO)*10^-9/Table7[[#This Row],[Ioff (A)]])/10^-9</f>
        <v>15.906532129580457</v>
      </c>
      <c r="AT246" s="156">
        <f ca="1" xml:space="preserve"> 0.5*VACnom*Table7[[#This Row],[Ivalley (A)]]*Table7[[#This Row],[ton (ns)]]*10^-9*Fsw*10^3+0.5*VACnom*Table7[[#This Row],[Ipeak (A)]]*Table7[[#This Row],[toff (ns)]]*10^-9*Fsw*10^3/10^-3</f>
        <v>475.81222254504422</v>
      </c>
      <c r="AU246" s="156">
        <f t="shared" ca="1" si="45"/>
        <v>262.8</v>
      </c>
      <c r="AV246" s="156">
        <f t="shared" ca="1" si="46"/>
        <v>648</v>
      </c>
      <c r="AW246" s="156">
        <f t="shared" ca="1" si="47"/>
        <v>554.4</v>
      </c>
      <c r="AX246" s="156">
        <f ca="1">IF(VACnom&gt;Vbat, TI_MOSFET_S_VSD_L_BU*Table7[[#This Row],[Ivalley (A)]]*Fsw*10^3*40*10^-9+TI_MOSFET_S_VSD_L_BU*Table7[[#This Row],[Ipeak (A)]]*Fsw*10^3*30*10^-9, TI_MOSFET_S_VSD_H_BO*Table7[[#This Row],[Ivalley (A)]]*Fsw*10^3*40*10^-9+TI_MOSFET_S_VSD_H_BO*Table7[[#This Row],[Ipeak (A)]]*Fsw*10^3*30*10^-9)/10^-3</f>
        <v>236.28857142857143</v>
      </c>
      <c r="AY246" s="156">
        <f t="shared" ca="1" si="48"/>
        <v>648</v>
      </c>
      <c r="AZ246" s="156">
        <f ca="1">IF(VACnom&lt;Vbat, Table7[[#This Row],[Duty Cycle]]*Table7[[#This Row],[I_L RMS]]^2*TI_MOSFET_S_RDSON_H_BU*10^-3, (1-Table7[[#This Row],[Duty Cycle]])*Table7[[#This Row],[I_L RMS]]^2*TI_MOSFET_S_RDSON_H_BO*10^-3)/10^-3</f>
        <v>74.4922193877551</v>
      </c>
      <c r="BA246" s="156">
        <f ca="1">IF(VACnom&gt;Vbat, Table7[[#This Row],[PIV (mW)]]+Table7[[#This Row],[Pqoss (mW)]]+Table7[[#This Row],[Pgate_top (mW)]], Table7[[#This Row],[PRR (mW)]]+Table7[[#This Row],[Pdead (mW)]]+Table7[[#This Row],[Pgate_top (mW)]])</f>
        <v>1438.6885714285713</v>
      </c>
      <c r="BB246" s="156">
        <f ca="1">Table7[[#This Row],[Pcon_top (mW)]]+Table7[[#This Row],[Psw_top (mW)]]</f>
        <v>1513.1807908163264</v>
      </c>
      <c r="BC246" s="156">
        <f ca="1">IF(VACnom&gt;Vbat, (1-Table7[[#This Row],[Duty Cycle]])*Table7[[#This Row],[I_L RMS]]^2*TI_MOSFET_S_RDSON_L_BU*10^-3, Table7[[#This Row],[Duty Cycle]]*Table7[[#This Row],[I_L RMS]]^2*TI_MOSFET_S_RDSON_L_BO*10^-3)/10^-3</f>
        <v>74.4922193877551</v>
      </c>
      <c r="BD246" s="156">
        <f ca="1">IF(VACnom&gt;Vbat, Table7[[#This Row],[PRR (mW)]]+Table7[[#This Row],[Pdead (mW)]]+Table7[[#This Row],[Pgate_bottom (mW)]], Table7[[#This Row],[PIV (mW)]]+Table7[[#This Row],[Pqoss (mW)]]+Table7[[#This Row],[Pgate_bottom (mW)]])</f>
        <v>1386.6122225450442</v>
      </c>
      <c r="BE246" s="158">
        <f ca="1">Table7[[#This Row],[Pcon_bottom (mW)]]+Table7[[#This Row],[Psw_bottom (mW)]]</f>
        <v>1461.1044419327993</v>
      </c>
      <c r="BF246" s="164">
        <f ca="1">Table7[[#This Row],[Pbottom (mW)]]+Table7[[#This Row],[Ptop (mW)]]</f>
        <v>2974.2852327491255</v>
      </c>
      <c r="BG246" s="153"/>
      <c r="BH246" s="156">
        <f>MAX(0,Table7[[#This Row],[I_L]]-0.5*Table7[[#This Row],[I_L pkpk]])</f>
        <v>7.4464285714285712</v>
      </c>
      <c r="BI246" s="156">
        <f>Table7[[#This Row],[I_L]]+0.5*Table7[[#This Row],[I_L pkpk]]</f>
        <v>8.3035714285714288</v>
      </c>
      <c r="BJ246" s="156">
        <f>IF(VACnom&gt;Vbat, (VGS_S-(C_MOSFET_S_VTH_H_BU+Table7[[#This Row],[I_L]]/C_MOSFET_S_gFS_H_BU))/3.4, (VGS_S-(C_MOSFET_S_VTH_L_BO+Table7[[#This Row],[I_L]]/C_MOSFET_S_gFS_L_BO))/3.4 )</f>
        <v>2.3374999999999999</v>
      </c>
      <c r="BK246" s="156">
        <f>IF(VACnom&gt;Vbat, ((C_MOSFET_S_VTH_H_BU+Table7[[#This Row],[I_L]]/C_MOSFET_S_gFS_H_BU))/1, ((C_MOSFET_S_VTH_L_BO+Table7[[#This Row],[I_L]]/C_MOSFET_S_gFS_L_BO))/1 )</f>
        <v>2.0525000000000002</v>
      </c>
      <c r="BL246" s="156">
        <f>IF(VACnom&gt;Vbat, (C_MOSFET_S_QGD_H_BU+C_MOSFET_S_QGS_H_BU)*10^-9/Table7[[#This Row],[Ion (A) C]], (C_MOSFET_S_QGD_L_BO+C_MOSFET_S_QGS_L_BO)*10^-9/Table7[[#This Row],[Ion (A) C]])/10^-9</f>
        <v>2.7807486631016043</v>
      </c>
      <c r="BM246" s="156">
        <f>IF(VACnom&gt;Vbat, (C_MOSFET_S_QGD_H_BU+C_MOSFET_S_QGS_H_BU)*10^-9/Table7[[#This Row],[Ioff (A) C]], (C_MOSFET_S_QGD_L_BO+C_MOSFET_S_QGS_L_BO)*10^-9/Table7[[#This Row],[Ioff (A) C]])/10^-9</f>
        <v>3.1668696711327646</v>
      </c>
      <c r="BN246" s="156">
        <f xml:space="preserve"> 0.5*VACnom*Table7[[#This Row],[Ivalley (A) C]]*Table7[[#This Row],[ton (ns) C]]*10^-9*Fsw*10^3+0.5*VACnom*Table7[[#This Row],[Ipeak (A) C]]*Table7[[#This Row],[toff (ns) C]]*10^-9*Fsw*10^3/10^-3</f>
        <v>94.741326595880281</v>
      </c>
      <c r="BO246" s="156">
        <f t="shared" si="49"/>
        <v>129.6</v>
      </c>
      <c r="BP246" s="156">
        <f t="shared" ca="1" si="50"/>
        <v>291.59999999999997</v>
      </c>
      <c r="BQ246" s="156">
        <f t="shared" si="51"/>
        <v>237.6</v>
      </c>
      <c r="BR246" s="156">
        <f>IF(VACnom&gt;Vbat, C_MOSFET_S_VSD_L_BU*Table7[[#This Row],[Ivalley (A) C]]*Fsw*10^3*40*10^-9+C_MOSFET_S_VSD_L_BU*Table7[[#This Row],[Ipeak (A) C]]*Fsw*10^3*30*10^-9, C_MOSFET_S_VSD_H_BO*Table7[[#This Row],[Ivalley (A) C]]*Fsw*10^3*40*10^-9+C_MOSFET_S_VSD_H_BO*Table7[[#This Row],[Ipeak (A) C]]*Fsw*10^3*30*10^-9)/10^-3</f>
        <v>262.5428571428572</v>
      </c>
      <c r="BS246" s="156">
        <f t="shared" ca="1" si="52"/>
        <v>291.59999999999997</v>
      </c>
      <c r="BT246" s="156">
        <f>IF(VACnom&lt;Vbat, Table7[[#This Row],[Duty Cycle]]*Table7[[#This Row],[I_L RMS]]^2*C_MOSFET_S_RDSON_H_BU*10^-3, (1-Table7[[#This Row],[Duty Cycle]])*Table7[[#This Row],[I_L RMS]]^2*C_MOSFET_S_RDSON_H_BO*10^-3)/10^-3</f>
        <v>151.64487518221577</v>
      </c>
      <c r="BU246" s="156">
        <f ca="1">IF(VACnom&gt;Vbat, Table7[[#This Row],[PIV (mW) C]]+Table7[[#This Row],[PQoss (mW) C]]+Table7[[#This Row],[Pgate_top (mW) C]], Table7[[#This Row],[PRR (mW) C]]+Table7[[#This Row],[Pdead (mW) C]]+Table7[[#This Row],[Pgate_top (mW) C]])</f>
        <v>791.74285714285725</v>
      </c>
      <c r="BV246" s="156">
        <f ca="1">Table7[[#This Row],[Pcon_top (mW) C]]+Table7[[#This Row],[Psw_top (mW) C]]</f>
        <v>943.38773232507299</v>
      </c>
      <c r="BW246" s="156">
        <f ca="1">IF(VACnom&gt;Vbat, (1-Table7[[#This Row],[Duty Cycle]])*Table7[[#This Row],[I_L RMS]]^2*C_MOSFET_S_RDSON_L_BU*10^-3, Table7[[#This Row],[Duty Cycle]]*Table7[[#This Row],[I_L RMS]]^2*C_MOSFET_S_RDSON_L_BO*10^-3)/10^-3</f>
        <v>94.445492438046657</v>
      </c>
      <c r="BX246" s="156">
        <f ca="1">IF(VACnom&gt;Vbat, Table7[[#This Row],[PRR (mW) C]]+Table7[[#This Row],[Pdead (mW) C]]+Table7[[#This Row],[Pgate_bottom (mW) C]], Table7[[#This Row],[PIV (mW) C]]+Table7[[#This Row],[PQoss (mW) C]]+Table7[[#This Row],[Pgate_bottom (mW) C]])</f>
        <v>515.94132659588024</v>
      </c>
      <c r="BY246" s="156">
        <f ca="1">Table7[[#This Row],[Pcon_bottom (mW) C]]+Table7[[#This Row],[Psw_bottom (mV) C]]</f>
        <v>610.38681903392694</v>
      </c>
      <c r="BZ246" s="156">
        <f ca="1">Table7[[#This Row],[Pbottom (mW) C]]+Table7[[#This Row],[Ptop (mW) C]]</f>
        <v>1553.7745513589998</v>
      </c>
      <c r="CA246" s="159"/>
      <c r="CB246" s="160">
        <f>(RAC_SNS*10^-3*(Table7[[#This Row],[IOUT (A)]]*Vbat/VACnom)^2/10^-3)</f>
        <v>310.078125</v>
      </c>
      <c r="CC246" s="160">
        <f>(RBAT_SNS*10^-3*Table7[[#This Row],[IOUT (A)]]^2)/10^-3</f>
        <v>101.25</v>
      </c>
      <c r="CD246" s="160">
        <f>IF(VACnom&gt;Vbat,(L_DRC*10^-3*(Table7[[#This Row],[IOUT (A)]])^2/10^-3),(L_DRC*10^-3*(Table7[[#This Row],[IOUT (A)]]*Vbat/VACnom)^2/10^-3))</f>
        <v>744.1875</v>
      </c>
      <c r="CE246" s="166"/>
      <c r="CF246" s="156">
        <f>(Table7[[#This Row],[R_AC (mW)]]+Table7[[#This Row],[R_SR (mW)]]+Table7[[#This Row],[Inductor Loss (mW)]])/10^3</f>
        <v>1.155515625</v>
      </c>
      <c r="CG246" s="156">
        <f ca="1">Table7[[#This Row],[Total TI (mW)]]/10^3</f>
        <v>2.9742852327491254</v>
      </c>
      <c r="CH246" s="156">
        <f ca="1">Table7[[#This Row],[Total Sense Loss]]+Table7[[#This Row],[Total MOSFET Loss]]</f>
        <v>4.1298008577491254</v>
      </c>
      <c r="CI246" s="161">
        <f ca="1">IF(Table7[[#This Row],[POUT (W)]]=0,0,(Table7[[#This Row],[POUT (W)]])/(Table7[[#This Row],[POUT (W)]]+Table7[[#This Row],[Total Power Loss (W)]]))*100</f>
        <v>92.895553060889952</v>
      </c>
      <c r="CJ246" s="167"/>
      <c r="CK246" s="156">
        <f>(Table7[[#This Row],[R_AC (mW)]]+Table7[[#This Row],[R_SR (mW)]]+Table7[[#This Row],[Inductor Loss (mW)]])/10^3</f>
        <v>1.155515625</v>
      </c>
      <c r="CL246" s="156">
        <f ca="1">Table7[[#This Row],[Total (mW) C]]/10^3</f>
        <v>1.5537745513589998</v>
      </c>
      <c r="CM246" s="156">
        <f ca="1">Table7[[#This Row],[Total Sense Loss C]]+Table7[[#This Row],[Total MOSFET Loss C]]</f>
        <v>2.7092901763589996</v>
      </c>
      <c r="CN246" s="161">
        <f ca="1">IF(Table7[[#This Row],[POUT (W)]]=0,0,(Table7[[#This Row],[POUT (W)]])/(Table7[[#This Row],[POUT (W)]]+Table7[[#This Row],[Total Power Loss (W) C]]))*100</f>
        <v>95.222493231825979</v>
      </c>
      <c r="CO246" s="167"/>
      <c r="CP246" s="161">
        <f>IF(MOSFET_S=Custom_MOSFET,Table7[[#This Row],[Total Sense Loss C]],Table7[[#This Row],[Total Sense Loss]])</f>
        <v>1.155515625</v>
      </c>
      <c r="CQ246" s="161">
        <f ca="1">IF(MOSFET_S=Custom_MOSFET,Table7[[#This Row],[Total MOSFET Loss C]],Table7[[#This Row],[Total MOSFET Loss]])</f>
        <v>2.9742852327491254</v>
      </c>
      <c r="CR246" s="161">
        <f ca="1">IF(MOSFET_S=Custom_MOSFET,Table7[[#This Row],[Efficiency C]],Table7[[#This Row],[Efficiency]])</f>
        <v>92.895553060889952</v>
      </c>
      <c r="CS246" s="167"/>
      <c r="CT246" s="161">
        <f>IF(MOSFET_S=Compare_MOSFET, Table7[[#This Row],[Total Sense Loss C]], -100)</f>
        <v>-100</v>
      </c>
      <c r="CU246" s="161">
        <f>IF(MOSFET_S=Compare_MOSFET, Table7[[#This Row],[Total MOSFET Loss C]], -100)</f>
        <v>-100</v>
      </c>
      <c r="CV246" s="161">
        <f>IF(MOSFET_S=Compare_MOSFET, Table7[[#This Row],[Efficiency C]], -100)</f>
        <v>-100</v>
      </c>
      <c r="CW246" s="167"/>
      <c r="CX246" s="161">
        <f ca="1">IF(Save_Sel=CLR_Save,  Table7[[#This Row],[Total Sense Loss P1]], Table7[[#This Row],[Total Sense Loss P1 Saved]])</f>
        <v>1.155515625</v>
      </c>
      <c r="CY246" s="161">
        <f ca="1">IF(Save_Sel=CLR_Save,  Table7[[#This Row],[Total MOSFET Loss P1]], Table7[[#This Row],[Total MOSFET Loss P1 Saved]] )</f>
        <v>2.3020472780829397</v>
      </c>
      <c r="CZ246" s="161">
        <f ca="1">IF(Save_Sel=CLR_Save, Table7[[#This Row],[Efficiency P1]], Table7[[#This Row],[Efficiency P1 Saved]])</f>
        <v>93.982405921192637</v>
      </c>
      <c r="DA246" s="167"/>
      <c r="DB246" s="161">
        <f ca="1">IF(Save_Sel=CLR_Save,  Table7[[#This Row],[Total Sense Loss P2]], Table7[[#This Row],[Total Sense Loss P2 Saved]])</f>
        <v>1.155515625</v>
      </c>
      <c r="DC246" s="161">
        <f ca="1">IF(Save_Sel=CLR_Save,  Table7[[#This Row],[Total MOSFET Loss P2]], Table7[[#This Row],[Total MOSFET Loss P2 Saved]] )</f>
        <v>1.6310947215953966</v>
      </c>
      <c r="DD246" s="161">
        <f ca="1">IF(Save_Sel=CLR_Save, Table7[[#This Row],[Efficiency P2]], Table7[[#This Row],[Efficiency P2 Saved]])</f>
        <v>95.092839087264764</v>
      </c>
      <c r="DE246" s="167"/>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c r="FH246" s="21"/>
      <c r="FI246" s="21"/>
    </row>
    <row r="247" spans="1:165" x14ac:dyDescent="0.25">
      <c r="A247" s="70"/>
      <c r="B247" s="70"/>
      <c r="C247" s="70"/>
      <c r="D247" s="70"/>
      <c r="E247" s="70"/>
      <c r="F247" s="70"/>
      <c r="G247" s="70"/>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154">
        <f t="shared" si="54"/>
        <v>91</v>
      </c>
      <c r="AG247" s="154">
        <f t="shared" si="53"/>
        <v>4.55</v>
      </c>
      <c r="AH247" s="155">
        <f t="shared" si="42"/>
        <v>54.599999999999994</v>
      </c>
      <c r="AI247" s="156">
        <f t="shared" si="43"/>
        <v>0.42857142857142855</v>
      </c>
      <c r="AJ247" s="156">
        <f t="shared" si="44"/>
        <v>7.9625000000000004</v>
      </c>
      <c r="AK247" s="156">
        <f t="shared" si="40"/>
        <v>0.85714285714285721</v>
      </c>
      <c r="AL247" s="156">
        <f t="shared" si="41"/>
        <v>7.9663436242605004</v>
      </c>
      <c r="AM247" s="157"/>
      <c r="AN247" s="156">
        <f>MAX(0,Table7[[#This Row],[I_L]]-0.5*Table7[[#This Row],[I_L pkpk]])</f>
        <v>7.5339285714285715</v>
      </c>
      <c r="AO247" s="156">
        <f>Table7[[#This Row],[I_L]]+0.5*Table7[[#This Row],[I_L pkpk]]</f>
        <v>8.3910714285714292</v>
      </c>
      <c r="AP247" s="156">
        <f ca="1">IF(VACnom&gt;Vbat, (VGS_S-(TI_MOSFET_S_VTH_H_BU+Table7[[#This Row],[I_L]]/TI_MOSFET_S_gFS_H_BU))/3.4, (VGS_S-(TI_MOSFET_S_VTH_L_BO+Table7[[#This Row],[I_L]]/TI_MOSFET_S_gFS_L_BO))/3.4 )</f>
        <v>2.4084558823529414</v>
      </c>
      <c r="AQ247" s="156">
        <f ca="1">IF(VACnom&gt;Vbat, ((TI_MOSFET_S_VTH_H_BU+Table7[[#This Row],[I_L]]/TI_MOSFET_S_gFS_H_BU))/1, ((TI_MOSFET_S_VTH_L_BO+Table7[[#This Row],[I_L]]/TI_MOSFET_S_gFS_L_BO))/1 )</f>
        <v>1.81125</v>
      </c>
      <c r="AR247" s="156">
        <f ca="1">IF(VACnom&gt;Vbat, (TI_MOSFET_S_QGD_H_BU+TI_MOSFET_S_QGS_H_BU)*10^-9/Table7[[#This Row],[Ion (A)]], (TI_MOSFET_S_QGD_L_BO+TI_MOSFET_S_QGS_L_BO)*10^-9/Table7[[#This Row],[Ion (A)]])/10^-9</f>
        <v>11.957869027629368</v>
      </c>
      <c r="AS247" s="156">
        <f ca="1">IF(VACnom&gt;Vbat, (TI_MOSFET_S_QGD_H_BU+TI_MOSFET_S_QGS_H_BU)*10^-9/Table7[[#This Row],[Ioff (A)]], (TI_MOSFET_S_QGD_L_BO+TI_MOSFET_S_QGS_L_BO)*10^-9/Table7[[#This Row],[Ioff (A)]])/10^-9</f>
        <v>15.900621118012424</v>
      </c>
      <c r="AT247" s="156">
        <f ca="1" xml:space="preserve"> 0.5*VACnom*Table7[[#This Row],[Ivalley (A)]]*Table7[[#This Row],[ton (ns)]]*10^-9*Fsw*10^3+0.5*VACnom*Table7[[#This Row],[Ipeak (A)]]*Table7[[#This Row],[toff (ns)]]*10^-9*Fsw*10^3/10^-3</f>
        <v>480.64801424765119</v>
      </c>
      <c r="AU247" s="156">
        <f t="shared" ca="1" si="45"/>
        <v>262.8</v>
      </c>
      <c r="AV247" s="156">
        <f t="shared" ca="1" si="46"/>
        <v>648</v>
      </c>
      <c r="AW247" s="156">
        <f t="shared" ca="1" si="47"/>
        <v>554.4</v>
      </c>
      <c r="AX247" s="156">
        <f ca="1">IF(VACnom&gt;Vbat, TI_MOSFET_S_VSD_L_BU*Table7[[#This Row],[Ivalley (A)]]*Fsw*10^3*40*10^-9+TI_MOSFET_S_VSD_L_BU*Table7[[#This Row],[Ipeak (A)]]*Fsw*10^3*30*10^-9, TI_MOSFET_S_VSD_H_BO*Table7[[#This Row],[Ivalley (A)]]*Fsw*10^3*40*10^-9+TI_MOSFET_S_VSD_H_BO*Table7[[#This Row],[Ipeak (A)]]*Fsw*10^3*30*10^-9)/10^-3</f>
        <v>238.93457142857145</v>
      </c>
      <c r="AY247" s="156">
        <f t="shared" ca="1" si="48"/>
        <v>648</v>
      </c>
      <c r="AZ247" s="156">
        <f ca="1">IF(VACnom&lt;Vbat, Table7[[#This Row],[Duty Cycle]]*Table7[[#This Row],[I_L RMS]]^2*TI_MOSFET_S_RDSON_H_BU*10^-3, (1-Table7[[#This Row],[Duty Cycle]])*Table7[[#This Row],[I_L RMS]]^2*TI_MOSFET_S_RDSON_H_BO*10^-3)/10^-3</f>
        <v>76.155156887755098</v>
      </c>
      <c r="BA247" s="156">
        <f ca="1">IF(VACnom&gt;Vbat, Table7[[#This Row],[PIV (mW)]]+Table7[[#This Row],[Pqoss (mW)]]+Table7[[#This Row],[Pgate_top (mW)]], Table7[[#This Row],[PRR (mW)]]+Table7[[#This Row],[Pdead (mW)]]+Table7[[#This Row],[Pgate_top (mW)]])</f>
        <v>1441.3345714285715</v>
      </c>
      <c r="BB247" s="156">
        <f ca="1">Table7[[#This Row],[Pcon_top (mW)]]+Table7[[#This Row],[Psw_top (mW)]]</f>
        <v>1517.4897283163266</v>
      </c>
      <c r="BC247" s="156">
        <f ca="1">IF(VACnom&gt;Vbat, (1-Table7[[#This Row],[Duty Cycle]])*Table7[[#This Row],[I_L RMS]]^2*TI_MOSFET_S_RDSON_L_BU*10^-3, Table7[[#This Row],[Duty Cycle]]*Table7[[#This Row],[I_L RMS]]^2*TI_MOSFET_S_RDSON_L_BO*10^-3)/10^-3</f>
        <v>76.155156887755098</v>
      </c>
      <c r="BD247" s="156">
        <f ca="1">IF(VACnom&gt;Vbat, Table7[[#This Row],[PRR (mW)]]+Table7[[#This Row],[Pdead (mW)]]+Table7[[#This Row],[Pgate_bottom (mW)]], Table7[[#This Row],[PIV (mW)]]+Table7[[#This Row],[Pqoss (mW)]]+Table7[[#This Row],[Pgate_bottom (mW)]])</f>
        <v>1391.4480142476511</v>
      </c>
      <c r="BE247" s="158">
        <f ca="1">Table7[[#This Row],[Pcon_bottom (mW)]]+Table7[[#This Row],[Psw_bottom (mW)]]</f>
        <v>1467.6031711354062</v>
      </c>
      <c r="BF247" s="164">
        <f ca="1">Table7[[#This Row],[Pbottom (mW)]]+Table7[[#This Row],[Ptop (mW)]]</f>
        <v>2985.0928994517326</v>
      </c>
      <c r="BG247" s="153"/>
      <c r="BH247" s="156">
        <f>MAX(0,Table7[[#This Row],[I_L]]-0.5*Table7[[#This Row],[I_L pkpk]])</f>
        <v>7.5339285714285715</v>
      </c>
      <c r="BI247" s="156">
        <f>Table7[[#This Row],[I_L]]+0.5*Table7[[#This Row],[I_L pkpk]]</f>
        <v>8.3910714285714292</v>
      </c>
      <c r="BJ247" s="156">
        <f>IF(VACnom&gt;Vbat, (VGS_S-(C_MOSFET_S_VTH_H_BU+Table7[[#This Row],[I_L]]/C_MOSFET_S_gFS_H_BU))/3.4, (VGS_S-(C_MOSFET_S_VTH_L_BO+Table7[[#This Row],[I_L]]/C_MOSFET_S_gFS_L_BO))/3.4 )</f>
        <v>2.3373284313725491</v>
      </c>
      <c r="BK247" s="156">
        <f>IF(VACnom&gt;Vbat, ((C_MOSFET_S_VTH_H_BU+Table7[[#This Row],[I_L]]/C_MOSFET_S_gFS_H_BU))/1, ((C_MOSFET_S_VTH_L_BO+Table7[[#This Row],[I_L]]/C_MOSFET_S_gFS_L_BO))/1 )</f>
        <v>2.0530833333333334</v>
      </c>
      <c r="BL247" s="156">
        <f>IF(VACnom&gt;Vbat, (C_MOSFET_S_QGD_H_BU+C_MOSFET_S_QGS_H_BU)*10^-9/Table7[[#This Row],[Ion (A) C]], (C_MOSFET_S_QGD_L_BO+C_MOSFET_S_QGS_L_BO)*10^-9/Table7[[#This Row],[Ion (A) C]])/10^-9</f>
        <v>2.7809527804284677</v>
      </c>
      <c r="BM247" s="156">
        <f>IF(VACnom&gt;Vbat, (C_MOSFET_S_QGD_H_BU+C_MOSFET_S_QGS_H_BU)*10^-9/Table7[[#This Row],[Ioff (A) C]], (C_MOSFET_S_QGD_L_BO+C_MOSFET_S_QGS_L_BO)*10^-9/Table7[[#This Row],[Ioff (A) C]])/10^-9</f>
        <v>3.1659698826967571</v>
      </c>
      <c r="BN247" s="156">
        <f xml:space="preserve"> 0.5*VACnom*Table7[[#This Row],[Ivalley (A) C]]*Table7[[#This Row],[ton (ns) C]]*10^-9*Fsw*10^3+0.5*VACnom*Table7[[#This Row],[Ipeak (A) C]]*Table7[[#This Row],[toff (ns) C]]*10^-9*Fsw*10^3/10^-3</f>
        <v>95.712591333681573</v>
      </c>
      <c r="BO247" s="156">
        <f t="shared" si="49"/>
        <v>129.6</v>
      </c>
      <c r="BP247" s="156">
        <f t="shared" ca="1" si="50"/>
        <v>291.59999999999997</v>
      </c>
      <c r="BQ247" s="156">
        <f t="shared" si="51"/>
        <v>237.6</v>
      </c>
      <c r="BR247" s="156">
        <f>IF(VACnom&gt;Vbat, C_MOSFET_S_VSD_L_BU*Table7[[#This Row],[Ivalley (A) C]]*Fsw*10^3*40*10^-9+C_MOSFET_S_VSD_L_BU*Table7[[#This Row],[Ipeak (A) C]]*Fsw*10^3*30*10^-9, C_MOSFET_S_VSD_H_BO*Table7[[#This Row],[Ivalley (A) C]]*Fsw*10^3*40*10^-9+C_MOSFET_S_VSD_H_BO*Table7[[#This Row],[Ipeak (A) C]]*Fsw*10^3*30*10^-9)/10^-3</f>
        <v>265.4828571428572</v>
      </c>
      <c r="BS247" s="156">
        <f t="shared" ca="1" si="52"/>
        <v>291.59999999999997</v>
      </c>
      <c r="BT247" s="156">
        <f>IF(VACnom&lt;Vbat, Table7[[#This Row],[Duty Cycle]]*Table7[[#This Row],[I_L RMS]]^2*C_MOSFET_S_RDSON_H_BU*10^-3, (1-Table7[[#This Row],[Duty Cycle]])*Table7[[#This Row],[I_L RMS]]^2*C_MOSFET_S_RDSON_H_BO*10^-3)/10^-3</f>
        <v>155.03014080721576</v>
      </c>
      <c r="BU247" s="156">
        <f ca="1">IF(VACnom&gt;Vbat, Table7[[#This Row],[PIV (mW) C]]+Table7[[#This Row],[PQoss (mW) C]]+Table7[[#This Row],[Pgate_top (mW) C]], Table7[[#This Row],[PRR (mW) C]]+Table7[[#This Row],[Pdead (mW) C]]+Table7[[#This Row],[Pgate_top (mW) C]])</f>
        <v>794.68285714285707</v>
      </c>
      <c r="BV247" s="156">
        <f ca="1">Table7[[#This Row],[Pcon_top (mW) C]]+Table7[[#This Row],[Psw_top (mW) C]]</f>
        <v>949.7129979500728</v>
      </c>
      <c r="BW247" s="156">
        <f ca="1">IF(VACnom&gt;Vbat, (1-Table7[[#This Row],[Duty Cycle]])*Table7[[#This Row],[I_L RMS]]^2*C_MOSFET_S_RDSON_L_BU*10^-3, Table7[[#This Row],[Duty Cycle]]*Table7[[#This Row],[I_L RMS]]^2*C_MOSFET_S_RDSON_L_BO*10^-3)/10^-3</f>
        <v>96.55385962554665</v>
      </c>
      <c r="BX247" s="156">
        <f ca="1">IF(VACnom&gt;Vbat, Table7[[#This Row],[PRR (mW) C]]+Table7[[#This Row],[Pdead (mW) C]]+Table7[[#This Row],[Pgate_bottom (mW) C]], Table7[[#This Row],[PIV (mW) C]]+Table7[[#This Row],[PQoss (mW) C]]+Table7[[#This Row],[Pgate_bottom (mW) C]])</f>
        <v>516.91259133368158</v>
      </c>
      <c r="BY247" s="156">
        <f ca="1">Table7[[#This Row],[Pcon_bottom (mW) C]]+Table7[[#This Row],[Psw_bottom (mV) C]]</f>
        <v>613.46645095922827</v>
      </c>
      <c r="BZ247" s="156">
        <f ca="1">Table7[[#This Row],[Pbottom (mW) C]]+Table7[[#This Row],[Ptop (mW) C]]</f>
        <v>1563.1794489093011</v>
      </c>
      <c r="CA247" s="159"/>
      <c r="CB247" s="160">
        <f>(RAC_SNS*10^-3*(Table7[[#This Row],[IOUT (A)]]*Vbat/VACnom)^2/10^-3)</f>
        <v>317.00703124999995</v>
      </c>
      <c r="CC247" s="160">
        <f>(RBAT_SNS*10^-3*Table7[[#This Row],[IOUT (A)]]^2)/10^-3</f>
        <v>103.51249999999999</v>
      </c>
      <c r="CD247" s="160">
        <f>IF(VACnom&gt;Vbat,(L_DRC*10^-3*(Table7[[#This Row],[IOUT (A)]])^2/10^-3),(L_DRC*10^-3*(Table7[[#This Row],[IOUT (A)]]*Vbat/VACnom)^2/10^-3))</f>
        <v>760.81687499999998</v>
      </c>
      <c r="CE247" s="166"/>
      <c r="CF247" s="156">
        <f>(Table7[[#This Row],[R_AC (mW)]]+Table7[[#This Row],[R_SR (mW)]]+Table7[[#This Row],[Inductor Loss (mW)]])/10^3</f>
        <v>1.18133640625</v>
      </c>
      <c r="CG247" s="156">
        <f ca="1">Table7[[#This Row],[Total TI (mW)]]/10^3</f>
        <v>2.9850928994517325</v>
      </c>
      <c r="CH247" s="156">
        <f ca="1">Table7[[#This Row],[Total Sense Loss]]+Table7[[#This Row],[Total MOSFET Loss]]</f>
        <v>4.1664293057017323</v>
      </c>
      <c r="CI247" s="161">
        <f ca="1">IF(Table7[[#This Row],[POUT (W)]]=0,0,(Table7[[#This Row],[POUT (W)]])/(Table7[[#This Row],[POUT (W)]]+Table7[[#This Row],[Total Power Loss (W)]]))*100</f>
        <v>92.910188087099769</v>
      </c>
      <c r="CJ247" s="167"/>
      <c r="CK247" s="156">
        <f>(Table7[[#This Row],[R_AC (mW)]]+Table7[[#This Row],[R_SR (mW)]]+Table7[[#This Row],[Inductor Loss (mW)]])/10^3</f>
        <v>1.18133640625</v>
      </c>
      <c r="CL247" s="156">
        <f ca="1">Table7[[#This Row],[Total (mW) C]]/10^3</f>
        <v>1.5631794489093012</v>
      </c>
      <c r="CM247" s="156">
        <f ca="1">Table7[[#This Row],[Total Sense Loss C]]+Table7[[#This Row],[Total MOSFET Loss C]]</f>
        <v>2.7445158551593014</v>
      </c>
      <c r="CN247" s="161">
        <f ca="1">IF(Table7[[#This Row],[POUT (W)]]=0,0,(Table7[[#This Row],[POUT (W)]])/(Table7[[#This Row],[POUT (W)]]+Table7[[#This Row],[Total Power Loss (W) C]]))*100</f>
        <v>95.213987224006928</v>
      </c>
      <c r="CO247" s="167"/>
      <c r="CP247" s="161">
        <f>IF(MOSFET_S=Custom_MOSFET,Table7[[#This Row],[Total Sense Loss C]],Table7[[#This Row],[Total Sense Loss]])</f>
        <v>1.18133640625</v>
      </c>
      <c r="CQ247" s="161">
        <f ca="1">IF(MOSFET_S=Custom_MOSFET,Table7[[#This Row],[Total MOSFET Loss C]],Table7[[#This Row],[Total MOSFET Loss]])</f>
        <v>2.9850928994517325</v>
      </c>
      <c r="CR247" s="161">
        <f ca="1">IF(MOSFET_S=Custom_MOSFET,Table7[[#This Row],[Efficiency C]],Table7[[#This Row],[Efficiency]])</f>
        <v>92.910188087099769</v>
      </c>
      <c r="CS247" s="167"/>
      <c r="CT247" s="161">
        <f>IF(MOSFET_S=Compare_MOSFET, Table7[[#This Row],[Total Sense Loss C]], -100)</f>
        <v>-100</v>
      </c>
      <c r="CU247" s="161">
        <f>IF(MOSFET_S=Compare_MOSFET, Table7[[#This Row],[Total MOSFET Loss C]], -100)</f>
        <v>-100</v>
      </c>
      <c r="CV247" s="161">
        <f>IF(MOSFET_S=Compare_MOSFET, Table7[[#This Row],[Efficiency C]], -100)</f>
        <v>-100</v>
      </c>
      <c r="CW247" s="167"/>
      <c r="CX247" s="161">
        <f ca="1">IF(Save_Sel=CLR_Save,  Table7[[#This Row],[Total Sense Loss P1]], Table7[[#This Row],[Total Sense Loss P1 Saved]])</f>
        <v>1.18133640625</v>
      </c>
      <c r="CY247" s="161">
        <f ca="1">IF(Save_Sel=CLR_Save,  Table7[[#This Row],[Total MOSFET Loss P1]], Table7[[#This Row],[Total MOSFET Loss P1 Saved]] )</f>
        <v>2.3137537272150666</v>
      </c>
      <c r="CZ247" s="161">
        <f ca="1">IF(Save_Sel=CLR_Save, Table7[[#This Row],[Efficiency P1]], Table7[[#This Row],[Efficiency P1 Saved]])</f>
        <v>93.983845923234469</v>
      </c>
      <c r="DA247" s="167"/>
      <c r="DB247" s="161">
        <f ca="1">IF(Save_Sel=CLR_Save,  Table7[[#This Row],[Total Sense Loss P2]], Table7[[#This Row],[Total Sense Loss P2 Saved]])</f>
        <v>1.18133640625</v>
      </c>
      <c r="DC247" s="161">
        <f ca="1">IF(Save_Sel=CLR_Save,  Table7[[#This Row],[Total MOSFET Loss P2]], Table7[[#This Row],[Total MOSFET Loss P2 Saved]] )</f>
        <v>1.6422239685133622</v>
      </c>
      <c r="DD247" s="161">
        <f ca="1">IF(Save_Sel=CLR_Save, Table7[[#This Row],[Efficiency P2]], Table7[[#This Row],[Efficiency P2 Saved]])</f>
        <v>95.082923531150001</v>
      </c>
      <c r="DE247" s="167"/>
      <c r="DF247" s="21"/>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c r="FH247" s="21"/>
      <c r="FI247" s="21"/>
    </row>
    <row r="248" spans="1:165" x14ac:dyDescent="0.25">
      <c r="A248" s="70"/>
      <c r="B248" s="70"/>
      <c r="C248" s="70"/>
      <c r="D248" s="70"/>
      <c r="E248" s="70"/>
      <c r="F248" s="70"/>
      <c r="G248" s="70"/>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154">
        <f t="shared" si="54"/>
        <v>92</v>
      </c>
      <c r="AG248" s="154">
        <f t="shared" si="53"/>
        <v>4.5999999999999996</v>
      </c>
      <c r="AH248" s="155">
        <f t="shared" si="42"/>
        <v>55.199999999999996</v>
      </c>
      <c r="AI248" s="156">
        <f t="shared" si="43"/>
        <v>0.42857142857142855</v>
      </c>
      <c r="AJ248" s="156">
        <f t="shared" si="44"/>
        <v>8.0500000000000007</v>
      </c>
      <c r="AK248" s="156">
        <f t="shared" si="40"/>
        <v>0.85714285714285721</v>
      </c>
      <c r="AL248" s="156">
        <f t="shared" si="41"/>
        <v>8.0538018655660952</v>
      </c>
      <c r="AM248" s="157"/>
      <c r="AN248" s="156">
        <f>MAX(0,Table7[[#This Row],[I_L]]-0.5*Table7[[#This Row],[I_L pkpk]])</f>
        <v>7.6214285714285719</v>
      </c>
      <c r="AO248" s="156">
        <f>Table7[[#This Row],[I_L]]+0.5*Table7[[#This Row],[I_L pkpk]]</f>
        <v>8.4785714285714295</v>
      </c>
      <c r="AP248" s="156">
        <f ca="1">IF(VACnom&gt;Vbat, (VGS_S-(TI_MOSFET_S_VTH_H_BU+Table7[[#This Row],[I_L]]/TI_MOSFET_S_gFS_H_BU))/3.4, (VGS_S-(TI_MOSFET_S_VTH_L_BO+Table7[[#This Row],[I_L]]/TI_MOSFET_S_gFS_L_BO))/3.4 )</f>
        <v>2.4082579185520365</v>
      </c>
      <c r="AQ248" s="156">
        <f ca="1">IF(VACnom&gt;Vbat, ((TI_MOSFET_S_VTH_H_BU+Table7[[#This Row],[I_L]]/TI_MOSFET_S_gFS_H_BU))/1, ((TI_MOSFET_S_VTH_L_BO+Table7[[#This Row],[I_L]]/TI_MOSFET_S_gFS_L_BO))/1 )</f>
        <v>1.811923076923077</v>
      </c>
      <c r="AR248" s="156">
        <f ca="1">IF(VACnom&gt;Vbat, (TI_MOSFET_S_QGD_H_BU+TI_MOSFET_S_QGS_H_BU)*10^-9/Table7[[#This Row],[Ion (A)]], (TI_MOSFET_S_QGD_L_BO+TI_MOSFET_S_QGS_L_BO)*10^-9/Table7[[#This Row],[Ion (A)]])/10^-9</f>
        <v>11.958851989290242</v>
      </c>
      <c r="AS248" s="156">
        <f ca="1">IF(VACnom&gt;Vbat, (TI_MOSFET_S_QGD_H_BU+TI_MOSFET_S_QGS_H_BU)*10^-9/Table7[[#This Row],[Ioff (A)]], (TI_MOSFET_S_QGD_L_BO+TI_MOSFET_S_QGS_L_BO)*10^-9/Table7[[#This Row],[Ioff (A)]])/10^-9</f>
        <v>15.894714497983443</v>
      </c>
      <c r="AT248" s="156">
        <f ca="1" xml:space="preserve"> 0.5*VACnom*Table7[[#This Row],[Ivalley (A)]]*Table7[[#This Row],[ton (ns)]]*10^-9*Fsw*10^3+0.5*VACnom*Table7[[#This Row],[Ipeak (A)]]*Table7[[#This Row],[toff (ns)]]*10^-9*Fsw*10^3/10^-3</f>
        <v>485.48021667888662</v>
      </c>
      <c r="AU248" s="156">
        <f t="shared" ca="1" si="45"/>
        <v>262.8</v>
      </c>
      <c r="AV248" s="156">
        <f t="shared" ca="1" si="46"/>
        <v>648</v>
      </c>
      <c r="AW248" s="156">
        <f t="shared" ca="1" si="47"/>
        <v>554.4</v>
      </c>
      <c r="AX248" s="156">
        <f ca="1">IF(VACnom&gt;Vbat, TI_MOSFET_S_VSD_L_BU*Table7[[#This Row],[Ivalley (A)]]*Fsw*10^3*40*10^-9+TI_MOSFET_S_VSD_L_BU*Table7[[#This Row],[Ipeak (A)]]*Fsw*10^3*30*10^-9, TI_MOSFET_S_VSD_H_BO*Table7[[#This Row],[Ivalley (A)]]*Fsw*10^3*40*10^-9+TI_MOSFET_S_VSD_H_BO*Table7[[#This Row],[Ipeak (A)]]*Fsw*10^3*30*10^-9)/10^-3</f>
        <v>241.58057142857146</v>
      </c>
      <c r="AY248" s="156">
        <f t="shared" ca="1" si="48"/>
        <v>648</v>
      </c>
      <c r="AZ248" s="156">
        <f ca="1">IF(VACnom&lt;Vbat, Table7[[#This Row],[Duty Cycle]]*Table7[[#This Row],[I_L RMS]]^2*TI_MOSFET_S_RDSON_H_BU*10^-3, (1-Table7[[#This Row],[Duty Cycle]])*Table7[[#This Row],[I_L RMS]]^2*TI_MOSFET_S_RDSON_H_BO*10^-3)/10^-3</f>
        <v>77.836469387755088</v>
      </c>
      <c r="BA248" s="156">
        <f ca="1">IF(VACnom&gt;Vbat, Table7[[#This Row],[PIV (mW)]]+Table7[[#This Row],[Pqoss (mW)]]+Table7[[#This Row],[Pgate_top (mW)]], Table7[[#This Row],[PRR (mW)]]+Table7[[#This Row],[Pdead (mW)]]+Table7[[#This Row],[Pgate_top (mW)]])</f>
        <v>1443.9805714285715</v>
      </c>
      <c r="BB248" s="156">
        <f ca="1">Table7[[#This Row],[Pcon_top (mW)]]+Table7[[#This Row],[Psw_top (mW)]]</f>
        <v>1521.8170408163267</v>
      </c>
      <c r="BC248" s="156">
        <f ca="1">IF(VACnom&gt;Vbat, (1-Table7[[#This Row],[Duty Cycle]])*Table7[[#This Row],[I_L RMS]]^2*TI_MOSFET_S_RDSON_L_BU*10^-3, Table7[[#This Row],[Duty Cycle]]*Table7[[#This Row],[I_L RMS]]^2*TI_MOSFET_S_RDSON_L_BO*10^-3)/10^-3</f>
        <v>77.836469387755088</v>
      </c>
      <c r="BD248" s="156">
        <f ca="1">IF(VACnom&gt;Vbat, Table7[[#This Row],[PRR (mW)]]+Table7[[#This Row],[Pdead (mW)]]+Table7[[#This Row],[Pgate_bottom (mW)]], Table7[[#This Row],[PIV (mW)]]+Table7[[#This Row],[Pqoss (mW)]]+Table7[[#This Row],[Pgate_bottom (mW)]])</f>
        <v>1396.2802166788865</v>
      </c>
      <c r="BE248" s="158">
        <f ca="1">Table7[[#This Row],[Pcon_bottom (mW)]]+Table7[[#This Row],[Psw_bottom (mW)]]</f>
        <v>1474.1166860666417</v>
      </c>
      <c r="BF248" s="164">
        <f ca="1">Table7[[#This Row],[Pbottom (mW)]]+Table7[[#This Row],[Ptop (mW)]]</f>
        <v>2995.9337268829686</v>
      </c>
      <c r="BG248" s="153"/>
      <c r="BH248" s="156">
        <f>MAX(0,Table7[[#This Row],[I_L]]-0.5*Table7[[#This Row],[I_L pkpk]])</f>
        <v>7.6214285714285719</v>
      </c>
      <c r="BI248" s="156">
        <f>Table7[[#This Row],[I_L]]+0.5*Table7[[#This Row],[I_L pkpk]]</f>
        <v>8.4785714285714295</v>
      </c>
      <c r="BJ248" s="156">
        <f>IF(VACnom&gt;Vbat, (VGS_S-(C_MOSFET_S_VTH_H_BU+Table7[[#This Row],[I_L]]/C_MOSFET_S_gFS_H_BU))/3.4, (VGS_S-(C_MOSFET_S_VTH_L_BO+Table7[[#This Row],[I_L]]/C_MOSFET_S_gFS_L_BO))/3.4 )</f>
        <v>2.3371568627450983</v>
      </c>
      <c r="BK248" s="156">
        <f>IF(VACnom&gt;Vbat, ((C_MOSFET_S_VTH_H_BU+Table7[[#This Row],[I_L]]/C_MOSFET_S_gFS_H_BU))/1, ((C_MOSFET_S_VTH_L_BO+Table7[[#This Row],[I_L]]/C_MOSFET_S_gFS_L_BO))/1 )</f>
        <v>2.0536666666666665</v>
      </c>
      <c r="BL248" s="156">
        <f>IF(VACnom&gt;Vbat, (C_MOSFET_S_QGD_H_BU+C_MOSFET_S_QGS_H_BU)*10^-9/Table7[[#This Row],[Ion (A) C]], (C_MOSFET_S_QGD_L_BO+C_MOSFET_S_QGS_L_BO)*10^-9/Table7[[#This Row],[Ion (A) C]])/10^-9</f>
        <v>2.7811569277234782</v>
      </c>
      <c r="BM248" s="156">
        <f>IF(VACnom&gt;Vbat, (C_MOSFET_S_QGD_H_BU+C_MOSFET_S_QGS_H_BU)*10^-9/Table7[[#This Row],[Ioff (A) C]], (C_MOSFET_S_QGD_L_BO+C_MOSFET_S_QGS_L_BO)*10^-9/Table7[[#This Row],[Ioff (A) C]])/10^-9</f>
        <v>3.1650706054211981</v>
      </c>
      <c r="BN248" s="156">
        <f xml:space="preserve"> 0.5*VACnom*Table7[[#This Row],[Ivalley (A) C]]*Table7[[#This Row],[ton (ns) C]]*10^-9*Fsw*10^3+0.5*VACnom*Table7[[#This Row],[Ipeak (A) C]]*Table7[[#This Row],[toff (ns) C]]*10^-9*Fsw*10^3/10^-3</f>
        <v>96.683304936261706</v>
      </c>
      <c r="BO248" s="156">
        <f t="shared" si="49"/>
        <v>129.6</v>
      </c>
      <c r="BP248" s="156">
        <f t="shared" ca="1" si="50"/>
        <v>291.59999999999997</v>
      </c>
      <c r="BQ248" s="156">
        <f t="shared" si="51"/>
        <v>237.6</v>
      </c>
      <c r="BR248" s="156">
        <f>IF(VACnom&gt;Vbat, C_MOSFET_S_VSD_L_BU*Table7[[#This Row],[Ivalley (A) C]]*Fsw*10^3*40*10^-9+C_MOSFET_S_VSD_L_BU*Table7[[#This Row],[Ipeak (A) C]]*Fsw*10^3*30*10^-9, C_MOSFET_S_VSD_H_BO*Table7[[#This Row],[Ivalley (A) C]]*Fsw*10^3*40*10^-9+C_MOSFET_S_VSD_H_BO*Table7[[#This Row],[Ipeak (A) C]]*Fsw*10^3*30*10^-9)/10^-3</f>
        <v>268.4228571428572</v>
      </c>
      <c r="BS248" s="156">
        <f t="shared" ca="1" si="52"/>
        <v>291.59999999999997</v>
      </c>
      <c r="BT248" s="156">
        <f>IF(VACnom&lt;Vbat, Table7[[#This Row],[Duty Cycle]]*Table7[[#This Row],[I_L RMS]]^2*C_MOSFET_S_RDSON_H_BU*10^-3, (1-Table7[[#This Row],[Duty Cycle]])*Table7[[#This Row],[I_L RMS]]^2*C_MOSFET_S_RDSON_H_BO*10^-3)/10^-3</f>
        <v>158.45281268221572</v>
      </c>
      <c r="BU248" s="156">
        <f ca="1">IF(VACnom&gt;Vbat, Table7[[#This Row],[PIV (mW) C]]+Table7[[#This Row],[PQoss (mW) C]]+Table7[[#This Row],[Pgate_top (mW) C]], Table7[[#This Row],[PRR (mW) C]]+Table7[[#This Row],[Pdead (mW) C]]+Table7[[#This Row],[Pgate_top (mW) C]])</f>
        <v>797.62285714285713</v>
      </c>
      <c r="BV248" s="156">
        <f ca="1">Table7[[#This Row],[Pcon_top (mW) C]]+Table7[[#This Row],[Psw_top (mW) C]]</f>
        <v>956.07566982507285</v>
      </c>
      <c r="BW248" s="156">
        <f ca="1">IF(VACnom&gt;Vbat, (1-Table7[[#This Row],[Duty Cycle]])*Table7[[#This Row],[I_L RMS]]^2*C_MOSFET_S_RDSON_L_BU*10^-3, Table7[[#This Row],[Duty Cycle]]*Table7[[#This Row],[I_L RMS]]^2*C_MOSFET_S_RDSON_L_BO*10^-3)/10^-3</f>
        <v>98.685523688046629</v>
      </c>
      <c r="BX248" s="156">
        <f ca="1">IF(VACnom&gt;Vbat, Table7[[#This Row],[PRR (mW) C]]+Table7[[#This Row],[Pdead (mW) C]]+Table7[[#This Row],[Pgate_bottom (mW) C]], Table7[[#This Row],[PIV (mW) C]]+Table7[[#This Row],[PQoss (mW) C]]+Table7[[#This Row],[Pgate_bottom (mW) C]])</f>
        <v>517.88330493626165</v>
      </c>
      <c r="BY248" s="156">
        <f ca="1">Table7[[#This Row],[Pcon_bottom (mW) C]]+Table7[[#This Row],[Psw_bottom (mV) C]]</f>
        <v>616.56882862430825</v>
      </c>
      <c r="BZ248" s="156">
        <f ca="1">Table7[[#This Row],[Pbottom (mW) C]]+Table7[[#This Row],[Ptop (mW) C]]</f>
        <v>1572.644498449381</v>
      </c>
      <c r="CA248" s="159"/>
      <c r="CB248" s="160">
        <f>(RAC_SNS*10^-3*(Table7[[#This Row],[IOUT (A)]]*Vbat/VACnom)^2/10^-3)</f>
        <v>324.01249999999993</v>
      </c>
      <c r="CC248" s="160">
        <f>(RBAT_SNS*10^-3*Table7[[#This Row],[IOUT (A)]]^2)/10^-3</f>
        <v>105.79999999999998</v>
      </c>
      <c r="CD248" s="160">
        <f>IF(VACnom&gt;Vbat,(L_DRC*10^-3*(Table7[[#This Row],[IOUT (A)]])^2/10^-3),(L_DRC*10^-3*(Table7[[#This Row],[IOUT (A)]]*Vbat/VACnom)^2/10^-3))</f>
        <v>777.62999999999977</v>
      </c>
      <c r="CE248" s="166"/>
      <c r="CF248" s="156">
        <f>(Table7[[#This Row],[R_AC (mW)]]+Table7[[#This Row],[R_SR (mW)]]+Table7[[#This Row],[Inductor Loss (mW)]])/10^3</f>
        <v>1.2074424999999998</v>
      </c>
      <c r="CG248" s="156">
        <f ca="1">Table7[[#This Row],[Total TI (mW)]]/10^3</f>
        <v>2.9959337268829684</v>
      </c>
      <c r="CH248" s="156">
        <f ca="1">Table7[[#This Row],[Total Sense Loss]]+Table7[[#This Row],[Total MOSFET Loss]]</f>
        <v>4.203376226882968</v>
      </c>
      <c r="CI248" s="161">
        <f ca="1">IF(Table7[[#This Row],[POUT (W)]]=0,0,(Table7[[#This Row],[POUT (W)]])/(Table7[[#This Row],[POUT (W)]]+Table7[[#This Row],[Total Power Loss (W)]]))*100</f>
        <v>92.92401123661935</v>
      </c>
      <c r="CJ248" s="167"/>
      <c r="CK248" s="156">
        <f>(Table7[[#This Row],[R_AC (mW)]]+Table7[[#This Row],[R_SR (mW)]]+Table7[[#This Row],[Inductor Loss (mW)]])/10^3</f>
        <v>1.2074424999999998</v>
      </c>
      <c r="CL248" s="156">
        <f ca="1">Table7[[#This Row],[Total (mW) C]]/10^3</f>
        <v>1.572644498449381</v>
      </c>
      <c r="CM248" s="156">
        <f ca="1">Table7[[#This Row],[Total Sense Loss C]]+Table7[[#This Row],[Total MOSFET Loss C]]</f>
        <v>2.7800869984493808</v>
      </c>
      <c r="CN248" s="161">
        <f ca="1">IF(Table7[[#This Row],[POUT (W)]]=0,0,(Table7[[#This Row],[POUT (W)]])/(Table7[[#This Row],[POUT (W)]]+Table7[[#This Row],[Total Power Loss (W) C]]))*100</f>
        <v>95.205100332940631</v>
      </c>
      <c r="CO248" s="167"/>
      <c r="CP248" s="161">
        <f>IF(MOSFET_S=Custom_MOSFET,Table7[[#This Row],[Total Sense Loss C]],Table7[[#This Row],[Total Sense Loss]])</f>
        <v>1.2074424999999998</v>
      </c>
      <c r="CQ248" s="161">
        <f ca="1">IF(MOSFET_S=Custom_MOSFET,Table7[[#This Row],[Total MOSFET Loss C]],Table7[[#This Row],[Total MOSFET Loss]])</f>
        <v>2.9959337268829684</v>
      </c>
      <c r="CR248" s="161">
        <f ca="1">IF(MOSFET_S=Custom_MOSFET,Table7[[#This Row],[Efficiency C]],Table7[[#This Row],[Efficiency]])</f>
        <v>92.92401123661935</v>
      </c>
      <c r="CS248" s="167"/>
      <c r="CT248" s="161">
        <f>IF(MOSFET_S=Compare_MOSFET, Table7[[#This Row],[Total Sense Loss C]], -100)</f>
        <v>-100</v>
      </c>
      <c r="CU248" s="161">
        <f>IF(MOSFET_S=Compare_MOSFET, Table7[[#This Row],[Total MOSFET Loss C]], -100)</f>
        <v>-100</v>
      </c>
      <c r="CV248" s="161">
        <f>IF(MOSFET_S=Compare_MOSFET, Table7[[#This Row],[Efficiency C]], -100)</f>
        <v>-100</v>
      </c>
      <c r="CW248" s="167"/>
      <c r="CX248" s="161">
        <f ca="1">IF(Save_Sel=CLR_Save,  Table7[[#This Row],[Total Sense Loss P1]], Table7[[#This Row],[Total Sense Loss P1 Saved]])</f>
        <v>1.2074424999999998</v>
      </c>
      <c r="CY248" s="161">
        <f ca="1">IF(Save_Sel=CLR_Save,  Table7[[#This Row],[Total MOSFET Loss P1]], Table7[[#This Row],[Total MOSFET Loss P1 Saved]] )</f>
        <v>2.325503186069509</v>
      </c>
      <c r="CZ248" s="161">
        <f ca="1">IF(Save_Sel=CLR_Save, Table7[[#This Row],[Efficiency P1]], Table7[[#This Row],[Efficiency P1 Saved]])</f>
        <v>93.984729277919627</v>
      </c>
      <c r="DA248" s="167"/>
      <c r="DB248" s="161">
        <f ca="1">IF(Save_Sel=CLR_Save,  Table7[[#This Row],[Total Sense Loss P2]], Table7[[#This Row],[Total Sense Loss P2 Saved]])</f>
        <v>1.2074424999999998</v>
      </c>
      <c r="DC248" s="161">
        <f ca="1">IF(Save_Sel=CLR_Save,  Table7[[#This Row],[Total MOSFET Loss P2]], Table7[[#This Row],[Total MOSFET Loss P2 Saved]] )</f>
        <v>1.6534323999260072</v>
      </c>
      <c r="DD248" s="161">
        <f ca="1">IF(Save_Sel=CLR_Save, Table7[[#This Row],[Efficiency P2]], Table7[[#This Row],[Efficiency P2 Saved]])</f>
        <v>95.072628676613931</v>
      </c>
      <c r="DE248" s="167"/>
      <c r="DF248" s="21"/>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c r="FH248" s="21"/>
      <c r="FI248" s="21"/>
    </row>
    <row r="249" spans="1:165" x14ac:dyDescent="0.25">
      <c r="A249" s="70"/>
      <c r="B249" s="70"/>
      <c r="C249" s="70"/>
      <c r="D249" s="70"/>
      <c r="E249" s="70"/>
      <c r="F249" s="70"/>
      <c r="G249" s="70"/>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154">
        <f t="shared" si="54"/>
        <v>93</v>
      </c>
      <c r="AG249" s="154">
        <f t="shared" si="53"/>
        <v>4.6500000000000004</v>
      </c>
      <c r="AH249" s="155">
        <f t="shared" si="42"/>
        <v>55.800000000000004</v>
      </c>
      <c r="AI249" s="156">
        <f t="shared" si="43"/>
        <v>0.42857142857142855</v>
      </c>
      <c r="AJ249" s="156">
        <f t="shared" si="44"/>
        <v>8.1375000000000011</v>
      </c>
      <c r="AK249" s="156">
        <f t="shared" ref="AK249:AK256" si="55">Ipkpk_VACnom</f>
        <v>0.85714285714285721</v>
      </c>
      <c r="AL249" s="156">
        <f t="shared" ref="AL249:AL256" si="56">SQRT(AJ249^2+AK249^2/12)</f>
        <v>8.1412610042791247</v>
      </c>
      <c r="AM249" s="157"/>
      <c r="AN249" s="156">
        <f>MAX(0,Table7[[#This Row],[I_L]]-0.5*Table7[[#This Row],[I_L pkpk]])</f>
        <v>7.7089285714285722</v>
      </c>
      <c r="AO249" s="156">
        <f>Table7[[#This Row],[I_L]]+0.5*Table7[[#This Row],[I_L pkpk]]</f>
        <v>8.5660714285714299</v>
      </c>
      <c r="AP249" s="156">
        <f ca="1">IF(VACnom&gt;Vbat, (VGS_S-(TI_MOSFET_S_VTH_H_BU+Table7[[#This Row],[I_L]]/TI_MOSFET_S_gFS_H_BU))/3.4, (VGS_S-(TI_MOSFET_S_VTH_L_BO+Table7[[#This Row],[I_L]]/TI_MOSFET_S_gFS_L_BO))/3.4 )</f>
        <v>2.4080599547511312</v>
      </c>
      <c r="AQ249" s="156">
        <f ca="1">IF(VACnom&gt;Vbat, ((TI_MOSFET_S_VTH_H_BU+Table7[[#This Row],[I_L]]/TI_MOSFET_S_gFS_H_BU))/1, ((TI_MOSFET_S_VTH_L_BO+Table7[[#This Row],[I_L]]/TI_MOSFET_S_gFS_L_BO))/1 )</f>
        <v>1.8125961538461539</v>
      </c>
      <c r="AR249" s="156">
        <f ca="1">IF(VACnom&gt;Vbat, (TI_MOSFET_S_QGD_H_BU+TI_MOSFET_S_QGS_H_BU)*10^-9/Table7[[#This Row],[Ion (A)]], (TI_MOSFET_S_QGD_L_BO+TI_MOSFET_S_QGS_L_BO)*10^-9/Table7[[#This Row],[Ion (A)]])/10^-9</f>
        <v>11.959835112567381</v>
      </c>
      <c r="AS249" s="156">
        <f ca="1">IF(VACnom&gt;Vbat, (TI_MOSFET_S_QGD_H_BU+TI_MOSFET_S_QGS_H_BU)*10^-9/Table7[[#This Row],[Ioff (A)]], (TI_MOSFET_S_QGD_L_BO+TI_MOSFET_S_QGS_L_BO)*10^-9/Table7[[#This Row],[Ioff (A)]])/10^-9</f>
        <v>15.888812264601347</v>
      </c>
      <c r="AT249" s="156">
        <f ca="1" xml:space="preserve"> 0.5*VACnom*Table7[[#This Row],[Ivalley (A)]]*Table7[[#This Row],[ton (ns)]]*10^-9*Fsw*10^3+0.5*VACnom*Table7[[#This Row],[Ipeak (A)]]*Table7[[#This Row],[toff (ns)]]*10^-9*Fsw*10^3/10^-3</f>
        <v>490.30883383804473</v>
      </c>
      <c r="AU249" s="156">
        <f t="shared" ca="1" si="45"/>
        <v>262.8</v>
      </c>
      <c r="AV249" s="156">
        <f t="shared" ca="1" si="46"/>
        <v>648</v>
      </c>
      <c r="AW249" s="156">
        <f t="shared" ca="1" si="47"/>
        <v>554.4</v>
      </c>
      <c r="AX249" s="156">
        <f ca="1">IF(VACnom&gt;Vbat, TI_MOSFET_S_VSD_L_BU*Table7[[#This Row],[Ivalley (A)]]*Fsw*10^3*40*10^-9+TI_MOSFET_S_VSD_L_BU*Table7[[#This Row],[Ipeak (A)]]*Fsw*10^3*30*10^-9, TI_MOSFET_S_VSD_H_BO*Table7[[#This Row],[Ivalley (A)]]*Fsw*10^3*40*10^-9+TI_MOSFET_S_VSD_H_BO*Table7[[#This Row],[Ipeak (A)]]*Fsw*10^3*30*10^-9)/10^-3</f>
        <v>244.22657142857148</v>
      </c>
      <c r="AY249" s="156">
        <f t="shared" ca="1" si="48"/>
        <v>648</v>
      </c>
      <c r="AZ249" s="156">
        <f ca="1">IF(VACnom&lt;Vbat, Table7[[#This Row],[Duty Cycle]]*Table7[[#This Row],[I_L RMS]]^2*TI_MOSFET_S_RDSON_H_BU*10^-3, (1-Table7[[#This Row],[Duty Cycle]])*Table7[[#This Row],[I_L RMS]]^2*TI_MOSFET_S_RDSON_H_BO*10^-3)/10^-3</f>
        <v>79.536156887755112</v>
      </c>
      <c r="BA249" s="156">
        <f ca="1">IF(VACnom&gt;Vbat, Table7[[#This Row],[PIV (mW)]]+Table7[[#This Row],[Pqoss (mW)]]+Table7[[#This Row],[Pgate_top (mW)]], Table7[[#This Row],[PRR (mW)]]+Table7[[#This Row],[Pdead (mW)]]+Table7[[#This Row],[Pgate_top (mW)]])</f>
        <v>1446.6265714285714</v>
      </c>
      <c r="BB249" s="156">
        <f ca="1">Table7[[#This Row],[Pcon_top (mW)]]+Table7[[#This Row],[Psw_top (mW)]]</f>
        <v>1526.1627283163266</v>
      </c>
      <c r="BC249" s="156">
        <f ca="1">IF(VACnom&gt;Vbat, (1-Table7[[#This Row],[Duty Cycle]])*Table7[[#This Row],[I_L RMS]]^2*TI_MOSFET_S_RDSON_L_BU*10^-3, Table7[[#This Row],[Duty Cycle]]*Table7[[#This Row],[I_L RMS]]^2*TI_MOSFET_S_RDSON_L_BO*10^-3)/10^-3</f>
        <v>79.536156887755112</v>
      </c>
      <c r="BD249" s="156">
        <f ca="1">IF(VACnom&gt;Vbat, Table7[[#This Row],[PRR (mW)]]+Table7[[#This Row],[Pdead (mW)]]+Table7[[#This Row],[Pgate_bottom (mW)]], Table7[[#This Row],[PIV (mW)]]+Table7[[#This Row],[Pqoss (mW)]]+Table7[[#This Row],[Pgate_bottom (mW)]])</f>
        <v>1401.1088338380448</v>
      </c>
      <c r="BE249" s="158">
        <f ca="1">Table7[[#This Row],[Pcon_bottom (mW)]]+Table7[[#This Row],[Psw_bottom (mW)]]</f>
        <v>1480.6449907258</v>
      </c>
      <c r="BF249" s="164">
        <f ca="1">Table7[[#This Row],[Pbottom (mW)]]+Table7[[#This Row],[Ptop (mW)]]</f>
        <v>3006.8077190421263</v>
      </c>
      <c r="BG249" s="153"/>
      <c r="BH249" s="156">
        <f>MAX(0,Table7[[#This Row],[I_L]]-0.5*Table7[[#This Row],[I_L pkpk]])</f>
        <v>7.7089285714285722</v>
      </c>
      <c r="BI249" s="156">
        <f>Table7[[#This Row],[I_L]]+0.5*Table7[[#This Row],[I_L pkpk]]</f>
        <v>8.5660714285714299</v>
      </c>
      <c r="BJ249" s="156">
        <f>IF(VACnom&gt;Vbat, (VGS_S-(C_MOSFET_S_VTH_H_BU+Table7[[#This Row],[I_L]]/C_MOSFET_S_gFS_H_BU))/3.4, (VGS_S-(C_MOSFET_S_VTH_L_BO+Table7[[#This Row],[I_L]]/C_MOSFET_S_gFS_L_BO))/3.4 )</f>
        <v>2.336985294117647</v>
      </c>
      <c r="BK249" s="156">
        <f>IF(VACnom&gt;Vbat, ((C_MOSFET_S_VTH_H_BU+Table7[[#This Row],[I_L]]/C_MOSFET_S_gFS_H_BU))/1, ((C_MOSFET_S_VTH_L_BO+Table7[[#This Row],[I_L]]/C_MOSFET_S_gFS_L_BO))/1 )</f>
        <v>2.0542500000000001</v>
      </c>
      <c r="BL249" s="156">
        <f>IF(VACnom&gt;Vbat, (C_MOSFET_S_QGD_H_BU+C_MOSFET_S_QGS_H_BU)*10^-9/Table7[[#This Row],[Ion (A) C]], (C_MOSFET_S_QGD_L_BO+C_MOSFET_S_QGS_L_BO)*10^-9/Table7[[#This Row],[Ion (A) C]])/10^-9</f>
        <v>2.7813611049932354</v>
      </c>
      <c r="BM249" s="156">
        <f>IF(VACnom&gt;Vbat, (C_MOSFET_S_QGD_H_BU+C_MOSFET_S_QGS_H_BU)*10^-9/Table7[[#This Row],[Ioff (A) C]], (C_MOSFET_S_QGD_L_BO+C_MOSFET_S_QGS_L_BO)*10^-9/Table7[[#This Row],[Ioff (A) C]])/10^-9</f>
        <v>3.1641718388706339</v>
      </c>
      <c r="BN249" s="156">
        <f xml:space="preserve"> 0.5*VACnom*Table7[[#This Row],[Ivalley (A) C]]*Table7[[#This Row],[ton (ns) C]]*10^-9*Fsw*10^3+0.5*VACnom*Table7[[#This Row],[Ipeak (A) C]]*Table7[[#This Row],[toff (ns) C]]*10^-9*Fsw*10^3/10^-3</f>
        <v>97.653467873267275</v>
      </c>
      <c r="BO249" s="156">
        <f t="shared" si="49"/>
        <v>129.6</v>
      </c>
      <c r="BP249" s="156">
        <f t="shared" ca="1" si="50"/>
        <v>291.59999999999997</v>
      </c>
      <c r="BQ249" s="156">
        <f t="shared" si="51"/>
        <v>237.6</v>
      </c>
      <c r="BR249" s="156">
        <f>IF(VACnom&gt;Vbat, C_MOSFET_S_VSD_L_BU*Table7[[#This Row],[Ivalley (A) C]]*Fsw*10^3*40*10^-9+C_MOSFET_S_VSD_L_BU*Table7[[#This Row],[Ipeak (A) C]]*Fsw*10^3*30*10^-9, C_MOSFET_S_VSD_H_BO*Table7[[#This Row],[Ivalley (A) C]]*Fsw*10^3*40*10^-9+C_MOSFET_S_VSD_H_BO*Table7[[#This Row],[Ipeak (A) C]]*Fsw*10^3*30*10^-9)/10^-3</f>
        <v>271.36285714285719</v>
      </c>
      <c r="BS249" s="156">
        <f t="shared" ca="1" si="52"/>
        <v>291.59999999999997</v>
      </c>
      <c r="BT249" s="156">
        <f>IF(VACnom&lt;Vbat, Table7[[#This Row],[Duty Cycle]]*Table7[[#This Row],[I_L RMS]]^2*C_MOSFET_S_RDSON_H_BU*10^-3, (1-Table7[[#This Row],[Duty Cycle]])*Table7[[#This Row],[I_L RMS]]^2*C_MOSFET_S_RDSON_H_BO*10^-3)/10^-3</f>
        <v>161.91289080721577</v>
      </c>
      <c r="BU249" s="156">
        <f ca="1">IF(VACnom&gt;Vbat, Table7[[#This Row],[PIV (mW) C]]+Table7[[#This Row],[PQoss (mW) C]]+Table7[[#This Row],[Pgate_top (mW) C]], Table7[[#This Row],[PRR (mW) C]]+Table7[[#This Row],[Pdead (mW) C]]+Table7[[#This Row],[Pgate_top (mW) C]])</f>
        <v>800.56285714285718</v>
      </c>
      <c r="BV249" s="156">
        <f ca="1">Table7[[#This Row],[Pcon_top (mW) C]]+Table7[[#This Row],[Psw_top (mW) C]]</f>
        <v>962.4757479500729</v>
      </c>
      <c r="BW249" s="156">
        <f ca="1">IF(VACnom&gt;Vbat, (1-Table7[[#This Row],[Duty Cycle]])*Table7[[#This Row],[I_L RMS]]^2*C_MOSFET_S_RDSON_L_BU*10^-3, Table7[[#This Row],[Duty Cycle]]*Table7[[#This Row],[I_L RMS]]^2*C_MOSFET_S_RDSON_L_BO*10^-3)/10^-3</f>
        <v>100.84048462554667</v>
      </c>
      <c r="BX249" s="156">
        <f ca="1">IF(VACnom&gt;Vbat, Table7[[#This Row],[PRR (mW) C]]+Table7[[#This Row],[Pdead (mW) C]]+Table7[[#This Row],[Pgate_bottom (mW) C]], Table7[[#This Row],[PIV (mW) C]]+Table7[[#This Row],[PQoss (mW) C]]+Table7[[#This Row],[Pgate_bottom (mW) C]])</f>
        <v>518.85346787326716</v>
      </c>
      <c r="BY249" s="156">
        <f ca="1">Table7[[#This Row],[Pcon_bottom (mW) C]]+Table7[[#This Row],[Psw_bottom (mV) C]]</f>
        <v>619.69395249881381</v>
      </c>
      <c r="BZ249" s="156">
        <f ca="1">Table7[[#This Row],[Pbottom (mW) C]]+Table7[[#This Row],[Ptop (mW) C]]</f>
        <v>1582.1697004488867</v>
      </c>
      <c r="CA249" s="159"/>
      <c r="CB249" s="160">
        <f>(RAC_SNS*10^-3*(Table7[[#This Row],[IOUT (A)]]*Vbat/VACnom)^2/10^-3)</f>
        <v>331.0945312500001</v>
      </c>
      <c r="CC249" s="160">
        <f>(RBAT_SNS*10^-3*Table7[[#This Row],[IOUT (A)]]^2)/10^-3</f>
        <v>108.11250000000001</v>
      </c>
      <c r="CD249" s="160">
        <f>IF(VACnom&gt;Vbat,(L_DRC*10^-3*(Table7[[#This Row],[IOUT (A)]])^2/10^-3),(L_DRC*10^-3*(Table7[[#This Row],[IOUT (A)]]*Vbat/VACnom)^2/10^-3))</f>
        <v>794.62687500000015</v>
      </c>
      <c r="CE249" s="166"/>
      <c r="CF249" s="156">
        <f>(Table7[[#This Row],[R_AC (mW)]]+Table7[[#This Row],[R_SR (mW)]]+Table7[[#This Row],[Inductor Loss (mW)]])/10^3</f>
        <v>1.2338339062500003</v>
      </c>
      <c r="CG249" s="156">
        <f ca="1">Table7[[#This Row],[Total TI (mW)]]/10^3</f>
        <v>3.0068077190421265</v>
      </c>
      <c r="CH249" s="156">
        <f ca="1">Table7[[#This Row],[Total Sense Loss]]+Table7[[#This Row],[Total MOSFET Loss]]</f>
        <v>4.2406416252921266</v>
      </c>
      <c r="CI249" s="161">
        <f ca="1">IF(Table7[[#This Row],[POUT (W)]]=0,0,(Table7[[#This Row],[POUT (W)]])/(Table7[[#This Row],[POUT (W)]]+Table7[[#This Row],[Total Power Loss (W)]]))*100</f>
        <v>92.937048121907878</v>
      </c>
      <c r="CJ249" s="167"/>
      <c r="CK249" s="156">
        <f>(Table7[[#This Row],[R_AC (mW)]]+Table7[[#This Row],[R_SR (mW)]]+Table7[[#This Row],[Inductor Loss (mW)]])/10^3</f>
        <v>1.2338339062500003</v>
      </c>
      <c r="CL249" s="156">
        <f ca="1">Table7[[#This Row],[Total (mW) C]]/10^3</f>
        <v>1.5821697004488866</v>
      </c>
      <c r="CM249" s="156">
        <f ca="1">Table7[[#This Row],[Total Sense Loss C]]+Table7[[#This Row],[Total MOSFET Loss C]]</f>
        <v>2.8160036066988869</v>
      </c>
      <c r="CN249" s="161">
        <f ca="1">IF(Table7[[#This Row],[POUT (W)]]=0,0,(Table7[[#This Row],[POUT (W)]])/(Table7[[#This Row],[POUT (W)]]+Table7[[#This Row],[Total Power Loss (W) C]]))*100</f>
        <v>95.19584510470267</v>
      </c>
      <c r="CO249" s="167"/>
      <c r="CP249" s="161">
        <f>IF(MOSFET_S=Custom_MOSFET,Table7[[#This Row],[Total Sense Loss C]],Table7[[#This Row],[Total Sense Loss]])</f>
        <v>1.2338339062500003</v>
      </c>
      <c r="CQ249" s="161">
        <f ca="1">IF(MOSFET_S=Custom_MOSFET,Table7[[#This Row],[Total MOSFET Loss C]],Table7[[#This Row],[Total MOSFET Loss]])</f>
        <v>3.0068077190421265</v>
      </c>
      <c r="CR249" s="161">
        <f ca="1">IF(MOSFET_S=Custom_MOSFET,Table7[[#This Row],[Efficiency C]],Table7[[#This Row],[Efficiency]])</f>
        <v>92.937048121907878</v>
      </c>
      <c r="CS249" s="167"/>
      <c r="CT249" s="161">
        <f>IF(MOSFET_S=Compare_MOSFET, Table7[[#This Row],[Total Sense Loss C]], -100)</f>
        <v>-100</v>
      </c>
      <c r="CU249" s="161">
        <f>IF(MOSFET_S=Compare_MOSFET, Table7[[#This Row],[Total MOSFET Loss C]], -100)</f>
        <v>-100</v>
      </c>
      <c r="CV249" s="161">
        <f>IF(MOSFET_S=Compare_MOSFET, Table7[[#This Row],[Efficiency C]], -100)</f>
        <v>-100</v>
      </c>
      <c r="CW249" s="167"/>
      <c r="CX249" s="161">
        <f ca="1">IF(Save_Sel=CLR_Save,  Table7[[#This Row],[Total Sense Loss P1]], Table7[[#This Row],[Total Sense Loss P1 Saved]])</f>
        <v>1.2338339062500003</v>
      </c>
      <c r="CY249" s="161">
        <f ca="1">IF(Save_Sel=CLR_Save,  Table7[[#This Row],[Total MOSFET Loss P1]], Table7[[#This Row],[Total MOSFET Loss P1 Saved]] )</f>
        <v>2.3372956586498157</v>
      </c>
      <c r="CZ249" s="161">
        <f ca="1">IF(Save_Sel=CLR_Save, Table7[[#This Row],[Efficiency P1]], Table7[[#This Row],[Efficiency P1 Saved]])</f>
        <v>93.985073905329457</v>
      </c>
      <c r="DA249" s="167"/>
      <c r="DB249" s="161">
        <f ca="1">IF(Save_Sel=CLR_Save,  Table7[[#This Row],[Total Sense Loss P2]], Table7[[#This Row],[Total Sense Loss P2 Saved]])</f>
        <v>1.2338339062500003</v>
      </c>
      <c r="DC249" s="161">
        <f ca="1">IF(Save_Sel=CLR_Save,  Table7[[#This Row],[Total MOSFET Loss P2]], Table7[[#This Row],[Total MOSFET Loss P2 Saved]] )</f>
        <v>1.6647200163039406</v>
      </c>
      <c r="DD249" s="161">
        <f ca="1">IF(Save_Sel=CLR_Save, Table7[[#This Row],[Efficiency P2]], Table7[[#This Row],[Efficiency P2 Saved]])</f>
        <v>95.061967069276946</v>
      </c>
      <c r="DE249" s="167"/>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row>
    <row r="250" spans="1:165" x14ac:dyDescent="0.25">
      <c r="A250" s="70"/>
      <c r="B250" s="70"/>
      <c r="C250" s="70"/>
      <c r="D250" s="70"/>
      <c r="E250" s="70"/>
      <c r="F250" s="70"/>
      <c r="G250" s="70"/>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154">
        <f t="shared" si="54"/>
        <v>94</v>
      </c>
      <c r="AG250" s="154">
        <f t="shared" si="53"/>
        <v>4.7</v>
      </c>
      <c r="AH250" s="155">
        <f t="shared" si="42"/>
        <v>56.400000000000006</v>
      </c>
      <c r="AI250" s="156">
        <f t="shared" si="43"/>
        <v>0.42857142857142855</v>
      </c>
      <c r="AJ250" s="156">
        <f t="shared" si="44"/>
        <v>8.2250000000000014</v>
      </c>
      <c r="AK250" s="156">
        <f t="shared" si="55"/>
        <v>0.85714285714285721</v>
      </c>
      <c r="AL250" s="156">
        <f t="shared" si="56"/>
        <v>8.2287210117852414</v>
      </c>
      <c r="AM250" s="157"/>
      <c r="AN250" s="156">
        <f>MAX(0,Table7[[#This Row],[I_L]]-0.5*Table7[[#This Row],[I_L pkpk]])</f>
        <v>7.7964285714285726</v>
      </c>
      <c r="AO250" s="156">
        <f>Table7[[#This Row],[I_L]]+0.5*Table7[[#This Row],[I_L pkpk]]</f>
        <v>8.6535714285714302</v>
      </c>
      <c r="AP250" s="156">
        <f ca="1">IF(VACnom&gt;Vbat, (VGS_S-(TI_MOSFET_S_VTH_H_BU+Table7[[#This Row],[I_L]]/TI_MOSFET_S_gFS_H_BU))/3.4, (VGS_S-(TI_MOSFET_S_VTH_L_BO+Table7[[#This Row],[I_L]]/TI_MOSFET_S_gFS_L_BO))/3.4 )</f>
        <v>2.4078619909502263</v>
      </c>
      <c r="AQ250" s="156">
        <f ca="1">IF(VACnom&gt;Vbat, ((TI_MOSFET_S_VTH_H_BU+Table7[[#This Row],[I_L]]/TI_MOSFET_S_gFS_H_BU))/1, ((TI_MOSFET_S_VTH_L_BO+Table7[[#This Row],[I_L]]/TI_MOSFET_S_gFS_L_BO))/1 )</f>
        <v>1.8132692307692309</v>
      </c>
      <c r="AR250" s="156">
        <f ca="1">IF(VACnom&gt;Vbat, (TI_MOSFET_S_QGD_H_BU+TI_MOSFET_S_QGS_H_BU)*10^-9/Table7[[#This Row],[Ion (A)]], (TI_MOSFET_S_QGD_L_BO+TI_MOSFET_S_QGS_L_BO)*10^-9/Table7[[#This Row],[Ion (A)]])/10^-9</f>
        <v>11.960818397500645</v>
      </c>
      <c r="AS250" s="156">
        <f ca="1">IF(VACnom&gt;Vbat, (TI_MOSFET_S_QGD_H_BU+TI_MOSFET_S_QGS_H_BU)*10^-9/Table7[[#This Row],[Ioff (A)]], (TI_MOSFET_S_QGD_L_BO+TI_MOSFET_S_QGS_L_BO)*10^-9/Table7[[#This Row],[Ioff (A)]])/10^-9</f>
        <v>15.882914412981229</v>
      </c>
      <c r="AT250" s="156">
        <f ca="1" xml:space="preserve"> 0.5*VACnom*Table7[[#This Row],[Ivalley (A)]]*Table7[[#This Row],[ton (ns)]]*10^-9*Fsw*10^3+0.5*VACnom*Table7[[#This Row],[Ipeak (A)]]*Table7[[#This Row],[toff (ns)]]*10^-9*Fsw*10^3/10^-3</f>
        <v>495.13386971848206</v>
      </c>
      <c r="AU250" s="156">
        <f t="shared" ca="1" si="45"/>
        <v>262.8</v>
      </c>
      <c r="AV250" s="156">
        <f t="shared" ca="1" si="46"/>
        <v>648</v>
      </c>
      <c r="AW250" s="156">
        <f t="shared" ca="1" si="47"/>
        <v>554.4</v>
      </c>
      <c r="AX250" s="156">
        <f ca="1">IF(VACnom&gt;Vbat, TI_MOSFET_S_VSD_L_BU*Table7[[#This Row],[Ivalley (A)]]*Fsw*10^3*40*10^-9+TI_MOSFET_S_VSD_L_BU*Table7[[#This Row],[Ipeak (A)]]*Fsw*10^3*30*10^-9, TI_MOSFET_S_VSD_H_BO*Table7[[#This Row],[Ivalley (A)]]*Fsw*10^3*40*10^-9+TI_MOSFET_S_VSD_H_BO*Table7[[#This Row],[Ipeak (A)]]*Fsw*10^3*30*10^-9)/10^-3</f>
        <v>246.87257142857143</v>
      </c>
      <c r="AY250" s="156">
        <f t="shared" ca="1" si="48"/>
        <v>648</v>
      </c>
      <c r="AZ250" s="156">
        <f ca="1">IF(VACnom&lt;Vbat, Table7[[#This Row],[Duty Cycle]]*Table7[[#This Row],[I_L RMS]]^2*TI_MOSFET_S_RDSON_H_BU*10^-3, (1-Table7[[#This Row],[Duty Cycle]])*Table7[[#This Row],[I_L RMS]]^2*TI_MOSFET_S_RDSON_H_BO*10^-3)/10^-3</f>
        <v>81.2542193877551</v>
      </c>
      <c r="BA250" s="156">
        <f ca="1">IF(VACnom&gt;Vbat, Table7[[#This Row],[PIV (mW)]]+Table7[[#This Row],[Pqoss (mW)]]+Table7[[#This Row],[Pgate_top (mW)]], Table7[[#This Row],[PRR (mW)]]+Table7[[#This Row],[Pdead (mW)]]+Table7[[#This Row],[Pgate_top (mW)]])</f>
        <v>1449.2725714285714</v>
      </c>
      <c r="BB250" s="156">
        <f ca="1">Table7[[#This Row],[Pcon_top (mW)]]+Table7[[#This Row],[Psw_top (mW)]]</f>
        <v>1530.5267908163264</v>
      </c>
      <c r="BC250" s="156">
        <f ca="1">IF(VACnom&gt;Vbat, (1-Table7[[#This Row],[Duty Cycle]])*Table7[[#This Row],[I_L RMS]]^2*TI_MOSFET_S_RDSON_L_BU*10^-3, Table7[[#This Row],[Duty Cycle]]*Table7[[#This Row],[I_L RMS]]^2*TI_MOSFET_S_RDSON_L_BO*10^-3)/10^-3</f>
        <v>81.2542193877551</v>
      </c>
      <c r="BD250" s="156">
        <f ca="1">IF(VACnom&gt;Vbat, Table7[[#This Row],[PRR (mW)]]+Table7[[#This Row],[Pdead (mW)]]+Table7[[#This Row],[Pgate_bottom (mW)]], Table7[[#This Row],[PIV (mW)]]+Table7[[#This Row],[Pqoss (mW)]]+Table7[[#This Row],[Pgate_bottom (mW)]])</f>
        <v>1405.9338697184821</v>
      </c>
      <c r="BE250" s="158">
        <f ca="1">Table7[[#This Row],[Pcon_bottom (mW)]]+Table7[[#This Row],[Psw_bottom (mW)]]</f>
        <v>1487.1880891062372</v>
      </c>
      <c r="BF250" s="164">
        <f ca="1">Table7[[#This Row],[Pbottom (mW)]]+Table7[[#This Row],[Ptop (mW)]]</f>
        <v>3017.7148799225633</v>
      </c>
      <c r="BG250" s="153"/>
      <c r="BH250" s="156">
        <f>MAX(0,Table7[[#This Row],[I_L]]-0.5*Table7[[#This Row],[I_L pkpk]])</f>
        <v>7.7964285714285726</v>
      </c>
      <c r="BI250" s="156">
        <f>Table7[[#This Row],[I_L]]+0.5*Table7[[#This Row],[I_L pkpk]]</f>
        <v>8.6535714285714302</v>
      </c>
      <c r="BJ250" s="156">
        <f>IF(VACnom&gt;Vbat, (VGS_S-(C_MOSFET_S_VTH_H_BU+Table7[[#This Row],[I_L]]/C_MOSFET_S_gFS_H_BU))/3.4, (VGS_S-(C_MOSFET_S_VTH_L_BO+Table7[[#This Row],[I_L]]/C_MOSFET_S_gFS_L_BO))/3.4 )</f>
        <v>2.3368137254901962</v>
      </c>
      <c r="BK250" s="156">
        <f>IF(VACnom&gt;Vbat, ((C_MOSFET_S_VTH_H_BU+Table7[[#This Row],[I_L]]/C_MOSFET_S_gFS_H_BU))/1, ((C_MOSFET_S_VTH_L_BO+Table7[[#This Row],[I_L]]/C_MOSFET_S_gFS_L_BO))/1 )</f>
        <v>2.0548333333333333</v>
      </c>
      <c r="BL250" s="156">
        <f>IF(VACnom&gt;Vbat, (C_MOSFET_S_QGD_H_BU+C_MOSFET_S_QGS_H_BU)*10^-9/Table7[[#This Row],[Ion (A) C]], (C_MOSFET_S_QGD_L_BO+C_MOSFET_S_QGS_L_BO)*10^-9/Table7[[#This Row],[Ion (A) C]])/10^-9</f>
        <v>2.7815653122443416</v>
      </c>
      <c r="BM250" s="156">
        <f>IF(VACnom&gt;Vbat, (C_MOSFET_S_QGD_H_BU+C_MOSFET_S_QGS_H_BU)*10^-9/Table7[[#This Row],[Ioff (A) C]], (C_MOSFET_S_QGD_L_BO+C_MOSFET_S_QGS_L_BO)*10^-9/Table7[[#This Row],[Ioff (A) C]])/10^-9</f>
        <v>3.1632735826101066</v>
      </c>
      <c r="BN250" s="156">
        <f xml:space="preserve"> 0.5*VACnom*Table7[[#This Row],[Ivalley (A) C]]*Table7[[#This Row],[ton (ns) C]]*10^-9*Fsw*10^3+0.5*VACnom*Table7[[#This Row],[Ipeak (A) C]]*Table7[[#This Row],[toff (ns) C]]*10^-9*Fsw*10^3/10^-3</f>
        <v>98.623080613811808</v>
      </c>
      <c r="BO250" s="156">
        <f t="shared" si="49"/>
        <v>129.6</v>
      </c>
      <c r="BP250" s="156">
        <f t="shared" ca="1" si="50"/>
        <v>291.59999999999997</v>
      </c>
      <c r="BQ250" s="156">
        <f t="shared" si="51"/>
        <v>237.6</v>
      </c>
      <c r="BR250" s="156">
        <f>IF(VACnom&gt;Vbat, C_MOSFET_S_VSD_L_BU*Table7[[#This Row],[Ivalley (A) C]]*Fsw*10^3*40*10^-9+C_MOSFET_S_VSD_L_BU*Table7[[#This Row],[Ipeak (A) C]]*Fsw*10^3*30*10^-9, C_MOSFET_S_VSD_H_BO*Table7[[#This Row],[Ivalley (A) C]]*Fsw*10^3*40*10^-9+C_MOSFET_S_VSD_H_BO*Table7[[#This Row],[Ipeak (A) C]]*Fsw*10^3*30*10^-9)/10^-3</f>
        <v>274.30285714285725</v>
      </c>
      <c r="BS250" s="156">
        <f t="shared" ca="1" si="52"/>
        <v>291.59999999999997</v>
      </c>
      <c r="BT250" s="156">
        <f>IF(VACnom&lt;Vbat, Table7[[#This Row],[Duty Cycle]]*Table7[[#This Row],[I_L RMS]]^2*C_MOSFET_S_RDSON_H_BU*10^-3, (1-Table7[[#This Row],[Duty Cycle]])*Table7[[#This Row],[I_L RMS]]^2*C_MOSFET_S_RDSON_H_BO*10^-3)/10^-3</f>
        <v>165.41037518221574</v>
      </c>
      <c r="BU250" s="156">
        <f ca="1">IF(VACnom&gt;Vbat, Table7[[#This Row],[PIV (mW) C]]+Table7[[#This Row],[PQoss (mW) C]]+Table7[[#This Row],[Pgate_top (mW) C]], Table7[[#This Row],[PRR (mW) C]]+Table7[[#This Row],[Pdead (mW) C]]+Table7[[#This Row],[Pgate_top (mW) C]])</f>
        <v>803.50285714285724</v>
      </c>
      <c r="BV250" s="156">
        <f ca="1">Table7[[#This Row],[Pcon_top (mW) C]]+Table7[[#This Row],[Psw_top (mW) C]]</f>
        <v>968.91323232507295</v>
      </c>
      <c r="BW250" s="156">
        <f ca="1">IF(VACnom&gt;Vbat, (1-Table7[[#This Row],[Duty Cycle]])*Table7[[#This Row],[I_L RMS]]^2*C_MOSFET_S_RDSON_L_BU*10^-3, Table7[[#This Row],[Duty Cycle]]*Table7[[#This Row],[I_L RMS]]^2*C_MOSFET_S_RDSON_L_BO*10^-3)/10^-3</f>
        <v>103.01874243804664</v>
      </c>
      <c r="BX250" s="156">
        <f ca="1">IF(VACnom&gt;Vbat, Table7[[#This Row],[PRR (mW) C]]+Table7[[#This Row],[Pdead (mW) C]]+Table7[[#This Row],[Pgate_bottom (mW) C]], Table7[[#This Row],[PIV (mW) C]]+Table7[[#This Row],[PQoss (mW) C]]+Table7[[#This Row],[Pgate_bottom (mW) C]])</f>
        <v>519.82308061381173</v>
      </c>
      <c r="BY250" s="156">
        <f ca="1">Table7[[#This Row],[Pcon_bottom (mW) C]]+Table7[[#This Row],[Psw_bottom (mV) C]]</f>
        <v>622.84182305185834</v>
      </c>
      <c r="BZ250" s="156">
        <f ca="1">Table7[[#This Row],[Pbottom (mW) C]]+Table7[[#This Row],[Ptop (mW) C]]</f>
        <v>1591.7550553769313</v>
      </c>
      <c r="CA250" s="159"/>
      <c r="CB250" s="160">
        <f>(RAC_SNS*10^-3*(Table7[[#This Row],[IOUT (A)]]*Vbat/VACnom)^2/10^-3)</f>
        <v>338.25312499999995</v>
      </c>
      <c r="CC250" s="160">
        <f>(RBAT_SNS*10^-3*Table7[[#This Row],[IOUT (A)]]^2)/10^-3</f>
        <v>110.45000000000002</v>
      </c>
      <c r="CD250" s="160">
        <f>IF(VACnom&gt;Vbat,(L_DRC*10^-3*(Table7[[#This Row],[IOUT (A)]])^2/10^-3),(L_DRC*10^-3*(Table7[[#This Row],[IOUT (A)]]*Vbat/VACnom)^2/10^-3))</f>
        <v>811.80749999999989</v>
      </c>
      <c r="CE250" s="166"/>
      <c r="CF250" s="156">
        <f>(Table7[[#This Row],[R_AC (mW)]]+Table7[[#This Row],[R_SR (mW)]]+Table7[[#This Row],[Inductor Loss (mW)]])/10^3</f>
        <v>1.260510625</v>
      </c>
      <c r="CG250" s="156">
        <f ca="1">Table7[[#This Row],[Total TI (mW)]]/10^3</f>
        <v>3.0177148799225635</v>
      </c>
      <c r="CH250" s="156">
        <f ca="1">Table7[[#This Row],[Total Sense Loss]]+Table7[[#This Row],[Total MOSFET Loss]]</f>
        <v>4.2782255049225633</v>
      </c>
      <c r="CI250" s="161">
        <f ca="1">IF(Table7[[#This Row],[POUT (W)]]=0,0,(Table7[[#This Row],[POUT (W)]])/(Table7[[#This Row],[POUT (W)]]+Table7[[#This Row],[Total Power Loss (W)]]))*100</f>
        <v>92.949323304493319</v>
      </c>
      <c r="CJ250" s="167"/>
      <c r="CK250" s="156">
        <f>(Table7[[#This Row],[R_AC (mW)]]+Table7[[#This Row],[R_SR (mW)]]+Table7[[#This Row],[Inductor Loss (mW)]])/10^3</f>
        <v>1.260510625</v>
      </c>
      <c r="CL250" s="156">
        <f ca="1">Table7[[#This Row],[Total (mW) C]]/10^3</f>
        <v>1.5917550553769313</v>
      </c>
      <c r="CM250" s="156">
        <f ca="1">Table7[[#This Row],[Total Sense Loss C]]+Table7[[#This Row],[Total MOSFET Loss C]]</f>
        <v>2.8522656803769313</v>
      </c>
      <c r="CN250" s="161">
        <f ca="1">IF(Table7[[#This Row],[POUT (W)]]=0,0,(Table7[[#This Row],[POUT (W)]])/(Table7[[#This Row],[POUT (W)]]+Table7[[#This Row],[Total Power Loss (W) C]]))*100</f>
        <v>95.186233559805402</v>
      </c>
      <c r="CO250" s="167"/>
      <c r="CP250" s="161">
        <f>IF(MOSFET_S=Custom_MOSFET,Table7[[#This Row],[Total Sense Loss C]],Table7[[#This Row],[Total Sense Loss]])</f>
        <v>1.260510625</v>
      </c>
      <c r="CQ250" s="161">
        <f ca="1">IF(MOSFET_S=Custom_MOSFET,Table7[[#This Row],[Total MOSFET Loss C]],Table7[[#This Row],[Total MOSFET Loss]])</f>
        <v>3.0177148799225635</v>
      </c>
      <c r="CR250" s="161">
        <f ca="1">IF(MOSFET_S=Custom_MOSFET,Table7[[#This Row],[Efficiency C]],Table7[[#This Row],[Efficiency]])</f>
        <v>92.949323304493319</v>
      </c>
      <c r="CS250" s="167"/>
      <c r="CT250" s="161">
        <f>IF(MOSFET_S=Compare_MOSFET, Table7[[#This Row],[Total Sense Loss C]], -100)</f>
        <v>-100</v>
      </c>
      <c r="CU250" s="161">
        <f>IF(MOSFET_S=Compare_MOSFET, Table7[[#This Row],[Total MOSFET Loss C]], -100)</f>
        <v>-100</v>
      </c>
      <c r="CV250" s="161">
        <f>IF(MOSFET_S=Compare_MOSFET, Table7[[#This Row],[Efficiency C]], -100)</f>
        <v>-100</v>
      </c>
      <c r="CW250" s="167"/>
      <c r="CX250" s="161">
        <f ca="1">IF(Save_Sel=CLR_Save,  Table7[[#This Row],[Total Sense Loss P1]], Table7[[#This Row],[Total Sense Loss P1 Saved]])</f>
        <v>1.260510625</v>
      </c>
      <c r="CY250" s="161">
        <f ca="1">IF(Save_Sel=CLR_Save,  Table7[[#This Row],[Total MOSFET Loss P1]], Table7[[#This Row],[Total MOSFET Loss P1 Saved]] )</f>
        <v>2.349131148953604</v>
      </c>
      <c r="CZ250" s="161">
        <f ca="1">IF(Save_Sel=CLR_Save, Table7[[#This Row],[Efficiency P1]], Table7[[#This Row],[Efficiency P1 Saved]])</f>
        <v>93.984896981137595</v>
      </c>
      <c r="DA250" s="167"/>
      <c r="DB250" s="161">
        <f ca="1">IF(Save_Sel=CLR_Save,  Table7[[#This Row],[Total Sense Loss P2]], Table7[[#This Row],[Total Sense Loss P2 Saved]])</f>
        <v>1.260510625</v>
      </c>
      <c r="DC250" s="161">
        <f ca="1">IF(Save_Sel=CLR_Save,  Table7[[#This Row],[Total MOSFET Loss P2]], Table7[[#This Row],[Total MOSFET Loss P2 Saved]] )</f>
        <v>1.6760868181172384</v>
      </c>
      <c r="DD250" s="161">
        <f ca="1">IF(Save_Sel=CLR_Save, Table7[[#This Row],[Efficiency P2]], Table7[[#This Row],[Efficiency P2 Saved]])</f>
        <v>95.050950729130719</v>
      </c>
      <c r="DE250" s="167"/>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c r="FH250" s="21"/>
      <c r="FI250" s="21"/>
    </row>
    <row r="251" spans="1:165" x14ac:dyDescent="0.25">
      <c r="A251" s="70"/>
      <c r="B251" s="70"/>
      <c r="C251" s="70"/>
      <c r="D251" s="70"/>
      <c r="E251" s="70"/>
      <c r="F251" s="70"/>
      <c r="G251" s="70"/>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154">
        <f t="shared" si="54"/>
        <v>95</v>
      </c>
      <c r="AG251" s="154">
        <f t="shared" si="53"/>
        <v>4.75</v>
      </c>
      <c r="AH251" s="155">
        <f t="shared" si="42"/>
        <v>57</v>
      </c>
      <c r="AI251" s="156">
        <f t="shared" si="43"/>
        <v>0.42857142857142855</v>
      </c>
      <c r="AJ251" s="156">
        <f t="shared" si="44"/>
        <v>8.3125</v>
      </c>
      <c r="AK251" s="156">
        <f t="shared" si="55"/>
        <v>0.85714285714285721</v>
      </c>
      <c r="AL251" s="156">
        <f t="shared" si="56"/>
        <v>8.3161818606735576</v>
      </c>
      <c r="AM251" s="157"/>
      <c r="AN251" s="156">
        <f>MAX(0,Table7[[#This Row],[I_L]]-0.5*Table7[[#This Row],[I_L pkpk]])</f>
        <v>7.8839285714285712</v>
      </c>
      <c r="AO251" s="156">
        <f>Table7[[#This Row],[I_L]]+0.5*Table7[[#This Row],[I_L pkpk]]</f>
        <v>8.7410714285714288</v>
      </c>
      <c r="AP251" s="156">
        <f ca="1">IF(VACnom&gt;Vbat, (VGS_S-(TI_MOSFET_S_VTH_H_BU+Table7[[#This Row],[I_L]]/TI_MOSFET_S_gFS_H_BU))/3.4, (VGS_S-(TI_MOSFET_S_VTH_L_BO+Table7[[#This Row],[I_L]]/TI_MOSFET_S_gFS_L_BO))/3.4 )</f>
        <v>2.407664027149321</v>
      </c>
      <c r="AQ251" s="156">
        <f ca="1">IF(VACnom&gt;Vbat, ((TI_MOSFET_S_VTH_H_BU+Table7[[#This Row],[I_L]]/TI_MOSFET_S_gFS_H_BU))/1, ((TI_MOSFET_S_VTH_L_BO+Table7[[#This Row],[I_L]]/TI_MOSFET_S_gFS_L_BO))/1 )</f>
        <v>1.8139423076923076</v>
      </c>
      <c r="AR251" s="156">
        <f ca="1">IF(VACnom&gt;Vbat, (TI_MOSFET_S_QGD_H_BU+TI_MOSFET_S_QGS_H_BU)*10^-9/Table7[[#This Row],[Ion (A)]], (TI_MOSFET_S_QGD_L_BO+TI_MOSFET_S_QGS_L_BO)*10^-9/Table7[[#This Row],[Ion (A)]])/10^-9</f>
        <v>11.961801844129912</v>
      </c>
      <c r="AS251" s="156">
        <f ca="1">IF(VACnom&gt;Vbat, (TI_MOSFET_S_QGD_H_BU+TI_MOSFET_S_QGS_H_BU)*10^-9/Table7[[#This Row],[Ioff (A)]], (TI_MOSFET_S_QGD_L_BO+TI_MOSFET_S_QGS_L_BO)*10^-9/Table7[[#This Row],[Ioff (A)]])/10^-9</f>
        <v>15.877020938245431</v>
      </c>
      <c r="AT251" s="156">
        <f ca="1" xml:space="preserve"> 0.5*VACnom*Table7[[#This Row],[Ivalley (A)]]*Table7[[#This Row],[ton (ns)]]*10^-9*Fsw*10^3+0.5*VACnom*Table7[[#This Row],[Ipeak (A)]]*Table7[[#This Row],[toff (ns)]]*10^-9*Fsw*10^3/10^-3</f>
        <v>499.95532830762784</v>
      </c>
      <c r="AU251" s="156">
        <f t="shared" ca="1" si="45"/>
        <v>262.8</v>
      </c>
      <c r="AV251" s="156">
        <f t="shared" ca="1" si="46"/>
        <v>648</v>
      </c>
      <c r="AW251" s="156">
        <f t="shared" ca="1" si="47"/>
        <v>554.4</v>
      </c>
      <c r="AX251" s="156">
        <f ca="1">IF(VACnom&gt;Vbat, TI_MOSFET_S_VSD_L_BU*Table7[[#This Row],[Ivalley (A)]]*Fsw*10^3*40*10^-9+TI_MOSFET_S_VSD_L_BU*Table7[[#This Row],[Ipeak (A)]]*Fsw*10^3*30*10^-9, TI_MOSFET_S_VSD_H_BO*Table7[[#This Row],[Ivalley (A)]]*Fsw*10^3*40*10^-9+TI_MOSFET_S_VSD_H_BO*Table7[[#This Row],[Ipeak (A)]]*Fsw*10^3*30*10^-9)/10^-3</f>
        <v>249.51857142857142</v>
      </c>
      <c r="AY251" s="156">
        <f t="shared" ca="1" si="48"/>
        <v>648</v>
      </c>
      <c r="AZ251" s="156">
        <f ca="1">IF(VACnom&lt;Vbat, Table7[[#This Row],[Duty Cycle]]*Table7[[#This Row],[I_L RMS]]^2*TI_MOSFET_S_RDSON_H_BU*10^-3, (1-Table7[[#This Row],[Duty Cycle]])*Table7[[#This Row],[I_L RMS]]^2*TI_MOSFET_S_RDSON_H_BO*10^-3)/10^-3</f>
        <v>82.990656887755094</v>
      </c>
      <c r="BA251" s="156">
        <f ca="1">IF(VACnom&gt;Vbat, Table7[[#This Row],[PIV (mW)]]+Table7[[#This Row],[Pqoss (mW)]]+Table7[[#This Row],[Pgate_top (mW)]], Table7[[#This Row],[PRR (mW)]]+Table7[[#This Row],[Pdead (mW)]]+Table7[[#This Row],[Pgate_top (mW)]])</f>
        <v>1451.9185714285713</v>
      </c>
      <c r="BB251" s="156">
        <f ca="1">Table7[[#This Row],[Pcon_top (mW)]]+Table7[[#This Row],[Psw_top (mW)]]</f>
        <v>1534.9092283163263</v>
      </c>
      <c r="BC251" s="156">
        <f ca="1">IF(VACnom&gt;Vbat, (1-Table7[[#This Row],[Duty Cycle]])*Table7[[#This Row],[I_L RMS]]^2*TI_MOSFET_S_RDSON_L_BU*10^-3, Table7[[#This Row],[Duty Cycle]]*Table7[[#This Row],[I_L RMS]]^2*TI_MOSFET_S_RDSON_L_BO*10^-3)/10^-3</f>
        <v>82.990656887755094</v>
      </c>
      <c r="BD251" s="156">
        <f ca="1">IF(VACnom&gt;Vbat, Table7[[#This Row],[PRR (mW)]]+Table7[[#This Row],[Pdead (mW)]]+Table7[[#This Row],[Pgate_bottom (mW)]], Table7[[#This Row],[PIV (mW)]]+Table7[[#This Row],[Pqoss (mW)]]+Table7[[#This Row],[Pgate_bottom (mW)]])</f>
        <v>1410.7553283076279</v>
      </c>
      <c r="BE251" s="158">
        <f ca="1">Table7[[#This Row],[Pcon_bottom (mW)]]+Table7[[#This Row],[Psw_bottom (mW)]]</f>
        <v>1493.7459851953829</v>
      </c>
      <c r="BF251" s="164">
        <f ca="1">Table7[[#This Row],[Pbottom (mW)]]+Table7[[#This Row],[Ptop (mW)]]</f>
        <v>3028.655213511709</v>
      </c>
      <c r="BG251" s="153"/>
      <c r="BH251" s="156">
        <f>MAX(0,Table7[[#This Row],[I_L]]-0.5*Table7[[#This Row],[I_L pkpk]])</f>
        <v>7.8839285714285712</v>
      </c>
      <c r="BI251" s="156">
        <f>Table7[[#This Row],[I_L]]+0.5*Table7[[#This Row],[I_L pkpk]]</f>
        <v>8.7410714285714288</v>
      </c>
      <c r="BJ251" s="156">
        <f>IF(VACnom&gt;Vbat, (VGS_S-(C_MOSFET_S_VTH_H_BU+Table7[[#This Row],[I_L]]/C_MOSFET_S_gFS_H_BU))/3.4, (VGS_S-(C_MOSFET_S_VTH_L_BO+Table7[[#This Row],[I_L]]/C_MOSFET_S_gFS_L_BO))/3.4 )</f>
        <v>2.3366421568627449</v>
      </c>
      <c r="BK251" s="156">
        <f>IF(VACnom&gt;Vbat, ((C_MOSFET_S_VTH_H_BU+Table7[[#This Row],[I_L]]/C_MOSFET_S_gFS_H_BU))/1, ((C_MOSFET_S_VTH_L_BO+Table7[[#This Row],[I_L]]/C_MOSFET_S_gFS_L_BO))/1 )</f>
        <v>2.0554166666666669</v>
      </c>
      <c r="BL251" s="156">
        <f>IF(VACnom&gt;Vbat, (C_MOSFET_S_QGD_H_BU+C_MOSFET_S_QGS_H_BU)*10^-9/Table7[[#This Row],[Ion (A) C]], (C_MOSFET_S_QGD_L_BO+C_MOSFET_S_QGS_L_BO)*10^-9/Table7[[#This Row],[Ion (A) C]])/10^-9</f>
        <v>2.7817695494834012</v>
      </c>
      <c r="BM251" s="156">
        <f>IF(VACnom&gt;Vbat, (C_MOSFET_S_QGD_H_BU+C_MOSFET_S_QGS_H_BU)*10^-9/Table7[[#This Row],[Ioff (A) C]], (C_MOSFET_S_QGD_L_BO+C_MOSFET_S_QGS_L_BO)*10^-9/Table7[[#This Row],[Ioff (A) C]])/10^-9</f>
        <v>3.1623758362051486</v>
      </c>
      <c r="BN251" s="156">
        <f xml:space="preserve"> 0.5*VACnom*Table7[[#This Row],[Ivalley (A) C]]*Table7[[#This Row],[ton (ns) C]]*10^-9*Fsw*10^3+0.5*VACnom*Table7[[#This Row],[Ipeak (A) C]]*Table7[[#This Row],[toff (ns) C]]*10^-9*Fsw*10^3/10^-3</f>
        <v>99.592143626476101</v>
      </c>
      <c r="BO251" s="156">
        <f t="shared" si="49"/>
        <v>129.6</v>
      </c>
      <c r="BP251" s="156">
        <f t="shared" ca="1" si="50"/>
        <v>291.59999999999997</v>
      </c>
      <c r="BQ251" s="156">
        <f t="shared" si="51"/>
        <v>237.6</v>
      </c>
      <c r="BR251" s="156">
        <f>IF(VACnom&gt;Vbat, C_MOSFET_S_VSD_L_BU*Table7[[#This Row],[Ivalley (A) C]]*Fsw*10^3*40*10^-9+C_MOSFET_S_VSD_L_BU*Table7[[#This Row],[Ipeak (A) C]]*Fsw*10^3*30*10^-9, C_MOSFET_S_VSD_H_BO*Table7[[#This Row],[Ivalley (A) C]]*Fsw*10^3*40*10^-9+C_MOSFET_S_VSD_H_BO*Table7[[#This Row],[Ipeak (A) C]]*Fsw*10^3*30*10^-9)/10^-3</f>
        <v>277.24285714285719</v>
      </c>
      <c r="BS251" s="156">
        <f t="shared" ca="1" si="52"/>
        <v>291.59999999999997</v>
      </c>
      <c r="BT251" s="156">
        <f>IF(VACnom&lt;Vbat, Table7[[#This Row],[Duty Cycle]]*Table7[[#This Row],[I_L RMS]]^2*C_MOSFET_S_RDSON_H_BU*10^-3, (1-Table7[[#This Row],[Duty Cycle]])*Table7[[#This Row],[I_L RMS]]^2*C_MOSFET_S_RDSON_H_BO*10^-3)/10^-3</f>
        <v>168.94526580721575</v>
      </c>
      <c r="BU251" s="156">
        <f ca="1">IF(VACnom&gt;Vbat, Table7[[#This Row],[PIV (mW) C]]+Table7[[#This Row],[PQoss (mW) C]]+Table7[[#This Row],[Pgate_top (mW) C]], Table7[[#This Row],[PRR (mW) C]]+Table7[[#This Row],[Pdead (mW) C]]+Table7[[#This Row],[Pgate_top (mW) C]])</f>
        <v>806.44285714285706</v>
      </c>
      <c r="BV251" s="156">
        <f ca="1">Table7[[#This Row],[Pcon_top (mW) C]]+Table7[[#This Row],[Psw_top (mW) C]]</f>
        <v>975.38812295007278</v>
      </c>
      <c r="BW251" s="156">
        <f ca="1">IF(VACnom&gt;Vbat, (1-Table7[[#This Row],[Duty Cycle]])*Table7[[#This Row],[I_L RMS]]^2*C_MOSFET_S_RDSON_L_BU*10^-3, Table7[[#This Row],[Duty Cycle]]*Table7[[#This Row],[I_L RMS]]^2*C_MOSFET_S_RDSON_L_BO*10^-3)/10^-3</f>
        <v>105.22029712554664</v>
      </c>
      <c r="BX251" s="156">
        <f ca="1">IF(VACnom&gt;Vbat, Table7[[#This Row],[PRR (mW) C]]+Table7[[#This Row],[Pdead (mW) C]]+Table7[[#This Row],[Pgate_bottom (mW) C]], Table7[[#This Row],[PIV (mW) C]]+Table7[[#This Row],[PQoss (mW) C]]+Table7[[#This Row],[Pgate_bottom (mW) C]])</f>
        <v>520.79214362647599</v>
      </c>
      <c r="BY251" s="156">
        <f ca="1">Table7[[#This Row],[Pcon_bottom (mW) C]]+Table7[[#This Row],[Psw_bottom (mV) C]]</f>
        <v>626.0124407520226</v>
      </c>
      <c r="BZ251" s="156">
        <f ca="1">Table7[[#This Row],[Pbottom (mW) C]]+Table7[[#This Row],[Ptop (mW) C]]</f>
        <v>1601.4005637020955</v>
      </c>
      <c r="CA251" s="159"/>
      <c r="CB251" s="160">
        <f>(RAC_SNS*10^-3*(Table7[[#This Row],[IOUT (A)]]*Vbat/VACnom)^2/10^-3)</f>
        <v>345.48828125</v>
      </c>
      <c r="CC251" s="160">
        <f>(RBAT_SNS*10^-3*Table7[[#This Row],[IOUT (A)]]^2)/10^-3</f>
        <v>112.8125</v>
      </c>
      <c r="CD251" s="160">
        <f>IF(VACnom&gt;Vbat,(L_DRC*10^-3*(Table7[[#This Row],[IOUT (A)]])^2/10^-3),(L_DRC*10^-3*(Table7[[#This Row],[IOUT (A)]]*Vbat/VACnom)^2/10^-3))</f>
        <v>829.171875</v>
      </c>
      <c r="CE251" s="166"/>
      <c r="CF251" s="156">
        <f>(Table7[[#This Row],[R_AC (mW)]]+Table7[[#This Row],[R_SR (mW)]]+Table7[[#This Row],[Inductor Loss (mW)]])/10^3</f>
        <v>1.2874726562500001</v>
      </c>
      <c r="CG251" s="156">
        <f ca="1">Table7[[#This Row],[Total TI (mW)]]/10^3</f>
        <v>3.0286552135117089</v>
      </c>
      <c r="CH251" s="156">
        <f ca="1">Table7[[#This Row],[Total Sense Loss]]+Table7[[#This Row],[Total MOSFET Loss]]</f>
        <v>4.3161278697617087</v>
      </c>
      <c r="CI251" s="161">
        <f ca="1">IF(Table7[[#This Row],[POUT (W)]]=0,0,(Table7[[#This Row],[POUT (W)]])/(Table7[[#This Row],[POUT (W)]]+Table7[[#This Row],[Total Power Loss (W)]]))*100</f>
        <v>92.96086034830941</v>
      </c>
      <c r="CJ251" s="167"/>
      <c r="CK251" s="156">
        <f>(Table7[[#This Row],[R_AC (mW)]]+Table7[[#This Row],[R_SR (mW)]]+Table7[[#This Row],[Inductor Loss (mW)]])/10^3</f>
        <v>1.2874726562500001</v>
      </c>
      <c r="CL251" s="156">
        <f ca="1">Table7[[#This Row],[Total (mW) C]]/10^3</f>
        <v>1.6014005637020956</v>
      </c>
      <c r="CM251" s="156">
        <f ca="1">Table7[[#This Row],[Total Sense Loss C]]+Table7[[#This Row],[Total MOSFET Loss C]]</f>
        <v>2.8888732199520959</v>
      </c>
      <c r="CN251" s="161">
        <f ca="1">IF(Table7[[#This Row],[POUT (W)]]=0,0,(Table7[[#This Row],[POUT (W)]])/(Table7[[#This Row],[POUT (W)]]+Table7[[#This Row],[Total Power Loss (W) C]]))*100</f>
        <v>95.176277220407513</v>
      </c>
      <c r="CO251" s="167"/>
      <c r="CP251" s="161">
        <f>IF(MOSFET_S=Custom_MOSFET,Table7[[#This Row],[Total Sense Loss C]],Table7[[#This Row],[Total Sense Loss]])</f>
        <v>1.2874726562500001</v>
      </c>
      <c r="CQ251" s="161">
        <f ca="1">IF(MOSFET_S=Custom_MOSFET,Table7[[#This Row],[Total MOSFET Loss C]],Table7[[#This Row],[Total MOSFET Loss]])</f>
        <v>3.0286552135117089</v>
      </c>
      <c r="CR251" s="161">
        <f ca="1">IF(MOSFET_S=Custom_MOSFET,Table7[[#This Row],[Efficiency C]],Table7[[#This Row],[Efficiency]])</f>
        <v>92.96086034830941</v>
      </c>
      <c r="CS251" s="167"/>
      <c r="CT251" s="161">
        <f>IF(MOSFET_S=Compare_MOSFET, Table7[[#This Row],[Total Sense Loss C]], -100)</f>
        <v>-100</v>
      </c>
      <c r="CU251" s="161">
        <f>IF(MOSFET_S=Compare_MOSFET, Table7[[#This Row],[Total MOSFET Loss C]], -100)</f>
        <v>-100</v>
      </c>
      <c r="CV251" s="161">
        <f>IF(MOSFET_S=Compare_MOSFET, Table7[[#This Row],[Efficiency C]], -100)</f>
        <v>-100</v>
      </c>
      <c r="CW251" s="167"/>
      <c r="CX251" s="161">
        <f ca="1">IF(Save_Sel=CLR_Save,  Table7[[#This Row],[Total Sense Loss P1]], Table7[[#This Row],[Total Sense Loss P1 Saved]])</f>
        <v>1.2874726562500001</v>
      </c>
      <c r="CY251" s="161">
        <f ca="1">IF(Save_Sel=CLR_Save,  Table7[[#This Row],[Total MOSFET Loss P1]], Table7[[#This Row],[Total MOSFET Loss P1 Saved]] )</f>
        <v>2.3610096609725653</v>
      </c>
      <c r="CZ251" s="161">
        <f ca="1">IF(Save_Sel=CLR_Save, Table7[[#This Row],[Efficiency P1]], Table7[[#This Row],[Efficiency P1 Saved]])</f>
        <v>93.98421497484614</v>
      </c>
      <c r="DA251" s="167"/>
      <c r="DB251" s="161">
        <f ca="1">IF(Save_Sel=CLR_Save,  Table7[[#This Row],[Total Sense Loss P2]], Table7[[#This Row],[Total Sense Loss P2 Saved]])</f>
        <v>1.2874726562500001</v>
      </c>
      <c r="DC251" s="161">
        <f ca="1">IF(Save_Sel=CLR_Save,  Table7[[#This Row],[Total MOSFET Loss P2]], Table7[[#This Row],[Total MOSFET Loss P2 Saved]] )</f>
        <v>1.6875328058354453</v>
      </c>
      <c r="DD251" s="161">
        <f ca="1">IF(Save_Sel=CLR_Save, Table7[[#This Row],[Efficiency P2]], Table7[[#This Row],[Efficiency P2 Saved]])</f>
        <v>95.039591177751262</v>
      </c>
      <c r="DE251" s="167"/>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row>
    <row r="252" spans="1:165" x14ac:dyDescent="0.25">
      <c r="A252" s="70"/>
      <c r="B252" s="70"/>
      <c r="C252" s="70"/>
      <c r="D252" s="70"/>
      <c r="E252" s="70"/>
      <c r="F252" s="70"/>
      <c r="G252" s="70"/>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154">
        <f t="shared" si="54"/>
        <v>96</v>
      </c>
      <c r="AG252" s="154">
        <f t="shared" si="53"/>
        <v>4.8</v>
      </c>
      <c r="AH252" s="155">
        <f t="shared" ref="AH252:AH256" si="57">AG252*VACnom</f>
        <v>57.599999999999994</v>
      </c>
      <c r="AI252" s="156">
        <f t="shared" si="43"/>
        <v>0.42857142857142855</v>
      </c>
      <c r="AJ252" s="156">
        <f t="shared" ref="AJ252:AJ256" si="58">IF(VACnom&lt;Vbat, AG252/(1-AI252), AG252*AI252)</f>
        <v>8.4</v>
      </c>
      <c r="AK252" s="156">
        <f t="shared" si="55"/>
        <v>0.85714285714285721</v>
      </c>
      <c r="AL252" s="156">
        <f t="shared" si="56"/>
        <v>8.40364352467404</v>
      </c>
      <c r="AM252" s="157"/>
      <c r="AN252" s="156">
        <f>MAX(0,Table7[[#This Row],[I_L]]-0.5*Table7[[#This Row],[I_L pkpk]])</f>
        <v>7.9714285714285715</v>
      </c>
      <c r="AO252" s="156">
        <f>Table7[[#This Row],[I_L]]+0.5*Table7[[#This Row],[I_L pkpk]]</f>
        <v>8.8285714285714292</v>
      </c>
      <c r="AP252" s="156">
        <f ca="1">IF(VACnom&gt;Vbat, (VGS_S-(TI_MOSFET_S_VTH_H_BU+Table7[[#This Row],[I_L]]/TI_MOSFET_S_gFS_H_BU))/3.4, (VGS_S-(TI_MOSFET_S_VTH_L_BO+Table7[[#This Row],[I_L]]/TI_MOSFET_S_gFS_L_BO))/3.4 )</f>
        <v>2.4074660633484162</v>
      </c>
      <c r="AQ252" s="156">
        <f ca="1">IF(VACnom&gt;Vbat, ((TI_MOSFET_S_VTH_H_BU+Table7[[#This Row],[I_L]]/TI_MOSFET_S_gFS_H_BU))/1, ((TI_MOSFET_S_VTH_L_BO+Table7[[#This Row],[I_L]]/TI_MOSFET_S_gFS_L_BO))/1 )</f>
        <v>1.8146153846153845</v>
      </c>
      <c r="AR252" s="156">
        <f ca="1">IF(VACnom&gt;Vbat, (TI_MOSFET_S_QGD_H_BU+TI_MOSFET_S_QGS_H_BU)*10^-9/Table7[[#This Row],[Ion (A)]], (TI_MOSFET_S_QGD_L_BO+TI_MOSFET_S_QGS_L_BO)*10^-9/Table7[[#This Row],[Ion (A)]])/10^-9</f>
        <v>11.962785452495067</v>
      </c>
      <c r="AS252" s="156">
        <f ca="1">IF(VACnom&gt;Vbat, (TI_MOSFET_S_QGD_H_BU+TI_MOSFET_S_QGS_H_BU)*10^-9/Table7[[#This Row],[Ioff (A)]], (TI_MOSFET_S_QGD_L_BO+TI_MOSFET_S_QGS_L_BO)*10^-9/Table7[[#This Row],[Ioff (A)]])/10^-9</f>
        <v>15.871131835523528</v>
      </c>
      <c r="AT252" s="156">
        <f ca="1" xml:space="preserve"> 0.5*VACnom*Table7[[#This Row],[Ivalley (A)]]*Table7[[#This Row],[ton (ns)]]*10^-9*Fsw*10^3+0.5*VACnom*Table7[[#This Row],[Ipeak (A)]]*Table7[[#This Row],[toff (ns)]]*10^-9*Fsw*10^3/10^-3</f>
        <v>504.77321358699601</v>
      </c>
      <c r="AU252" s="156">
        <f t="shared" ca="1" si="45"/>
        <v>262.8</v>
      </c>
      <c r="AV252" s="156">
        <f t="shared" ca="1" si="46"/>
        <v>648</v>
      </c>
      <c r="AW252" s="156">
        <f t="shared" ca="1" si="47"/>
        <v>554.4</v>
      </c>
      <c r="AX252" s="156">
        <f ca="1">IF(VACnom&gt;Vbat, TI_MOSFET_S_VSD_L_BU*Table7[[#This Row],[Ivalley (A)]]*Fsw*10^3*40*10^-9+TI_MOSFET_S_VSD_L_BU*Table7[[#This Row],[Ipeak (A)]]*Fsw*10^3*30*10^-9, TI_MOSFET_S_VSD_H_BO*Table7[[#This Row],[Ivalley (A)]]*Fsw*10^3*40*10^-9+TI_MOSFET_S_VSD_H_BO*Table7[[#This Row],[Ipeak (A)]]*Fsw*10^3*30*10^-9)/10^-3</f>
        <v>252.16457142857141</v>
      </c>
      <c r="AY252" s="156">
        <f t="shared" ca="1" si="48"/>
        <v>648</v>
      </c>
      <c r="AZ252" s="156">
        <f ca="1">IF(VACnom&lt;Vbat, Table7[[#This Row],[Duty Cycle]]*Table7[[#This Row],[I_L RMS]]^2*TI_MOSFET_S_RDSON_H_BU*10^-3, (1-Table7[[#This Row],[Duty Cycle]])*Table7[[#This Row],[I_L RMS]]^2*TI_MOSFET_S_RDSON_H_BO*10^-3)/10^-3</f>
        <v>84.745469387755094</v>
      </c>
      <c r="BA252" s="156">
        <f ca="1">IF(VACnom&gt;Vbat, Table7[[#This Row],[PIV (mW)]]+Table7[[#This Row],[Pqoss (mW)]]+Table7[[#This Row],[Pgate_top (mW)]], Table7[[#This Row],[PRR (mW)]]+Table7[[#This Row],[Pdead (mW)]]+Table7[[#This Row],[Pgate_top (mW)]])</f>
        <v>1454.5645714285715</v>
      </c>
      <c r="BB252" s="156">
        <f ca="1">Table7[[#This Row],[Pcon_top (mW)]]+Table7[[#This Row],[Psw_top (mW)]]</f>
        <v>1539.3100408163266</v>
      </c>
      <c r="BC252" s="156">
        <f ca="1">IF(VACnom&gt;Vbat, (1-Table7[[#This Row],[Duty Cycle]])*Table7[[#This Row],[I_L RMS]]^2*TI_MOSFET_S_RDSON_L_BU*10^-3, Table7[[#This Row],[Duty Cycle]]*Table7[[#This Row],[I_L RMS]]^2*TI_MOSFET_S_RDSON_L_BO*10^-3)/10^-3</f>
        <v>84.745469387755094</v>
      </c>
      <c r="BD252" s="156">
        <f ca="1">IF(VACnom&gt;Vbat, Table7[[#This Row],[PRR (mW)]]+Table7[[#This Row],[Pdead (mW)]]+Table7[[#This Row],[Pgate_bottom (mW)]], Table7[[#This Row],[PIV (mW)]]+Table7[[#This Row],[Pqoss (mW)]]+Table7[[#This Row],[Pgate_bottom (mW)]])</f>
        <v>1415.573213586996</v>
      </c>
      <c r="BE252" s="158">
        <f ca="1">Table7[[#This Row],[Pcon_bottom (mW)]]+Table7[[#This Row],[Psw_bottom (mW)]]</f>
        <v>1500.318682974751</v>
      </c>
      <c r="BF252" s="164">
        <f ca="1">Table7[[#This Row],[Pbottom (mW)]]+Table7[[#This Row],[Ptop (mW)]]</f>
        <v>3039.6287237910774</v>
      </c>
      <c r="BG252" s="153"/>
      <c r="BH252" s="156">
        <f>MAX(0,Table7[[#This Row],[I_L]]-0.5*Table7[[#This Row],[I_L pkpk]])</f>
        <v>7.9714285714285715</v>
      </c>
      <c r="BI252" s="156">
        <f>Table7[[#This Row],[I_L]]+0.5*Table7[[#This Row],[I_L pkpk]]</f>
        <v>8.8285714285714292</v>
      </c>
      <c r="BJ252" s="156">
        <f>IF(VACnom&gt;Vbat, (VGS_S-(C_MOSFET_S_VTH_H_BU+Table7[[#This Row],[I_L]]/C_MOSFET_S_gFS_H_BU))/3.4, (VGS_S-(C_MOSFET_S_VTH_L_BO+Table7[[#This Row],[I_L]]/C_MOSFET_S_gFS_L_BO))/3.4 )</f>
        <v>2.3364705882352941</v>
      </c>
      <c r="BK252" s="156">
        <f>IF(VACnom&gt;Vbat, ((C_MOSFET_S_VTH_H_BU+Table7[[#This Row],[I_L]]/C_MOSFET_S_gFS_H_BU))/1, ((C_MOSFET_S_VTH_L_BO+Table7[[#This Row],[I_L]]/C_MOSFET_S_gFS_L_BO))/1 )</f>
        <v>2.056</v>
      </c>
      <c r="BL252" s="156">
        <f>IF(VACnom&gt;Vbat, (C_MOSFET_S_QGD_H_BU+C_MOSFET_S_QGS_H_BU)*10^-9/Table7[[#This Row],[Ion (A) C]], (C_MOSFET_S_QGD_L_BO+C_MOSFET_S_QGS_L_BO)*10^-9/Table7[[#This Row],[Ion (A) C]])/10^-9</f>
        <v>2.7819738167170192</v>
      </c>
      <c r="BM252" s="156">
        <f>IF(VACnom&gt;Vbat, (C_MOSFET_S_QGD_H_BU+C_MOSFET_S_QGS_H_BU)*10^-9/Table7[[#This Row],[Ioff (A) C]], (C_MOSFET_S_QGD_L_BO+C_MOSFET_S_QGS_L_BO)*10^-9/Table7[[#This Row],[Ioff (A) C]])/10^-9</f>
        <v>3.1614785992217898</v>
      </c>
      <c r="BN252" s="156">
        <f xml:space="preserve"> 0.5*VACnom*Table7[[#This Row],[Ivalley (A) C]]*Table7[[#This Row],[ton (ns) C]]*10^-9*Fsw*10^3+0.5*VACnom*Table7[[#This Row],[Ipeak (A) C]]*Table7[[#This Row],[toff (ns) C]]*10^-9*Fsw*10^3/10^-3</f>
        <v>100.56065737930943</v>
      </c>
      <c r="BO252" s="156">
        <f t="shared" si="49"/>
        <v>129.6</v>
      </c>
      <c r="BP252" s="156">
        <f t="shared" ca="1" si="50"/>
        <v>291.59999999999997</v>
      </c>
      <c r="BQ252" s="156">
        <f t="shared" si="51"/>
        <v>237.6</v>
      </c>
      <c r="BR252" s="156">
        <f>IF(VACnom&gt;Vbat, C_MOSFET_S_VSD_L_BU*Table7[[#This Row],[Ivalley (A) C]]*Fsw*10^3*40*10^-9+C_MOSFET_S_VSD_L_BU*Table7[[#This Row],[Ipeak (A) C]]*Fsw*10^3*30*10^-9, C_MOSFET_S_VSD_H_BO*Table7[[#This Row],[Ivalley (A) C]]*Fsw*10^3*40*10^-9+C_MOSFET_S_VSD_H_BO*Table7[[#This Row],[Ipeak (A) C]]*Fsw*10^3*30*10^-9)/10^-3</f>
        <v>280.18285714285719</v>
      </c>
      <c r="BS252" s="156">
        <f t="shared" ca="1" si="52"/>
        <v>291.59999999999997</v>
      </c>
      <c r="BT252" s="156">
        <f>IF(VACnom&lt;Vbat, Table7[[#This Row],[Duty Cycle]]*Table7[[#This Row],[I_L RMS]]^2*C_MOSFET_S_RDSON_H_BU*10^-3, (1-Table7[[#This Row],[Duty Cycle]])*Table7[[#This Row],[I_L RMS]]^2*C_MOSFET_S_RDSON_H_BO*10^-3)/10^-3</f>
        <v>172.51756268221575</v>
      </c>
      <c r="BU252" s="156">
        <f ca="1">IF(VACnom&gt;Vbat, Table7[[#This Row],[PIV (mW) C]]+Table7[[#This Row],[PQoss (mW) C]]+Table7[[#This Row],[Pgate_top (mW) C]], Table7[[#This Row],[PRR (mW) C]]+Table7[[#This Row],[Pdead (mW) C]]+Table7[[#This Row],[Pgate_top (mW) C]])</f>
        <v>809.38285714285712</v>
      </c>
      <c r="BV252" s="156">
        <f ca="1">Table7[[#This Row],[Pcon_top (mW) C]]+Table7[[#This Row],[Psw_top (mW) C]]</f>
        <v>981.90041982507285</v>
      </c>
      <c r="BW252" s="156">
        <f ca="1">IF(VACnom&gt;Vbat, (1-Table7[[#This Row],[Duty Cycle]])*Table7[[#This Row],[I_L RMS]]^2*C_MOSFET_S_RDSON_L_BU*10^-3, Table7[[#This Row],[Duty Cycle]]*Table7[[#This Row],[I_L RMS]]^2*C_MOSFET_S_RDSON_L_BO*10^-3)/10^-3</f>
        <v>107.44514868804664</v>
      </c>
      <c r="BX252" s="156">
        <f ca="1">IF(VACnom&gt;Vbat, Table7[[#This Row],[PRR (mW) C]]+Table7[[#This Row],[Pdead (mW) C]]+Table7[[#This Row],[Pgate_bottom (mW) C]], Table7[[#This Row],[PIV (mW) C]]+Table7[[#This Row],[PQoss (mW) C]]+Table7[[#This Row],[Pgate_bottom (mW) C]])</f>
        <v>521.76065737930935</v>
      </c>
      <c r="BY252" s="156">
        <f ca="1">Table7[[#This Row],[Pcon_bottom (mW) C]]+Table7[[#This Row],[Psw_bottom (mV) C]]</f>
        <v>629.20580606735598</v>
      </c>
      <c r="BZ252" s="156">
        <f ca="1">Table7[[#This Row],[Pbottom (mW) C]]+Table7[[#This Row],[Ptop (mW) C]]</f>
        <v>1611.1062258924289</v>
      </c>
      <c r="CA252" s="159"/>
      <c r="CB252" s="160">
        <f>(RAC_SNS*10^-3*(Table7[[#This Row],[IOUT (A)]]*Vbat/VACnom)^2/10^-3)</f>
        <v>352.8</v>
      </c>
      <c r="CC252" s="160">
        <f>(RBAT_SNS*10^-3*Table7[[#This Row],[IOUT (A)]]^2)/10^-3</f>
        <v>115.19999999999999</v>
      </c>
      <c r="CD252" s="160">
        <f>IF(VACnom&gt;Vbat,(L_DRC*10^-3*(Table7[[#This Row],[IOUT (A)]])^2/10^-3),(L_DRC*10^-3*(Table7[[#This Row],[IOUT (A)]]*Vbat/VACnom)^2/10^-3))</f>
        <v>846.72</v>
      </c>
      <c r="CE252" s="166"/>
      <c r="CF252" s="156">
        <f>(Table7[[#This Row],[R_AC (mW)]]+Table7[[#This Row],[R_SR (mW)]]+Table7[[#This Row],[Inductor Loss (mW)]])/10^3</f>
        <v>1.3147200000000001</v>
      </c>
      <c r="CG252" s="156">
        <f ca="1">Table7[[#This Row],[Total TI (mW)]]/10^3</f>
        <v>3.0396287237910773</v>
      </c>
      <c r="CH252" s="156">
        <f ca="1">Table7[[#This Row],[Total Sense Loss]]+Table7[[#This Row],[Total MOSFET Loss]]</f>
        <v>4.3543487237910776</v>
      </c>
      <c r="CI252" s="161">
        <f ca="1">IF(Table7[[#This Row],[POUT (W)]]=0,0,(Table7[[#This Row],[POUT (W)]])/(Table7[[#This Row],[POUT (W)]]+Table7[[#This Row],[Total Power Loss (W)]]))*100</f>
        <v>92.971681869816891</v>
      </c>
      <c r="CJ252" s="167"/>
      <c r="CK252" s="156">
        <f>(Table7[[#This Row],[R_AC (mW)]]+Table7[[#This Row],[R_SR (mW)]]+Table7[[#This Row],[Inductor Loss (mW)]])/10^3</f>
        <v>1.3147200000000001</v>
      </c>
      <c r="CL252" s="156">
        <f ca="1">Table7[[#This Row],[Total (mW) C]]/10^3</f>
        <v>1.6111062258924289</v>
      </c>
      <c r="CM252" s="156">
        <f ca="1">Table7[[#This Row],[Total Sense Loss C]]+Table7[[#This Row],[Total MOSFET Loss C]]</f>
        <v>2.925826225892429</v>
      </c>
      <c r="CN252" s="161">
        <f ca="1">IF(Table7[[#This Row],[POUT (W)]]=0,0,(Table7[[#This Row],[POUT (W)]])/(Table7[[#This Row],[POUT (W)]]+Table7[[#This Row],[Total Power Loss (W) C]]))*100</f>
        <v>95.165987135850472</v>
      </c>
      <c r="CO252" s="167"/>
      <c r="CP252" s="161">
        <f>IF(MOSFET_S=Custom_MOSFET,Table7[[#This Row],[Total Sense Loss C]],Table7[[#This Row],[Total Sense Loss]])</f>
        <v>1.3147200000000001</v>
      </c>
      <c r="CQ252" s="161">
        <f ca="1">IF(MOSFET_S=Custom_MOSFET,Table7[[#This Row],[Total MOSFET Loss C]],Table7[[#This Row],[Total MOSFET Loss]])</f>
        <v>3.0396287237910773</v>
      </c>
      <c r="CR252" s="161">
        <f ca="1">IF(MOSFET_S=Custom_MOSFET,Table7[[#This Row],[Efficiency C]],Table7[[#This Row],[Efficiency]])</f>
        <v>92.971681869816891</v>
      </c>
      <c r="CS252" s="167"/>
      <c r="CT252" s="161">
        <f>IF(MOSFET_S=Compare_MOSFET, Table7[[#This Row],[Total Sense Loss C]], -100)</f>
        <v>-100</v>
      </c>
      <c r="CU252" s="161">
        <f>IF(MOSFET_S=Compare_MOSFET, Table7[[#This Row],[Total MOSFET Loss C]], -100)</f>
        <v>-100</v>
      </c>
      <c r="CV252" s="161">
        <f>IF(MOSFET_S=Compare_MOSFET, Table7[[#This Row],[Efficiency C]], -100)</f>
        <v>-100</v>
      </c>
      <c r="CW252" s="167"/>
      <c r="CX252" s="161">
        <f ca="1">IF(Save_Sel=CLR_Save,  Table7[[#This Row],[Total Sense Loss P1]], Table7[[#This Row],[Total Sense Loss P1 Saved]])</f>
        <v>1.3147200000000001</v>
      </c>
      <c r="CY252" s="161">
        <f ca="1">IF(Save_Sel=CLR_Save,  Table7[[#This Row],[Total MOSFET Loss P1]], Table7[[#This Row],[Total MOSFET Loss P1 Saved]] )</f>
        <v>2.3729311986924806</v>
      </c>
      <c r="CZ252" s="161">
        <f ca="1">IF(Save_Sel=CLR_Save, Table7[[#This Row],[Efficiency P1]], Table7[[#This Row],[Efficiency P1 Saved]])</f>
        <v>93.983043685689253</v>
      </c>
      <c r="DA252" s="167"/>
      <c r="DB252" s="161">
        <f ca="1">IF(Save_Sel=CLR_Save,  Table7[[#This Row],[Total Sense Loss P2]], Table7[[#This Row],[Total Sense Loss P2 Saved]])</f>
        <v>1.3147200000000001</v>
      </c>
      <c r="DC252" s="161">
        <f ca="1">IF(Save_Sel=CLR_Save,  Table7[[#This Row],[Total MOSFET Loss P2]], Table7[[#This Row],[Total MOSFET Loss P2 Saved]] )</f>
        <v>1.6990579799275758</v>
      </c>
      <c r="DD252" s="161">
        <f ca="1">IF(Save_Sel=CLR_Save, Table7[[#This Row],[Efficiency P2]], Table7[[#This Row],[Efficiency P2 Saved]])</f>
        <v>95.027899463838736</v>
      </c>
      <c r="DE252" s="167"/>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row>
    <row r="253" spans="1:165" x14ac:dyDescent="0.25">
      <c r="A253" s="70"/>
      <c r="B253" s="70"/>
      <c r="C253" s="70"/>
      <c r="D253" s="70"/>
      <c r="E253" s="70"/>
      <c r="F253" s="70"/>
      <c r="G253" s="70"/>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154">
        <f t="shared" si="54"/>
        <v>97</v>
      </c>
      <c r="AG253" s="154">
        <f t="shared" ref="AG253:AG255" si="59">$AG$156+AF253*($AG$256-$AG$156)/$AF$256</f>
        <v>4.8499999999999996</v>
      </c>
      <c r="AH253" s="155">
        <f t="shared" si="57"/>
        <v>58.199999999999996</v>
      </c>
      <c r="AI253" s="156">
        <f t="shared" si="43"/>
        <v>0.42857142857142855</v>
      </c>
      <c r="AJ253" s="156">
        <f t="shared" si="58"/>
        <v>8.4875000000000007</v>
      </c>
      <c r="AK253" s="156">
        <f t="shared" si="55"/>
        <v>0.85714285714285721</v>
      </c>
      <c r="AL253" s="156">
        <f t="shared" si="56"/>
        <v>8.4911059785987799</v>
      </c>
      <c r="AM253" s="157"/>
      <c r="AN253" s="156">
        <f>MAX(0,Table7[[#This Row],[I_L]]-0.5*Table7[[#This Row],[I_L pkpk]])</f>
        <v>8.0589285714285719</v>
      </c>
      <c r="AO253" s="156">
        <f>Table7[[#This Row],[I_L]]+0.5*Table7[[#This Row],[I_L pkpk]]</f>
        <v>8.9160714285714295</v>
      </c>
      <c r="AP253" s="156">
        <f ca="1">IF(VACnom&gt;Vbat, (VGS_S-(TI_MOSFET_S_VTH_H_BU+Table7[[#This Row],[I_L]]/TI_MOSFET_S_gFS_H_BU))/3.4, (VGS_S-(TI_MOSFET_S_VTH_L_BO+Table7[[#This Row],[I_L]]/TI_MOSFET_S_gFS_L_BO))/3.4 )</f>
        <v>2.4072680995475113</v>
      </c>
      <c r="AQ253" s="156">
        <f ca="1">IF(VACnom&gt;Vbat, ((TI_MOSFET_S_VTH_H_BU+Table7[[#This Row],[I_L]]/TI_MOSFET_S_gFS_H_BU))/1, ((TI_MOSFET_S_VTH_L_BO+Table7[[#This Row],[I_L]]/TI_MOSFET_S_gFS_L_BO))/1 )</f>
        <v>1.8152884615384615</v>
      </c>
      <c r="AR253" s="156">
        <f ca="1">IF(VACnom&gt;Vbat, (TI_MOSFET_S_QGD_H_BU+TI_MOSFET_S_QGS_H_BU)*10^-9/Table7[[#This Row],[Ion (A)]], (TI_MOSFET_S_QGD_L_BO+TI_MOSFET_S_QGS_L_BO)*10^-9/Table7[[#This Row],[Ion (A)]])/10^-9</f>
        <v>11.963769222636014</v>
      </c>
      <c r="AS253" s="156">
        <f ca="1">IF(VACnom&gt;Vbat, (TI_MOSFET_S_QGD_H_BU+TI_MOSFET_S_QGS_H_BU)*10^-9/Table7[[#This Row],[Ioff (A)]], (TI_MOSFET_S_QGD_L_BO+TI_MOSFET_S_QGS_L_BO)*10^-9/Table7[[#This Row],[Ioff (A)]])/10^-9</f>
        <v>15.865247099952327</v>
      </c>
      <c r="AT253" s="156">
        <f ca="1" xml:space="preserve"> 0.5*VACnom*Table7[[#This Row],[Ivalley (A)]]*Table7[[#This Row],[ton (ns)]]*10^-9*Fsw*10^3+0.5*VACnom*Table7[[#This Row],[Ipeak (A)]]*Table7[[#This Row],[toff (ns)]]*10^-9*Fsw*10^3/10^-3</f>
        <v>509.5875295321955</v>
      </c>
      <c r="AU253" s="156">
        <f t="shared" ca="1" si="45"/>
        <v>262.8</v>
      </c>
      <c r="AV253" s="156">
        <f t="shared" ca="1" si="46"/>
        <v>648</v>
      </c>
      <c r="AW253" s="156">
        <f t="shared" ca="1" si="47"/>
        <v>554.4</v>
      </c>
      <c r="AX253" s="156">
        <f ca="1">IF(VACnom&gt;Vbat, TI_MOSFET_S_VSD_L_BU*Table7[[#This Row],[Ivalley (A)]]*Fsw*10^3*40*10^-9+TI_MOSFET_S_VSD_L_BU*Table7[[#This Row],[Ipeak (A)]]*Fsw*10^3*30*10^-9, TI_MOSFET_S_VSD_H_BO*Table7[[#This Row],[Ivalley (A)]]*Fsw*10^3*40*10^-9+TI_MOSFET_S_VSD_H_BO*Table7[[#This Row],[Ipeak (A)]]*Fsw*10^3*30*10^-9)/10^-3</f>
        <v>254.81057142857148</v>
      </c>
      <c r="AY253" s="156">
        <f t="shared" ca="1" si="48"/>
        <v>648</v>
      </c>
      <c r="AZ253" s="156">
        <f ca="1">IF(VACnom&lt;Vbat, Table7[[#This Row],[Duty Cycle]]*Table7[[#This Row],[I_L RMS]]^2*TI_MOSFET_S_RDSON_H_BU*10^-3, (1-Table7[[#This Row],[Duty Cycle]])*Table7[[#This Row],[I_L RMS]]^2*TI_MOSFET_S_RDSON_H_BO*10^-3)/10^-3</f>
        <v>86.518656887755128</v>
      </c>
      <c r="BA253" s="156">
        <f ca="1">IF(VACnom&gt;Vbat, Table7[[#This Row],[PIV (mW)]]+Table7[[#This Row],[Pqoss (mW)]]+Table7[[#This Row],[Pgate_top (mW)]], Table7[[#This Row],[PRR (mW)]]+Table7[[#This Row],[Pdead (mW)]]+Table7[[#This Row],[Pgate_top (mW)]])</f>
        <v>1457.2105714285715</v>
      </c>
      <c r="BB253" s="156">
        <f ca="1">Table7[[#This Row],[Pcon_top (mW)]]+Table7[[#This Row],[Psw_top (mW)]]</f>
        <v>1543.7292283163265</v>
      </c>
      <c r="BC253" s="156">
        <f ca="1">IF(VACnom&gt;Vbat, (1-Table7[[#This Row],[Duty Cycle]])*Table7[[#This Row],[I_L RMS]]^2*TI_MOSFET_S_RDSON_L_BU*10^-3, Table7[[#This Row],[Duty Cycle]]*Table7[[#This Row],[I_L RMS]]^2*TI_MOSFET_S_RDSON_L_BO*10^-3)/10^-3</f>
        <v>86.518656887755128</v>
      </c>
      <c r="BD253" s="156">
        <f ca="1">IF(VACnom&gt;Vbat, Table7[[#This Row],[PRR (mW)]]+Table7[[#This Row],[Pdead (mW)]]+Table7[[#This Row],[Pgate_bottom (mW)]], Table7[[#This Row],[PIV (mW)]]+Table7[[#This Row],[Pqoss (mW)]]+Table7[[#This Row],[Pgate_bottom (mW)]])</f>
        <v>1420.3875295321955</v>
      </c>
      <c r="BE253" s="158">
        <f ca="1">Table7[[#This Row],[Pcon_bottom (mW)]]+Table7[[#This Row],[Psw_bottom (mW)]]</f>
        <v>1506.9061864199507</v>
      </c>
      <c r="BF253" s="164">
        <f ca="1">Table7[[#This Row],[Pbottom (mW)]]+Table7[[#This Row],[Ptop (mW)]]</f>
        <v>3050.6354147362772</v>
      </c>
      <c r="BG253" s="153"/>
      <c r="BH253" s="156">
        <f>MAX(0,Table7[[#This Row],[I_L]]-0.5*Table7[[#This Row],[I_L pkpk]])</f>
        <v>8.0589285714285719</v>
      </c>
      <c r="BI253" s="156">
        <f>Table7[[#This Row],[I_L]]+0.5*Table7[[#This Row],[I_L pkpk]]</f>
        <v>8.9160714285714295</v>
      </c>
      <c r="BJ253" s="156">
        <f>IF(VACnom&gt;Vbat, (VGS_S-(C_MOSFET_S_VTH_H_BU+Table7[[#This Row],[I_L]]/C_MOSFET_S_gFS_H_BU))/3.4, (VGS_S-(C_MOSFET_S_VTH_L_BO+Table7[[#This Row],[I_L]]/C_MOSFET_S_gFS_L_BO))/3.4 )</f>
        <v>2.3362990196078433</v>
      </c>
      <c r="BK253" s="156">
        <f>IF(VACnom&gt;Vbat, ((C_MOSFET_S_VTH_H_BU+Table7[[#This Row],[I_L]]/C_MOSFET_S_gFS_H_BU))/1, ((C_MOSFET_S_VTH_L_BO+Table7[[#This Row],[I_L]]/C_MOSFET_S_gFS_L_BO))/1 )</f>
        <v>2.0565833333333332</v>
      </c>
      <c r="BL253" s="156">
        <f>IF(VACnom&gt;Vbat, (C_MOSFET_S_QGD_H_BU+C_MOSFET_S_QGS_H_BU)*10^-9/Table7[[#This Row],[Ion (A) C]], (C_MOSFET_S_QGD_L_BO+C_MOSFET_S_QGS_L_BO)*10^-9/Table7[[#This Row],[Ion (A) C]])/10^-9</f>
        <v>2.7821781139518049</v>
      </c>
      <c r="BM253" s="156">
        <f>IF(VACnom&gt;Vbat, (C_MOSFET_S_QGD_H_BU+C_MOSFET_S_QGS_H_BU)*10^-9/Table7[[#This Row],[Ioff (A) C]], (C_MOSFET_S_QGD_L_BO+C_MOSFET_S_QGS_L_BO)*10^-9/Table7[[#This Row],[Ioff (A) C]])/10^-9</f>
        <v>3.1605818712265492</v>
      </c>
      <c r="BN253" s="156">
        <f xml:space="preserve"> 0.5*VACnom*Table7[[#This Row],[Ivalley (A) C]]*Table7[[#This Row],[ton (ns) C]]*10^-9*Fsw*10^3+0.5*VACnom*Table7[[#This Row],[Ipeak (A) C]]*Table7[[#This Row],[toff (ns) C]]*10^-9*Fsw*10^3/10^-3</f>
        <v>101.52862233982988</v>
      </c>
      <c r="BO253" s="156">
        <f t="shared" si="49"/>
        <v>129.6</v>
      </c>
      <c r="BP253" s="156">
        <f t="shared" ca="1" si="50"/>
        <v>291.59999999999997</v>
      </c>
      <c r="BQ253" s="156">
        <f t="shared" si="51"/>
        <v>237.6</v>
      </c>
      <c r="BR253" s="156">
        <f>IF(VACnom&gt;Vbat, C_MOSFET_S_VSD_L_BU*Table7[[#This Row],[Ivalley (A) C]]*Fsw*10^3*40*10^-9+C_MOSFET_S_VSD_L_BU*Table7[[#This Row],[Ipeak (A) C]]*Fsw*10^3*30*10^-9, C_MOSFET_S_VSD_H_BO*Table7[[#This Row],[Ivalley (A) C]]*Fsw*10^3*40*10^-9+C_MOSFET_S_VSD_H_BO*Table7[[#This Row],[Ipeak (A) C]]*Fsw*10^3*30*10^-9)/10^-3</f>
        <v>283.12285714285724</v>
      </c>
      <c r="BS253" s="156">
        <f t="shared" ca="1" si="52"/>
        <v>291.59999999999997</v>
      </c>
      <c r="BT253" s="156">
        <f>IF(VACnom&lt;Vbat, Table7[[#This Row],[Duty Cycle]]*Table7[[#This Row],[I_L RMS]]^2*C_MOSFET_S_RDSON_H_BU*10^-3, (1-Table7[[#This Row],[Duty Cycle]])*Table7[[#This Row],[I_L RMS]]^2*C_MOSFET_S_RDSON_H_BO*10^-3)/10^-3</f>
        <v>176.12726580721582</v>
      </c>
      <c r="BU253" s="156">
        <f ca="1">IF(VACnom&gt;Vbat, Table7[[#This Row],[PIV (mW) C]]+Table7[[#This Row],[PQoss (mW) C]]+Table7[[#This Row],[Pgate_top (mW) C]], Table7[[#This Row],[PRR (mW) C]]+Table7[[#This Row],[Pdead (mW) C]]+Table7[[#This Row],[Pgate_top (mW) C]])</f>
        <v>812.32285714285717</v>
      </c>
      <c r="BV253" s="156">
        <f ca="1">Table7[[#This Row],[Pcon_top (mW) C]]+Table7[[#This Row],[Psw_top (mW) C]]</f>
        <v>988.45012295007302</v>
      </c>
      <c r="BW253" s="156">
        <f ca="1">IF(VACnom&gt;Vbat, (1-Table7[[#This Row],[Duty Cycle]])*Table7[[#This Row],[I_L RMS]]^2*C_MOSFET_S_RDSON_L_BU*10^-3, Table7[[#This Row],[Duty Cycle]]*Table7[[#This Row],[I_L RMS]]^2*C_MOSFET_S_RDSON_L_BO*10^-3)/10^-3</f>
        <v>109.69329712554668</v>
      </c>
      <c r="BX253" s="156">
        <f ca="1">IF(VACnom&gt;Vbat, Table7[[#This Row],[PRR (mW) C]]+Table7[[#This Row],[Pdead (mW) C]]+Table7[[#This Row],[Pgate_bottom (mW) C]], Table7[[#This Row],[PIV (mW) C]]+Table7[[#This Row],[PQoss (mW) C]]+Table7[[#This Row],[Pgate_bottom (mW) C]])</f>
        <v>522.72862233982983</v>
      </c>
      <c r="BY253" s="156">
        <f ca="1">Table7[[#This Row],[Pcon_bottom (mW) C]]+Table7[[#This Row],[Psw_bottom (mV) C]]</f>
        <v>632.4219194653765</v>
      </c>
      <c r="BZ253" s="156">
        <f ca="1">Table7[[#This Row],[Pbottom (mW) C]]+Table7[[#This Row],[Ptop (mW) C]]</f>
        <v>1620.8720424154494</v>
      </c>
      <c r="CA253" s="159"/>
      <c r="CB253" s="160">
        <f>(RAC_SNS*10^-3*(Table7[[#This Row],[IOUT (A)]]*Vbat/VACnom)^2/10^-3)</f>
        <v>360.18828124999987</v>
      </c>
      <c r="CC253" s="160">
        <f>(RBAT_SNS*10^-3*Table7[[#This Row],[IOUT (A)]]^2)/10^-3</f>
        <v>117.6125</v>
      </c>
      <c r="CD253" s="160">
        <f>IF(VACnom&gt;Vbat,(L_DRC*10^-3*(Table7[[#This Row],[IOUT (A)]])^2/10^-3),(L_DRC*10^-3*(Table7[[#This Row],[IOUT (A)]]*Vbat/VACnom)^2/10^-3))</f>
        <v>864.45187499999986</v>
      </c>
      <c r="CE253" s="166"/>
      <c r="CF253" s="156">
        <f>(Table7[[#This Row],[R_AC (mW)]]+Table7[[#This Row],[R_SR (mW)]]+Table7[[#This Row],[Inductor Loss (mW)]])/10^3</f>
        <v>1.3422526562499997</v>
      </c>
      <c r="CG253" s="156">
        <f ca="1">Table7[[#This Row],[Total TI (mW)]]/10^3</f>
        <v>3.0506354147362771</v>
      </c>
      <c r="CH253" s="156">
        <f ca="1">Table7[[#This Row],[Total Sense Loss]]+Table7[[#This Row],[Total MOSFET Loss]]</f>
        <v>4.3928880709862765</v>
      </c>
      <c r="CI253" s="161">
        <f ca="1">IF(Table7[[#This Row],[POUT (W)]]=0,0,(Table7[[#This Row],[POUT (W)]])/(Table7[[#This Row],[POUT (W)]]+Table7[[#This Row],[Total Power Loss (W)]]))*100</f>
        <v>92.981809585133178</v>
      </c>
      <c r="CJ253" s="167"/>
      <c r="CK253" s="156">
        <f>(Table7[[#This Row],[R_AC (mW)]]+Table7[[#This Row],[R_SR (mW)]]+Table7[[#This Row],[Inductor Loss (mW)]])/10^3</f>
        <v>1.3422526562499997</v>
      </c>
      <c r="CL253" s="156">
        <f ca="1">Table7[[#This Row],[Total (mW) C]]/10^3</f>
        <v>1.6208720424154495</v>
      </c>
      <c r="CM253" s="156">
        <f ca="1">Table7[[#This Row],[Total Sense Loss C]]+Table7[[#This Row],[Total MOSFET Loss C]]</f>
        <v>2.9631246986654491</v>
      </c>
      <c r="CN253" s="161">
        <f ca="1">IF(Table7[[#This Row],[POUT (W)]]=0,0,(Table7[[#This Row],[POUT (W)]])/(Table7[[#This Row],[POUT (W)]]+Table7[[#This Row],[Total Power Loss (W) C]]))*100</f>
        <v>95.155373906640676</v>
      </c>
      <c r="CO253" s="167"/>
      <c r="CP253" s="161">
        <f>IF(MOSFET_S=Custom_MOSFET,Table7[[#This Row],[Total Sense Loss C]],Table7[[#This Row],[Total Sense Loss]])</f>
        <v>1.3422526562499997</v>
      </c>
      <c r="CQ253" s="161">
        <f ca="1">IF(MOSFET_S=Custom_MOSFET,Table7[[#This Row],[Total MOSFET Loss C]],Table7[[#This Row],[Total MOSFET Loss]])</f>
        <v>3.0506354147362771</v>
      </c>
      <c r="CR253" s="161">
        <f ca="1">IF(MOSFET_S=Custom_MOSFET,Table7[[#This Row],[Efficiency C]],Table7[[#This Row],[Efficiency]])</f>
        <v>92.981809585133178</v>
      </c>
      <c r="CS253" s="167"/>
      <c r="CT253" s="161">
        <f>IF(MOSFET_S=Compare_MOSFET, Table7[[#This Row],[Total Sense Loss C]], -100)</f>
        <v>-100</v>
      </c>
      <c r="CU253" s="161">
        <f>IF(MOSFET_S=Compare_MOSFET, Table7[[#This Row],[Total MOSFET Loss C]], -100)</f>
        <v>-100</v>
      </c>
      <c r="CV253" s="161">
        <f>IF(MOSFET_S=Compare_MOSFET, Table7[[#This Row],[Efficiency C]], -100)</f>
        <v>-100</v>
      </c>
      <c r="CW253" s="167"/>
      <c r="CX253" s="161">
        <f ca="1">IF(Save_Sel=CLR_Save,  Table7[[#This Row],[Total Sense Loss P1]], Table7[[#This Row],[Total Sense Loss P1 Saved]])</f>
        <v>1.3422526562499997</v>
      </c>
      <c r="CY253" s="161">
        <f ca="1">IF(Save_Sel=CLR_Save,  Table7[[#This Row],[Total MOSFET Loss P1]], Table7[[#This Row],[Total MOSFET Loss P1 Saved]] )</f>
        <v>2.3848957660932317</v>
      </c>
      <c r="CZ253" s="161">
        <f ca="1">IF(Save_Sel=CLR_Save, Table7[[#This Row],[Efficiency P1]], Table7[[#This Row],[Efficiency P1 Saved]])</f>
        <v>93.981398276368097</v>
      </c>
      <c r="DA253" s="167"/>
      <c r="DB253" s="161">
        <f ca="1">IF(Save_Sel=CLR_Save,  Table7[[#This Row],[Total Sense Loss P2]], Table7[[#This Row],[Total Sense Loss P2 Saved]])</f>
        <v>1.3422526562499997</v>
      </c>
      <c r="DC253" s="161">
        <f ca="1">IF(Save_Sel=CLR_Save,  Table7[[#This Row],[Total MOSFET Loss P2]], Table7[[#This Row],[Total MOSFET Loss P2 Saved]] )</f>
        <v>1.7106623408621138</v>
      </c>
      <c r="DD253" s="161">
        <f ca="1">IF(Save_Sel=CLR_Save, Table7[[#This Row],[Efficiency P2]], Table7[[#This Row],[Efficiency P2 Saved]])</f>
        <v>95.015886187202597</v>
      </c>
      <c r="DE253" s="167"/>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row>
    <row r="254" spans="1:165" x14ac:dyDescent="0.25">
      <c r="A254" s="70"/>
      <c r="B254" s="70"/>
      <c r="C254" s="70"/>
      <c r="D254" s="70"/>
      <c r="E254" s="70"/>
      <c r="F254" s="70"/>
      <c r="G254" s="70"/>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154">
        <f t="shared" si="54"/>
        <v>98</v>
      </c>
      <c r="AG254" s="154">
        <f t="shared" si="59"/>
        <v>4.9000000000000004</v>
      </c>
      <c r="AH254" s="155">
        <f t="shared" si="57"/>
        <v>58.800000000000004</v>
      </c>
      <c r="AI254" s="156">
        <f t="shared" si="43"/>
        <v>0.42857142857142855</v>
      </c>
      <c r="AJ254" s="156">
        <f t="shared" si="58"/>
        <v>8.5750000000000011</v>
      </c>
      <c r="AK254" s="156">
        <f t="shared" si="55"/>
        <v>0.85714285714285721</v>
      </c>
      <c r="AL254" s="156">
        <f t="shared" si="56"/>
        <v>8.5785691982868535</v>
      </c>
      <c r="AM254" s="157"/>
      <c r="AN254" s="156">
        <f>MAX(0,Table7[[#This Row],[I_L]]-0.5*Table7[[#This Row],[I_L pkpk]])</f>
        <v>8.1464285714285722</v>
      </c>
      <c r="AO254" s="156">
        <f>Table7[[#This Row],[I_L]]+0.5*Table7[[#This Row],[I_L pkpk]]</f>
        <v>9.0035714285714299</v>
      </c>
      <c r="AP254" s="156">
        <f ca="1">IF(VACnom&gt;Vbat, (VGS_S-(TI_MOSFET_S_VTH_H_BU+Table7[[#This Row],[I_L]]/TI_MOSFET_S_gFS_H_BU))/3.4, (VGS_S-(TI_MOSFET_S_VTH_L_BO+Table7[[#This Row],[I_L]]/TI_MOSFET_S_gFS_L_BO))/3.4 )</f>
        <v>2.4070701357466064</v>
      </c>
      <c r="AQ254" s="156">
        <f ca="1">IF(VACnom&gt;Vbat, ((TI_MOSFET_S_VTH_H_BU+Table7[[#This Row],[I_L]]/TI_MOSFET_S_gFS_H_BU))/1, ((TI_MOSFET_S_VTH_L_BO+Table7[[#This Row],[I_L]]/TI_MOSFET_S_gFS_L_BO))/1 )</f>
        <v>1.8159615384615384</v>
      </c>
      <c r="AR254" s="156">
        <f ca="1">IF(VACnom&gt;Vbat, (TI_MOSFET_S_QGD_H_BU+TI_MOSFET_S_QGS_H_BU)*10^-9/Table7[[#This Row],[Ion (A)]], (TI_MOSFET_S_QGD_L_BO+TI_MOSFET_S_QGS_L_BO)*10^-9/Table7[[#This Row],[Ion (A)]])/10^-9</f>
        <v>11.964753154592664</v>
      </c>
      <c r="AS254" s="156">
        <f ca="1">IF(VACnom&gt;Vbat, (TI_MOSFET_S_QGD_H_BU+TI_MOSFET_S_QGS_H_BU)*10^-9/Table7[[#This Row],[Ioff (A)]], (TI_MOSFET_S_QGD_L_BO+TI_MOSFET_S_QGS_L_BO)*10^-9/Table7[[#This Row],[Ioff (A)]])/10^-9</f>
        <v>15.859366726675844</v>
      </c>
      <c r="AT254" s="156">
        <f ca="1" xml:space="preserve"> 0.5*VACnom*Table7[[#This Row],[Ivalley (A)]]*Table7[[#This Row],[ton (ns)]]*10^-9*Fsw*10^3+0.5*VACnom*Table7[[#This Row],[Ipeak (A)]]*Table7[[#This Row],[toff (ns)]]*10^-9*Fsw*10^3/10^-3</f>
        <v>514.39828011294139</v>
      </c>
      <c r="AU254" s="156">
        <f t="shared" ca="1" si="45"/>
        <v>262.8</v>
      </c>
      <c r="AV254" s="156">
        <f t="shared" ca="1" si="46"/>
        <v>648</v>
      </c>
      <c r="AW254" s="156">
        <f t="shared" ca="1" si="47"/>
        <v>554.4</v>
      </c>
      <c r="AX254" s="156">
        <f ca="1">IF(VACnom&gt;Vbat, TI_MOSFET_S_VSD_L_BU*Table7[[#This Row],[Ivalley (A)]]*Fsw*10^3*40*10^-9+TI_MOSFET_S_VSD_L_BU*Table7[[#This Row],[Ipeak (A)]]*Fsw*10^3*30*10^-9, TI_MOSFET_S_VSD_H_BO*Table7[[#This Row],[Ivalley (A)]]*Fsw*10^3*40*10^-9+TI_MOSFET_S_VSD_H_BO*Table7[[#This Row],[Ipeak (A)]]*Fsw*10^3*30*10^-9)/10^-3</f>
        <v>257.45657142857146</v>
      </c>
      <c r="AY254" s="156">
        <f t="shared" ca="1" si="48"/>
        <v>648</v>
      </c>
      <c r="AZ254" s="156">
        <f ca="1">IF(VACnom&lt;Vbat, Table7[[#This Row],[Duty Cycle]]*Table7[[#This Row],[I_L RMS]]^2*TI_MOSFET_S_RDSON_H_BU*10^-3, (1-Table7[[#This Row],[Duty Cycle]])*Table7[[#This Row],[I_L RMS]]^2*TI_MOSFET_S_RDSON_H_BO*10^-3)/10^-3</f>
        <v>88.310219387755126</v>
      </c>
      <c r="BA254" s="156">
        <f ca="1">IF(VACnom&gt;Vbat, Table7[[#This Row],[PIV (mW)]]+Table7[[#This Row],[Pqoss (mW)]]+Table7[[#This Row],[Pgate_top (mW)]], Table7[[#This Row],[PRR (mW)]]+Table7[[#This Row],[Pdead (mW)]]+Table7[[#This Row],[Pgate_top (mW)]])</f>
        <v>1459.8565714285714</v>
      </c>
      <c r="BB254" s="156">
        <f ca="1">Table7[[#This Row],[Pcon_top (mW)]]+Table7[[#This Row],[Psw_top (mW)]]</f>
        <v>1548.1667908163265</v>
      </c>
      <c r="BC254" s="156">
        <f ca="1">IF(VACnom&gt;Vbat, (1-Table7[[#This Row],[Duty Cycle]])*Table7[[#This Row],[I_L RMS]]^2*TI_MOSFET_S_RDSON_L_BU*10^-3, Table7[[#This Row],[Duty Cycle]]*Table7[[#This Row],[I_L RMS]]^2*TI_MOSFET_S_RDSON_L_BO*10^-3)/10^-3</f>
        <v>88.310219387755126</v>
      </c>
      <c r="BD254" s="156">
        <f ca="1">IF(VACnom&gt;Vbat, Table7[[#This Row],[PRR (mW)]]+Table7[[#This Row],[Pdead (mW)]]+Table7[[#This Row],[Pgate_bottom (mW)]], Table7[[#This Row],[PIV (mW)]]+Table7[[#This Row],[Pqoss (mW)]]+Table7[[#This Row],[Pgate_bottom (mW)]])</f>
        <v>1425.1982801129413</v>
      </c>
      <c r="BE254" s="158">
        <f ca="1">Table7[[#This Row],[Pcon_bottom (mW)]]+Table7[[#This Row],[Psw_bottom (mW)]]</f>
        <v>1513.5084995006964</v>
      </c>
      <c r="BF254" s="164">
        <f ca="1">Table7[[#This Row],[Pbottom (mW)]]+Table7[[#This Row],[Ptop (mW)]]</f>
        <v>3061.6752903170227</v>
      </c>
      <c r="BG254" s="153"/>
      <c r="BH254" s="156">
        <f>MAX(0,Table7[[#This Row],[I_L]]-0.5*Table7[[#This Row],[I_L pkpk]])</f>
        <v>8.1464285714285722</v>
      </c>
      <c r="BI254" s="156">
        <f>Table7[[#This Row],[I_L]]+0.5*Table7[[#This Row],[I_L pkpk]]</f>
        <v>9.0035714285714299</v>
      </c>
      <c r="BJ254" s="156">
        <f>IF(VACnom&gt;Vbat, (VGS_S-(C_MOSFET_S_VTH_H_BU+Table7[[#This Row],[I_L]]/C_MOSFET_S_gFS_H_BU))/3.4, (VGS_S-(C_MOSFET_S_VTH_L_BO+Table7[[#This Row],[I_L]]/C_MOSFET_S_gFS_L_BO))/3.4 )</f>
        <v>2.336127450980392</v>
      </c>
      <c r="BK254" s="156">
        <f>IF(VACnom&gt;Vbat, ((C_MOSFET_S_VTH_H_BU+Table7[[#This Row],[I_L]]/C_MOSFET_S_gFS_H_BU))/1, ((C_MOSFET_S_VTH_L_BO+Table7[[#This Row],[I_L]]/C_MOSFET_S_gFS_L_BO))/1 )</f>
        <v>2.0571666666666668</v>
      </c>
      <c r="BL254" s="156">
        <f>IF(VACnom&gt;Vbat, (C_MOSFET_S_QGD_H_BU+C_MOSFET_S_QGS_H_BU)*10^-9/Table7[[#This Row],[Ion (A) C]], (C_MOSFET_S_QGD_L_BO+C_MOSFET_S_QGS_L_BO)*10^-9/Table7[[#This Row],[Ion (A) C]])/10^-9</f>
        <v>2.7823824411943683</v>
      </c>
      <c r="BM254" s="156">
        <f>IF(VACnom&gt;Vbat, (C_MOSFET_S_QGD_H_BU+C_MOSFET_S_QGS_H_BU)*10^-9/Table7[[#This Row],[Ioff (A) C]], (C_MOSFET_S_QGD_L_BO+C_MOSFET_S_QGS_L_BO)*10^-9/Table7[[#This Row],[Ioff (A) C]])/10^-9</f>
        <v>3.1596856517864373</v>
      </c>
      <c r="BN254" s="156">
        <f xml:space="preserve"> 0.5*VACnom*Table7[[#This Row],[Ivalley (A) C]]*Table7[[#This Row],[ton (ns) C]]*10^-9*Fsw*10^3+0.5*VACnom*Table7[[#This Row],[Ipeak (A) C]]*Table7[[#This Row],[toff (ns) C]]*10^-9*Fsw*10^3/10^-3</f>
        <v>102.49603897502537</v>
      </c>
      <c r="BO254" s="156">
        <f t="shared" si="49"/>
        <v>129.6</v>
      </c>
      <c r="BP254" s="156">
        <f t="shared" ca="1" si="50"/>
        <v>291.59999999999997</v>
      </c>
      <c r="BQ254" s="156">
        <f t="shared" si="51"/>
        <v>237.6</v>
      </c>
      <c r="BR254" s="156">
        <f>IF(VACnom&gt;Vbat, C_MOSFET_S_VSD_L_BU*Table7[[#This Row],[Ivalley (A) C]]*Fsw*10^3*40*10^-9+C_MOSFET_S_VSD_L_BU*Table7[[#This Row],[Ipeak (A) C]]*Fsw*10^3*30*10^-9, C_MOSFET_S_VSD_H_BO*Table7[[#This Row],[Ivalley (A) C]]*Fsw*10^3*40*10^-9+C_MOSFET_S_VSD_H_BO*Table7[[#This Row],[Ipeak (A) C]]*Fsw*10^3*30*10^-9)/10^-3</f>
        <v>286.0628571428573</v>
      </c>
      <c r="BS254" s="156">
        <f t="shared" ca="1" si="52"/>
        <v>291.59999999999997</v>
      </c>
      <c r="BT254" s="156">
        <f>IF(VACnom&lt;Vbat, Table7[[#This Row],[Duty Cycle]]*Table7[[#This Row],[I_L RMS]]^2*C_MOSFET_S_RDSON_H_BU*10^-3, (1-Table7[[#This Row],[Duty Cycle]])*Table7[[#This Row],[I_L RMS]]^2*C_MOSFET_S_RDSON_H_BO*10^-3)/10^-3</f>
        <v>179.77437518221581</v>
      </c>
      <c r="BU254" s="156">
        <f ca="1">IF(VACnom&gt;Vbat, Table7[[#This Row],[PIV (mW) C]]+Table7[[#This Row],[PQoss (mW) C]]+Table7[[#This Row],[Pgate_top (mW) C]], Table7[[#This Row],[PRR (mW) C]]+Table7[[#This Row],[Pdead (mW) C]]+Table7[[#This Row],[Pgate_top (mW) C]])</f>
        <v>815.26285714285723</v>
      </c>
      <c r="BV254" s="156">
        <f ca="1">Table7[[#This Row],[Pcon_top (mW) C]]+Table7[[#This Row],[Psw_top (mW) C]]</f>
        <v>995.03723232507309</v>
      </c>
      <c r="BW254" s="156">
        <f ca="1">IF(VACnom&gt;Vbat, (1-Table7[[#This Row],[Duty Cycle]])*Table7[[#This Row],[I_L RMS]]^2*C_MOSFET_S_RDSON_L_BU*10^-3, Table7[[#This Row],[Duty Cycle]]*Table7[[#This Row],[I_L RMS]]^2*C_MOSFET_S_RDSON_L_BO*10^-3)/10^-3</f>
        <v>111.96474243804668</v>
      </c>
      <c r="BX254" s="156">
        <f ca="1">IF(VACnom&gt;Vbat, Table7[[#This Row],[PRR (mW) C]]+Table7[[#This Row],[Pdead (mW) C]]+Table7[[#This Row],[Pgate_bottom (mW) C]], Table7[[#This Row],[PIV (mW) C]]+Table7[[#This Row],[PQoss (mW) C]]+Table7[[#This Row],[Pgate_bottom (mW) C]])</f>
        <v>523.69603897502532</v>
      </c>
      <c r="BY254" s="156">
        <f ca="1">Table7[[#This Row],[Pcon_bottom (mW) C]]+Table7[[#This Row],[Psw_bottom (mV) C]]</f>
        <v>635.66078141307196</v>
      </c>
      <c r="BZ254" s="156">
        <f ca="1">Table7[[#This Row],[Pbottom (mW) C]]+Table7[[#This Row],[Ptop (mW) C]]</f>
        <v>1630.6980137381452</v>
      </c>
      <c r="CA254" s="159"/>
      <c r="CB254" s="160">
        <f>(RAC_SNS*10^-3*(Table7[[#This Row],[IOUT (A)]]*Vbat/VACnom)^2/10^-3)</f>
        <v>367.65312500000005</v>
      </c>
      <c r="CC254" s="160">
        <f>(RBAT_SNS*10^-3*Table7[[#This Row],[IOUT (A)]]^2)/10^-3</f>
        <v>120.05000000000003</v>
      </c>
      <c r="CD254" s="160">
        <f>IF(VACnom&gt;Vbat,(L_DRC*10^-3*(Table7[[#This Row],[IOUT (A)]])^2/10^-3),(L_DRC*10^-3*(Table7[[#This Row],[IOUT (A)]]*Vbat/VACnom)^2/10^-3))</f>
        <v>882.36750000000018</v>
      </c>
      <c r="CE254" s="166"/>
      <c r="CF254" s="156">
        <f>(Table7[[#This Row],[R_AC (mW)]]+Table7[[#This Row],[R_SR (mW)]]+Table7[[#This Row],[Inductor Loss (mW)]])/10^3</f>
        <v>1.3700706250000003</v>
      </c>
      <c r="CG254" s="156">
        <f ca="1">Table7[[#This Row],[Total TI (mW)]]/10^3</f>
        <v>3.0616752903170226</v>
      </c>
      <c r="CH254" s="156">
        <f ca="1">Table7[[#This Row],[Total Sense Loss]]+Table7[[#This Row],[Total MOSFET Loss]]</f>
        <v>4.4317459153170233</v>
      </c>
      <c r="CI254" s="161">
        <f ca="1">IF(Table7[[#This Row],[POUT (W)]]=0,0,(Table7[[#This Row],[POUT (W)]])/(Table7[[#This Row],[POUT (W)]]+Table7[[#This Row],[Total Power Loss (W)]]))*100</f>
        <v>92.991264354376312</v>
      </c>
      <c r="CJ254" s="167"/>
      <c r="CK254" s="156">
        <f>(Table7[[#This Row],[R_AC (mW)]]+Table7[[#This Row],[R_SR (mW)]]+Table7[[#This Row],[Inductor Loss (mW)]])/10^3</f>
        <v>1.3700706250000003</v>
      </c>
      <c r="CL254" s="156">
        <f ca="1">Table7[[#This Row],[Total (mW) C]]/10^3</f>
        <v>1.6306980137381453</v>
      </c>
      <c r="CM254" s="156">
        <f ca="1">Table7[[#This Row],[Total Sense Loss C]]+Table7[[#This Row],[Total MOSFET Loss C]]</f>
        <v>3.0007686387381458</v>
      </c>
      <c r="CN254" s="161">
        <f ca="1">IF(Table7[[#This Row],[POUT (W)]]=0,0,(Table7[[#This Row],[POUT (W)]])/(Table7[[#This Row],[POUT (W)]]+Table7[[#This Row],[Total Power Loss (W) C]]))*100</f>
        <v>95.144447706986625</v>
      </c>
      <c r="CO254" s="167"/>
      <c r="CP254" s="161">
        <f>IF(MOSFET_S=Custom_MOSFET,Table7[[#This Row],[Total Sense Loss C]],Table7[[#This Row],[Total Sense Loss]])</f>
        <v>1.3700706250000003</v>
      </c>
      <c r="CQ254" s="161">
        <f ca="1">IF(MOSFET_S=Custom_MOSFET,Table7[[#This Row],[Total MOSFET Loss C]],Table7[[#This Row],[Total MOSFET Loss]])</f>
        <v>3.0616752903170226</v>
      </c>
      <c r="CR254" s="161">
        <f ca="1">IF(MOSFET_S=Custom_MOSFET,Table7[[#This Row],[Efficiency C]],Table7[[#This Row],[Efficiency]])</f>
        <v>92.991264354376312</v>
      </c>
      <c r="CS254" s="167"/>
      <c r="CT254" s="161">
        <f>IF(MOSFET_S=Compare_MOSFET, Table7[[#This Row],[Total Sense Loss C]], -100)</f>
        <v>-100</v>
      </c>
      <c r="CU254" s="161">
        <f>IF(MOSFET_S=Compare_MOSFET, Table7[[#This Row],[Total MOSFET Loss C]], -100)</f>
        <v>-100</v>
      </c>
      <c r="CV254" s="161">
        <f>IF(MOSFET_S=Compare_MOSFET, Table7[[#This Row],[Efficiency C]], -100)</f>
        <v>-100</v>
      </c>
      <c r="CW254" s="167"/>
      <c r="CX254" s="161">
        <f ca="1">IF(Save_Sel=CLR_Save,  Table7[[#This Row],[Total Sense Loss P1]], Table7[[#This Row],[Total Sense Loss P1 Saved]])</f>
        <v>1.3700706250000003</v>
      </c>
      <c r="CY254" s="161">
        <f ca="1">IF(Save_Sel=CLR_Save,  Table7[[#This Row],[Total MOSFET Loss P1]], Table7[[#This Row],[Total MOSFET Loss P1 Saved]] )</f>
        <v>2.3969033671488114</v>
      </c>
      <c r="CZ254" s="161">
        <f ca="1">IF(Save_Sel=CLR_Save, Table7[[#This Row],[Efficiency P1]], Table7[[#This Row],[Efficiency P1 Saved]])</f>
        <v>93.979293304768888</v>
      </c>
      <c r="DA254" s="167"/>
      <c r="DB254" s="161">
        <f ca="1">IF(Save_Sel=CLR_Save,  Table7[[#This Row],[Total Sense Loss P2]], Table7[[#This Row],[Total Sense Loss P2 Saved]])</f>
        <v>1.3700706250000003</v>
      </c>
      <c r="DC254" s="161">
        <f ca="1">IF(Save_Sel=CLR_Save,  Table7[[#This Row],[Total MOSFET Loss P2]], Table7[[#This Row],[Total MOSFET Loss P2 Saved]] )</f>
        <v>1.7223458891070131</v>
      </c>
      <c r="DD254" s="161">
        <f ca="1">IF(Save_Sel=CLR_Save, Table7[[#This Row],[Efficiency P2]], Table7[[#This Row],[Efficiency P2 Saved]])</f>
        <v>95.003561521301776</v>
      </c>
      <c r="DE254" s="167"/>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row>
    <row r="255" spans="1:165" x14ac:dyDescent="0.25">
      <c r="A255" s="70"/>
      <c r="B255" s="70"/>
      <c r="C255" s="70"/>
      <c r="D255" s="70"/>
      <c r="E255" s="70"/>
      <c r="F255" s="70"/>
      <c r="G255" s="70"/>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154">
        <f t="shared" si="54"/>
        <v>99</v>
      </c>
      <c r="AG255" s="154">
        <f t="shared" si="59"/>
        <v>4.95</v>
      </c>
      <c r="AH255" s="155">
        <f t="shared" si="57"/>
        <v>59.400000000000006</v>
      </c>
      <c r="AI255" s="156">
        <f t="shared" si="43"/>
        <v>0.42857142857142855</v>
      </c>
      <c r="AJ255" s="156">
        <f t="shared" si="58"/>
        <v>8.6625000000000014</v>
      </c>
      <c r="AK255" s="156">
        <f t="shared" si="55"/>
        <v>0.85714285714285721</v>
      </c>
      <c r="AL255" s="156">
        <f t="shared" si="56"/>
        <v>8.6660331605525229</v>
      </c>
      <c r="AM255" s="157"/>
      <c r="AN255" s="156">
        <f>MAX(0,Table7[[#This Row],[I_L]]-0.5*Table7[[#This Row],[I_L pkpk]])</f>
        <v>8.2339285714285726</v>
      </c>
      <c r="AO255" s="156">
        <f>Table7[[#This Row],[I_L]]+0.5*Table7[[#This Row],[I_L pkpk]]</f>
        <v>9.0910714285714302</v>
      </c>
      <c r="AP255" s="156">
        <f ca="1">IF(VACnom&gt;Vbat, (VGS_S-(TI_MOSFET_S_VTH_H_BU+Table7[[#This Row],[I_L]]/TI_MOSFET_S_gFS_H_BU))/3.4, (VGS_S-(TI_MOSFET_S_VTH_L_BO+Table7[[#This Row],[I_L]]/TI_MOSFET_S_gFS_L_BO))/3.4 )</f>
        <v>2.4068721719457016</v>
      </c>
      <c r="AQ255" s="156">
        <f ca="1">IF(VACnom&gt;Vbat, ((TI_MOSFET_S_VTH_H_BU+Table7[[#This Row],[I_L]]/TI_MOSFET_S_gFS_H_BU))/1, ((TI_MOSFET_S_VTH_L_BO+Table7[[#This Row],[I_L]]/TI_MOSFET_S_gFS_L_BO))/1 )</f>
        <v>1.8166346153846153</v>
      </c>
      <c r="AR255" s="156">
        <f ca="1">IF(VACnom&gt;Vbat, (TI_MOSFET_S_QGD_H_BU+TI_MOSFET_S_QGS_H_BU)*10^-9/Table7[[#This Row],[Ion (A)]], (TI_MOSFET_S_QGD_L_BO+TI_MOSFET_S_QGS_L_BO)*10^-9/Table7[[#This Row],[Ion (A)]])/10^-9</f>
        <v>11.965737248404947</v>
      </c>
      <c r="AS255" s="156">
        <f ca="1">IF(VACnom&gt;Vbat, (TI_MOSFET_S_QGD_H_BU+TI_MOSFET_S_QGS_H_BU)*10^-9/Table7[[#This Row],[Ioff (A)]], (TI_MOSFET_S_QGD_L_BO+TI_MOSFET_S_QGS_L_BO)*10^-9/Table7[[#This Row],[Ioff (A)]])/10^-9</f>
        <v>15.853490710845289</v>
      </c>
      <c r="AT255" s="156">
        <f ca="1" xml:space="preserve"> 0.5*VACnom*Table7[[#This Row],[Ivalley (A)]]*Table7[[#This Row],[ton (ns)]]*10^-9*Fsw*10^3+0.5*VACnom*Table7[[#This Row],[Ipeak (A)]]*Table7[[#This Row],[toff (ns)]]*10^-9*Fsw*10^3/10^-3</f>
        <v>519.20546929306568</v>
      </c>
      <c r="AU255" s="156">
        <f t="shared" ca="1" si="45"/>
        <v>262.8</v>
      </c>
      <c r="AV255" s="156">
        <f t="shared" ca="1" si="46"/>
        <v>648</v>
      </c>
      <c r="AW255" s="156">
        <f t="shared" ca="1" si="47"/>
        <v>554.4</v>
      </c>
      <c r="AX255" s="156">
        <f ca="1">IF(VACnom&gt;Vbat, TI_MOSFET_S_VSD_L_BU*Table7[[#This Row],[Ivalley (A)]]*Fsw*10^3*40*10^-9+TI_MOSFET_S_VSD_L_BU*Table7[[#This Row],[Ipeak (A)]]*Fsw*10^3*30*10^-9, TI_MOSFET_S_VSD_H_BO*Table7[[#This Row],[Ivalley (A)]]*Fsw*10^3*40*10^-9+TI_MOSFET_S_VSD_H_BO*Table7[[#This Row],[Ipeak (A)]]*Fsw*10^3*30*10^-9)/10^-3</f>
        <v>260.10257142857154</v>
      </c>
      <c r="AY255" s="156">
        <f t="shared" ca="1" si="48"/>
        <v>648</v>
      </c>
      <c r="AZ255" s="156">
        <f ca="1">IF(VACnom&lt;Vbat, Table7[[#This Row],[Duty Cycle]]*Table7[[#This Row],[I_L RMS]]^2*TI_MOSFET_S_RDSON_H_BU*10^-3, (1-Table7[[#This Row],[Duty Cycle]])*Table7[[#This Row],[I_L RMS]]^2*TI_MOSFET_S_RDSON_H_BO*10^-3)/10^-3</f>
        <v>90.120156887755115</v>
      </c>
      <c r="BA255" s="156">
        <f ca="1">IF(VACnom&gt;Vbat, Table7[[#This Row],[PIV (mW)]]+Table7[[#This Row],[Pqoss (mW)]]+Table7[[#This Row],[Pgate_top (mW)]], Table7[[#This Row],[PRR (mW)]]+Table7[[#This Row],[Pdead (mW)]]+Table7[[#This Row],[Pgate_top (mW)]])</f>
        <v>1462.5025714285716</v>
      </c>
      <c r="BB255" s="156">
        <f ca="1">Table7[[#This Row],[Pcon_top (mW)]]+Table7[[#This Row],[Psw_top (mW)]]</f>
        <v>1552.6227283163266</v>
      </c>
      <c r="BC255" s="156">
        <f ca="1">IF(VACnom&gt;Vbat, (1-Table7[[#This Row],[Duty Cycle]])*Table7[[#This Row],[I_L RMS]]^2*TI_MOSFET_S_RDSON_L_BU*10^-3, Table7[[#This Row],[Duty Cycle]]*Table7[[#This Row],[I_L RMS]]^2*TI_MOSFET_S_RDSON_L_BO*10^-3)/10^-3</f>
        <v>90.120156887755115</v>
      </c>
      <c r="BD255" s="156">
        <f ca="1">IF(VACnom&gt;Vbat, Table7[[#This Row],[PRR (mW)]]+Table7[[#This Row],[Pdead (mW)]]+Table7[[#This Row],[Pgate_bottom (mW)]], Table7[[#This Row],[PIV (mW)]]+Table7[[#This Row],[Pqoss (mW)]]+Table7[[#This Row],[Pgate_bottom (mW)]])</f>
        <v>1430.0054692930657</v>
      </c>
      <c r="BE255" s="158">
        <f ca="1">Table7[[#This Row],[Pcon_bottom (mW)]]+Table7[[#This Row],[Psw_bottom (mW)]]</f>
        <v>1520.1256261808207</v>
      </c>
      <c r="BF255" s="164">
        <f ca="1">Table7[[#This Row],[Pbottom (mW)]]+Table7[[#This Row],[Ptop (mW)]]</f>
        <v>3072.7483544971474</v>
      </c>
      <c r="BG255" s="153"/>
      <c r="BH255" s="156">
        <f>MAX(0,Table7[[#This Row],[I_L]]-0.5*Table7[[#This Row],[I_L pkpk]])</f>
        <v>8.2339285714285726</v>
      </c>
      <c r="BI255" s="156">
        <f>Table7[[#This Row],[I_L]]+0.5*Table7[[#This Row],[I_L pkpk]]</f>
        <v>9.0910714285714302</v>
      </c>
      <c r="BJ255" s="156">
        <f>IF(VACnom&gt;Vbat, (VGS_S-(C_MOSFET_S_VTH_H_BU+Table7[[#This Row],[I_L]]/C_MOSFET_S_gFS_H_BU))/3.4, (VGS_S-(C_MOSFET_S_VTH_L_BO+Table7[[#This Row],[I_L]]/C_MOSFET_S_gFS_L_BO))/3.4 )</f>
        <v>2.3359558823529412</v>
      </c>
      <c r="BK255" s="156">
        <f>IF(VACnom&gt;Vbat, ((C_MOSFET_S_VTH_H_BU+Table7[[#This Row],[I_L]]/C_MOSFET_S_gFS_H_BU))/1, ((C_MOSFET_S_VTH_L_BO+Table7[[#This Row],[I_L]]/C_MOSFET_S_gFS_L_BO))/1 )</f>
        <v>2.05775</v>
      </c>
      <c r="BL255" s="156">
        <f>IF(VACnom&gt;Vbat, (C_MOSFET_S_QGD_H_BU+C_MOSFET_S_QGS_H_BU)*10^-9/Table7[[#This Row],[Ion (A) C]], (C_MOSFET_S_QGD_L_BO+C_MOSFET_S_QGS_L_BO)*10^-9/Table7[[#This Row],[Ion (A) C]])/10^-9</f>
        <v>2.7825867984513204</v>
      </c>
      <c r="BM255" s="156">
        <f>IF(VACnom&gt;Vbat, (C_MOSFET_S_QGD_H_BU+C_MOSFET_S_QGS_H_BU)*10^-9/Table7[[#This Row],[Ioff (A) C]], (C_MOSFET_S_QGD_L_BO+C_MOSFET_S_QGS_L_BO)*10^-9/Table7[[#This Row],[Ioff (A) C]])/10^-9</f>
        <v>3.1587899404689588</v>
      </c>
      <c r="BN255" s="156">
        <f xml:space="preserve"> 0.5*VACnom*Table7[[#This Row],[Ivalley (A) C]]*Table7[[#This Row],[ton (ns) C]]*10^-9*Fsw*10^3+0.5*VACnom*Table7[[#This Row],[Ipeak (A) C]]*Table7[[#This Row],[toff (ns) C]]*10^-9*Fsw*10^3/10^-3</f>
        <v>103.46290775135441</v>
      </c>
      <c r="BO255" s="156">
        <f t="shared" si="49"/>
        <v>129.6</v>
      </c>
      <c r="BP255" s="156">
        <f t="shared" ca="1" si="50"/>
        <v>291.59999999999997</v>
      </c>
      <c r="BQ255" s="156">
        <f t="shared" si="51"/>
        <v>237.6</v>
      </c>
      <c r="BR255" s="156">
        <f>IF(VACnom&gt;Vbat, C_MOSFET_S_VSD_L_BU*Table7[[#This Row],[Ivalley (A) C]]*Fsw*10^3*40*10^-9+C_MOSFET_S_VSD_L_BU*Table7[[#This Row],[Ipeak (A) C]]*Fsw*10^3*30*10^-9, C_MOSFET_S_VSD_H_BO*Table7[[#This Row],[Ivalley (A) C]]*Fsw*10^3*40*10^-9+C_MOSFET_S_VSD_H_BO*Table7[[#This Row],[Ipeak (A) C]]*Fsw*10^3*30*10^-9)/10^-3</f>
        <v>289.00285714285724</v>
      </c>
      <c r="BS255" s="156">
        <f t="shared" ca="1" si="52"/>
        <v>291.59999999999997</v>
      </c>
      <c r="BT255" s="156">
        <f>IF(VACnom&lt;Vbat, Table7[[#This Row],[Duty Cycle]]*Table7[[#This Row],[I_L RMS]]^2*C_MOSFET_S_RDSON_H_BU*10^-3, (1-Table7[[#This Row],[Duty Cycle]])*Table7[[#This Row],[I_L RMS]]^2*C_MOSFET_S_RDSON_H_BO*10^-3)/10^-3</f>
        <v>183.45889080721579</v>
      </c>
      <c r="BU255" s="156">
        <f ca="1">IF(VACnom&gt;Vbat, Table7[[#This Row],[PIV (mW) C]]+Table7[[#This Row],[PQoss (mW) C]]+Table7[[#This Row],[Pgate_top (mW) C]], Table7[[#This Row],[PRR (mW) C]]+Table7[[#This Row],[Pdead (mW) C]]+Table7[[#This Row],[Pgate_top (mW) C]])</f>
        <v>818.20285714285728</v>
      </c>
      <c r="BV255" s="156">
        <f ca="1">Table7[[#This Row],[Pcon_top (mW) C]]+Table7[[#This Row],[Psw_top (mW) C]]</f>
        <v>1001.661747950073</v>
      </c>
      <c r="BW255" s="156">
        <f ca="1">IF(VACnom&gt;Vbat, (1-Table7[[#This Row],[Duty Cycle]])*Table7[[#This Row],[I_L RMS]]^2*C_MOSFET_S_RDSON_L_BU*10^-3, Table7[[#This Row],[Duty Cycle]]*Table7[[#This Row],[I_L RMS]]^2*C_MOSFET_S_RDSON_L_BO*10^-3)/10^-3</f>
        <v>114.25948462554666</v>
      </c>
      <c r="BX255" s="156">
        <f ca="1">IF(VACnom&gt;Vbat, Table7[[#This Row],[PRR (mW) C]]+Table7[[#This Row],[Pdead (mW) C]]+Table7[[#This Row],[Pgate_bottom (mW) C]], Table7[[#This Row],[PIV (mW) C]]+Table7[[#This Row],[PQoss (mW) C]]+Table7[[#This Row],[Pgate_bottom (mW) C]])</f>
        <v>524.6629077513544</v>
      </c>
      <c r="BY255" s="156">
        <f ca="1">Table7[[#This Row],[Pcon_bottom (mW) C]]+Table7[[#This Row],[Psw_bottom (mV) C]]</f>
        <v>638.92239237690103</v>
      </c>
      <c r="BZ255" s="156">
        <f ca="1">Table7[[#This Row],[Pbottom (mW) C]]+Table7[[#This Row],[Ptop (mW) C]]</f>
        <v>1640.5841403269742</v>
      </c>
      <c r="CA255" s="159"/>
      <c r="CB255" s="160">
        <f>(RAC_SNS*10^-3*(Table7[[#This Row],[IOUT (A)]]*Vbat/VACnom)^2/10^-3)</f>
        <v>375.19453125000001</v>
      </c>
      <c r="CC255" s="160">
        <f>(RBAT_SNS*10^-3*Table7[[#This Row],[IOUT (A)]]^2)/10^-3</f>
        <v>122.5125</v>
      </c>
      <c r="CD255" s="160">
        <f>IF(VACnom&gt;Vbat,(L_DRC*10^-3*(Table7[[#This Row],[IOUT (A)]])^2/10^-3),(L_DRC*10^-3*(Table7[[#This Row],[IOUT (A)]]*Vbat/VACnom)^2/10^-3))</f>
        <v>900.46687499999996</v>
      </c>
      <c r="CE255" s="166"/>
      <c r="CF255" s="156">
        <f>(Table7[[#This Row],[R_AC (mW)]]+Table7[[#This Row],[R_SR (mW)]]+Table7[[#This Row],[Inductor Loss (mW)]])/10^3</f>
        <v>1.39817390625</v>
      </c>
      <c r="CG255" s="156">
        <f ca="1">Table7[[#This Row],[Total TI (mW)]]/10^3</f>
        <v>3.0727483544971474</v>
      </c>
      <c r="CH255" s="156">
        <f ca="1">Table7[[#This Row],[Total Sense Loss]]+Table7[[#This Row],[Total MOSFET Loss]]</f>
        <v>4.4709222607471473</v>
      </c>
      <c r="CI255" s="161">
        <f ca="1">IF(Table7[[#This Row],[POUT (W)]]=0,0,(Table7[[#This Row],[POUT (W)]])/(Table7[[#This Row],[POUT (W)]]+Table7[[#This Row],[Total Power Loss (W)]]))*100</f>
        <v>93.00006622341381</v>
      </c>
      <c r="CJ255" s="167"/>
      <c r="CK255" s="156">
        <f>(Table7[[#This Row],[R_AC (mW)]]+Table7[[#This Row],[R_SR (mW)]]+Table7[[#This Row],[Inductor Loss (mW)]])/10^3</f>
        <v>1.39817390625</v>
      </c>
      <c r="CL255" s="156">
        <f ca="1">Table7[[#This Row],[Total (mW) C]]/10^3</f>
        <v>1.6405841403269741</v>
      </c>
      <c r="CM255" s="156">
        <f ca="1">Table7[[#This Row],[Total Sense Loss C]]+Table7[[#This Row],[Total MOSFET Loss C]]</f>
        <v>3.0387580465769739</v>
      </c>
      <c r="CN255" s="161">
        <f ca="1">IF(Table7[[#This Row],[POUT (W)]]=0,0,(Table7[[#This Row],[POUT (W)]])/(Table7[[#This Row],[POUT (W)]]+Table7[[#This Row],[Total Power Loss (W) C]]))*100</f>
        <v>95.133218305991647</v>
      </c>
      <c r="CO255" s="167"/>
      <c r="CP255" s="161">
        <f>IF(MOSFET_S=Custom_MOSFET,Table7[[#This Row],[Total Sense Loss C]],Table7[[#This Row],[Total Sense Loss]])</f>
        <v>1.39817390625</v>
      </c>
      <c r="CQ255" s="161">
        <f ca="1">IF(MOSFET_S=Custom_MOSFET,Table7[[#This Row],[Total MOSFET Loss C]],Table7[[#This Row],[Total MOSFET Loss]])</f>
        <v>3.0727483544971474</v>
      </c>
      <c r="CR255" s="161">
        <f ca="1">IF(MOSFET_S=Custom_MOSFET,Table7[[#This Row],[Efficiency C]],Table7[[#This Row],[Efficiency]])</f>
        <v>93.00006622341381</v>
      </c>
      <c r="CS255" s="167"/>
      <c r="CT255" s="161">
        <f>IF(MOSFET_S=Compare_MOSFET, Table7[[#This Row],[Total Sense Loss C]], -100)</f>
        <v>-100</v>
      </c>
      <c r="CU255" s="161">
        <f>IF(MOSFET_S=Compare_MOSFET, Table7[[#This Row],[Total MOSFET Loss C]], -100)</f>
        <v>-100</v>
      </c>
      <c r="CV255" s="161">
        <f>IF(MOSFET_S=Compare_MOSFET, Table7[[#This Row],[Efficiency C]], -100)</f>
        <v>-100</v>
      </c>
      <c r="CW255" s="167"/>
      <c r="CX255" s="161">
        <f ca="1">IF(Save_Sel=CLR_Save,  Table7[[#This Row],[Total Sense Loss P1]], Table7[[#This Row],[Total Sense Loss P1 Saved]])</f>
        <v>1.39817390625</v>
      </c>
      <c r="CY255" s="161">
        <f ca="1">IF(Save_Sel=CLR_Save,  Table7[[#This Row],[Total MOSFET Loss P1]], Table7[[#This Row],[Total MOSFET Loss P1 Saved]] )</f>
        <v>2.4089540058273315</v>
      </c>
      <c r="CZ255" s="161">
        <f ca="1">IF(Save_Sel=CLR_Save, Table7[[#This Row],[Efficiency P1]], Table7[[#This Row],[Efficiency P1 Saved]])</f>
        <v>93.976742753802796</v>
      </c>
      <c r="DA255" s="167"/>
      <c r="DB255" s="161">
        <f ca="1">IF(Save_Sel=CLR_Save,  Table7[[#This Row],[Total Sense Loss P2]], Table7[[#This Row],[Total Sense Loss P2 Saved]])</f>
        <v>1.39817390625</v>
      </c>
      <c r="DC255" s="161">
        <f ca="1">IF(Save_Sel=CLR_Save,  Table7[[#This Row],[Total MOSFET Loss P2]], Table7[[#This Row],[Total MOSFET Loss P2 Saved]] )</f>
        <v>1.7341086251297009</v>
      </c>
      <c r="DD255" s="161">
        <f ca="1">IF(Save_Sel=CLR_Save, Table7[[#This Row],[Efficiency P2]], Table7[[#This Row],[Efficiency P2 Saved]])</f>
        <v>94.990935234440116</v>
      </c>
      <c r="DE255" s="167"/>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row>
    <row r="256" spans="1:165" ht="15.75" thickBot="1" x14ac:dyDescent="0.3">
      <c r="A256" s="70"/>
      <c r="B256" s="70"/>
      <c r="C256" s="70"/>
      <c r="D256" s="70"/>
      <c r="E256" s="70"/>
      <c r="F256" s="70"/>
      <c r="G256" s="70"/>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154">
        <f t="shared" si="54"/>
        <v>100</v>
      </c>
      <c r="AG256" s="162">
        <f>Ioutmax</f>
        <v>5</v>
      </c>
      <c r="AH256" s="155">
        <f t="shared" si="57"/>
        <v>60</v>
      </c>
      <c r="AI256" s="156">
        <f t="shared" si="43"/>
        <v>0.42857142857142855</v>
      </c>
      <c r="AJ256" s="156">
        <f t="shared" si="58"/>
        <v>8.75</v>
      </c>
      <c r="AK256" s="156">
        <f t="shared" si="55"/>
        <v>0.85714285714285721</v>
      </c>
      <c r="AL256" s="156">
        <f t="shared" si="56"/>
        <v>8.7534978431365325</v>
      </c>
      <c r="AM256" s="157"/>
      <c r="AN256" s="156">
        <f>MAX(0,Table7[[#This Row],[I_L]]-0.5*Table7[[#This Row],[I_L pkpk]])</f>
        <v>8.3214285714285712</v>
      </c>
      <c r="AO256" s="156">
        <f>Table7[[#This Row],[I_L]]+0.5*Table7[[#This Row],[I_L pkpk]]</f>
        <v>9.1785714285714288</v>
      </c>
      <c r="AP256" s="156">
        <f ca="1">IF(VACnom&gt;Vbat, (VGS_S-(TI_MOSFET_S_VTH_H_BU+Table7[[#This Row],[I_L]]/TI_MOSFET_S_gFS_H_BU))/3.4, (VGS_S-(TI_MOSFET_S_VTH_L_BO+Table7[[#This Row],[I_L]]/TI_MOSFET_S_gFS_L_BO))/3.4 )</f>
        <v>2.4066742081447967</v>
      </c>
      <c r="AQ256" s="156">
        <f ca="1">IF(VACnom&gt;Vbat, ((TI_MOSFET_S_VTH_H_BU+Table7[[#This Row],[I_L]]/TI_MOSFET_S_gFS_H_BU))/1, ((TI_MOSFET_S_VTH_L_BO+Table7[[#This Row],[I_L]]/TI_MOSFET_S_gFS_L_BO))/1 )</f>
        <v>1.8173076923076923</v>
      </c>
      <c r="AR256" s="156">
        <f ca="1">IF(VACnom&gt;Vbat, (TI_MOSFET_S_QGD_H_BU+TI_MOSFET_S_QGS_H_BU)*10^-9/Table7[[#This Row],[Ion (A)]], (TI_MOSFET_S_QGD_L_BO+TI_MOSFET_S_QGS_L_BO)*10^-9/Table7[[#This Row],[Ion (A)]])/10^-9</f>
        <v>11.966721504112806</v>
      </c>
      <c r="AS256" s="156">
        <f ca="1">IF(VACnom&gt;Vbat, (TI_MOSFET_S_QGD_H_BU+TI_MOSFET_S_QGS_H_BU)*10^-9/Table7[[#This Row],[Ioff (A)]], (TI_MOSFET_S_QGD_L_BO+TI_MOSFET_S_QGS_L_BO)*10^-9/Table7[[#This Row],[Ioff (A)]])/10^-9</f>
        <v>15.847619047619048</v>
      </c>
      <c r="AT256" s="156">
        <f ca="1" xml:space="preserve"> 0.5*VACnom*Table7[[#This Row],[Ivalley (A)]]*Table7[[#This Row],[ton (ns)]]*10^-9*Fsw*10^3+0.5*VACnom*Table7[[#This Row],[Ipeak (A)]]*Table7[[#This Row],[toff (ns)]]*10^-9*Fsw*10^3/10^-3</f>
        <v>524.00910103052843</v>
      </c>
      <c r="AU256" s="156">
        <f t="shared" ca="1" si="45"/>
        <v>262.8</v>
      </c>
      <c r="AV256" s="156">
        <f t="shared" ca="1" si="46"/>
        <v>648</v>
      </c>
      <c r="AW256" s="156">
        <f t="shared" ca="1" si="47"/>
        <v>554.4</v>
      </c>
      <c r="AX256" s="156">
        <f ca="1">IF(VACnom&gt;Vbat, TI_MOSFET_S_VSD_L_BU*Table7[[#This Row],[Ivalley (A)]]*Fsw*10^3*40*10^-9+TI_MOSFET_S_VSD_L_BU*Table7[[#This Row],[Ipeak (A)]]*Fsw*10^3*30*10^-9, TI_MOSFET_S_VSD_H_BO*Table7[[#This Row],[Ivalley (A)]]*Fsw*10^3*40*10^-9+TI_MOSFET_S_VSD_H_BO*Table7[[#This Row],[Ipeak (A)]]*Fsw*10^3*30*10^-9)/10^-3</f>
        <v>262.74857142857144</v>
      </c>
      <c r="AY256" s="156">
        <f t="shared" ca="1" si="48"/>
        <v>648</v>
      </c>
      <c r="AZ256" s="156">
        <f ca="1">IF(VACnom&lt;Vbat, Table7[[#This Row],[Duty Cycle]]*Table7[[#This Row],[I_L RMS]]^2*TI_MOSFET_S_RDSON_H_BU*10^-3, (1-Table7[[#This Row],[Duty Cycle]])*Table7[[#This Row],[I_L RMS]]^2*TI_MOSFET_S_RDSON_H_BO*10^-3)/10^-3</f>
        <v>91.948469387755097</v>
      </c>
      <c r="BA256" s="156">
        <f ca="1">IF(VACnom&gt;Vbat, Table7[[#This Row],[PIV (mW)]]+Table7[[#This Row],[Pqoss (mW)]]+Table7[[#This Row],[Pgate_top (mW)]], Table7[[#This Row],[PRR (mW)]]+Table7[[#This Row],[Pdead (mW)]]+Table7[[#This Row],[Pgate_top (mW)]])</f>
        <v>1465.1485714285714</v>
      </c>
      <c r="BB256" s="156">
        <f ca="1">Table7[[#This Row],[Pcon_top (mW)]]+Table7[[#This Row],[Psw_top (mW)]]</f>
        <v>1557.0970408163264</v>
      </c>
      <c r="BC256" s="156">
        <f ca="1">IF(VACnom&gt;Vbat, (1-Table7[[#This Row],[Duty Cycle]])*Table7[[#This Row],[I_L RMS]]^2*TI_MOSFET_S_RDSON_L_BU*10^-3, Table7[[#This Row],[Duty Cycle]]*Table7[[#This Row],[I_L RMS]]^2*TI_MOSFET_S_RDSON_L_BO*10^-3)/10^-3</f>
        <v>91.948469387755097</v>
      </c>
      <c r="BD256" s="156">
        <f ca="1">IF(VACnom&gt;Vbat, Table7[[#This Row],[PRR (mW)]]+Table7[[#This Row],[Pdead (mW)]]+Table7[[#This Row],[Pgate_bottom (mW)]], Table7[[#This Row],[PIV (mW)]]+Table7[[#This Row],[Pqoss (mW)]]+Table7[[#This Row],[Pgate_bottom (mW)]])</f>
        <v>1434.8091010305284</v>
      </c>
      <c r="BE256" s="163">
        <f ca="1">Table7[[#This Row],[Pcon_bottom (mW)]]+Table7[[#This Row],[Psw_bottom (mW)]]</f>
        <v>1526.7575704182834</v>
      </c>
      <c r="BF256" s="164">
        <f ca="1">Table7[[#This Row],[Pbottom (mW)]]+Table7[[#This Row],[Ptop (mW)]]</f>
        <v>3083.8546112346098</v>
      </c>
      <c r="BG256" s="153"/>
      <c r="BH256" s="156">
        <f>MAX(0,Table7[[#This Row],[I_L]]-0.5*Table7[[#This Row],[I_L pkpk]])</f>
        <v>8.3214285714285712</v>
      </c>
      <c r="BI256" s="156">
        <f>Table7[[#This Row],[I_L]]+0.5*Table7[[#This Row],[I_L pkpk]]</f>
        <v>9.1785714285714288</v>
      </c>
      <c r="BJ256" s="156">
        <f>IF(VACnom&gt;Vbat, (VGS_S-(C_MOSFET_S_VTH_H_BU+Table7[[#This Row],[I_L]]/C_MOSFET_S_gFS_H_BU))/3.4, (VGS_S-(C_MOSFET_S_VTH_L_BO+Table7[[#This Row],[I_L]]/C_MOSFET_S_gFS_L_BO))/3.4 )</f>
        <v>2.3357843137254903</v>
      </c>
      <c r="BK256" s="156">
        <f>IF(VACnom&gt;Vbat, ((C_MOSFET_S_VTH_H_BU+Table7[[#This Row],[I_L]]/C_MOSFET_S_gFS_H_BU))/1, ((C_MOSFET_S_VTH_L_BO+Table7[[#This Row],[I_L]]/C_MOSFET_S_gFS_L_BO))/1 )</f>
        <v>2.0583333333333331</v>
      </c>
      <c r="BL256" s="156">
        <f>IF(VACnom&gt;Vbat, (C_MOSFET_S_QGD_H_BU+C_MOSFET_S_QGS_H_BU)*10^-9/Table7[[#This Row],[Ion (A) C]], (C_MOSFET_S_QGD_L_BO+C_MOSFET_S_QGS_L_BO)*10^-9/Table7[[#This Row],[Ion (A) C]])/10^-9</f>
        <v>2.7827911857292755</v>
      </c>
      <c r="BM256" s="156">
        <f>IF(VACnom&gt;Vbat, (C_MOSFET_S_QGD_H_BU+C_MOSFET_S_QGS_H_BU)*10^-9/Table7[[#This Row],[Ioff (A) C]], (C_MOSFET_S_QGD_L_BO+C_MOSFET_S_QGS_L_BO)*10^-9/Table7[[#This Row],[Ioff (A) C]])/10^-9</f>
        <v>3.1578947368421058</v>
      </c>
      <c r="BN256" s="156">
        <f xml:space="preserve"> 0.5*VACnom*Table7[[#This Row],[Ivalley (A) C]]*Table7[[#This Row],[ton (ns) C]]*10^-9*Fsw*10^3+0.5*VACnom*Table7[[#This Row],[Ipeak (A) C]]*Table7[[#This Row],[toff (ns) C]]*10^-9*Fsw*10^3/10^-3</f>
        <v>104.42922913474666</v>
      </c>
      <c r="BO256" s="156">
        <f t="shared" si="49"/>
        <v>129.6</v>
      </c>
      <c r="BP256" s="156">
        <f t="shared" ca="1" si="50"/>
        <v>291.59999999999997</v>
      </c>
      <c r="BQ256" s="156">
        <f t="shared" si="51"/>
        <v>237.6</v>
      </c>
      <c r="BR256" s="156">
        <f>IF(VACnom&gt;Vbat, C_MOSFET_S_VSD_L_BU*Table7[[#This Row],[Ivalley (A) C]]*Fsw*10^3*40*10^-9+C_MOSFET_S_VSD_L_BU*Table7[[#This Row],[Ipeak (A) C]]*Fsw*10^3*30*10^-9, C_MOSFET_S_VSD_H_BO*Table7[[#This Row],[Ivalley (A) C]]*Fsw*10^3*40*10^-9+C_MOSFET_S_VSD_H_BO*Table7[[#This Row],[Ipeak (A) C]]*Fsw*10^3*30*10^-9)/10^-3</f>
        <v>291.94285714285724</v>
      </c>
      <c r="BS256" s="156">
        <f t="shared" ca="1" si="52"/>
        <v>291.59999999999997</v>
      </c>
      <c r="BT256" s="156">
        <f>IF(VACnom&lt;Vbat, Table7[[#This Row],[Duty Cycle]]*Table7[[#This Row],[I_L RMS]]^2*C_MOSFET_S_RDSON_H_BU*10^-3, (1-Table7[[#This Row],[Duty Cycle]])*Table7[[#This Row],[I_L RMS]]^2*C_MOSFET_S_RDSON_H_BO*10^-3)/10^-3</f>
        <v>187.18081268221573</v>
      </c>
      <c r="BU256" s="156">
        <f ca="1">IF(VACnom&gt;Vbat, Table7[[#This Row],[PIV (mW) C]]+Table7[[#This Row],[PQoss (mW) C]]+Table7[[#This Row],[Pgate_top (mW) C]], Table7[[#This Row],[PRR (mW) C]]+Table7[[#This Row],[Pdead (mW) C]]+Table7[[#This Row],[Pgate_top (mW) C]])</f>
        <v>821.14285714285711</v>
      </c>
      <c r="BV256" s="156">
        <f ca="1">Table7[[#This Row],[Pcon_top (mW) C]]+Table7[[#This Row],[Psw_top (mW) C]]</f>
        <v>1008.3236698250728</v>
      </c>
      <c r="BW256" s="156">
        <f ca="1">IF(VACnom&gt;Vbat, (1-Table7[[#This Row],[Duty Cycle]])*Table7[[#This Row],[I_L RMS]]^2*C_MOSFET_S_RDSON_L_BU*10^-3, Table7[[#This Row],[Duty Cycle]]*Table7[[#This Row],[I_L RMS]]^2*C_MOSFET_S_RDSON_L_BO*10^-3)/10^-3</f>
        <v>116.57752368804664</v>
      </c>
      <c r="BX256" s="156">
        <f ca="1">IF(VACnom&gt;Vbat, Table7[[#This Row],[PRR (mW) C]]+Table7[[#This Row],[Pdead (mW) C]]+Table7[[#This Row],[Pgate_bottom (mW) C]], Table7[[#This Row],[PIV (mW) C]]+Table7[[#This Row],[PQoss (mW) C]]+Table7[[#This Row],[Pgate_bottom (mW) C]])</f>
        <v>525.62922913474665</v>
      </c>
      <c r="BY256" s="156">
        <f ca="1">Table7[[#This Row],[Pcon_bottom (mW) C]]+Table7[[#This Row],[Psw_bottom (mV) C]]</f>
        <v>642.20675282279331</v>
      </c>
      <c r="BZ256" s="156">
        <f ca="1">Table7[[#This Row],[Pbottom (mW) C]]+Table7[[#This Row],[Ptop (mW) C]]</f>
        <v>1650.5304226478661</v>
      </c>
      <c r="CA256" s="159"/>
      <c r="CB256" s="160">
        <f>(RAC_SNS*10^-3*(Table7[[#This Row],[IOUT (A)]]*Vbat/VACnom)^2/10^-3)</f>
        <v>382.8125</v>
      </c>
      <c r="CC256" s="160">
        <f>(RBAT_SNS*10^-3*Table7[[#This Row],[IOUT (A)]]^2)/10^-3</f>
        <v>125</v>
      </c>
      <c r="CD256" s="160">
        <f>IF(VACnom&gt;Vbat,(L_DRC*10^-3*(Table7[[#This Row],[IOUT (A)]])^2/10^-3),(L_DRC*10^-3*(Table7[[#This Row],[IOUT (A)]]*Vbat/VACnom)^2/10^-3))</f>
        <v>918.75</v>
      </c>
      <c r="CE256" s="166"/>
      <c r="CF256" s="156">
        <f>(Table7[[#This Row],[R_AC (mW)]]+Table7[[#This Row],[R_SR (mW)]]+Table7[[#This Row],[Inductor Loss (mW)]])/10^3</f>
        <v>1.4265625</v>
      </c>
      <c r="CG256" s="156">
        <f ca="1">Table7[[#This Row],[Total TI (mW)]]/10^3</f>
        <v>3.0838546112346097</v>
      </c>
      <c r="CH256" s="156">
        <f ca="1">Table7[[#This Row],[Total Sense Loss]]+Table7[[#This Row],[Total MOSFET Loss]]</f>
        <v>4.5104171112346094</v>
      </c>
      <c r="CI256" s="161">
        <f ca="1">IF(Table7[[#This Row],[POUT (W)]]=0,0,(Table7[[#This Row],[POUT (W)]])/(Table7[[#This Row],[POUT (W)]]+Table7[[#This Row],[Total Power Loss (W)]]))*100</f>
        <v>93.00823446319167</v>
      </c>
      <c r="CJ256" s="167"/>
      <c r="CK256" s="156">
        <f>(Table7[[#This Row],[R_AC (mW)]]+Table7[[#This Row],[R_SR (mW)]]+Table7[[#This Row],[Inductor Loss (mW)]])/10^3</f>
        <v>1.4265625</v>
      </c>
      <c r="CL256" s="156">
        <f ca="1">Table7[[#This Row],[Total (mW) C]]/10^3</f>
        <v>1.6505304226478661</v>
      </c>
      <c r="CM256" s="156">
        <f ca="1">Table7[[#This Row],[Total Sense Loss C]]+Table7[[#This Row],[Total MOSFET Loss C]]</f>
        <v>3.077092922647866</v>
      </c>
      <c r="CN256" s="161">
        <f ca="1">IF(Table7[[#This Row],[POUT (W)]]=0,0,(Table7[[#This Row],[POUT (W)]])/(Table7[[#This Row],[POUT (W)]]+Table7[[#This Row],[Total Power Loss (W) C]]))*100</f>
        <v>95.121695087594887</v>
      </c>
      <c r="CO256" s="167"/>
      <c r="CP256" s="161">
        <f>IF(MOSFET_S=Custom_MOSFET,Table7[[#This Row],[Total Sense Loss C]],Table7[[#This Row],[Total Sense Loss]])</f>
        <v>1.4265625</v>
      </c>
      <c r="CQ256" s="161">
        <f ca="1">IF(MOSFET_S=Custom_MOSFET,Table7[[#This Row],[Total MOSFET Loss C]],Table7[[#This Row],[Total MOSFET Loss]])</f>
        <v>3.0838546112346097</v>
      </c>
      <c r="CR256" s="161">
        <f ca="1">IF(MOSFET_S=Custom_MOSFET,Table7[[#This Row],[Efficiency C]],Table7[[#This Row],[Efficiency]])</f>
        <v>93.00823446319167</v>
      </c>
      <c r="CS256" s="167"/>
      <c r="CT256" s="161">
        <f>IF(MOSFET_S=Compare_MOSFET, Table7[[#This Row],[Total Sense Loss C]], -100)</f>
        <v>-100</v>
      </c>
      <c r="CU256" s="161">
        <f>IF(MOSFET_S=Compare_MOSFET, Table7[[#This Row],[Total MOSFET Loss C]], -100)</f>
        <v>-100</v>
      </c>
      <c r="CV256" s="161">
        <f>IF(MOSFET_S=Compare_MOSFET, Table7[[#This Row],[Efficiency C]], -100)</f>
        <v>-100</v>
      </c>
      <c r="CW256" s="167"/>
      <c r="CX256" s="161">
        <f ca="1">IF(Save_Sel=CLR_Save,  Table7[[#This Row],[Total Sense Loss P1]], Table7[[#This Row],[Total Sense Loss P1 Saved]])</f>
        <v>1.4265625</v>
      </c>
      <c r="CY256" s="161">
        <f ca="1">IF(Save_Sel=CLR_Save,  Table7[[#This Row],[Total MOSFET Loss P1]], Table7[[#This Row],[Total MOSFET Loss P1 Saved]] )</f>
        <v>2.4210476860910366</v>
      </c>
      <c r="CZ256" s="161">
        <f ca="1">IF(Save_Sel=CLR_Save, Table7[[#This Row],[Efficiency P1]], Table7[[#This Row],[Efficiency P1 Saved]])</f>
        <v>93.97376005949674</v>
      </c>
      <c r="DA256" s="167"/>
      <c r="DB256" s="161">
        <f ca="1">IF(Save_Sel=CLR_Save,  Table7[[#This Row],[Total Sense Loss P2]], Table7[[#This Row],[Total Sense Loss P2 Saved]])</f>
        <v>1.4265625</v>
      </c>
      <c r="DC256" s="161">
        <f ca="1">IF(Save_Sel=CLR_Save,  Table7[[#This Row],[Total MOSFET Loss P2]], Table7[[#This Row],[Total MOSFET Loss P2 Saved]] )</f>
        <v>1.7459505493970742</v>
      </c>
      <c r="DD256" s="161">
        <f ca="1">IF(Save_Sel=CLR_Save, Table7[[#This Row],[Efficiency P2]], Table7[[#This Row],[Efficiency P2 Saved]])</f>
        <v>94.978016709709863</v>
      </c>
      <c r="DE256" s="167"/>
      <c r="DF256" s="21"/>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c r="FH256" s="21"/>
      <c r="FI256" s="21"/>
    </row>
    <row r="257" spans="1:165"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c r="DE257" s="21"/>
      <c r="DF257" s="21"/>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c r="FH257" s="21"/>
      <c r="FI257" s="21"/>
    </row>
    <row r="258" spans="1:165"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row>
    <row r="259" spans="1:165"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row>
    <row r="260" spans="1:165"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row>
    <row r="261" spans="1:165"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row>
    <row r="262" spans="1:165"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row>
    <row r="263" spans="1:165"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row>
    <row r="264" spans="1:165"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row>
    <row r="265" spans="1:165"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c r="FH265" s="21"/>
      <c r="FI265" s="21"/>
    </row>
    <row r="266" spans="1:165"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c r="FH266" s="21"/>
      <c r="FI266" s="21"/>
    </row>
    <row r="267" spans="1:165"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row>
    <row r="268" spans="1:165"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row>
    <row r="269" spans="1:165"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row>
    <row r="270" spans="1:165"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row>
    <row r="271" spans="1:165"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row>
    <row r="272" spans="1:165"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row>
    <row r="273" spans="1:165"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row>
    <row r="274" spans="1:165"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c r="ED274" s="21"/>
      <c r="EE274" s="21"/>
      <c r="EF274" s="21"/>
      <c r="EG274" s="21"/>
      <c r="EH274" s="21"/>
      <c r="EI274" s="21"/>
      <c r="EJ274" s="21"/>
      <c r="EK274" s="21"/>
      <c r="EL274" s="21"/>
      <c r="EM274" s="21"/>
      <c r="EN274" s="21"/>
      <c r="EO274" s="21"/>
      <c r="EP274" s="21"/>
      <c r="EQ274" s="21"/>
      <c r="ER274" s="21"/>
      <c r="ES274" s="21"/>
      <c r="ET274" s="21"/>
      <c r="EU274" s="21"/>
      <c r="EV274" s="21"/>
      <c r="EW274" s="21"/>
      <c r="EX274" s="21"/>
      <c r="EY274" s="21"/>
      <c r="EZ274" s="21"/>
      <c r="FA274" s="21"/>
      <c r="FB274" s="21"/>
      <c r="FC274" s="21"/>
      <c r="FD274" s="21"/>
      <c r="FE274" s="21"/>
      <c r="FF274" s="21"/>
      <c r="FG274" s="21"/>
      <c r="FH274" s="21"/>
      <c r="FI274" s="21"/>
    </row>
    <row r="275" spans="1:165"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c r="FH275" s="21"/>
      <c r="FI275" s="21"/>
    </row>
    <row r="276" spans="1:165"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row>
    <row r="277" spans="1:165"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row>
    <row r="278" spans="1:165"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c r="FH278" s="21"/>
      <c r="FI278" s="21"/>
    </row>
    <row r="279" spans="1:165"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c r="DE279" s="21"/>
      <c r="DF279" s="21"/>
      <c r="DG279" s="21"/>
      <c r="DH279" s="21"/>
      <c r="DI279" s="21"/>
      <c r="DJ279" s="21"/>
      <c r="DK279" s="21"/>
      <c r="DL279" s="21"/>
      <c r="DM279" s="21"/>
      <c r="DN279" s="21"/>
      <c r="DO279" s="21"/>
      <c r="DP279" s="21"/>
      <c r="DQ279" s="21"/>
      <c r="DR279" s="21"/>
      <c r="DS279" s="21"/>
      <c r="DT279" s="21"/>
      <c r="DU279" s="21"/>
      <c r="DV279" s="21"/>
      <c r="DW279" s="21"/>
      <c r="DX279" s="21"/>
      <c r="DY279" s="21"/>
      <c r="DZ279" s="21"/>
      <c r="EA279" s="21"/>
      <c r="EB279" s="21"/>
      <c r="EC279" s="21"/>
      <c r="ED279" s="21"/>
      <c r="EE279" s="21"/>
      <c r="EF279" s="21"/>
      <c r="EG279" s="21"/>
      <c r="EH279" s="21"/>
      <c r="EI279" s="21"/>
      <c r="EJ279" s="21"/>
      <c r="EK279" s="21"/>
      <c r="EL279" s="21"/>
      <c r="EM279" s="21"/>
      <c r="EN279" s="21"/>
      <c r="EO279" s="21"/>
      <c r="EP279" s="21"/>
      <c r="EQ279" s="21"/>
      <c r="ER279" s="21"/>
      <c r="ES279" s="21"/>
      <c r="ET279" s="21"/>
      <c r="EU279" s="21"/>
      <c r="EV279" s="21"/>
      <c r="EW279" s="21"/>
      <c r="EX279" s="21"/>
      <c r="EY279" s="21"/>
      <c r="EZ279" s="21"/>
      <c r="FA279" s="21"/>
      <c r="FB279" s="21"/>
      <c r="FC279" s="21"/>
      <c r="FD279" s="21"/>
      <c r="FE279" s="21"/>
      <c r="FF279" s="21"/>
      <c r="FG279" s="21"/>
      <c r="FH279" s="21"/>
      <c r="FI279" s="21"/>
    </row>
    <row r="280" spans="1:165"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c r="DE280" s="21"/>
      <c r="DF280" s="21"/>
      <c r="DG280" s="21"/>
      <c r="DH280" s="21"/>
      <c r="DI280" s="21"/>
      <c r="DJ280" s="21"/>
      <c r="DK280" s="21"/>
      <c r="DL280" s="21"/>
      <c r="DM280" s="21"/>
      <c r="DN280" s="21"/>
      <c r="DO280" s="21"/>
      <c r="DP280" s="21"/>
      <c r="DQ280" s="21"/>
      <c r="DR280" s="21"/>
      <c r="DS280" s="21"/>
      <c r="DT280" s="21"/>
      <c r="DU280" s="21"/>
      <c r="DV280" s="21"/>
      <c r="DW280" s="21"/>
      <c r="DX280" s="21"/>
      <c r="DY280" s="21"/>
      <c r="DZ280" s="21"/>
      <c r="EA280" s="21"/>
      <c r="EB280" s="21"/>
      <c r="EC280" s="21"/>
      <c r="ED280" s="21"/>
      <c r="EE280" s="21"/>
      <c r="EF280" s="21"/>
      <c r="EG280" s="21"/>
      <c r="EH280" s="21"/>
      <c r="EI280" s="21"/>
      <c r="EJ280" s="21"/>
      <c r="EK280" s="21"/>
      <c r="EL280" s="21"/>
      <c r="EM280" s="21"/>
      <c r="EN280" s="21"/>
      <c r="EO280" s="21"/>
      <c r="EP280" s="21"/>
      <c r="EQ280" s="21"/>
      <c r="ER280" s="21"/>
      <c r="ES280" s="21"/>
      <c r="ET280" s="21"/>
      <c r="EU280" s="21"/>
      <c r="EV280" s="21"/>
      <c r="EW280" s="21"/>
      <c r="EX280" s="21"/>
      <c r="EY280" s="21"/>
      <c r="EZ280" s="21"/>
      <c r="FA280" s="21"/>
      <c r="FB280" s="21"/>
      <c r="FC280" s="21"/>
      <c r="FD280" s="21"/>
      <c r="FE280" s="21"/>
      <c r="FF280" s="21"/>
      <c r="FG280" s="21"/>
      <c r="FH280" s="21"/>
      <c r="FI280" s="21"/>
    </row>
    <row r="281" spans="1:165"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c r="DE281" s="21"/>
      <c r="DF281" s="21"/>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c r="FH281" s="21"/>
      <c r="FI281" s="21"/>
    </row>
    <row r="282" spans="1:165"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row>
    <row r="283" spans="1:165"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c r="DE283" s="21"/>
      <c r="DF283" s="21"/>
      <c r="DG283" s="21"/>
      <c r="DH283" s="21"/>
      <c r="DI283" s="21"/>
      <c r="DJ283" s="21"/>
      <c r="DK283" s="21"/>
      <c r="DL283" s="21"/>
      <c r="DM283" s="21"/>
      <c r="DN283" s="21"/>
      <c r="DO283" s="21"/>
      <c r="DP283" s="21"/>
      <c r="DQ283" s="21"/>
      <c r="DR283" s="21"/>
      <c r="DS283" s="21"/>
      <c r="DT283" s="21"/>
      <c r="DU283" s="21"/>
      <c r="DV283" s="21"/>
      <c r="DW283" s="21"/>
      <c r="DX283" s="21"/>
      <c r="DY283" s="21"/>
      <c r="DZ283" s="21"/>
      <c r="EA283" s="21"/>
      <c r="EB283" s="21"/>
      <c r="EC283" s="21"/>
      <c r="ED283" s="21"/>
      <c r="EE283" s="21"/>
      <c r="EF283" s="21"/>
      <c r="EG283" s="21"/>
      <c r="EH283" s="21"/>
      <c r="EI283" s="21"/>
      <c r="EJ283" s="21"/>
      <c r="EK283" s="21"/>
      <c r="EL283" s="21"/>
      <c r="EM283" s="21"/>
      <c r="EN283" s="21"/>
      <c r="EO283" s="21"/>
      <c r="EP283" s="21"/>
      <c r="EQ283" s="21"/>
      <c r="ER283" s="21"/>
      <c r="ES283" s="21"/>
      <c r="ET283" s="21"/>
      <c r="EU283" s="21"/>
      <c r="EV283" s="21"/>
      <c r="EW283" s="21"/>
      <c r="EX283" s="21"/>
      <c r="EY283" s="21"/>
      <c r="EZ283" s="21"/>
      <c r="FA283" s="21"/>
      <c r="FB283" s="21"/>
      <c r="FC283" s="21"/>
      <c r="FD283" s="21"/>
      <c r="FE283" s="21"/>
      <c r="FF283" s="21"/>
      <c r="FG283" s="21"/>
      <c r="FH283" s="21"/>
      <c r="FI283" s="21"/>
    </row>
    <row r="284" spans="1:165"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c r="DB284" s="21"/>
      <c r="DC284" s="21"/>
      <c r="DD284" s="21"/>
      <c r="DE284" s="21"/>
      <c r="DF284" s="21"/>
      <c r="DG284" s="21"/>
      <c r="DH284" s="21"/>
      <c r="DI284" s="21"/>
      <c r="DJ284" s="21"/>
      <c r="DK284" s="21"/>
      <c r="DL284" s="21"/>
      <c r="DM284" s="21"/>
      <c r="DN284" s="21"/>
      <c r="DO284" s="21"/>
      <c r="DP284" s="21"/>
      <c r="DQ284" s="21"/>
      <c r="DR284" s="21"/>
      <c r="DS284" s="21"/>
      <c r="DT284" s="21"/>
      <c r="DU284" s="21"/>
      <c r="DV284" s="21"/>
      <c r="DW284" s="21"/>
      <c r="DX284" s="21"/>
      <c r="DY284" s="21"/>
      <c r="DZ284" s="21"/>
      <c r="EA284" s="21"/>
      <c r="EB284" s="21"/>
      <c r="EC284" s="21"/>
      <c r="ED284" s="21"/>
      <c r="EE284" s="21"/>
      <c r="EF284" s="21"/>
      <c r="EG284" s="21"/>
      <c r="EH284" s="21"/>
      <c r="EI284" s="21"/>
      <c r="EJ284" s="21"/>
      <c r="EK284" s="21"/>
      <c r="EL284" s="21"/>
      <c r="EM284" s="21"/>
      <c r="EN284" s="21"/>
      <c r="EO284" s="21"/>
      <c r="EP284" s="21"/>
      <c r="EQ284" s="21"/>
      <c r="ER284" s="21"/>
      <c r="ES284" s="21"/>
      <c r="ET284" s="21"/>
      <c r="EU284" s="21"/>
      <c r="EV284" s="21"/>
      <c r="EW284" s="21"/>
      <c r="EX284" s="21"/>
      <c r="EY284" s="21"/>
      <c r="EZ284" s="21"/>
      <c r="FA284" s="21"/>
      <c r="FB284" s="21"/>
      <c r="FC284" s="21"/>
      <c r="FD284" s="21"/>
      <c r="FE284" s="21"/>
      <c r="FF284" s="21"/>
      <c r="FG284" s="21"/>
      <c r="FH284" s="21"/>
      <c r="FI284" s="21"/>
    </row>
    <row r="285" spans="1:165"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c r="FH285" s="21"/>
      <c r="FI285" s="21"/>
    </row>
    <row r="286" spans="1:165"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c r="FH286" s="21"/>
      <c r="FI286" s="21"/>
    </row>
    <row r="287" spans="1:165"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c r="FH287" s="21"/>
      <c r="FI287" s="21"/>
    </row>
    <row r="288" spans="1:165"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c r="DE288" s="21"/>
      <c r="DF288" s="21"/>
      <c r="DG288" s="21"/>
      <c r="DH288" s="21"/>
      <c r="DI288" s="21"/>
      <c r="DJ288" s="21"/>
      <c r="DK288" s="21"/>
      <c r="DL288" s="21"/>
      <c r="DM288" s="21"/>
      <c r="DN288" s="21"/>
      <c r="DO288" s="21"/>
      <c r="DP288" s="21"/>
      <c r="DQ288" s="21"/>
      <c r="DR288" s="21"/>
      <c r="DS288" s="21"/>
      <c r="DT288" s="21"/>
      <c r="DU288" s="21"/>
      <c r="DV288" s="21"/>
      <c r="DW288" s="21"/>
      <c r="DX288" s="21"/>
      <c r="DY288" s="21"/>
      <c r="DZ288" s="21"/>
      <c r="EA288" s="21"/>
      <c r="EB288" s="21"/>
      <c r="EC288" s="21"/>
      <c r="ED288" s="21"/>
      <c r="EE288" s="21"/>
      <c r="EF288" s="21"/>
      <c r="EG288" s="21"/>
      <c r="EH288" s="21"/>
      <c r="EI288" s="21"/>
      <c r="EJ288" s="21"/>
      <c r="EK288" s="21"/>
      <c r="EL288" s="21"/>
      <c r="EM288" s="21"/>
      <c r="EN288" s="21"/>
      <c r="EO288" s="21"/>
      <c r="EP288" s="21"/>
      <c r="EQ288" s="21"/>
      <c r="ER288" s="21"/>
      <c r="ES288" s="21"/>
      <c r="ET288" s="21"/>
      <c r="EU288" s="21"/>
      <c r="EV288" s="21"/>
      <c r="EW288" s="21"/>
      <c r="EX288" s="21"/>
      <c r="EY288" s="21"/>
      <c r="EZ288" s="21"/>
      <c r="FA288" s="21"/>
      <c r="FB288" s="21"/>
      <c r="FC288" s="21"/>
      <c r="FD288" s="21"/>
      <c r="FE288" s="21"/>
      <c r="FF288" s="21"/>
      <c r="FG288" s="21"/>
      <c r="FH288" s="21"/>
      <c r="FI288" s="21"/>
    </row>
    <row r="289" spans="1:165"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c r="FH289" s="21"/>
      <c r="FI289" s="21"/>
    </row>
    <row r="290" spans="1:165"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c r="DE290" s="21"/>
      <c r="DF290" s="21"/>
      <c r="DG290" s="21"/>
      <c r="DH290" s="21"/>
      <c r="DI290" s="21"/>
      <c r="DJ290" s="21"/>
      <c r="DK290" s="21"/>
      <c r="DL290" s="21"/>
      <c r="DM290" s="21"/>
      <c r="DN290" s="21"/>
      <c r="DO290" s="21"/>
      <c r="DP290" s="21"/>
      <c r="DQ290" s="21"/>
      <c r="DR290" s="21"/>
      <c r="DS290" s="21"/>
      <c r="DT290" s="21"/>
      <c r="DU290" s="21"/>
      <c r="DV290" s="21"/>
      <c r="DW290" s="21"/>
      <c r="DX290" s="21"/>
      <c r="DY290" s="21"/>
      <c r="DZ290" s="21"/>
      <c r="EA290" s="21"/>
      <c r="EB290" s="21"/>
      <c r="EC290" s="21"/>
      <c r="ED290" s="21"/>
      <c r="EE290" s="21"/>
      <c r="EF290" s="21"/>
      <c r="EG290" s="21"/>
      <c r="EH290" s="21"/>
      <c r="EI290" s="21"/>
      <c r="EJ290" s="21"/>
      <c r="EK290" s="21"/>
      <c r="EL290" s="21"/>
      <c r="EM290" s="21"/>
      <c r="EN290" s="21"/>
      <c r="EO290" s="21"/>
      <c r="EP290" s="21"/>
      <c r="EQ290" s="21"/>
      <c r="ER290" s="21"/>
      <c r="ES290" s="21"/>
      <c r="ET290" s="21"/>
      <c r="EU290" s="21"/>
      <c r="EV290" s="21"/>
      <c r="EW290" s="21"/>
      <c r="EX290" s="21"/>
      <c r="EY290" s="21"/>
      <c r="EZ290" s="21"/>
      <c r="FA290" s="21"/>
      <c r="FB290" s="21"/>
      <c r="FC290" s="21"/>
      <c r="FD290" s="21"/>
      <c r="FE290" s="21"/>
      <c r="FF290" s="21"/>
      <c r="FG290" s="21"/>
      <c r="FH290" s="21"/>
      <c r="FI290" s="21"/>
    </row>
    <row r="291" spans="1:165"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row>
    <row r="292" spans="1:165"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c r="DB292" s="21"/>
      <c r="DC292" s="21"/>
      <c r="DD292" s="21"/>
      <c r="DE292" s="21"/>
      <c r="DF292" s="21"/>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c r="FH292" s="21"/>
      <c r="FI292" s="21"/>
    </row>
    <row r="293" spans="1:165"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c r="DE293" s="21"/>
      <c r="DF293" s="21"/>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c r="FH293" s="21"/>
      <c r="FI293" s="21"/>
    </row>
    <row r="294" spans="1:165"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row>
    <row r="295" spans="1:165"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row>
    <row r="296" spans="1:165"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row>
    <row r="297" spans="1:165"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row>
    <row r="298" spans="1:165"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row>
    <row r="299" spans="1:165"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row>
    <row r="300" spans="1:165"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c r="DE300" s="21"/>
      <c r="DF300" s="21"/>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row>
    <row r="301" spans="1:165"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c r="DE301" s="21"/>
      <c r="DF301" s="21"/>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c r="FH301" s="21"/>
      <c r="FI301" s="21"/>
    </row>
    <row r="302" spans="1:165"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c r="FH302" s="21"/>
      <c r="FI302" s="21"/>
    </row>
    <row r="303" spans="1:165"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row>
    <row r="304" spans="1:165"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row>
    <row r="305" spans="1:165"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row>
    <row r="306" spans="1:165"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c r="DE306" s="21"/>
      <c r="DF306" s="21"/>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row>
    <row r="307" spans="1:165"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row>
    <row r="308" spans="1:165"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row>
    <row r="309" spans="1:165"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row>
    <row r="310" spans="1:165"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c r="FH310" s="21"/>
      <c r="FI310" s="21"/>
    </row>
    <row r="311" spans="1:165"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c r="DE311" s="21"/>
      <c r="DF311" s="21"/>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c r="FH311" s="21"/>
      <c r="FI311" s="21"/>
    </row>
    <row r="312" spans="1:165"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c r="DB312" s="21"/>
      <c r="DC312" s="21"/>
      <c r="DD312" s="21"/>
      <c r="DE312" s="21"/>
      <c r="DF312" s="21"/>
      <c r="DG312" s="21"/>
      <c r="DH312" s="21"/>
      <c r="DI312" s="21"/>
      <c r="DJ312" s="21"/>
      <c r="DK312" s="21"/>
      <c r="DL312" s="21"/>
      <c r="DM312" s="21"/>
      <c r="DN312" s="21"/>
      <c r="DO312" s="21"/>
      <c r="DP312" s="21"/>
      <c r="DQ312" s="21"/>
      <c r="DR312" s="21"/>
      <c r="DS312" s="21"/>
      <c r="DT312" s="21"/>
      <c r="DU312" s="21"/>
      <c r="DV312" s="21"/>
      <c r="DW312" s="21"/>
      <c r="DX312" s="21"/>
      <c r="DY312" s="21"/>
      <c r="DZ312" s="21"/>
      <c r="EA312" s="21"/>
      <c r="EB312" s="21"/>
      <c r="EC312" s="21"/>
      <c r="ED312" s="21"/>
      <c r="EE312" s="21"/>
      <c r="EF312" s="21"/>
      <c r="EG312" s="21"/>
      <c r="EH312" s="21"/>
      <c r="EI312" s="21"/>
      <c r="EJ312" s="21"/>
      <c r="EK312" s="21"/>
      <c r="EL312" s="21"/>
      <c r="EM312" s="21"/>
      <c r="EN312" s="21"/>
      <c r="EO312" s="21"/>
      <c r="EP312" s="21"/>
      <c r="EQ312" s="21"/>
      <c r="ER312" s="21"/>
      <c r="ES312" s="21"/>
      <c r="ET312" s="21"/>
      <c r="EU312" s="21"/>
      <c r="EV312" s="21"/>
      <c r="EW312" s="21"/>
      <c r="EX312" s="21"/>
      <c r="EY312" s="21"/>
      <c r="EZ312" s="21"/>
      <c r="FA312" s="21"/>
      <c r="FB312" s="21"/>
      <c r="FC312" s="21"/>
      <c r="FD312" s="21"/>
      <c r="FE312" s="21"/>
      <c r="FF312" s="21"/>
      <c r="FG312" s="21"/>
      <c r="FH312" s="21"/>
      <c r="FI312" s="21"/>
    </row>
    <row r="313" spans="1:165"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21"/>
      <c r="CH313" s="21"/>
      <c r="CI313" s="21"/>
      <c r="CJ313" s="21"/>
      <c r="CK313" s="21"/>
      <c r="CL313" s="21"/>
      <c r="CM313" s="21"/>
      <c r="CN313" s="21"/>
      <c r="CO313" s="21"/>
      <c r="CP313" s="21"/>
      <c r="CQ313" s="21"/>
      <c r="CR313" s="21"/>
      <c r="CS313" s="21"/>
      <c r="CT313" s="21"/>
      <c r="CU313" s="21"/>
      <c r="CV313" s="21"/>
      <c r="CW313" s="21"/>
      <c r="CX313" s="21"/>
      <c r="CY313" s="21"/>
      <c r="CZ313" s="21"/>
      <c r="DA313" s="21"/>
      <c r="DB313" s="21"/>
      <c r="DC313" s="21"/>
      <c r="DD313" s="21"/>
      <c r="DE313" s="21"/>
      <c r="DF313" s="21"/>
      <c r="DG313" s="21"/>
      <c r="DH313" s="21"/>
      <c r="DI313" s="21"/>
      <c r="DJ313" s="21"/>
      <c r="DK313" s="21"/>
      <c r="DL313" s="21"/>
      <c r="DM313" s="21"/>
      <c r="DN313" s="21"/>
      <c r="DO313" s="21"/>
      <c r="DP313" s="21"/>
      <c r="DQ313" s="21"/>
      <c r="DR313" s="21"/>
      <c r="DS313" s="21"/>
      <c r="DT313" s="21"/>
      <c r="DU313" s="21"/>
      <c r="DV313" s="21"/>
      <c r="DW313" s="21"/>
      <c r="DX313" s="21"/>
      <c r="DY313" s="21"/>
      <c r="DZ313" s="21"/>
      <c r="EA313" s="21"/>
      <c r="EB313" s="21"/>
      <c r="EC313" s="21"/>
      <c r="ED313" s="21"/>
      <c r="EE313" s="21"/>
      <c r="EF313" s="21"/>
      <c r="EG313" s="21"/>
      <c r="EH313" s="21"/>
      <c r="EI313" s="21"/>
      <c r="EJ313" s="21"/>
      <c r="EK313" s="21"/>
      <c r="EL313" s="21"/>
      <c r="EM313" s="21"/>
      <c r="EN313" s="21"/>
      <c r="EO313" s="21"/>
      <c r="EP313" s="21"/>
      <c r="EQ313" s="21"/>
      <c r="ER313" s="21"/>
      <c r="ES313" s="21"/>
      <c r="ET313" s="21"/>
      <c r="EU313" s="21"/>
      <c r="EV313" s="21"/>
      <c r="EW313" s="21"/>
      <c r="EX313" s="21"/>
      <c r="EY313" s="21"/>
      <c r="EZ313" s="21"/>
      <c r="FA313" s="21"/>
      <c r="FB313" s="21"/>
      <c r="FC313" s="21"/>
      <c r="FD313" s="21"/>
      <c r="FE313" s="21"/>
      <c r="FF313" s="21"/>
      <c r="FG313" s="21"/>
      <c r="FH313" s="21"/>
      <c r="FI313" s="21"/>
    </row>
    <row r="314" spans="1:165"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c r="DB314" s="21"/>
      <c r="DC314" s="21"/>
      <c r="DD314" s="21"/>
      <c r="DE314" s="21"/>
      <c r="DF314" s="21"/>
      <c r="DG314" s="21"/>
      <c r="DH314" s="21"/>
      <c r="DI314" s="21"/>
      <c r="DJ314" s="21"/>
      <c r="DK314" s="21"/>
      <c r="DL314" s="21"/>
      <c r="DM314" s="21"/>
      <c r="DN314" s="21"/>
      <c r="DO314" s="21"/>
      <c r="DP314" s="21"/>
      <c r="DQ314" s="21"/>
      <c r="DR314" s="21"/>
      <c r="DS314" s="21"/>
      <c r="DT314" s="21"/>
      <c r="DU314" s="21"/>
      <c r="DV314" s="21"/>
      <c r="DW314" s="21"/>
      <c r="DX314" s="21"/>
      <c r="DY314" s="21"/>
      <c r="DZ314" s="21"/>
      <c r="EA314" s="21"/>
      <c r="EB314" s="21"/>
      <c r="EC314" s="21"/>
      <c r="ED314" s="21"/>
      <c r="EE314" s="21"/>
      <c r="EF314" s="21"/>
      <c r="EG314" s="21"/>
      <c r="EH314" s="21"/>
      <c r="EI314" s="21"/>
      <c r="EJ314" s="21"/>
      <c r="EK314" s="21"/>
      <c r="EL314" s="21"/>
      <c r="EM314" s="21"/>
      <c r="EN314" s="21"/>
      <c r="EO314" s="21"/>
      <c r="EP314" s="21"/>
      <c r="EQ314" s="21"/>
      <c r="ER314" s="21"/>
      <c r="ES314" s="21"/>
      <c r="ET314" s="21"/>
      <c r="EU314" s="21"/>
      <c r="EV314" s="21"/>
      <c r="EW314" s="21"/>
      <c r="EX314" s="21"/>
      <c r="EY314" s="21"/>
      <c r="EZ314" s="21"/>
      <c r="FA314" s="21"/>
      <c r="FB314" s="21"/>
      <c r="FC314" s="21"/>
      <c r="FD314" s="21"/>
      <c r="FE314" s="21"/>
      <c r="FF314" s="21"/>
      <c r="FG314" s="21"/>
      <c r="FH314" s="21"/>
      <c r="FI314" s="21"/>
    </row>
    <row r="315" spans="1:165"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c r="DB315" s="21"/>
      <c r="DC315" s="21"/>
      <c r="DD315" s="21"/>
      <c r="DE315" s="21"/>
      <c r="DF315" s="21"/>
      <c r="DG315" s="21"/>
      <c r="DH315" s="21"/>
      <c r="DI315" s="21"/>
      <c r="DJ315" s="21"/>
      <c r="DK315" s="21"/>
      <c r="DL315" s="21"/>
      <c r="DM315" s="21"/>
      <c r="DN315" s="21"/>
      <c r="DO315" s="21"/>
      <c r="DP315" s="21"/>
      <c r="DQ315" s="21"/>
      <c r="DR315" s="21"/>
      <c r="DS315" s="21"/>
      <c r="DT315" s="21"/>
      <c r="DU315" s="21"/>
      <c r="DV315" s="21"/>
      <c r="DW315" s="21"/>
      <c r="DX315" s="21"/>
      <c r="DY315" s="21"/>
      <c r="DZ315" s="21"/>
      <c r="EA315" s="21"/>
      <c r="EB315" s="21"/>
      <c r="EC315" s="21"/>
      <c r="ED315" s="21"/>
      <c r="EE315" s="21"/>
      <c r="EF315" s="21"/>
      <c r="EG315" s="21"/>
      <c r="EH315" s="21"/>
      <c r="EI315" s="21"/>
      <c r="EJ315" s="21"/>
      <c r="EK315" s="21"/>
      <c r="EL315" s="21"/>
      <c r="EM315" s="21"/>
      <c r="EN315" s="21"/>
      <c r="EO315" s="21"/>
      <c r="EP315" s="21"/>
      <c r="EQ315" s="21"/>
      <c r="ER315" s="21"/>
      <c r="ES315" s="21"/>
      <c r="ET315" s="21"/>
      <c r="EU315" s="21"/>
      <c r="EV315" s="21"/>
      <c r="EW315" s="21"/>
      <c r="EX315" s="21"/>
      <c r="EY315" s="21"/>
      <c r="EZ315" s="21"/>
      <c r="FA315" s="21"/>
      <c r="FB315" s="21"/>
      <c r="FC315" s="21"/>
      <c r="FD315" s="21"/>
      <c r="FE315" s="21"/>
      <c r="FF315" s="21"/>
      <c r="FG315" s="21"/>
      <c r="FH315" s="21"/>
      <c r="FI315" s="21"/>
    </row>
    <row r="316" spans="1:165"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c r="DB316" s="21"/>
      <c r="DC316" s="21"/>
      <c r="DD316" s="21"/>
      <c r="DE316" s="21"/>
      <c r="DF316" s="21"/>
      <c r="DG316" s="21"/>
      <c r="DH316" s="21"/>
      <c r="DI316" s="21"/>
      <c r="DJ316" s="21"/>
      <c r="DK316" s="21"/>
      <c r="DL316" s="21"/>
      <c r="DM316" s="21"/>
      <c r="DN316" s="21"/>
      <c r="DO316" s="21"/>
      <c r="DP316" s="21"/>
      <c r="DQ316" s="21"/>
      <c r="DR316" s="21"/>
      <c r="DS316" s="21"/>
      <c r="DT316" s="21"/>
      <c r="DU316" s="21"/>
      <c r="DV316" s="21"/>
      <c r="DW316" s="21"/>
      <c r="DX316" s="21"/>
      <c r="DY316" s="21"/>
      <c r="DZ316" s="21"/>
      <c r="EA316" s="21"/>
      <c r="EB316" s="21"/>
      <c r="EC316" s="21"/>
      <c r="ED316" s="21"/>
      <c r="EE316" s="21"/>
      <c r="EF316" s="21"/>
      <c r="EG316" s="21"/>
      <c r="EH316" s="21"/>
      <c r="EI316" s="21"/>
      <c r="EJ316" s="21"/>
      <c r="EK316" s="21"/>
      <c r="EL316" s="21"/>
      <c r="EM316" s="21"/>
      <c r="EN316" s="21"/>
      <c r="EO316" s="21"/>
      <c r="EP316" s="21"/>
      <c r="EQ316" s="21"/>
      <c r="ER316" s="21"/>
      <c r="ES316" s="21"/>
      <c r="ET316" s="21"/>
      <c r="EU316" s="21"/>
      <c r="EV316" s="21"/>
      <c r="EW316" s="21"/>
      <c r="EX316" s="21"/>
      <c r="EY316" s="21"/>
      <c r="EZ316" s="21"/>
      <c r="FA316" s="21"/>
      <c r="FB316" s="21"/>
      <c r="FC316" s="21"/>
      <c r="FD316" s="21"/>
      <c r="FE316" s="21"/>
      <c r="FF316" s="21"/>
      <c r="FG316" s="21"/>
      <c r="FH316" s="21"/>
      <c r="FI316" s="21"/>
    </row>
    <row r="317" spans="1:165"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c r="DB317" s="21"/>
      <c r="DC317" s="21"/>
      <c r="DD317" s="21"/>
      <c r="DE317" s="21"/>
      <c r="DF317" s="21"/>
      <c r="DG317" s="21"/>
      <c r="DH317" s="21"/>
      <c r="DI317" s="21"/>
      <c r="DJ317" s="21"/>
      <c r="DK317" s="21"/>
      <c r="DL317" s="21"/>
      <c r="DM317" s="21"/>
      <c r="DN317" s="21"/>
      <c r="DO317" s="21"/>
      <c r="DP317" s="21"/>
      <c r="DQ317" s="21"/>
      <c r="DR317" s="21"/>
      <c r="DS317" s="21"/>
      <c r="DT317" s="21"/>
      <c r="DU317" s="21"/>
      <c r="DV317" s="21"/>
      <c r="DW317" s="21"/>
      <c r="DX317" s="21"/>
      <c r="DY317" s="21"/>
      <c r="DZ317" s="21"/>
      <c r="EA317" s="21"/>
      <c r="EB317" s="21"/>
      <c r="EC317" s="21"/>
      <c r="ED317" s="21"/>
      <c r="EE317" s="21"/>
      <c r="EF317" s="21"/>
      <c r="EG317" s="21"/>
      <c r="EH317" s="21"/>
      <c r="EI317" s="21"/>
      <c r="EJ317" s="21"/>
      <c r="EK317" s="21"/>
      <c r="EL317" s="21"/>
      <c r="EM317" s="21"/>
      <c r="EN317" s="21"/>
      <c r="EO317" s="21"/>
      <c r="EP317" s="21"/>
      <c r="EQ317" s="21"/>
      <c r="ER317" s="21"/>
      <c r="ES317" s="21"/>
      <c r="ET317" s="21"/>
      <c r="EU317" s="21"/>
      <c r="EV317" s="21"/>
      <c r="EW317" s="21"/>
      <c r="EX317" s="21"/>
      <c r="EY317" s="21"/>
      <c r="EZ317" s="21"/>
      <c r="FA317" s="21"/>
      <c r="FB317" s="21"/>
      <c r="FC317" s="21"/>
      <c r="FD317" s="21"/>
      <c r="FE317" s="21"/>
      <c r="FF317" s="21"/>
      <c r="FG317" s="21"/>
      <c r="FH317" s="21"/>
      <c r="FI317" s="21"/>
    </row>
    <row r="318" spans="1:165"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c r="DB318" s="21"/>
      <c r="DC318" s="21"/>
      <c r="DD318" s="21"/>
      <c r="DE318" s="21"/>
      <c r="DF318" s="21"/>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1"/>
      <c r="FH318" s="21"/>
      <c r="FI318" s="21"/>
    </row>
    <row r="319" spans="1:165"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c r="DB319" s="21"/>
      <c r="DC319" s="21"/>
      <c r="DD319" s="21"/>
      <c r="DE319" s="21"/>
      <c r="DF319" s="21"/>
      <c r="DG319" s="21"/>
      <c r="DH319" s="21"/>
      <c r="DI319" s="21"/>
      <c r="DJ319" s="21"/>
      <c r="DK319" s="21"/>
      <c r="DL319" s="21"/>
      <c r="DM319" s="21"/>
      <c r="DN319" s="21"/>
      <c r="DO319" s="21"/>
      <c r="DP319" s="21"/>
      <c r="DQ319" s="21"/>
      <c r="DR319" s="21"/>
      <c r="DS319" s="21"/>
      <c r="DT319" s="21"/>
      <c r="DU319" s="21"/>
      <c r="DV319" s="21"/>
      <c r="DW319" s="21"/>
      <c r="DX319" s="21"/>
      <c r="DY319" s="21"/>
      <c r="DZ319" s="21"/>
      <c r="EA319" s="21"/>
      <c r="EB319" s="21"/>
      <c r="EC319" s="21"/>
      <c r="ED319" s="21"/>
      <c r="EE319" s="21"/>
      <c r="EF319" s="21"/>
      <c r="EG319" s="21"/>
      <c r="EH319" s="21"/>
      <c r="EI319" s="21"/>
      <c r="EJ319" s="21"/>
      <c r="EK319" s="21"/>
      <c r="EL319" s="21"/>
      <c r="EM319" s="21"/>
      <c r="EN319" s="21"/>
      <c r="EO319" s="21"/>
      <c r="EP319" s="21"/>
      <c r="EQ319" s="21"/>
      <c r="ER319" s="21"/>
      <c r="ES319" s="21"/>
      <c r="ET319" s="21"/>
      <c r="EU319" s="21"/>
      <c r="EV319" s="21"/>
      <c r="EW319" s="21"/>
      <c r="EX319" s="21"/>
      <c r="EY319" s="21"/>
      <c r="EZ319" s="21"/>
      <c r="FA319" s="21"/>
      <c r="FB319" s="21"/>
      <c r="FC319" s="21"/>
      <c r="FD319" s="21"/>
      <c r="FE319" s="21"/>
      <c r="FF319" s="21"/>
      <c r="FG319" s="21"/>
      <c r="FH319" s="21"/>
      <c r="FI319" s="21"/>
    </row>
    <row r="320" spans="1:165"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c r="DB320" s="21"/>
      <c r="DC320" s="21"/>
      <c r="DD320" s="21"/>
      <c r="DE320" s="21"/>
      <c r="DF320" s="21"/>
      <c r="DG320" s="21"/>
      <c r="DH320" s="21"/>
      <c r="DI320" s="21"/>
      <c r="DJ320" s="21"/>
      <c r="DK320" s="21"/>
      <c r="DL320" s="21"/>
      <c r="DM320" s="21"/>
      <c r="DN320" s="21"/>
      <c r="DO320" s="21"/>
      <c r="DP320" s="21"/>
      <c r="DQ320" s="21"/>
      <c r="DR320" s="21"/>
      <c r="DS320" s="21"/>
      <c r="DT320" s="21"/>
      <c r="DU320" s="21"/>
      <c r="DV320" s="21"/>
      <c r="DW320" s="21"/>
      <c r="DX320" s="21"/>
      <c r="DY320" s="21"/>
      <c r="DZ320" s="21"/>
      <c r="EA320" s="21"/>
      <c r="EB320" s="21"/>
      <c r="EC320" s="21"/>
      <c r="ED320" s="21"/>
      <c r="EE320" s="21"/>
      <c r="EF320" s="21"/>
      <c r="EG320" s="21"/>
      <c r="EH320" s="21"/>
      <c r="EI320" s="21"/>
      <c r="EJ320" s="21"/>
      <c r="EK320" s="21"/>
      <c r="EL320" s="21"/>
      <c r="EM320" s="21"/>
      <c r="EN320" s="21"/>
      <c r="EO320" s="21"/>
      <c r="EP320" s="21"/>
      <c r="EQ320" s="21"/>
      <c r="ER320" s="21"/>
      <c r="ES320" s="21"/>
      <c r="ET320" s="21"/>
      <c r="EU320" s="21"/>
      <c r="EV320" s="21"/>
      <c r="EW320" s="21"/>
      <c r="EX320" s="21"/>
      <c r="EY320" s="21"/>
      <c r="EZ320" s="21"/>
      <c r="FA320" s="21"/>
      <c r="FB320" s="21"/>
      <c r="FC320" s="21"/>
      <c r="FD320" s="21"/>
      <c r="FE320" s="21"/>
      <c r="FF320" s="21"/>
      <c r="FG320" s="21"/>
      <c r="FH320" s="21"/>
      <c r="FI320" s="21"/>
    </row>
    <row r="321" spans="1:165"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c r="DB321" s="21"/>
      <c r="DC321" s="21"/>
      <c r="DD321" s="21"/>
      <c r="DE321" s="21"/>
      <c r="DF321" s="21"/>
      <c r="DG321" s="21"/>
      <c r="DH321" s="21"/>
      <c r="DI321" s="21"/>
      <c r="DJ321" s="21"/>
      <c r="DK321" s="21"/>
      <c r="DL321" s="21"/>
      <c r="DM321" s="21"/>
      <c r="DN321" s="21"/>
      <c r="DO321" s="21"/>
      <c r="DP321" s="21"/>
      <c r="DQ321" s="21"/>
      <c r="DR321" s="21"/>
      <c r="DS321" s="21"/>
      <c r="DT321" s="21"/>
      <c r="DU321" s="21"/>
      <c r="DV321" s="21"/>
      <c r="DW321" s="21"/>
      <c r="DX321" s="21"/>
      <c r="DY321" s="21"/>
      <c r="DZ321" s="21"/>
      <c r="EA321" s="21"/>
      <c r="EB321" s="21"/>
      <c r="EC321" s="21"/>
      <c r="ED321" s="21"/>
      <c r="EE321" s="21"/>
      <c r="EF321" s="21"/>
      <c r="EG321" s="21"/>
      <c r="EH321" s="21"/>
      <c r="EI321" s="21"/>
      <c r="EJ321" s="21"/>
      <c r="EK321" s="21"/>
      <c r="EL321" s="21"/>
      <c r="EM321" s="21"/>
      <c r="EN321" s="21"/>
      <c r="EO321" s="21"/>
      <c r="EP321" s="21"/>
      <c r="EQ321" s="21"/>
      <c r="ER321" s="21"/>
      <c r="ES321" s="21"/>
      <c r="ET321" s="21"/>
      <c r="EU321" s="21"/>
      <c r="EV321" s="21"/>
      <c r="EW321" s="21"/>
      <c r="EX321" s="21"/>
      <c r="EY321" s="21"/>
      <c r="EZ321" s="21"/>
      <c r="FA321" s="21"/>
      <c r="FB321" s="21"/>
      <c r="FC321" s="21"/>
      <c r="FD321" s="21"/>
      <c r="FE321" s="21"/>
      <c r="FF321" s="21"/>
      <c r="FG321" s="21"/>
      <c r="FH321" s="21"/>
      <c r="FI321" s="21"/>
    </row>
    <row r="322" spans="1:165"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c r="DB322" s="21"/>
      <c r="DC322" s="21"/>
      <c r="DD322" s="21"/>
      <c r="DE322" s="21"/>
      <c r="DF322" s="21"/>
      <c r="DG322" s="21"/>
      <c r="DH322" s="21"/>
      <c r="DI322" s="21"/>
      <c r="DJ322" s="21"/>
      <c r="DK322" s="21"/>
      <c r="DL322" s="21"/>
      <c r="DM322" s="21"/>
      <c r="DN322" s="21"/>
      <c r="DO322" s="21"/>
      <c r="DP322" s="21"/>
      <c r="DQ322" s="21"/>
      <c r="DR322" s="21"/>
      <c r="DS322" s="21"/>
      <c r="DT322" s="21"/>
      <c r="DU322" s="21"/>
      <c r="DV322" s="21"/>
      <c r="DW322" s="21"/>
      <c r="DX322" s="21"/>
      <c r="DY322" s="21"/>
      <c r="DZ322" s="21"/>
      <c r="EA322" s="21"/>
      <c r="EB322" s="21"/>
      <c r="EC322" s="21"/>
      <c r="ED322" s="21"/>
      <c r="EE322" s="21"/>
      <c r="EF322" s="21"/>
      <c r="EG322" s="21"/>
      <c r="EH322" s="21"/>
      <c r="EI322" s="21"/>
      <c r="EJ322" s="21"/>
      <c r="EK322" s="21"/>
      <c r="EL322" s="21"/>
      <c r="EM322" s="21"/>
      <c r="EN322" s="21"/>
      <c r="EO322" s="21"/>
      <c r="EP322" s="21"/>
      <c r="EQ322" s="21"/>
      <c r="ER322" s="21"/>
      <c r="ES322" s="21"/>
      <c r="ET322" s="21"/>
      <c r="EU322" s="21"/>
      <c r="EV322" s="21"/>
      <c r="EW322" s="21"/>
      <c r="EX322" s="21"/>
      <c r="EY322" s="21"/>
      <c r="EZ322" s="21"/>
      <c r="FA322" s="21"/>
      <c r="FB322" s="21"/>
      <c r="FC322" s="21"/>
      <c r="FD322" s="21"/>
      <c r="FE322" s="21"/>
      <c r="FF322" s="21"/>
      <c r="FG322" s="21"/>
      <c r="FH322" s="21"/>
      <c r="FI322" s="21"/>
    </row>
    <row r="323" spans="1:165"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c r="DE323" s="21"/>
      <c r="DF323" s="21"/>
      <c r="DG323" s="21"/>
      <c r="DH323" s="21"/>
      <c r="DI323" s="21"/>
      <c r="DJ323" s="21"/>
      <c r="DK323" s="21"/>
      <c r="DL323" s="21"/>
      <c r="DM323" s="21"/>
      <c r="DN323" s="21"/>
      <c r="DO323" s="21"/>
      <c r="DP323" s="21"/>
      <c r="DQ323" s="21"/>
      <c r="DR323" s="21"/>
      <c r="DS323" s="21"/>
      <c r="DT323" s="21"/>
      <c r="DU323" s="21"/>
      <c r="DV323" s="21"/>
      <c r="DW323" s="21"/>
      <c r="DX323" s="21"/>
      <c r="DY323" s="21"/>
      <c r="DZ323" s="21"/>
      <c r="EA323" s="21"/>
      <c r="EB323" s="21"/>
      <c r="EC323" s="21"/>
      <c r="ED323" s="21"/>
      <c r="EE323" s="21"/>
      <c r="EF323" s="21"/>
      <c r="EG323" s="21"/>
      <c r="EH323" s="21"/>
      <c r="EI323" s="21"/>
      <c r="EJ323" s="21"/>
      <c r="EK323" s="21"/>
      <c r="EL323" s="21"/>
      <c r="EM323" s="21"/>
      <c r="EN323" s="21"/>
      <c r="EO323" s="21"/>
      <c r="EP323" s="21"/>
      <c r="EQ323" s="21"/>
      <c r="ER323" s="21"/>
      <c r="ES323" s="21"/>
      <c r="ET323" s="21"/>
      <c r="EU323" s="21"/>
      <c r="EV323" s="21"/>
      <c r="EW323" s="21"/>
      <c r="EX323" s="21"/>
      <c r="EY323" s="21"/>
      <c r="EZ323" s="21"/>
      <c r="FA323" s="21"/>
      <c r="FB323" s="21"/>
      <c r="FC323" s="21"/>
      <c r="FD323" s="21"/>
      <c r="FE323" s="21"/>
      <c r="FF323" s="21"/>
      <c r="FG323" s="21"/>
      <c r="FH323" s="21"/>
      <c r="FI323" s="21"/>
    </row>
    <row r="324" spans="1:165"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c r="DB324" s="21"/>
      <c r="DC324" s="21"/>
      <c r="DD324" s="21"/>
      <c r="DE324" s="21"/>
      <c r="DF324" s="21"/>
      <c r="DG324" s="21"/>
      <c r="DH324" s="21"/>
      <c r="DI324" s="21"/>
      <c r="DJ324" s="21"/>
      <c r="DK324" s="21"/>
      <c r="DL324" s="21"/>
      <c r="DM324" s="21"/>
      <c r="DN324" s="21"/>
      <c r="DO324" s="21"/>
      <c r="DP324" s="21"/>
      <c r="DQ324" s="21"/>
      <c r="DR324" s="21"/>
      <c r="DS324" s="21"/>
      <c r="DT324" s="21"/>
      <c r="DU324" s="21"/>
      <c r="DV324" s="21"/>
      <c r="DW324" s="21"/>
      <c r="DX324" s="21"/>
      <c r="DY324" s="21"/>
      <c r="DZ324" s="21"/>
      <c r="EA324" s="21"/>
      <c r="EB324" s="21"/>
      <c r="EC324" s="21"/>
      <c r="ED324" s="21"/>
      <c r="EE324" s="21"/>
      <c r="EF324" s="21"/>
      <c r="EG324" s="21"/>
      <c r="EH324" s="21"/>
      <c r="EI324" s="21"/>
      <c r="EJ324" s="21"/>
      <c r="EK324" s="21"/>
      <c r="EL324" s="21"/>
      <c r="EM324" s="21"/>
      <c r="EN324" s="21"/>
      <c r="EO324" s="21"/>
      <c r="EP324" s="21"/>
      <c r="EQ324" s="21"/>
      <c r="ER324" s="21"/>
      <c r="ES324" s="21"/>
      <c r="ET324" s="21"/>
      <c r="EU324" s="21"/>
      <c r="EV324" s="21"/>
      <c r="EW324" s="21"/>
      <c r="EX324" s="21"/>
      <c r="EY324" s="21"/>
      <c r="EZ324" s="21"/>
      <c r="FA324" s="21"/>
      <c r="FB324" s="21"/>
      <c r="FC324" s="21"/>
      <c r="FD324" s="21"/>
      <c r="FE324" s="21"/>
      <c r="FF324" s="21"/>
      <c r="FG324" s="21"/>
      <c r="FH324" s="21"/>
      <c r="FI324" s="21"/>
    </row>
    <row r="325" spans="1:165"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c r="DB325" s="21"/>
      <c r="DC325" s="21"/>
      <c r="DD325" s="21"/>
      <c r="DE325" s="21"/>
      <c r="DF325" s="21"/>
      <c r="DG325" s="21"/>
      <c r="DH325" s="21"/>
      <c r="DI325" s="21"/>
      <c r="DJ325" s="21"/>
      <c r="DK325" s="21"/>
      <c r="DL325" s="21"/>
      <c r="DM325" s="21"/>
      <c r="DN325" s="21"/>
      <c r="DO325" s="21"/>
      <c r="DP325" s="21"/>
      <c r="DQ325" s="21"/>
      <c r="DR325" s="21"/>
      <c r="DS325" s="21"/>
      <c r="DT325" s="21"/>
      <c r="DU325" s="21"/>
      <c r="DV325" s="21"/>
      <c r="DW325" s="21"/>
      <c r="DX325" s="21"/>
      <c r="DY325" s="21"/>
      <c r="DZ325" s="21"/>
      <c r="EA325" s="21"/>
      <c r="EB325" s="21"/>
      <c r="EC325" s="21"/>
      <c r="ED325" s="21"/>
      <c r="EE325" s="21"/>
      <c r="EF325" s="21"/>
      <c r="EG325" s="21"/>
      <c r="EH325" s="21"/>
      <c r="EI325" s="21"/>
      <c r="EJ325" s="21"/>
      <c r="EK325" s="21"/>
      <c r="EL325" s="21"/>
      <c r="EM325" s="21"/>
      <c r="EN325" s="21"/>
      <c r="EO325" s="21"/>
      <c r="EP325" s="21"/>
      <c r="EQ325" s="21"/>
      <c r="ER325" s="21"/>
      <c r="ES325" s="21"/>
      <c r="ET325" s="21"/>
      <c r="EU325" s="21"/>
      <c r="EV325" s="21"/>
      <c r="EW325" s="21"/>
      <c r="EX325" s="21"/>
      <c r="EY325" s="21"/>
      <c r="EZ325" s="21"/>
      <c r="FA325" s="21"/>
      <c r="FB325" s="21"/>
      <c r="FC325" s="21"/>
      <c r="FD325" s="21"/>
      <c r="FE325" s="21"/>
      <c r="FF325" s="21"/>
      <c r="FG325" s="21"/>
      <c r="FH325" s="21"/>
      <c r="FI325" s="21"/>
    </row>
    <row r="326" spans="1:165"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c r="DE326" s="21"/>
      <c r="DF326" s="21"/>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1"/>
      <c r="FH326" s="21"/>
      <c r="FI326" s="21"/>
    </row>
    <row r="327" spans="1:165"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c r="DB327" s="21"/>
      <c r="DC327" s="21"/>
      <c r="DD327" s="21"/>
      <c r="DE327" s="21"/>
      <c r="DF327" s="21"/>
      <c r="DG327" s="21"/>
      <c r="DH327" s="21"/>
      <c r="DI327" s="21"/>
      <c r="DJ327" s="21"/>
      <c r="DK327" s="21"/>
      <c r="DL327" s="21"/>
      <c r="DM327" s="21"/>
      <c r="DN327" s="21"/>
      <c r="DO327" s="21"/>
      <c r="DP327" s="21"/>
      <c r="DQ327" s="21"/>
      <c r="DR327" s="21"/>
      <c r="DS327" s="21"/>
      <c r="DT327" s="21"/>
      <c r="DU327" s="21"/>
      <c r="DV327" s="21"/>
      <c r="DW327" s="21"/>
      <c r="DX327" s="21"/>
      <c r="DY327" s="21"/>
      <c r="DZ327" s="21"/>
      <c r="EA327" s="21"/>
      <c r="EB327" s="21"/>
      <c r="EC327" s="21"/>
      <c r="ED327" s="21"/>
      <c r="EE327" s="21"/>
      <c r="EF327" s="21"/>
      <c r="EG327" s="21"/>
      <c r="EH327" s="21"/>
      <c r="EI327" s="21"/>
      <c r="EJ327" s="21"/>
      <c r="EK327" s="21"/>
      <c r="EL327" s="21"/>
      <c r="EM327" s="21"/>
      <c r="EN327" s="21"/>
      <c r="EO327" s="21"/>
      <c r="EP327" s="21"/>
      <c r="EQ327" s="21"/>
      <c r="ER327" s="21"/>
      <c r="ES327" s="21"/>
      <c r="ET327" s="21"/>
      <c r="EU327" s="21"/>
      <c r="EV327" s="21"/>
      <c r="EW327" s="21"/>
      <c r="EX327" s="21"/>
      <c r="EY327" s="21"/>
      <c r="EZ327" s="21"/>
      <c r="FA327" s="21"/>
      <c r="FB327" s="21"/>
      <c r="FC327" s="21"/>
      <c r="FD327" s="21"/>
      <c r="FE327" s="21"/>
      <c r="FF327" s="21"/>
      <c r="FG327" s="21"/>
      <c r="FH327" s="21"/>
      <c r="FI327" s="21"/>
    </row>
    <row r="328" spans="1:165"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c r="DB328" s="21"/>
      <c r="DC328" s="21"/>
      <c r="DD328" s="21"/>
      <c r="DE328" s="21"/>
      <c r="DF328" s="21"/>
      <c r="DG328" s="21"/>
      <c r="DH328" s="21"/>
      <c r="DI328" s="21"/>
      <c r="DJ328" s="21"/>
      <c r="DK328" s="21"/>
      <c r="DL328" s="21"/>
      <c r="DM328" s="21"/>
      <c r="DN328" s="21"/>
      <c r="DO328" s="21"/>
      <c r="DP328" s="21"/>
      <c r="DQ328" s="21"/>
      <c r="DR328" s="21"/>
      <c r="DS328" s="21"/>
      <c r="DT328" s="21"/>
      <c r="DU328" s="21"/>
      <c r="DV328" s="21"/>
      <c r="DW328" s="21"/>
      <c r="DX328" s="21"/>
      <c r="DY328" s="21"/>
      <c r="DZ328" s="21"/>
      <c r="EA328" s="21"/>
      <c r="EB328" s="21"/>
      <c r="EC328" s="21"/>
      <c r="ED328" s="21"/>
      <c r="EE328" s="21"/>
      <c r="EF328" s="21"/>
      <c r="EG328" s="21"/>
      <c r="EH328" s="21"/>
      <c r="EI328" s="21"/>
      <c r="EJ328" s="21"/>
      <c r="EK328" s="21"/>
      <c r="EL328" s="21"/>
      <c r="EM328" s="21"/>
      <c r="EN328" s="21"/>
      <c r="EO328" s="21"/>
      <c r="EP328" s="21"/>
      <c r="EQ328" s="21"/>
      <c r="ER328" s="21"/>
      <c r="ES328" s="21"/>
      <c r="ET328" s="21"/>
      <c r="EU328" s="21"/>
      <c r="EV328" s="21"/>
      <c r="EW328" s="21"/>
      <c r="EX328" s="21"/>
      <c r="EY328" s="21"/>
      <c r="EZ328" s="21"/>
      <c r="FA328" s="21"/>
      <c r="FB328" s="21"/>
      <c r="FC328" s="21"/>
      <c r="FD328" s="21"/>
      <c r="FE328" s="21"/>
      <c r="FF328" s="21"/>
      <c r="FG328" s="21"/>
      <c r="FH328" s="21"/>
      <c r="FI328" s="21"/>
    </row>
    <row r="329" spans="1:165"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c r="DB329" s="21"/>
      <c r="DC329" s="21"/>
      <c r="DD329" s="21"/>
      <c r="DE329" s="21"/>
      <c r="DF329" s="21"/>
      <c r="DG329" s="21"/>
      <c r="DH329" s="21"/>
      <c r="DI329" s="21"/>
      <c r="DJ329" s="21"/>
      <c r="DK329" s="21"/>
      <c r="DL329" s="21"/>
      <c r="DM329" s="21"/>
      <c r="DN329" s="21"/>
      <c r="DO329" s="21"/>
      <c r="DP329" s="21"/>
      <c r="DQ329" s="21"/>
      <c r="DR329" s="21"/>
      <c r="DS329" s="21"/>
      <c r="DT329" s="21"/>
      <c r="DU329" s="21"/>
      <c r="DV329" s="21"/>
      <c r="DW329" s="21"/>
      <c r="DX329" s="21"/>
      <c r="DY329" s="21"/>
      <c r="DZ329" s="21"/>
      <c r="EA329" s="21"/>
      <c r="EB329" s="21"/>
      <c r="EC329" s="21"/>
      <c r="ED329" s="21"/>
      <c r="EE329" s="21"/>
      <c r="EF329" s="21"/>
      <c r="EG329" s="21"/>
      <c r="EH329" s="21"/>
      <c r="EI329" s="21"/>
      <c r="EJ329" s="21"/>
      <c r="EK329" s="21"/>
      <c r="EL329" s="21"/>
      <c r="EM329" s="21"/>
      <c r="EN329" s="21"/>
      <c r="EO329" s="21"/>
      <c r="EP329" s="21"/>
      <c r="EQ329" s="21"/>
      <c r="ER329" s="21"/>
      <c r="ES329" s="21"/>
      <c r="ET329" s="21"/>
      <c r="EU329" s="21"/>
      <c r="EV329" s="21"/>
      <c r="EW329" s="21"/>
      <c r="EX329" s="21"/>
      <c r="EY329" s="21"/>
      <c r="EZ329" s="21"/>
      <c r="FA329" s="21"/>
      <c r="FB329" s="21"/>
      <c r="FC329" s="21"/>
      <c r="FD329" s="21"/>
      <c r="FE329" s="21"/>
      <c r="FF329" s="21"/>
      <c r="FG329" s="21"/>
      <c r="FH329" s="21"/>
      <c r="FI329" s="21"/>
    </row>
    <row r="330" spans="1:165"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c r="DE330" s="21"/>
      <c r="DF330" s="21"/>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c r="FH330" s="21"/>
      <c r="FI330" s="21"/>
    </row>
    <row r="331" spans="1:165"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c r="DB331" s="21"/>
      <c r="DC331" s="21"/>
      <c r="DD331" s="21"/>
      <c r="DE331" s="21"/>
      <c r="DF331" s="21"/>
      <c r="DG331" s="21"/>
      <c r="DH331" s="21"/>
      <c r="DI331" s="21"/>
      <c r="DJ331" s="21"/>
      <c r="DK331" s="21"/>
      <c r="DL331" s="21"/>
      <c r="DM331" s="21"/>
      <c r="DN331" s="21"/>
      <c r="DO331" s="21"/>
      <c r="DP331" s="21"/>
      <c r="DQ331" s="21"/>
      <c r="DR331" s="21"/>
      <c r="DS331" s="21"/>
      <c r="DT331" s="21"/>
      <c r="DU331" s="21"/>
      <c r="DV331" s="21"/>
      <c r="DW331" s="21"/>
      <c r="DX331" s="21"/>
      <c r="DY331" s="21"/>
      <c r="DZ331" s="21"/>
      <c r="EA331" s="21"/>
      <c r="EB331" s="21"/>
      <c r="EC331" s="21"/>
      <c r="ED331" s="21"/>
      <c r="EE331" s="21"/>
      <c r="EF331" s="21"/>
      <c r="EG331" s="21"/>
      <c r="EH331" s="21"/>
      <c r="EI331" s="21"/>
      <c r="EJ331" s="21"/>
      <c r="EK331" s="21"/>
      <c r="EL331" s="21"/>
      <c r="EM331" s="21"/>
      <c r="EN331" s="21"/>
      <c r="EO331" s="21"/>
      <c r="EP331" s="21"/>
      <c r="EQ331" s="21"/>
      <c r="ER331" s="21"/>
      <c r="ES331" s="21"/>
      <c r="ET331" s="21"/>
      <c r="EU331" s="21"/>
      <c r="EV331" s="21"/>
      <c r="EW331" s="21"/>
      <c r="EX331" s="21"/>
      <c r="EY331" s="21"/>
      <c r="EZ331" s="21"/>
      <c r="FA331" s="21"/>
      <c r="FB331" s="21"/>
      <c r="FC331" s="21"/>
      <c r="FD331" s="21"/>
      <c r="FE331" s="21"/>
      <c r="FF331" s="21"/>
      <c r="FG331" s="21"/>
      <c r="FH331" s="21"/>
      <c r="FI331" s="21"/>
    </row>
    <row r="332" spans="1:165"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c r="DB332" s="21"/>
      <c r="DC332" s="21"/>
      <c r="DD332" s="21"/>
      <c r="DE332" s="21"/>
      <c r="DF332" s="21"/>
      <c r="DG332" s="21"/>
      <c r="DH332" s="21"/>
      <c r="DI332" s="21"/>
      <c r="DJ332" s="21"/>
      <c r="DK332" s="21"/>
      <c r="DL332" s="21"/>
      <c r="DM332" s="21"/>
      <c r="DN332" s="21"/>
      <c r="DO332" s="21"/>
      <c r="DP332" s="21"/>
      <c r="DQ332" s="21"/>
      <c r="DR332" s="21"/>
      <c r="DS332" s="21"/>
      <c r="DT332" s="21"/>
      <c r="DU332" s="21"/>
      <c r="DV332" s="21"/>
      <c r="DW332" s="21"/>
      <c r="DX332" s="21"/>
      <c r="DY332" s="21"/>
      <c r="DZ332" s="21"/>
      <c r="EA332" s="21"/>
      <c r="EB332" s="21"/>
      <c r="EC332" s="21"/>
      <c r="ED332" s="21"/>
      <c r="EE332" s="21"/>
      <c r="EF332" s="21"/>
      <c r="EG332" s="21"/>
      <c r="EH332" s="21"/>
      <c r="EI332" s="21"/>
      <c r="EJ332" s="21"/>
      <c r="EK332" s="21"/>
      <c r="EL332" s="21"/>
      <c r="EM332" s="21"/>
      <c r="EN332" s="21"/>
      <c r="EO332" s="21"/>
      <c r="EP332" s="21"/>
      <c r="EQ332" s="21"/>
      <c r="ER332" s="21"/>
      <c r="ES332" s="21"/>
      <c r="ET332" s="21"/>
      <c r="EU332" s="21"/>
      <c r="EV332" s="21"/>
      <c r="EW332" s="21"/>
      <c r="EX332" s="21"/>
      <c r="EY332" s="21"/>
      <c r="EZ332" s="21"/>
      <c r="FA332" s="21"/>
      <c r="FB332" s="21"/>
      <c r="FC332" s="21"/>
      <c r="FD332" s="21"/>
      <c r="FE332" s="21"/>
      <c r="FF332" s="21"/>
      <c r="FG332" s="21"/>
      <c r="FH332" s="21"/>
      <c r="FI332" s="21"/>
    </row>
    <row r="333" spans="1:165"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21"/>
      <c r="CH333" s="21"/>
      <c r="CI333" s="21"/>
      <c r="CJ333" s="21"/>
      <c r="CK333" s="21"/>
      <c r="CL333" s="21"/>
      <c r="CM333" s="21"/>
      <c r="CN333" s="21"/>
      <c r="CO333" s="21"/>
      <c r="CP333" s="21"/>
      <c r="CQ333" s="21"/>
      <c r="CR333" s="21"/>
      <c r="CS333" s="21"/>
      <c r="CT333" s="21"/>
      <c r="CU333" s="21"/>
      <c r="CV333" s="21"/>
      <c r="CW333" s="21"/>
      <c r="CX333" s="21"/>
      <c r="CY333" s="21"/>
      <c r="CZ333" s="21"/>
      <c r="DA333" s="21"/>
      <c r="DB333" s="21"/>
      <c r="DC333" s="21"/>
      <c r="DD333" s="21"/>
      <c r="DE333" s="21"/>
      <c r="DF333" s="21"/>
      <c r="DG333" s="21"/>
      <c r="DH333" s="21"/>
      <c r="DI333" s="21"/>
      <c r="DJ333" s="21"/>
      <c r="DK333" s="21"/>
      <c r="DL333" s="21"/>
      <c r="DM333" s="21"/>
      <c r="DN333" s="21"/>
      <c r="DO333" s="21"/>
      <c r="DP333" s="21"/>
      <c r="DQ333" s="21"/>
      <c r="DR333" s="21"/>
      <c r="DS333" s="21"/>
      <c r="DT333" s="21"/>
      <c r="DU333" s="21"/>
      <c r="DV333" s="21"/>
      <c r="DW333" s="21"/>
      <c r="DX333" s="21"/>
      <c r="DY333" s="21"/>
      <c r="DZ333" s="21"/>
      <c r="EA333" s="21"/>
      <c r="EB333" s="21"/>
      <c r="EC333" s="21"/>
      <c r="ED333" s="21"/>
      <c r="EE333" s="21"/>
      <c r="EF333" s="21"/>
      <c r="EG333" s="21"/>
      <c r="EH333" s="21"/>
      <c r="EI333" s="21"/>
      <c r="EJ333" s="21"/>
      <c r="EK333" s="21"/>
      <c r="EL333" s="21"/>
      <c r="EM333" s="21"/>
      <c r="EN333" s="21"/>
      <c r="EO333" s="21"/>
      <c r="EP333" s="21"/>
      <c r="EQ333" s="21"/>
      <c r="ER333" s="21"/>
      <c r="ES333" s="21"/>
      <c r="ET333" s="21"/>
      <c r="EU333" s="21"/>
      <c r="EV333" s="21"/>
      <c r="EW333" s="21"/>
      <c r="EX333" s="21"/>
      <c r="EY333" s="21"/>
      <c r="EZ333" s="21"/>
      <c r="FA333" s="21"/>
      <c r="FB333" s="21"/>
      <c r="FC333" s="21"/>
      <c r="FD333" s="21"/>
      <c r="FE333" s="21"/>
      <c r="FF333" s="21"/>
      <c r="FG333" s="21"/>
      <c r="FH333" s="21"/>
      <c r="FI333" s="21"/>
    </row>
    <row r="334" spans="1:165"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c r="DE334" s="21"/>
      <c r="DF334" s="21"/>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1"/>
      <c r="FH334" s="21"/>
      <c r="FI334" s="21"/>
    </row>
    <row r="335" spans="1:165"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c r="DE335" s="21"/>
      <c r="DF335" s="21"/>
      <c r="DG335" s="21"/>
      <c r="DH335" s="21"/>
      <c r="DI335" s="21"/>
      <c r="DJ335" s="21"/>
      <c r="DK335" s="21"/>
      <c r="DL335" s="21"/>
      <c r="DM335" s="21"/>
      <c r="DN335" s="21"/>
      <c r="DO335" s="21"/>
      <c r="DP335" s="21"/>
      <c r="DQ335" s="21"/>
      <c r="DR335" s="21"/>
      <c r="DS335" s="21"/>
      <c r="DT335" s="21"/>
      <c r="DU335" s="21"/>
      <c r="DV335" s="21"/>
      <c r="DW335" s="21"/>
      <c r="DX335" s="21"/>
      <c r="DY335" s="21"/>
      <c r="DZ335" s="21"/>
      <c r="EA335" s="21"/>
      <c r="EB335" s="21"/>
      <c r="EC335" s="21"/>
      <c r="ED335" s="21"/>
      <c r="EE335" s="21"/>
      <c r="EF335" s="21"/>
      <c r="EG335" s="21"/>
      <c r="EH335" s="21"/>
      <c r="EI335" s="21"/>
      <c r="EJ335" s="21"/>
      <c r="EK335" s="21"/>
      <c r="EL335" s="21"/>
      <c r="EM335" s="21"/>
      <c r="EN335" s="21"/>
      <c r="EO335" s="21"/>
      <c r="EP335" s="21"/>
      <c r="EQ335" s="21"/>
      <c r="ER335" s="21"/>
      <c r="ES335" s="21"/>
      <c r="ET335" s="21"/>
      <c r="EU335" s="21"/>
      <c r="EV335" s="21"/>
      <c r="EW335" s="21"/>
      <c r="EX335" s="21"/>
      <c r="EY335" s="21"/>
      <c r="EZ335" s="21"/>
      <c r="FA335" s="21"/>
      <c r="FB335" s="21"/>
      <c r="FC335" s="21"/>
      <c r="FD335" s="21"/>
      <c r="FE335" s="21"/>
      <c r="FF335" s="21"/>
      <c r="FG335" s="21"/>
      <c r="FH335" s="21"/>
      <c r="FI335" s="21"/>
    </row>
    <row r="336" spans="1:165"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21"/>
      <c r="CH336" s="21"/>
      <c r="CI336" s="21"/>
      <c r="CJ336" s="21"/>
      <c r="CK336" s="21"/>
      <c r="CL336" s="21"/>
      <c r="CM336" s="21"/>
      <c r="CN336" s="21"/>
      <c r="CO336" s="21"/>
      <c r="CP336" s="21"/>
      <c r="CQ336" s="21"/>
      <c r="CR336" s="21"/>
      <c r="CS336" s="21"/>
      <c r="CT336" s="21"/>
      <c r="CU336" s="21"/>
      <c r="CV336" s="21"/>
      <c r="CW336" s="21"/>
      <c r="CX336" s="21"/>
      <c r="CY336" s="21"/>
      <c r="CZ336" s="21"/>
      <c r="DA336" s="21"/>
      <c r="DB336" s="21"/>
      <c r="DC336" s="21"/>
      <c r="DD336" s="21"/>
      <c r="DE336" s="21"/>
      <c r="DF336" s="21"/>
      <c r="DG336" s="21"/>
      <c r="DH336" s="21"/>
      <c r="DI336" s="21"/>
      <c r="DJ336" s="21"/>
      <c r="DK336" s="21"/>
      <c r="DL336" s="21"/>
      <c r="DM336" s="21"/>
      <c r="DN336" s="21"/>
      <c r="DO336" s="21"/>
      <c r="DP336" s="21"/>
      <c r="DQ336" s="21"/>
      <c r="DR336" s="21"/>
      <c r="DS336" s="21"/>
      <c r="DT336" s="21"/>
      <c r="DU336" s="21"/>
      <c r="DV336" s="21"/>
      <c r="DW336" s="21"/>
      <c r="DX336" s="21"/>
      <c r="DY336" s="21"/>
      <c r="DZ336" s="21"/>
      <c r="EA336" s="21"/>
      <c r="EB336" s="21"/>
      <c r="EC336" s="21"/>
      <c r="ED336" s="21"/>
      <c r="EE336" s="21"/>
      <c r="EF336" s="21"/>
      <c r="EG336" s="21"/>
      <c r="EH336" s="21"/>
      <c r="EI336" s="21"/>
      <c r="EJ336" s="21"/>
      <c r="EK336" s="21"/>
      <c r="EL336" s="21"/>
      <c r="EM336" s="21"/>
      <c r="EN336" s="21"/>
      <c r="EO336" s="21"/>
      <c r="EP336" s="21"/>
      <c r="EQ336" s="21"/>
      <c r="ER336" s="21"/>
      <c r="ES336" s="21"/>
      <c r="ET336" s="21"/>
      <c r="EU336" s="21"/>
      <c r="EV336" s="21"/>
      <c r="EW336" s="21"/>
      <c r="EX336" s="21"/>
      <c r="EY336" s="21"/>
      <c r="EZ336" s="21"/>
      <c r="FA336" s="21"/>
      <c r="FB336" s="21"/>
      <c r="FC336" s="21"/>
      <c r="FD336" s="21"/>
      <c r="FE336" s="21"/>
      <c r="FF336" s="21"/>
      <c r="FG336" s="21"/>
      <c r="FH336" s="21"/>
      <c r="FI336" s="21"/>
    </row>
    <row r="337" spans="1:165"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c r="DB337" s="21"/>
      <c r="DC337" s="21"/>
      <c r="DD337" s="21"/>
      <c r="DE337" s="21"/>
      <c r="DF337" s="21"/>
      <c r="DG337" s="21"/>
      <c r="DH337" s="21"/>
      <c r="DI337" s="21"/>
      <c r="DJ337" s="21"/>
      <c r="DK337" s="21"/>
      <c r="DL337" s="21"/>
      <c r="DM337" s="21"/>
      <c r="DN337" s="21"/>
      <c r="DO337" s="21"/>
      <c r="DP337" s="21"/>
      <c r="DQ337" s="21"/>
      <c r="DR337" s="21"/>
      <c r="DS337" s="21"/>
      <c r="DT337" s="21"/>
      <c r="DU337" s="21"/>
      <c r="DV337" s="21"/>
      <c r="DW337" s="21"/>
      <c r="DX337" s="21"/>
      <c r="DY337" s="21"/>
      <c r="DZ337" s="21"/>
      <c r="EA337" s="21"/>
      <c r="EB337" s="21"/>
      <c r="EC337" s="21"/>
      <c r="ED337" s="21"/>
      <c r="EE337" s="21"/>
      <c r="EF337" s="21"/>
      <c r="EG337" s="21"/>
      <c r="EH337" s="21"/>
      <c r="EI337" s="21"/>
      <c r="EJ337" s="21"/>
      <c r="EK337" s="21"/>
      <c r="EL337" s="21"/>
      <c r="EM337" s="21"/>
      <c r="EN337" s="21"/>
      <c r="EO337" s="21"/>
      <c r="EP337" s="21"/>
      <c r="EQ337" s="21"/>
      <c r="ER337" s="21"/>
      <c r="ES337" s="21"/>
      <c r="ET337" s="21"/>
      <c r="EU337" s="21"/>
      <c r="EV337" s="21"/>
      <c r="EW337" s="21"/>
      <c r="EX337" s="21"/>
      <c r="EY337" s="21"/>
      <c r="EZ337" s="21"/>
      <c r="FA337" s="21"/>
      <c r="FB337" s="21"/>
      <c r="FC337" s="21"/>
      <c r="FD337" s="21"/>
      <c r="FE337" s="21"/>
      <c r="FF337" s="21"/>
      <c r="FG337" s="21"/>
      <c r="FH337" s="21"/>
      <c r="FI337" s="21"/>
    </row>
    <row r="338" spans="1:165"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1"/>
      <c r="EL338" s="21"/>
      <c r="EM338" s="21"/>
      <c r="EN338" s="21"/>
      <c r="EO338" s="21"/>
      <c r="EP338" s="21"/>
      <c r="EQ338" s="21"/>
      <c r="ER338" s="21"/>
      <c r="ES338" s="21"/>
      <c r="ET338" s="21"/>
      <c r="EU338" s="21"/>
      <c r="EV338" s="21"/>
      <c r="EW338" s="21"/>
      <c r="EX338" s="21"/>
      <c r="EY338" s="21"/>
      <c r="EZ338" s="21"/>
      <c r="FA338" s="21"/>
      <c r="FB338" s="21"/>
      <c r="FC338" s="21"/>
      <c r="FD338" s="21"/>
      <c r="FE338" s="21"/>
      <c r="FF338" s="21"/>
      <c r="FG338" s="21"/>
      <c r="FH338" s="21"/>
      <c r="FI338" s="21"/>
    </row>
    <row r="339" spans="1:165"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c r="DB339" s="21"/>
      <c r="DC339" s="21"/>
      <c r="DD339" s="21"/>
      <c r="DE339" s="21"/>
      <c r="DF339" s="21"/>
      <c r="DG339" s="21"/>
      <c r="DH339" s="21"/>
      <c r="DI339" s="21"/>
      <c r="DJ339" s="21"/>
      <c r="DK339" s="21"/>
      <c r="DL339" s="21"/>
      <c r="DM339" s="21"/>
      <c r="DN339" s="21"/>
      <c r="DO339" s="21"/>
      <c r="DP339" s="21"/>
      <c r="DQ339" s="21"/>
      <c r="DR339" s="21"/>
      <c r="DS339" s="21"/>
      <c r="DT339" s="21"/>
      <c r="DU339" s="21"/>
      <c r="DV339" s="21"/>
      <c r="DW339" s="21"/>
      <c r="DX339" s="21"/>
      <c r="DY339" s="21"/>
      <c r="DZ339" s="21"/>
      <c r="EA339" s="21"/>
      <c r="EB339" s="21"/>
      <c r="EC339" s="21"/>
      <c r="ED339" s="21"/>
      <c r="EE339" s="21"/>
      <c r="EF339" s="21"/>
      <c r="EG339" s="21"/>
      <c r="EH339" s="21"/>
      <c r="EI339" s="21"/>
      <c r="EJ339" s="21"/>
      <c r="EK339" s="21"/>
      <c r="EL339" s="21"/>
      <c r="EM339" s="21"/>
      <c r="EN339" s="21"/>
      <c r="EO339" s="21"/>
      <c r="EP339" s="21"/>
      <c r="EQ339" s="21"/>
      <c r="ER339" s="21"/>
      <c r="ES339" s="21"/>
      <c r="ET339" s="21"/>
      <c r="EU339" s="21"/>
      <c r="EV339" s="21"/>
      <c r="EW339" s="21"/>
      <c r="EX339" s="21"/>
      <c r="EY339" s="21"/>
      <c r="EZ339" s="21"/>
      <c r="FA339" s="21"/>
      <c r="FB339" s="21"/>
      <c r="FC339" s="21"/>
      <c r="FD339" s="21"/>
      <c r="FE339" s="21"/>
      <c r="FF339" s="21"/>
      <c r="FG339" s="21"/>
      <c r="FH339" s="21"/>
      <c r="FI339" s="21"/>
    </row>
    <row r="340" spans="1:165"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c r="DE340" s="21"/>
      <c r="DF340" s="21"/>
      <c r="DG340" s="21"/>
      <c r="DH340" s="21"/>
      <c r="DI340" s="21"/>
      <c r="DJ340" s="21"/>
      <c r="DK340" s="21"/>
      <c r="DL340" s="21"/>
      <c r="DM340" s="21"/>
      <c r="DN340" s="21"/>
      <c r="DO340" s="21"/>
      <c r="DP340" s="21"/>
      <c r="DQ340" s="21"/>
      <c r="DR340" s="21"/>
      <c r="DS340" s="21"/>
      <c r="DT340" s="21"/>
      <c r="DU340" s="21"/>
      <c r="DV340" s="21"/>
      <c r="DW340" s="21"/>
      <c r="DX340" s="21"/>
      <c r="DY340" s="21"/>
      <c r="DZ340" s="21"/>
      <c r="EA340" s="21"/>
      <c r="EB340" s="21"/>
      <c r="EC340" s="21"/>
      <c r="ED340" s="21"/>
      <c r="EE340" s="21"/>
      <c r="EF340" s="21"/>
      <c r="EG340" s="21"/>
      <c r="EH340" s="21"/>
      <c r="EI340" s="21"/>
      <c r="EJ340" s="21"/>
      <c r="EK340" s="21"/>
      <c r="EL340" s="21"/>
      <c r="EM340" s="21"/>
      <c r="EN340" s="21"/>
      <c r="EO340" s="21"/>
      <c r="EP340" s="21"/>
      <c r="EQ340" s="21"/>
      <c r="ER340" s="21"/>
      <c r="ES340" s="21"/>
      <c r="ET340" s="21"/>
      <c r="EU340" s="21"/>
      <c r="EV340" s="21"/>
      <c r="EW340" s="21"/>
      <c r="EX340" s="21"/>
      <c r="EY340" s="21"/>
      <c r="EZ340" s="21"/>
      <c r="FA340" s="21"/>
      <c r="FB340" s="21"/>
      <c r="FC340" s="21"/>
      <c r="FD340" s="21"/>
      <c r="FE340" s="21"/>
      <c r="FF340" s="21"/>
      <c r="FG340" s="21"/>
      <c r="FH340" s="21"/>
      <c r="FI340" s="21"/>
    </row>
    <row r="341" spans="1:165"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21"/>
      <c r="CH341" s="21"/>
      <c r="CI341" s="21"/>
      <c r="CJ341" s="21"/>
      <c r="CK341" s="21"/>
      <c r="CL341" s="21"/>
      <c r="CM341" s="21"/>
      <c r="CN341" s="21"/>
      <c r="CO341" s="21"/>
      <c r="CP341" s="21"/>
      <c r="CQ341" s="21"/>
      <c r="CR341" s="21"/>
      <c r="CS341" s="21"/>
      <c r="CT341" s="21"/>
      <c r="CU341" s="21"/>
      <c r="CV341" s="21"/>
      <c r="CW341" s="21"/>
      <c r="CX341" s="21"/>
      <c r="CY341" s="21"/>
      <c r="CZ341" s="21"/>
      <c r="DA341" s="21"/>
      <c r="DB341" s="21"/>
      <c r="DC341" s="21"/>
      <c r="DD341" s="21"/>
      <c r="DE341" s="21"/>
      <c r="DF341" s="21"/>
      <c r="DG341" s="21"/>
      <c r="DH341" s="21"/>
      <c r="DI341" s="21"/>
      <c r="DJ341" s="21"/>
      <c r="DK341" s="21"/>
      <c r="DL341" s="21"/>
      <c r="DM341" s="21"/>
      <c r="DN341" s="21"/>
      <c r="DO341" s="21"/>
      <c r="DP341" s="21"/>
      <c r="DQ341" s="21"/>
      <c r="DR341" s="21"/>
      <c r="DS341" s="21"/>
      <c r="DT341" s="21"/>
      <c r="DU341" s="21"/>
      <c r="DV341" s="21"/>
      <c r="DW341" s="21"/>
      <c r="DX341" s="21"/>
      <c r="DY341" s="21"/>
      <c r="DZ341" s="21"/>
      <c r="EA341" s="21"/>
      <c r="EB341" s="21"/>
      <c r="EC341" s="21"/>
      <c r="ED341" s="21"/>
      <c r="EE341" s="21"/>
      <c r="EF341" s="21"/>
      <c r="EG341" s="21"/>
      <c r="EH341" s="21"/>
      <c r="EI341" s="21"/>
      <c r="EJ341" s="21"/>
      <c r="EK341" s="21"/>
      <c r="EL341" s="21"/>
      <c r="EM341" s="21"/>
      <c r="EN341" s="21"/>
      <c r="EO341" s="21"/>
      <c r="EP341" s="21"/>
      <c r="EQ341" s="21"/>
      <c r="ER341" s="21"/>
      <c r="ES341" s="21"/>
      <c r="ET341" s="21"/>
      <c r="EU341" s="21"/>
      <c r="EV341" s="21"/>
      <c r="EW341" s="21"/>
      <c r="EX341" s="21"/>
      <c r="EY341" s="21"/>
      <c r="EZ341" s="21"/>
      <c r="FA341" s="21"/>
      <c r="FB341" s="21"/>
      <c r="FC341" s="21"/>
      <c r="FD341" s="21"/>
      <c r="FE341" s="21"/>
      <c r="FF341" s="21"/>
      <c r="FG341" s="21"/>
      <c r="FH341" s="21"/>
      <c r="FI341" s="21"/>
    </row>
    <row r="342" spans="1:165"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c r="DB342" s="21"/>
      <c r="DC342" s="21"/>
      <c r="DD342" s="21"/>
      <c r="DE342" s="21"/>
      <c r="DF342" s="21"/>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1"/>
      <c r="FH342" s="21"/>
      <c r="FI342" s="21"/>
    </row>
    <row r="343" spans="1:165"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21"/>
      <c r="CH343" s="21"/>
      <c r="CI343" s="21"/>
      <c r="CJ343" s="21"/>
      <c r="CK343" s="21"/>
      <c r="CL343" s="21"/>
      <c r="CM343" s="21"/>
      <c r="CN343" s="21"/>
      <c r="CO343" s="21"/>
      <c r="CP343" s="21"/>
      <c r="CQ343" s="21"/>
      <c r="CR343" s="21"/>
      <c r="CS343" s="21"/>
      <c r="CT343" s="21"/>
      <c r="CU343" s="21"/>
      <c r="CV343" s="21"/>
      <c r="CW343" s="21"/>
      <c r="CX343" s="21"/>
      <c r="CY343" s="21"/>
      <c r="CZ343" s="21"/>
      <c r="DA343" s="21"/>
      <c r="DB343" s="21"/>
      <c r="DC343" s="21"/>
      <c r="DD343" s="21"/>
      <c r="DE343" s="21"/>
      <c r="DF343" s="21"/>
      <c r="DG343" s="21"/>
      <c r="DH343" s="21"/>
      <c r="DI343" s="21"/>
      <c r="DJ343" s="21"/>
      <c r="DK343" s="21"/>
      <c r="DL343" s="21"/>
      <c r="DM343" s="21"/>
      <c r="DN343" s="21"/>
      <c r="DO343" s="21"/>
      <c r="DP343" s="21"/>
      <c r="DQ343" s="21"/>
      <c r="DR343" s="21"/>
      <c r="DS343" s="21"/>
      <c r="DT343" s="21"/>
      <c r="DU343" s="21"/>
      <c r="DV343" s="21"/>
      <c r="DW343" s="21"/>
      <c r="DX343" s="21"/>
      <c r="DY343" s="21"/>
      <c r="DZ343" s="21"/>
      <c r="EA343" s="21"/>
      <c r="EB343" s="21"/>
      <c r="EC343" s="21"/>
      <c r="ED343" s="21"/>
      <c r="EE343" s="21"/>
      <c r="EF343" s="21"/>
      <c r="EG343" s="21"/>
      <c r="EH343" s="21"/>
      <c r="EI343" s="21"/>
      <c r="EJ343" s="21"/>
      <c r="EK343" s="21"/>
      <c r="EL343" s="21"/>
      <c r="EM343" s="21"/>
      <c r="EN343" s="21"/>
      <c r="EO343" s="21"/>
      <c r="EP343" s="21"/>
      <c r="EQ343" s="21"/>
      <c r="ER343" s="21"/>
      <c r="ES343" s="21"/>
      <c r="ET343" s="21"/>
      <c r="EU343" s="21"/>
      <c r="EV343" s="21"/>
      <c r="EW343" s="21"/>
      <c r="EX343" s="21"/>
      <c r="EY343" s="21"/>
      <c r="EZ343" s="21"/>
      <c r="FA343" s="21"/>
      <c r="FB343" s="21"/>
      <c r="FC343" s="21"/>
      <c r="FD343" s="21"/>
      <c r="FE343" s="21"/>
      <c r="FF343" s="21"/>
      <c r="FG343" s="21"/>
      <c r="FH343" s="21"/>
      <c r="FI343" s="21"/>
    </row>
    <row r="344" spans="1:165"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21"/>
      <c r="CH344" s="21"/>
      <c r="CI344" s="21"/>
      <c r="CJ344" s="21"/>
      <c r="CK344" s="21"/>
      <c r="CL344" s="21"/>
      <c r="CM344" s="21"/>
      <c r="CN344" s="21"/>
      <c r="CO344" s="21"/>
      <c r="CP344" s="21"/>
      <c r="CQ344" s="21"/>
      <c r="CR344" s="21"/>
      <c r="CS344" s="21"/>
      <c r="CT344" s="21"/>
      <c r="CU344" s="21"/>
      <c r="CV344" s="21"/>
      <c r="CW344" s="21"/>
      <c r="CX344" s="21"/>
      <c r="CY344" s="21"/>
      <c r="CZ344" s="21"/>
      <c r="DA344" s="21"/>
      <c r="DB344" s="21"/>
      <c r="DC344" s="21"/>
      <c r="DD344" s="21"/>
      <c r="DE344" s="21"/>
      <c r="DF344" s="21"/>
      <c r="DG344" s="21"/>
      <c r="DH344" s="21"/>
      <c r="DI344" s="21"/>
      <c r="DJ344" s="21"/>
      <c r="DK344" s="21"/>
      <c r="DL344" s="21"/>
      <c r="DM344" s="21"/>
      <c r="DN344" s="21"/>
      <c r="DO344" s="21"/>
      <c r="DP344" s="21"/>
      <c r="DQ344" s="21"/>
      <c r="DR344" s="21"/>
      <c r="DS344" s="21"/>
      <c r="DT344" s="21"/>
      <c r="DU344" s="21"/>
      <c r="DV344" s="21"/>
      <c r="DW344" s="21"/>
      <c r="DX344" s="21"/>
      <c r="DY344" s="21"/>
      <c r="DZ344" s="21"/>
      <c r="EA344" s="21"/>
      <c r="EB344" s="21"/>
      <c r="EC344" s="21"/>
      <c r="ED344" s="21"/>
      <c r="EE344" s="21"/>
      <c r="EF344" s="21"/>
      <c r="EG344" s="21"/>
      <c r="EH344" s="21"/>
      <c r="EI344" s="21"/>
      <c r="EJ344" s="21"/>
      <c r="EK344" s="21"/>
      <c r="EL344" s="21"/>
      <c r="EM344" s="21"/>
      <c r="EN344" s="21"/>
      <c r="EO344" s="21"/>
      <c r="EP344" s="21"/>
      <c r="EQ344" s="21"/>
      <c r="ER344" s="21"/>
      <c r="ES344" s="21"/>
      <c r="ET344" s="21"/>
      <c r="EU344" s="21"/>
      <c r="EV344" s="21"/>
      <c r="EW344" s="21"/>
      <c r="EX344" s="21"/>
      <c r="EY344" s="21"/>
      <c r="EZ344" s="21"/>
      <c r="FA344" s="21"/>
      <c r="FB344" s="21"/>
      <c r="FC344" s="21"/>
      <c r="FD344" s="21"/>
      <c r="FE344" s="21"/>
      <c r="FF344" s="21"/>
      <c r="FG344" s="21"/>
      <c r="FH344" s="21"/>
      <c r="FI344" s="21"/>
    </row>
    <row r="345" spans="1:165"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21"/>
      <c r="CH345" s="21"/>
      <c r="CI345" s="21"/>
      <c r="CJ345" s="21"/>
      <c r="CK345" s="21"/>
      <c r="CL345" s="21"/>
      <c r="CM345" s="21"/>
      <c r="CN345" s="21"/>
      <c r="CO345" s="21"/>
      <c r="CP345" s="21"/>
      <c r="CQ345" s="21"/>
      <c r="CR345" s="21"/>
      <c r="CS345" s="21"/>
      <c r="CT345" s="21"/>
      <c r="CU345" s="21"/>
      <c r="CV345" s="21"/>
      <c r="CW345" s="21"/>
      <c r="CX345" s="21"/>
      <c r="CY345" s="21"/>
      <c r="CZ345" s="21"/>
      <c r="DA345" s="21"/>
      <c r="DB345" s="21"/>
      <c r="DC345" s="21"/>
      <c r="DD345" s="21"/>
      <c r="DE345" s="21"/>
      <c r="DF345" s="21"/>
      <c r="DG345" s="21"/>
      <c r="DH345" s="21"/>
      <c r="DI345" s="21"/>
      <c r="DJ345" s="21"/>
      <c r="DK345" s="21"/>
      <c r="DL345" s="21"/>
      <c r="DM345" s="21"/>
      <c r="DN345" s="21"/>
      <c r="DO345" s="21"/>
      <c r="DP345" s="21"/>
      <c r="DQ345" s="21"/>
      <c r="DR345" s="21"/>
      <c r="DS345" s="21"/>
      <c r="DT345" s="21"/>
      <c r="DU345" s="21"/>
      <c r="DV345" s="21"/>
      <c r="DW345" s="21"/>
      <c r="DX345" s="21"/>
      <c r="DY345" s="21"/>
      <c r="DZ345" s="21"/>
      <c r="EA345" s="21"/>
      <c r="EB345" s="21"/>
      <c r="EC345" s="21"/>
      <c r="ED345" s="21"/>
      <c r="EE345" s="21"/>
      <c r="EF345" s="21"/>
      <c r="EG345" s="21"/>
      <c r="EH345" s="21"/>
      <c r="EI345" s="21"/>
      <c r="EJ345" s="21"/>
      <c r="EK345" s="21"/>
      <c r="EL345" s="21"/>
      <c r="EM345" s="21"/>
      <c r="EN345" s="21"/>
      <c r="EO345" s="21"/>
      <c r="EP345" s="21"/>
      <c r="EQ345" s="21"/>
      <c r="ER345" s="21"/>
      <c r="ES345" s="21"/>
      <c r="ET345" s="21"/>
      <c r="EU345" s="21"/>
      <c r="EV345" s="21"/>
      <c r="EW345" s="21"/>
      <c r="EX345" s="21"/>
      <c r="EY345" s="21"/>
      <c r="EZ345" s="21"/>
      <c r="FA345" s="21"/>
      <c r="FB345" s="21"/>
      <c r="FC345" s="21"/>
      <c r="FD345" s="21"/>
      <c r="FE345" s="21"/>
      <c r="FF345" s="21"/>
      <c r="FG345" s="21"/>
      <c r="FH345" s="21"/>
      <c r="FI345" s="21"/>
    </row>
    <row r="346" spans="1:165"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c r="DB346" s="21"/>
      <c r="DC346" s="21"/>
      <c r="DD346" s="21"/>
      <c r="DE346" s="21"/>
      <c r="DF346" s="21"/>
      <c r="DG346" s="21"/>
      <c r="DH346" s="21"/>
      <c r="DI346" s="21"/>
      <c r="DJ346" s="21"/>
      <c r="DK346" s="21"/>
      <c r="DL346" s="21"/>
      <c r="DM346" s="21"/>
      <c r="DN346" s="21"/>
      <c r="DO346" s="21"/>
      <c r="DP346" s="21"/>
      <c r="DQ346" s="21"/>
      <c r="DR346" s="21"/>
      <c r="DS346" s="21"/>
      <c r="DT346" s="21"/>
      <c r="DU346" s="21"/>
      <c r="DV346" s="21"/>
      <c r="DW346" s="21"/>
      <c r="DX346" s="21"/>
      <c r="DY346" s="21"/>
      <c r="DZ346" s="21"/>
      <c r="EA346" s="21"/>
      <c r="EB346" s="21"/>
      <c r="EC346" s="21"/>
      <c r="ED346" s="21"/>
      <c r="EE346" s="21"/>
      <c r="EF346" s="21"/>
      <c r="EG346" s="21"/>
      <c r="EH346" s="21"/>
      <c r="EI346" s="21"/>
      <c r="EJ346" s="21"/>
      <c r="EK346" s="21"/>
      <c r="EL346" s="21"/>
      <c r="EM346" s="21"/>
      <c r="EN346" s="21"/>
      <c r="EO346" s="21"/>
      <c r="EP346" s="21"/>
      <c r="EQ346" s="21"/>
      <c r="ER346" s="21"/>
      <c r="ES346" s="21"/>
      <c r="ET346" s="21"/>
      <c r="EU346" s="21"/>
      <c r="EV346" s="21"/>
      <c r="EW346" s="21"/>
      <c r="EX346" s="21"/>
      <c r="EY346" s="21"/>
      <c r="EZ346" s="21"/>
      <c r="FA346" s="21"/>
      <c r="FB346" s="21"/>
      <c r="FC346" s="21"/>
      <c r="FD346" s="21"/>
      <c r="FE346" s="21"/>
      <c r="FF346" s="21"/>
      <c r="FG346" s="21"/>
      <c r="FH346" s="21"/>
      <c r="FI346" s="21"/>
    </row>
    <row r="347" spans="1:165"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c r="DE347" s="21"/>
      <c r="DF347" s="21"/>
      <c r="DG347" s="21"/>
      <c r="DH347" s="21"/>
      <c r="DI347" s="21"/>
      <c r="DJ347" s="21"/>
      <c r="DK347" s="21"/>
      <c r="DL347" s="21"/>
      <c r="DM347" s="21"/>
      <c r="DN347" s="21"/>
      <c r="DO347" s="21"/>
      <c r="DP347" s="21"/>
      <c r="DQ347" s="21"/>
      <c r="DR347" s="21"/>
      <c r="DS347" s="21"/>
      <c r="DT347" s="21"/>
      <c r="DU347" s="21"/>
      <c r="DV347" s="21"/>
      <c r="DW347" s="21"/>
      <c r="DX347" s="21"/>
      <c r="DY347" s="21"/>
      <c r="DZ347" s="21"/>
      <c r="EA347" s="21"/>
      <c r="EB347" s="21"/>
      <c r="EC347" s="21"/>
      <c r="ED347" s="21"/>
      <c r="EE347" s="21"/>
      <c r="EF347" s="21"/>
      <c r="EG347" s="21"/>
      <c r="EH347" s="21"/>
      <c r="EI347" s="21"/>
      <c r="EJ347" s="21"/>
      <c r="EK347" s="21"/>
      <c r="EL347" s="21"/>
      <c r="EM347" s="21"/>
      <c r="EN347" s="21"/>
      <c r="EO347" s="21"/>
      <c r="EP347" s="21"/>
      <c r="EQ347" s="21"/>
      <c r="ER347" s="21"/>
      <c r="ES347" s="21"/>
      <c r="ET347" s="21"/>
      <c r="EU347" s="21"/>
      <c r="EV347" s="21"/>
      <c r="EW347" s="21"/>
      <c r="EX347" s="21"/>
      <c r="EY347" s="21"/>
      <c r="EZ347" s="21"/>
      <c r="FA347" s="21"/>
      <c r="FB347" s="21"/>
      <c r="FC347" s="21"/>
      <c r="FD347" s="21"/>
      <c r="FE347" s="21"/>
      <c r="FF347" s="21"/>
      <c r="FG347" s="21"/>
      <c r="FH347" s="21"/>
      <c r="FI347" s="21"/>
    </row>
    <row r="348" spans="1:165"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c r="DB348" s="21"/>
      <c r="DC348" s="21"/>
      <c r="DD348" s="21"/>
      <c r="DE348" s="21"/>
      <c r="DF348" s="21"/>
      <c r="DG348" s="21"/>
      <c r="DH348" s="21"/>
      <c r="DI348" s="21"/>
      <c r="DJ348" s="21"/>
      <c r="DK348" s="21"/>
      <c r="DL348" s="21"/>
      <c r="DM348" s="21"/>
      <c r="DN348" s="21"/>
      <c r="DO348" s="21"/>
      <c r="DP348" s="21"/>
      <c r="DQ348" s="21"/>
      <c r="DR348" s="21"/>
      <c r="DS348" s="21"/>
      <c r="DT348" s="21"/>
      <c r="DU348" s="21"/>
      <c r="DV348" s="21"/>
      <c r="DW348" s="21"/>
      <c r="DX348" s="21"/>
      <c r="DY348" s="21"/>
      <c r="DZ348" s="21"/>
      <c r="EA348" s="21"/>
      <c r="EB348" s="21"/>
      <c r="EC348" s="21"/>
      <c r="ED348" s="21"/>
      <c r="EE348" s="21"/>
      <c r="EF348" s="21"/>
      <c r="EG348" s="21"/>
      <c r="EH348" s="21"/>
      <c r="EI348" s="21"/>
      <c r="EJ348" s="21"/>
      <c r="EK348" s="21"/>
      <c r="EL348" s="21"/>
      <c r="EM348" s="21"/>
      <c r="EN348" s="21"/>
      <c r="EO348" s="21"/>
      <c r="EP348" s="21"/>
      <c r="EQ348" s="21"/>
      <c r="ER348" s="21"/>
      <c r="ES348" s="21"/>
      <c r="ET348" s="21"/>
      <c r="EU348" s="21"/>
      <c r="EV348" s="21"/>
      <c r="EW348" s="21"/>
      <c r="EX348" s="21"/>
      <c r="EY348" s="21"/>
      <c r="EZ348" s="21"/>
      <c r="FA348" s="21"/>
      <c r="FB348" s="21"/>
      <c r="FC348" s="21"/>
      <c r="FD348" s="21"/>
      <c r="FE348" s="21"/>
      <c r="FF348" s="21"/>
      <c r="FG348" s="21"/>
      <c r="FH348" s="21"/>
      <c r="FI348" s="21"/>
    </row>
    <row r="349" spans="1:165"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21"/>
      <c r="CH349" s="21"/>
      <c r="CI349" s="21"/>
      <c r="CJ349" s="21"/>
      <c r="CK349" s="21"/>
      <c r="CL349" s="21"/>
      <c r="CM349" s="21"/>
      <c r="CN349" s="21"/>
      <c r="CO349" s="21"/>
      <c r="CP349" s="21"/>
      <c r="CQ349" s="21"/>
      <c r="CR349" s="21"/>
      <c r="CS349" s="21"/>
      <c r="CT349" s="21"/>
      <c r="CU349" s="21"/>
      <c r="CV349" s="21"/>
      <c r="CW349" s="21"/>
      <c r="CX349" s="21"/>
      <c r="CY349" s="21"/>
      <c r="CZ349" s="21"/>
      <c r="DA349" s="21"/>
      <c r="DB349" s="21"/>
      <c r="DC349" s="21"/>
      <c r="DD349" s="21"/>
      <c r="DE349" s="21"/>
      <c r="DF349" s="21"/>
      <c r="DG349" s="21"/>
      <c r="DH349" s="21"/>
      <c r="DI349" s="21"/>
      <c r="DJ349" s="21"/>
      <c r="DK349" s="21"/>
      <c r="DL349" s="21"/>
      <c r="DM349" s="21"/>
      <c r="DN349" s="21"/>
      <c r="DO349" s="21"/>
      <c r="DP349" s="21"/>
      <c r="DQ349" s="21"/>
      <c r="DR349" s="21"/>
      <c r="DS349" s="21"/>
      <c r="DT349" s="21"/>
      <c r="DU349" s="21"/>
      <c r="DV349" s="21"/>
      <c r="DW349" s="21"/>
      <c r="DX349" s="21"/>
      <c r="DY349" s="21"/>
      <c r="DZ349" s="21"/>
      <c r="EA349" s="21"/>
      <c r="EB349" s="21"/>
      <c r="EC349" s="21"/>
      <c r="ED349" s="21"/>
      <c r="EE349" s="21"/>
      <c r="EF349" s="21"/>
      <c r="EG349" s="21"/>
      <c r="EH349" s="21"/>
      <c r="EI349" s="21"/>
      <c r="EJ349" s="21"/>
      <c r="EK349" s="21"/>
      <c r="EL349" s="21"/>
      <c r="EM349" s="21"/>
      <c r="EN349" s="21"/>
      <c r="EO349" s="21"/>
      <c r="EP349" s="21"/>
      <c r="EQ349" s="21"/>
      <c r="ER349" s="21"/>
      <c r="ES349" s="21"/>
      <c r="ET349" s="21"/>
      <c r="EU349" s="21"/>
      <c r="EV349" s="21"/>
      <c r="EW349" s="21"/>
      <c r="EX349" s="21"/>
      <c r="EY349" s="21"/>
      <c r="EZ349" s="21"/>
      <c r="FA349" s="21"/>
      <c r="FB349" s="21"/>
      <c r="FC349" s="21"/>
      <c r="FD349" s="21"/>
      <c r="FE349" s="21"/>
      <c r="FF349" s="21"/>
      <c r="FG349" s="21"/>
      <c r="FH349" s="21"/>
      <c r="FI349" s="21"/>
    </row>
    <row r="350" spans="1:165"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c r="DE350" s="21"/>
      <c r="DF350" s="21"/>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1"/>
      <c r="FH350" s="21"/>
      <c r="FI350" s="21"/>
    </row>
    <row r="351" spans="1:165"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c r="DE351" s="21"/>
      <c r="DF351" s="21"/>
      <c r="DG351" s="21"/>
      <c r="DH351" s="21"/>
      <c r="DI351" s="21"/>
      <c r="DJ351" s="21"/>
      <c r="DK351" s="21"/>
      <c r="DL351" s="21"/>
      <c r="DM351" s="21"/>
      <c r="DN351" s="21"/>
      <c r="DO351" s="21"/>
      <c r="DP351" s="21"/>
      <c r="DQ351" s="21"/>
      <c r="DR351" s="21"/>
      <c r="DS351" s="21"/>
      <c r="DT351" s="21"/>
      <c r="DU351" s="21"/>
      <c r="DV351" s="21"/>
      <c r="DW351" s="21"/>
      <c r="DX351" s="21"/>
      <c r="DY351" s="21"/>
      <c r="DZ351" s="21"/>
      <c r="EA351" s="21"/>
      <c r="EB351" s="21"/>
      <c r="EC351" s="21"/>
      <c r="ED351" s="21"/>
      <c r="EE351" s="21"/>
      <c r="EF351" s="21"/>
      <c r="EG351" s="21"/>
      <c r="EH351" s="21"/>
      <c r="EI351" s="21"/>
      <c r="EJ351" s="21"/>
      <c r="EK351" s="21"/>
      <c r="EL351" s="21"/>
      <c r="EM351" s="21"/>
      <c r="EN351" s="21"/>
      <c r="EO351" s="21"/>
      <c r="EP351" s="21"/>
      <c r="EQ351" s="21"/>
      <c r="ER351" s="21"/>
      <c r="ES351" s="21"/>
      <c r="ET351" s="21"/>
      <c r="EU351" s="21"/>
      <c r="EV351" s="21"/>
      <c r="EW351" s="21"/>
      <c r="EX351" s="21"/>
      <c r="EY351" s="21"/>
      <c r="EZ351" s="21"/>
      <c r="FA351" s="21"/>
      <c r="FB351" s="21"/>
      <c r="FC351" s="21"/>
      <c r="FD351" s="21"/>
      <c r="FE351" s="21"/>
      <c r="FF351" s="21"/>
      <c r="FG351" s="21"/>
      <c r="FH351" s="21"/>
      <c r="FI351" s="21"/>
    </row>
    <row r="352" spans="1:165"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c r="DE352" s="21"/>
      <c r="DF352" s="21"/>
      <c r="DG352" s="21"/>
      <c r="DH352" s="21"/>
      <c r="DI352" s="21"/>
      <c r="DJ352" s="21"/>
      <c r="DK352" s="21"/>
      <c r="DL352" s="21"/>
      <c r="DM352" s="21"/>
      <c r="DN352" s="21"/>
      <c r="DO352" s="21"/>
      <c r="DP352" s="21"/>
      <c r="DQ352" s="21"/>
      <c r="DR352" s="21"/>
      <c r="DS352" s="21"/>
      <c r="DT352" s="21"/>
      <c r="DU352" s="21"/>
      <c r="DV352" s="21"/>
      <c r="DW352" s="21"/>
      <c r="DX352" s="21"/>
      <c r="DY352" s="21"/>
      <c r="DZ352" s="21"/>
      <c r="EA352" s="21"/>
      <c r="EB352" s="21"/>
      <c r="EC352" s="21"/>
      <c r="ED352" s="21"/>
      <c r="EE352" s="21"/>
      <c r="EF352" s="21"/>
      <c r="EG352" s="21"/>
      <c r="EH352" s="21"/>
      <c r="EI352" s="21"/>
      <c r="EJ352" s="21"/>
      <c r="EK352" s="21"/>
      <c r="EL352" s="21"/>
      <c r="EM352" s="21"/>
      <c r="EN352" s="21"/>
      <c r="EO352" s="21"/>
      <c r="EP352" s="21"/>
      <c r="EQ352" s="21"/>
      <c r="ER352" s="21"/>
      <c r="ES352" s="21"/>
      <c r="ET352" s="21"/>
      <c r="EU352" s="21"/>
      <c r="EV352" s="21"/>
      <c r="EW352" s="21"/>
      <c r="EX352" s="21"/>
      <c r="EY352" s="21"/>
      <c r="EZ352" s="21"/>
      <c r="FA352" s="21"/>
      <c r="FB352" s="21"/>
      <c r="FC352" s="21"/>
      <c r="FD352" s="21"/>
      <c r="FE352" s="21"/>
      <c r="FF352" s="21"/>
      <c r="FG352" s="21"/>
      <c r="FH352" s="21"/>
      <c r="FI352" s="21"/>
    </row>
    <row r="353" spans="1:165"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c r="DE353" s="21"/>
      <c r="DF353" s="21"/>
      <c r="DG353" s="21"/>
      <c r="DH353" s="21"/>
      <c r="DI353" s="21"/>
      <c r="DJ353" s="21"/>
      <c r="DK353" s="21"/>
      <c r="DL353" s="21"/>
      <c r="DM353" s="21"/>
      <c r="DN353" s="21"/>
      <c r="DO353" s="21"/>
      <c r="DP353" s="21"/>
      <c r="DQ353" s="21"/>
      <c r="DR353" s="21"/>
      <c r="DS353" s="21"/>
      <c r="DT353" s="21"/>
      <c r="DU353" s="21"/>
      <c r="DV353" s="21"/>
      <c r="DW353" s="21"/>
      <c r="DX353" s="21"/>
      <c r="DY353" s="21"/>
      <c r="DZ353" s="21"/>
      <c r="EA353" s="21"/>
      <c r="EB353" s="21"/>
      <c r="EC353" s="21"/>
      <c r="ED353" s="21"/>
      <c r="EE353" s="21"/>
      <c r="EF353" s="21"/>
      <c r="EG353" s="21"/>
      <c r="EH353" s="21"/>
      <c r="EI353" s="21"/>
      <c r="EJ353" s="21"/>
      <c r="EK353" s="21"/>
      <c r="EL353" s="21"/>
      <c r="EM353" s="21"/>
      <c r="EN353" s="21"/>
      <c r="EO353" s="21"/>
      <c r="EP353" s="21"/>
      <c r="EQ353" s="21"/>
      <c r="ER353" s="21"/>
      <c r="ES353" s="21"/>
      <c r="ET353" s="21"/>
      <c r="EU353" s="21"/>
      <c r="EV353" s="21"/>
      <c r="EW353" s="21"/>
      <c r="EX353" s="21"/>
      <c r="EY353" s="21"/>
      <c r="EZ353" s="21"/>
      <c r="FA353" s="21"/>
      <c r="FB353" s="21"/>
      <c r="FC353" s="21"/>
      <c r="FD353" s="21"/>
      <c r="FE353" s="21"/>
      <c r="FF353" s="21"/>
      <c r="FG353" s="21"/>
      <c r="FH353" s="21"/>
      <c r="FI353" s="21"/>
    </row>
    <row r="354" spans="1:165"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c r="DB354" s="21"/>
      <c r="DC354" s="21"/>
      <c r="DD354" s="21"/>
      <c r="DE354" s="21"/>
      <c r="DF354" s="21"/>
      <c r="DG354" s="21"/>
      <c r="DH354" s="21"/>
      <c r="DI354" s="21"/>
      <c r="DJ354" s="21"/>
      <c r="DK354" s="21"/>
      <c r="DL354" s="21"/>
      <c r="DM354" s="21"/>
      <c r="DN354" s="21"/>
      <c r="DO354" s="21"/>
      <c r="DP354" s="21"/>
      <c r="DQ354" s="21"/>
      <c r="DR354" s="21"/>
      <c r="DS354" s="21"/>
      <c r="DT354" s="21"/>
      <c r="DU354" s="21"/>
      <c r="DV354" s="21"/>
      <c r="DW354" s="21"/>
      <c r="DX354" s="21"/>
      <c r="DY354" s="21"/>
      <c r="DZ354" s="21"/>
      <c r="EA354" s="21"/>
      <c r="EB354" s="21"/>
      <c r="EC354" s="21"/>
      <c r="ED354" s="21"/>
      <c r="EE354" s="21"/>
      <c r="EF354" s="21"/>
      <c r="EG354" s="21"/>
      <c r="EH354" s="21"/>
      <c r="EI354" s="21"/>
      <c r="EJ354" s="21"/>
      <c r="EK354" s="21"/>
      <c r="EL354" s="21"/>
      <c r="EM354" s="21"/>
      <c r="EN354" s="21"/>
      <c r="EO354" s="21"/>
      <c r="EP354" s="21"/>
      <c r="EQ354" s="21"/>
      <c r="ER354" s="21"/>
      <c r="ES354" s="21"/>
      <c r="ET354" s="21"/>
      <c r="EU354" s="21"/>
      <c r="EV354" s="21"/>
      <c r="EW354" s="21"/>
      <c r="EX354" s="21"/>
      <c r="EY354" s="21"/>
      <c r="EZ354" s="21"/>
      <c r="FA354" s="21"/>
      <c r="FB354" s="21"/>
      <c r="FC354" s="21"/>
      <c r="FD354" s="21"/>
      <c r="FE354" s="21"/>
      <c r="FF354" s="21"/>
      <c r="FG354" s="21"/>
      <c r="FH354" s="21"/>
      <c r="FI354" s="21"/>
    </row>
    <row r="355" spans="1:165"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c r="DB355" s="21"/>
      <c r="DC355" s="21"/>
      <c r="DD355" s="21"/>
      <c r="DE355" s="21"/>
      <c r="DF355" s="21"/>
      <c r="DG355" s="21"/>
      <c r="DH355" s="21"/>
      <c r="DI355" s="21"/>
      <c r="DJ355" s="21"/>
      <c r="DK355" s="21"/>
      <c r="DL355" s="21"/>
      <c r="DM355" s="21"/>
      <c r="DN355" s="21"/>
      <c r="DO355" s="21"/>
      <c r="DP355" s="21"/>
      <c r="DQ355" s="21"/>
      <c r="DR355" s="21"/>
      <c r="DS355" s="21"/>
      <c r="DT355" s="21"/>
      <c r="DU355" s="21"/>
      <c r="DV355" s="21"/>
      <c r="DW355" s="21"/>
      <c r="DX355" s="21"/>
      <c r="DY355" s="21"/>
      <c r="DZ355" s="21"/>
      <c r="EA355" s="21"/>
      <c r="EB355" s="21"/>
      <c r="EC355" s="21"/>
      <c r="ED355" s="21"/>
      <c r="EE355" s="21"/>
      <c r="EF355" s="21"/>
      <c r="EG355" s="21"/>
      <c r="EH355" s="21"/>
      <c r="EI355" s="21"/>
      <c r="EJ355" s="21"/>
      <c r="EK355" s="21"/>
      <c r="EL355" s="21"/>
      <c r="EM355" s="21"/>
      <c r="EN355" s="21"/>
      <c r="EO355" s="21"/>
      <c r="EP355" s="21"/>
      <c r="EQ355" s="21"/>
      <c r="ER355" s="21"/>
      <c r="ES355" s="21"/>
      <c r="ET355" s="21"/>
      <c r="EU355" s="21"/>
      <c r="EV355" s="21"/>
      <c r="EW355" s="21"/>
      <c r="EX355" s="21"/>
      <c r="EY355" s="21"/>
      <c r="EZ355" s="21"/>
      <c r="FA355" s="21"/>
      <c r="FB355" s="21"/>
      <c r="FC355" s="21"/>
      <c r="FD355" s="21"/>
      <c r="FE355" s="21"/>
      <c r="FF355" s="21"/>
      <c r="FG355" s="21"/>
      <c r="FH355" s="21"/>
      <c r="FI355" s="21"/>
    </row>
    <row r="356" spans="1:165"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c r="DB356" s="21"/>
      <c r="DC356" s="21"/>
      <c r="DD356" s="21"/>
      <c r="DE356" s="21"/>
      <c r="DF356" s="21"/>
      <c r="DG356" s="21"/>
      <c r="DH356" s="21"/>
      <c r="DI356" s="21"/>
      <c r="DJ356" s="21"/>
      <c r="DK356" s="21"/>
      <c r="DL356" s="21"/>
      <c r="DM356" s="21"/>
      <c r="DN356" s="21"/>
      <c r="DO356" s="21"/>
      <c r="DP356" s="21"/>
      <c r="DQ356" s="21"/>
      <c r="DR356" s="21"/>
      <c r="DS356" s="21"/>
      <c r="DT356" s="21"/>
      <c r="DU356" s="21"/>
      <c r="DV356" s="21"/>
      <c r="DW356" s="21"/>
      <c r="DX356" s="21"/>
      <c r="DY356" s="21"/>
      <c r="DZ356" s="21"/>
      <c r="EA356" s="21"/>
      <c r="EB356" s="21"/>
      <c r="EC356" s="21"/>
      <c r="ED356" s="21"/>
      <c r="EE356" s="21"/>
      <c r="EF356" s="21"/>
      <c r="EG356" s="21"/>
      <c r="EH356" s="21"/>
      <c r="EI356" s="21"/>
      <c r="EJ356" s="21"/>
      <c r="EK356" s="21"/>
      <c r="EL356" s="21"/>
      <c r="EM356" s="21"/>
      <c r="EN356" s="21"/>
      <c r="EO356" s="21"/>
      <c r="EP356" s="21"/>
      <c r="EQ356" s="21"/>
      <c r="ER356" s="21"/>
      <c r="ES356" s="21"/>
      <c r="ET356" s="21"/>
      <c r="EU356" s="21"/>
      <c r="EV356" s="21"/>
      <c r="EW356" s="21"/>
      <c r="EX356" s="21"/>
      <c r="EY356" s="21"/>
      <c r="EZ356" s="21"/>
      <c r="FA356" s="21"/>
      <c r="FB356" s="21"/>
      <c r="FC356" s="21"/>
      <c r="FD356" s="21"/>
      <c r="FE356" s="21"/>
      <c r="FF356" s="21"/>
      <c r="FG356" s="21"/>
      <c r="FH356" s="21"/>
      <c r="FI356" s="21"/>
    </row>
    <row r="357" spans="1:165"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21"/>
      <c r="CH357" s="21"/>
      <c r="CI357" s="21"/>
      <c r="CJ357" s="21"/>
      <c r="CK357" s="21"/>
      <c r="CL357" s="21"/>
      <c r="CM357" s="21"/>
      <c r="CN357" s="21"/>
      <c r="CO357" s="21"/>
      <c r="CP357" s="21"/>
      <c r="CQ357" s="21"/>
      <c r="CR357" s="21"/>
      <c r="CS357" s="21"/>
      <c r="CT357" s="21"/>
      <c r="CU357" s="21"/>
      <c r="CV357" s="21"/>
      <c r="CW357" s="21"/>
      <c r="CX357" s="21"/>
      <c r="CY357" s="21"/>
      <c r="CZ357" s="21"/>
      <c r="DA357" s="21"/>
      <c r="DB357" s="21"/>
      <c r="DC357" s="21"/>
      <c r="DD357" s="21"/>
      <c r="DE357" s="21"/>
      <c r="DF357" s="21"/>
      <c r="DG357" s="21"/>
      <c r="DH357" s="21"/>
      <c r="DI357" s="21"/>
      <c r="DJ357" s="21"/>
      <c r="DK357" s="21"/>
      <c r="DL357" s="21"/>
      <c r="DM357" s="21"/>
      <c r="DN357" s="21"/>
      <c r="DO357" s="21"/>
      <c r="DP357" s="21"/>
      <c r="DQ357" s="21"/>
      <c r="DR357" s="21"/>
      <c r="DS357" s="21"/>
      <c r="DT357" s="21"/>
      <c r="DU357" s="21"/>
      <c r="DV357" s="21"/>
      <c r="DW357" s="21"/>
      <c r="DX357" s="21"/>
      <c r="DY357" s="21"/>
      <c r="DZ357" s="21"/>
      <c r="EA357" s="21"/>
      <c r="EB357" s="21"/>
      <c r="EC357" s="21"/>
      <c r="ED357" s="21"/>
      <c r="EE357" s="21"/>
      <c r="EF357" s="21"/>
      <c r="EG357" s="21"/>
      <c r="EH357" s="21"/>
      <c r="EI357" s="21"/>
      <c r="EJ357" s="21"/>
      <c r="EK357" s="21"/>
      <c r="EL357" s="21"/>
      <c r="EM357" s="21"/>
      <c r="EN357" s="21"/>
      <c r="EO357" s="21"/>
      <c r="EP357" s="21"/>
      <c r="EQ357" s="21"/>
      <c r="ER357" s="21"/>
      <c r="ES357" s="21"/>
      <c r="ET357" s="21"/>
      <c r="EU357" s="21"/>
      <c r="EV357" s="21"/>
      <c r="EW357" s="21"/>
      <c r="EX357" s="21"/>
      <c r="EY357" s="21"/>
      <c r="EZ357" s="21"/>
      <c r="FA357" s="21"/>
      <c r="FB357" s="21"/>
      <c r="FC357" s="21"/>
      <c r="FD357" s="21"/>
      <c r="FE357" s="21"/>
      <c r="FF357" s="21"/>
      <c r="FG357" s="21"/>
      <c r="FH357" s="21"/>
      <c r="FI357" s="21"/>
    </row>
    <row r="358" spans="1:165"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c r="DE358" s="21"/>
      <c r="DF358" s="21"/>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1"/>
      <c r="FH358" s="21"/>
      <c r="FI358" s="21"/>
    </row>
    <row r="359" spans="1:165"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c r="DB359" s="21"/>
      <c r="DC359" s="21"/>
      <c r="DD359" s="21"/>
      <c r="DE359" s="21"/>
      <c r="DF359" s="21"/>
      <c r="DG359" s="21"/>
      <c r="DH359" s="21"/>
      <c r="DI359" s="21"/>
      <c r="DJ359" s="21"/>
      <c r="DK359" s="21"/>
      <c r="DL359" s="21"/>
      <c r="DM359" s="21"/>
      <c r="DN359" s="21"/>
      <c r="DO359" s="21"/>
      <c r="DP359" s="21"/>
      <c r="DQ359" s="21"/>
      <c r="DR359" s="21"/>
      <c r="DS359" s="21"/>
      <c r="DT359" s="21"/>
      <c r="DU359" s="21"/>
      <c r="DV359" s="21"/>
      <c r="DW359" s="21"/>
      <c r="DX359" s="21"/>
      <c r="DY359" s="21"/>
      <c r="DZ359" s="21"/>
      <c r="EA359" s="21"/>
      <c r="EB359" s="21"/>
      <c r="EC359" s="21"/>
      <c r="ED359" s="21"/>
      <c r="EE359" s="21"/>
      <c r="EF359" s="21"/>
      <c r="EG359" s="21"/>
      <c r="EH359" s="21"/>
      <c r="EI359" s="21"/>
      <c r="EJ359" s="21"/>
      <c r="EK359" s="21"/>
      <c r="EL359" s="21"/>
      <c r="EM359" s="21"/>
      <c r="EN359" s="21"/>
      <c r="EO359" s="21"/>
      <c r="EP359" s="21"/>
      <c r="EQ359" s="21"/>
      <c r="ER359" s="21"/>
      <c r="ES359" s="21"/>
      <c r="ET359" s="21"/>
      <c r="EU359" s="21"/>
      <c r="EV359" s="21"/>
      <c r="EW359" s="21"/>
      <c r="EX359" s="21"/>
      <c r="EY359" s="21"/>
      <c r="EZ359" s="21"/>
      <c r="FA359" s="21"/>
      <c r="FB359" s="21"/>
      <c r="FC359" s="21"/>
      <c r="FD359" s="21"/>
      <c r="FE359" s="21"/>
      <c r="FF359" s="21"/>
      <c r="FG359" s="21"/>
      <c r="FH359" s="21"/>
      <c r="FI359" s="21"/>
    </row>
    <row r="360" spans="1:165"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c r="DB360" s="21"/>
      <c r="DC360" s="21"/>
      <c r="DD360" s="21"/>
      <c r="DE360" s="21"/>
      <c r="DF360" s="21"/>
      <c r="DG360" s="21"/>
      <c r="DH360" s="21"/>
      <c r="DI360" s="21"/>
      <c r="DJ360" s="21"/>
      <c r="DK360" s="21"/>
      <c r="DL360" s="21"/>
      <c r="DM360" s="21"/>
      <c r="DN360" s="21"/>
      <c r="DO360" s="21"/>
      <c r="DP360" s="21"/>
      <c r="DQ360" s="21"/>
      <c r="DR360" s="21"/>
      <c r="DS360" s="21"/>
      <c r="DT360" s="21"/>
      <c r="DU360" s="21"/>
      <c r="DV360" s="21"/>
      <c r="DW360" s="21"/>
      <c r="DX360" s="21"/>
      <c r="DY360" s="21"/>
      <c r="DZ360" s="21"/>
      <c r="EA360" s="21"/>
      <c r="EB360" s="21"/>
      <c r="EC360" s="21"/>
      <c r="ED360" s="21"/>
      <c r="EE360" s="21"/>
      <c r="EF360" s="21"/>
      <c r="EG360" s="21"/>
      <c r="EH360" s="21"/>
      <c r="EI360" s="21"/>
      <c r="EJ360" s="21"/>
      <c r="EK360" s="21"/>
      <c r="EL360" s="21"/>
      <c r="EM360" s="21"/>
      <c r="EN360" s="21"/>
      <c r="EO360" s="21"/>
      <c r="EP360" s="21"/>
      <c r="EQ360" s="21"/>
      <c r="ER360" s="21"/>
      <c r="ES360" s="21"/>
      <c r="ET360" s="21"/>
      <c r="EU360" s="21"/>
      <c r="EV360" s="21"/>
      <c r="EW360" s="21"/>
      <c r="EX360" s="21"/>
      <c r="EY360" s="21"/>
      <c r="EZ360" s="21"/>
      <c r="FA360" s="21"/>
      <c r="FB360" s="21"/>
      <c r="FC360" s="21"/>
      <c r="FD360" s="21"/>
      <c r="FE360" s="21"/>
      <c r="FF360" s="21"/>
      <c r="FG360" s="21"/>
      <c r="FH360" s="21"/>
      <c r="FI360" s="21"/>
    </row>
    <row r="361" spans="1:165"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21"/>
      <c r="CH361" s="21"/>
      <c r="CI361" s="21"/>
      <c r="CJ361" s="21"/>
      <c r="CK361" s="21"/>
      <c r="CL361" s="21"/>
      <c r="CM361" s="21"/>
      <c r="CN361" s="21"/>
      <c r="CO361" s="21"/>
      <c r="CP361" s="21"/>
      <c r="CQ361" s="21"/>
      <c r="CR361" s="21"/>
      <c r="CS361" s="21"/>
      <c r="CT361" s="21"/>
      <c r="CU361" s="21"/>
      <c r="CV361" s="21"/>
      <c r="CW361" s="21"/>
      <c r="CX361" s="21"/>
      <c r="CY361" s="21"/>
      <c r="CZ361" s="21"/>
      <c r="DA361" s="21"/>
      <c r="DB361" s="21"/>
      <c r="DC361" s="21"/>
      <c r="DD361" s="21"/>
      <c r="DE361" s="21"/>
      <c r="DF361" s="21"/>
      <c r="DG361" s="21"/>
      <c r="DH361" s="21"/>
      <c r="DI361" s="21"/>
      <c r="DJ361" s="21"/>
      <c r="DK361" s="21"/>
      <c r="DL361" s="21"/>
      <c r="DM361" s="21"/>
      <c r="DN361" s="21"/>
      <c r="DO361" s="21"/>
      <c r="DP361" s="21"/>
      <c r="DQ361" s="21"/>
      <c r="DR361" s="21"/>
      <c r="DS361" s="21"/>
      <c r="DT361" s="21"/>
      <c r="DU361" s="21"/>
      <c r="DV361" s="21"/>
      <c r="DW361" s="21"/>
      <c r="DX361" s="21"/>
      <c r="DY361" s="21"/>
      <c r="DZ361" s="21"/>
      <c r="EA361" s="21"/>
      <c r="EB361" s="21"/>
      <c r="EC361" s="21"/>
      <c r="ED361" s="21"/>
      <c r="EE361" s="21"/>
      <c r="EF361" s="21"/>
      <c r="EG361" s="21"/>
      <c r="EH361" s="21"/>
      <c r="EI361" s="21"/>
      <c r="EJ361" s="21"/>
      <c r="EK361" s="21"/>
      <c r="EL361" s="21"/>
      <c r="EM361" s="21"/>
      <c r="EN361" s="21"/>
      <c r="EO361" s="21"/>
      <c r="EP361" s="21"/>
      <c r="EQ361" s="21"/>
      <c r="ER361" s="21"/>
      <c r="ES361" s="21"/>
      <c r="ET361" s="21"/>
      <c r="EU361" s="21"/>
      <c r="EV361" s="21"/>
      <c r="EW361" s="21"/>
      <c r="EX361" s="21"/>
      <c r="EY361" s="21"/>
      <c r="EZ361" s="21"/>
      <c r="FA361" s="21"/>
      <c r="FB361" s="21"/>
      <c r="FC361" s="21"/>
      <c r="FD361" s="21"/>
      <c r="FE361" s="21"/>
      <c r="FF361" s="21"/>
      <c r="FG361" s="21"/>
      <c r="FH361" s="21"/>
      <c r="FI361" s="21"/>
    </row>
    <row r="362" spans="1:165"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c r="DB362" s="21"/>
      <c r="DC362" s="21"/>
      <c r="DD362" s="21"/>
      <c r="DE362" s="21"/>
      <c r="DF362" s="21"/>
      <c r="DG362" s="21"/>
      <c r="DH362" s="21"/>
      <c r="DI362" s="21"/>
      <c r="DJ362" s="21"/>
      <c r="DK362" s="21"/>
      <c r="DL362" s="21"/>
      <c r="DM362" s="21"/>
      <c r="DN362" s="21"/>
      <c r="DO362" s="21"/>
      <c r="DP362" s="21"/>
      <c r="DQ362" s="21"/>
      <c r="DR362" s="21"/>
      <c r="DS362" s="21"/>
      <c r="DT362" s="21"/>
      <c r="DU362" s="21"/>
      <c r="DV362" s="21"/>
      <c r="DW362" s="21"/>
      <c r="DX362" s="21"/>
      <c r="DY362" s="21"/>
      <c r="DZ362" s="21"/>
      <c r="EA362" s="21"/>
      <c r="EB362" s="21"/>
      <c r="EC362" s="21"/>
      <c r="ED362" s="21"/>
      <c r="EE362" s="21"/>
      <c r="EF362" s="21"/>
      <c r="EG362" s="21"/>
      <c r="EH362" s="21"/>
      <c r="EI362" s="21"/>
      <c r="EJ362" s="21"/>
      <c r="EK362" s="21"/>
      <c r="EL362" s="21"/>
      <c r="EM362" s="21"/>
      <c r="EN362" s="21"/>
      <c r="EO362" s="21"/>
      <c r="EP362" s="21"/>
      <c r="EQ362" s="21"/>
      <c r="ER362" s="21"/>
      <c r="ES362" s="21"/>
      <c r="ET362" s="21"/>
      <c r="EU362" s="21"/>
      <c r="EV362" s="21"/>
      <c r="EW362" s="21"/>
      <c r="EX362" s="21"/>
      <c r="EY362" s="21"/>
      <c r="EZ362" s="21"/>
      <c r="FA362" s="21"/>
      <c r="FB362" s="21"/>
      <c r="FC362" s="21"/>
      <c r="FD362" s="21"/>
      <c r="FE362" s="21"/>
      <c r="FF362" s="21"/>
      <c r="FG362" s="21"/>
      <c r="FH362" s="21"/>
      <c r="FI362" s="21"/>
    </row>
    <row r="363" spans="1:165"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21"/>
      <c r="CH363" s="21"/>
      <c r="CI363" s="21"/>
      <c r="CJ363" s="21"/>
      <c r="CK363" s="21"/>
      <c r="CL363" s="21"/>
      <c r="CM363" s="21"/>
      <c r="CN363" s="21"/>
      <c r="CO363" s="21"/>
      <c r="CP363" s="21"/>
      <c r="CQ363" s="21"/>
      <c r="CR363" s="21"/>
      <c r="CS363" s="21"/>
      <c r="CT363" s="21"/>
      <c r="CU363" s="21"/>
      <c r="CV363" s="21"/>
      <c r="CW363" s="21"/>
      <c r="CX363" s="21"/>
      <c r="CY363" s="21"/>
      <c r="CZ363" s="21"/>
      <c r="DA363" s="21"/>
      <c r="DB363" s="21"/>
      <c r="DC363" s="21"/>
      <c r="DD363" s="21"/>
      <c r="DE363" s="21"/>
      <c r="DF363" s="21"/>
      <c r="DG363" s="21"/>
      <c r="DH363" s="21"/>
      <c r="DI363" s="21"/>
      <c r="DJ363" s="21"/>
      <c r="DK363" s="21"/>
      <c r="DL363" s="21"/>
      <c r="DM363" s="21"/>
      <c r="DN363" s="21"/>
      <c r="DO363" s="21"/>
      <c r="DP363" s="21"/>
      <c r="DQ363" s="21"/>
      <c r="DR363" s="21"/>
      <c r="DS363" s="21"/>
      <c r="DT363" s="21"/>
      <c r="DU363" s="21"/>
      <c r="DV363" s="21"/>
      <c r="DW363" s="21"/>
      <c r="DX363" s="21"/>
      <c r="DY363" s="21"/>
      <c r="DZ363" s="21"/>
      <c r="EA363" s="21"/>
      <c r="EB363" s="21"/>
      <c r="EC363" s="21"/>
      <c r="ED363" s="21"/>
      <c r="EE363" s="21"/>
      <c r="EF363" s="21"/>
      <c r="EG363" s="21"/>
      <c r="EH363" s="21"/>
      <c r="EI363" s="21"/>
      <c r="EJ363" s="21"/>
      <c r="EK363" s="21"/>
      <c r="EL363" s="21"/>
      <c r="EM363" s="21"/>
      <c r="EN363" s="21"/>
      <c r="EO363" s="21"/>
      <c r="EP363" s="21"/>
      <c r="EQ363" s="21"/>
      <c r="ER363" s="21"/>
      <c r="ES363" s="21"/>
      <c r="ET363" s="21"/>
      <c r="EU363" s="21"/>
      <c r="EV363" s="21"/>
      <c r="EW363" s="21"/>
      <c r="EX363" s="21"/>
      <c r="EY363" s="21"/>
      <c r="EZ363" s="21"/>
      <c r="FA363" s="21"/>
      <c r="FB363" s="21"/>
      <c r="FC363" s="21"/>
      <c r="FD363" s="21"/>
      <c r="FE363" s="21"/>
      <c r="FF363" s="21"/>
      <c r="FG363" s="21"/>
      <c r="FH363" s="21"/>
      <c r="FI363" s="21"/>
    </row>
    <row r="364" spans="1:165"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c r="DB364" s="21"/>
      <c r="DC364" s="21"/>
      <c r="DD364" s="21"/>
      <c r="DE364" s="21"/>
      <c r="DF364" s="21"/>
      <c r="DG364" s="21"/>
      <c r="DH364" s="21"/>
      <c r="DI364" s="21"/>
      <c r="DJ364" s="21"/>
      <c r="DK364" s="21"/>
      <c r="DL364" s="21"/>
      <c r="DM364" s="21"/>
      <c r="DN364" s="21"/>
      <c r="DO364" s="21"/>
      <c r="DP364" s="21"/>
      <c r="DQ364" s="21"/>
      <c r="DR364" s="21"/>
      <c r="DS364" s="21"/>
      <c r="DT364" s="21"/>
      <c r="DU364" s="21"/>
      <c r="DV364" s="21"/>
      <c r="DW364" s="21"/>
      <c r="DX364" s="21"/>
      <c r="DY364" s="21"/>
      <c r="DZ364" s="21"/>
      <c r="EA364" s="21"/>
      <c r="EB364" s="21"/>
      <c r="EC364" s="21"/>
      <c r="ED364" s="21"/>
      <c r="EE364" s="21"/>
      <c r="EF364" s="21"/>
      <c r="EG364" s="21"/>
      <c r="EH364" s="21"/>
      <c r="EI364" s="21"/>
      <c r="EJ364" s="21"/>
      <c r="EK364" s="21"/>
      <c r="EL364" s="21"/>
      <c r="EM364" s="21"/>
      <c r="EN364" s="21"/>
      <c r="EO364" s="21"/>
      <c r="EP364" s="21"/>
      <c r="EQ364" s="21"/>
      <c r="ER364" s="21"/>
      <c r="ES364" s="21"/>
      <c r="ET364" s="21"/>
      <c r="EU364" s="21"/>
      <c r="EV364" s="21"/>
      <c r="EW364" s="21"/>
      <c r="EX364" s="21"/>
      <c r="EY364" s="21"/>
      <c r="EZ364" s="21"/>
      <c r="FA364" s="21"/>
      <c r="FB364" s="21"/>
      <c r="FC364" s="21"/>
      <c r="FD364" s="21"/>
      <c r="FE364" s="21"/>
      <c r="FF364" s="21"/>
      <c r="FG364" s="21"/>
      <c r="FH364" s="21"/>
      <c r="FI364" s="21"/>
    </row>
    <row r="365" spans="1:165"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21"/>
      <c r="CH365" s="21"/>
      <c r="CI365" s="21"/>
      <c r="CJ365" s="21"/>
      <c r="CK365" s="21"/>
      <c r="CL365" s="21"/>
      <c r="CM365" s="21"/>
      <c r="CN365" s="21"/>
      <c r="CO365" s="21"/>
      <c r="CP365" s="21"/>
      <c r="CQ365" s="21"/>
      <c r="CR365" s="21"/>
      <c r="CS365" s="21"/>
      <c r="CT365" s="21"/>
      <c r="CU365" s="21"/>
      <c r="CV365" s="21"/>
      <c r="CW365" s="21"/>
      <c r="CX365" s="21"/>
      <c r="CY365" s="21"/>
      <c r="CZ365" s="21"/>
      <c r="DA365" s="21"/>
      <c r="DB365" s="21"/>
      <c r="DC365" s="21"/>
      <c r="DD365" s="21"/>
      <c r="DE365" s="21"/>
      <c r="DF365" s="21"/>
      <c r="DG365" s="21"/>
      <c r="DH365" s="21"/>
      <c r="DI365" s="21"/>
      <c r="DJ365" s="21"/>
      <c r="DK365" s="21"/>
      <c r="DL365" s="21"/>
      <c r="DM365" s="21"/>
      <c r="DN365" s="21"/>
      <c r="DO365" s="21"/>
      <c r="DP365" s="21"/>
      <c r="DQ365" s="21"/>
      <c r="DR365" s="21"/>
      <c r="DS365" s="21"/>
      <c r="DT365" s="21"/>
      <c r="DU365" s="21"/>
      <c r="DV365" s="21"/>
      <c r="DW365" s="21"/>
      <c r="DX365" s="21"/>
      <c r="DY365" s="21"/>
      <c r="DZ365" s="21"/>
      <c r="EA365" s="21"/>
      <c r="EB365" s="21"/>
      <c r="EC365" s="21"/>
      <c r="ED365" s="21"/>
      <c r="EE365" s="21"/>
      <c r="EF365" s="21"/>
      <c r="EG365" s="21"/>
      <c r="EH365" s="21"/>
      <c r="EI365" s="21"/>
      <c r="EJ365" s="21"/>
      <c r="EK365" s="21"/>
      <c r="EL365" s="21"/>
      <c r="EM365" s="21"/>
      <c r="EN365" s="21"/>
      <c r="EO365" s="21"/>
      <c r="EP365" s="21"/>
      <c r="EQ365" s="21"/>
      <c r="ER365" s="21"/>
      <c r="ES365" s="21"/>
      <c r="ET365" s="21"/>
      <c r="EU365" s="21"/>
      <c r="EV365" s="21"/>
      <c r="EW365" s="21"/>
      <c r="EX365" s="21"/>
      <c r="EY365" s="21"/>
      <c r="EZ365" s="21"/>
      <c r="FA365" s="21"/>
      <c r="FB365" s="21"/>
      <c r="FC365" s="21"/>
      <c r="FD365" s="21"/>
      <c r="FE365" s="21"/>
      <c r="FF365" s="21"/>
      <c r="FG365" s="21"/>
      <c r="FH365" s="21"/>
      <c r="FI365" s="21"/>
    </row>
    <row r="366" spans="1:165"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c r="DE366" s="21"/>
      <c r="DF366" s="21"/>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1"/>
      <c r="FH366" s="21"/>
      <c r="FI366" s="21"/>
    </row>
    <row r="367" spans="1:165"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c r="DB367" s="21"/>
      <c r="DC367" s="21"/>
      <c r="DD367" s="21"/>
      <c r="DE367" s="21"/>
      <c r="DF367" s="21"/>
      <c r="DG367" s="21"/>
      <c r="DH367" s="21"/>
      <c r="DI367" s="21"/>
      <c r="DJ367" s="21"/>
      <c r="DK367" s="21"/>
      <c r="DL367" s="21"/>
      <c r="DM367" s="21"/>
      <c r="DN367" s="21"/>
      <c r="DO367" s="21"/>
      <c r="DP367" s="21"/>
      <c r="DQ367" s="21"/>
      <c r="DR367" s="21"/>
      <c r="DS367" s="21"/>
      <c r="DT367" s="21"/>
      <c r="DU367" s="21"/>
      <c r="DV367" s="21"/>
      <c r="DW367" s="21"/>
      <c r="DX367" s="21"/>
      <c r="DY367" s="21"/>
      <c r="DZ367" s="21"/>
      <c r="EA367" s="21"/>
      <c r="EB367" s="21"/>
      <c r="EC367" s="21"/>
      <c r="ED367" s="21"/>
      <c r="EE367" s="21"/>
      <c r="EF367" s="21"/>
      <c r="EG367" s="21"/>
      <c r="EH367" s="21"/>
      <c r="EI367" s="21"/>
      <c r="EJ367" s="21"/>
      <c r="EK367" s="21"/>
      <c r="EL367" s="21"/>
      <c r="EM367" s="21"/>
      <c r="EN367" s="21"/>
      <c r="EO367" s="21"/>
      <c r="EP367" s="21"/>
      <c r="EQ367" s="21"/>
      <c r="ER367" s="21"/>
      <c r="ES367" s="21"/>
      <c r="ET367" s="21"/>
      <c r="EU367" s="21"/>
      <c r="EV367" s="21"/>
      <c r="EW367" s="21"/>
      <c r="EX367" s="21"/>
      <c r="EY367" s="21"/>
      <c r="EZ367" s="21"/>
      <c r="FA367" s="21"/>
      <c r="FB367" s="21"/>
      <c r="FC367" s="21"/>
      <c r="FD367" s="21"/>
      <c r="FE367" s="21"/>
      <c r="FF367" s="21"/>
      <c r="FG367" s="21"/>
      <c r="FH367" s="21"/>
      <c r="FI367" s="21"/>
    </row>
    <row r="368" spans="1:165"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c r="DB368" s="21"/>
      <c r="DC368" s="21"/>
      <c r="DD368" s="21"/>
      <c r="DE368" s="21"/>
      <c r="DF368" s="21"/>
      <c r="DG368" s="21"/>
      <c r="DH368" s="21"/>
      <c r="DI368" s="21"/>
      <c r="DJ368" s="21"/>
      <c r="DK368" s="21"/>
      <c r="DL368" s="21"/>
      <c r="DM368" s="21"/>
      <c r="DN368" s="21"/>
      <c r="DO368" s="21"/>
      <c r="DP368" s="21"/>
      <c r="DQ368" s="21"/>
      <c r="DR368" s="21"/>
      <c r="DS368" s="21"/>
      <c r="DT368" s="21"/>
      <c r="DU368" s="21"/>
      <c r="DV368" s="21"/>
      <c r="DW368" s="21"/>
      <c r="DX368" s="21"/>
      <c r="DY368" s="21"/>
      <c r="DZ368" s="21"/>
      <c r="EA368" s="21"/>
      <c r="EB368" s="21"/>
      <c r="EC368" s="21"/>
      <c r="ED368" s="21"/>
      <c r="EE368" s="21"/>
      <c r="EF368" s="21"/>
      <c r="EG368" s="21"/>
      <c r="EH368" s="21"/>
      <c r="EI368" s="21"/>
      <c r="EJ368" s="21"/>
      <c r="EK368" s="21"/>
      <c r="EL368" s="21"/>
      <c r="EM368" s="21"/>
      <c r="EN368" s="21"/>
      <c r="EO368" s="21"/>
      <c r="EP368" s="21"/>
      <c r="EQ368" s="21"/>
      <c r="ER368" s="21"/>
      <c r="ES368" s="21"/>
      <c r="ET368" s="21"/>
      <c r="EU368" s="21"/>
      <c r="EV368" s="21"/>
      <c r="EW368" s="21"/>
      <c r="EX368" s="21"/>
      <c r="EY368" s="21"/>
      <c r="EZ368" s="21"/>
      <c r="FA368" s="21"/>
      <c r="FB368" s="21"/>
      <c r="FC368" s="21"/>
      <c r="FD368" s="21"/>
      <c r="FE368" s="21"/>
      <c r="FF368" s="21"/>
      <c r="FG368" s="21"/>
      <c r="FH368" s="21"/>
      <c r="FI368" s="21"/>
    </row>
    <row r="369" spans="1:165"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c r="DB369" s="21"/>
      <c r="DC369" s="21"/>
      <c r="DD369" s="21"/>
      <c r="DE369" s="21"/>
      <c r="DF369" s="21"/>
      <c r="DG369" s="21"/>
      <c r="DH369" s="21"/>
      <c r="DI369" s="21"/>
      <c r="DJ369" s="21"/>
      <c r="DK369" s="21"/>
      <c r="DL369" s="21"/>
      <c r="DM369" s="21"/>
      <c r="DN369" s="21"/>
      <c r="DO369" s="21"/>
      <c r="DP369" s="21"/>
      <c r="DQ369" s="21"/>
      <c r="DR369" s="21"/>
      <c r="DS369" s="21"/>
      <c r="DT369" s="21"/>
      <c r="DU369" s="21"/>
      <c r="DV369" s="21"/>
      <c r="DW369" s="21"/>
      <c r="DX369" s="21"/>
      <c r="DY369" s="21"/>
      <c r="DZ369" s="21"/>
      <c r="EA369" s="21"/>
      <c r="EB369" s="21"/>
      <c r="EC369" s="21"/>
      <c r="ED369" s="21"/>
      <c r="EE369" s="21"/>
      <c r="EF369" s="21"/>
      <c r="EG369" s="21"/>
      <c r="EH369" s="21"/>
      <c r="EI369" s="21"/>
      <c r="EJ369" s="21"/>
      <c r="EK369" s="21"/>
      <c r="EL369" s="21"/>
      <c r="EM369" s="21"/>
      <c r="EN369" s="21"/>
      <c r="EO369" s="21"/>
      <c r="EP369" s="21"/>
      <c r="EQ369" s="21"/>
      <c r="ER369" s="21"/>
      <c r="ES369" s="21"/>
      <c r="ET369" s="21"/>
      <c r="EU369" s="21"/>
      <c r="EV369" s="21"/>
      <c r="EW369" s="21"/>
      <c r="EX369" s="21"/>
      <c r="EY369" s="21"/>
      <c r="EZ369" s="21"/>
      <c r="FA369" s="21"/>
      <c r="FB369" s="21"/>
      <c r="FC369" s="21"/>
      <c r="FD369" s="21"/>
      <c r="FE369" s="21"/>
      <c r="FF369" s="21"/>
      <c r="FG369" s="21"/>
      <c r="FH369" s="21"/>
      <c r="FI369" s="21"/>
    </row>
    <row r="370" spans="1:165"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c r="DB370" s="21"/>
      <c r="DC370" s="21"/>
      <c r="DD370" s="21"/>
      <c r="DE370" s="21"/>
      <c r="DF370" s="21"/>
      <c r="DG370" s="21"/>
      <c r="DH370" s="21"/>
      <c r="DI370" s="21"/>
      <c r="DJ370" s="21"/>
      <c r="DK370" s="21"/>
      <c r="DL370" s="21"/>
      <c r="DM370" s="21"/>
      <c r="DN370" s="21"/>
      <c r="DO370" s="21"/>
      <c r="DP370" s="21"/>
      <c r="DQ370" s="21"/>
      <c r="DR370" s="21"/>
      <c r="DS370" s="21"/>
      <c r="DT370" s="21"/>
      <c r="DU370" s="21"/>
      <c r="DV370" s="21"/>
      <c r="DW370" s="21"/>
      <c r="DX370" s="21"/>
      <c r="DY370" s="21"/>
      <c r="DZ370" s="21"/>
      <c r="EA370" s="21"/>
      <c r="EB370" s="21"/>
      <c r="EC370" s="21"/>
      <c r="ED370" s="21"/>
      <c r="EE370" s="21"/>
      <c r="EF370" s="21"/>
      <c r="EG370" s="21"/>
      <c r="EH370" s="21"/>
      <c r="EI370" s="21"/>
      <c r="EJ370" s="21"/>
      <c r="EK370" s="21"/>
      <c r="EL370" s="21"/>
      <c r="EM370" s="21"/>
      <c r="EN370" s="21"/>
      <c r="EO370" s="21"/>
      <c r="EP370" s="21"/>
      <c r="EQ370" s="21"/>
      <c r="ER370" s="21"/>
      <c r="ES370" s="21"/>
      <c r="ET370" s="21"/>
      <c r="EU370" s="21"/>
      <c r="EV370" s="21"/>
      <c r="EW370" s="21"/>
      <c r="EX370" s="21"/>
      <c r="EY370" s="21"/>
      <c r="EZ370" s="21"/>
      <c r="FA370" s="21"/>
      <c r="FB370" s="21"/>
      <c r="FC370" s="21"/>
      <c r="FD370" s="21"/>
      <c r="FE370" s="21"/>
      <c r="FF370" s="21"/>
      <c r="FG370" s="21"/>
      <c r="FH370" s="21"/>
      <c r="FI370" s="21"/>
    </row>
    <row r="371" spans="1:165"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21"/>
      <c r="CH371" s="21"/>
      <c r="CI371" s="21"/>
      <c r="CJ371" s="21"/>
      <c r="CK371" s="21"/>
      <c r="CL371" s="21"/>
      <c r="CM371" s="21"/>
      <c r="CN371" s="21"/>
      <c r="CO371" s="21"/>
      <c r="CP371" s="21"/>
      <c r="CQ371" s="21"/>
      <c r="CR371" s="21"/>
      <c r="CS371" s="21"/>
      <c r="CT371" s="21"/>
      <c r="CU371" s="21"/>
      <c r="CV371" s="21"/>
      <c r="CW371" s="21"/>
      <c r="CX371" s="21"/>
      <c r="CY371" s="21"/>
      <c r="CZ371" s="21"/>
      <c r="DA371" s="21"/>
      <c r="DB371" s="21"/>
      <c r="DC371" s="21"/>
      <c r="DD371" s="21"/>
      <c r="DE371" s="21"/>
      <c r="DF371" s="21"/>
      <c r="DG371" s="21"/>
      <c r="DH371" s="21"/>
      <c r="DI371" s="21"/>
      <c r="DJ371" s="21"/>
      <c r="DK371" s="21"/>
      <c r="DL371" s="21"/>
      <c r="DM371" s="21"/>
      <c r="DN371" s="21"/>
      <c r="DO371" s="21"/>
      <c r="DP371" s="21"/>
      <c r="DQ371" s="21"/>
      <c r="DR371" s="21"/>
      <c r="DS371" s="21"/>
      <c r="DT371" s="21"/>
      <c r="DU371" s="21"/>
      <c r="DV371" s="21"/>
      <c r="DW371" s="21"/>
      <c r="DX371" s="21"/>
      <c r="DY371" s="21"/>
      <c r="DZ371" s="21"/>
      <c r="EA371" s="21"/>
      <c r="EB371" s="21"/>
      <c r="EC371" s="21"/>
      <c r="ED371" s="21"/>
      <c r="EE371" s="21"/>
      <c r="EF371" s="21"/>
      <c r="EG371" s="21"/>
      <c r="EH371" s="21"/>
      <c r="EI371" s="21"/>
      <c r="EJ371" s="21"/>
      <c r="EK371" s="21"/>
      <c r="EL371" s="21"/>
      <c r="EM371" s="21"/>
      <c r="EN371" s="21"/>
      <c r="EO371" s="21"/>
      <c r="EP371" s="21"/>
      <c r="EQ371" s="21"/>
      <c r="ER371" s="21"/>
      <c r="ES371" s="21"/>
      <c r="ET371" s="21"/>
      <c r="EU371" s="21"/>
      <c r="EV371" s="21"/>
      <c r="EW371" s="21"/>
      <c r="EX371" s="21"/>
      <c r="EY371" s="21"/>
      <c r="EZ371" s="21"/>
      <c r="FA371" s="21"/>
      <c r="FB371" s="21"/>
      <c r="FC371" s="21"/>
      <c r="FD371" s="21"/>
      <c r="FE371" s="21"/>
      <c r="FF371" s="21"/>
      <c r="FG371" s="21"/>
      <c r="FH371" s="21"/>
      <c r="FI371" s="21"/>
    </row>
    <row r="372" spans="1:165"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21"/>
      <c r="CH372" s="21"/>
      <c r="CI372" s="21"/>
      <c r="CJ372" s="21"/>
      <c r="CK372" s="21"/>
      <c r="CL372" s="21"/>
      <c r="CM372" s="21"/>
      <c r="CN372" s="21"/>
      <c r="CO372" s="21"/>
      <c r="CP372" s="21"/>
      <c r="CQ372" s="21"/>
      <c r="CR372" s="21"/>
      <c r="CS372" s="21"/>
      <c r="CT372" s="21"/>
      <c r="CU372" s="21"/>
      <c r="CV372" s="21"/>
      <c r="CW372" s="21"/>
      <c r="CX372" s="21"/>
      <c r="CY372" s="21"/>
      <c r="CZ372" s="21"/>
      <c r="DA372" s="21"/>
      <c r="DB372" s="21"/>
      <c r="DC372" s="21"/>
      <c r="DD372" s="21"/>
      <c r="DE372" s="21"/>
      <c r="DF372" s="21"/>
      <c r="DG372" s="21"/>
      <c r="DH372" s="21"/>
      <c r="DI372" s="21"/>
      <c r="DJ372" s="21"/>
      <c r="DK372" s="21"/>
      <c r="DL372" s="21"/>
      <c r="DM372" s="21"/>
      <c r="DN372" s="21"/>
      <c r="DO372" s="21"/>
      <c r="DP372" s="21"/>
      <c r="DQ372" s="21"/>
      <c r="DR372" s="21"/>
      <c r="DS372" s="21"/>
      <c r="DT372" s="21"/>
      <c r="DU372" s="21"/>
      <c r="DV372" s="21"/>
      <c r="DW372" s="21"/>
      <c r="DX372" s="21"/>
      <c r="DY372" s="21"/>
      <c r="DZ372" s="21"/>
      <c r="EA372" s="21"/>
      <c r="EB372" s="21"/>
      <c r="EC372" s="21"/>
      <c r="ED372" s="21"/>
      <c r="EE372" s="21"/>
      <c r="EF372" s="21"/>
      <c r="EG372" s="21"/>
      <c r="EH372" s="21"/>
      <c r="EI372" s="21"/>
      <c r="EJ372" s="21"/>
      <c r="EK372" s="21"/>
      <c r="EL372" s="21"/>
      <c r="EM372" s="21"/>
      <c r="EN372" s="21"/>
      <c r="EO372" s="21"/>
      <c r="EP372" s="21"/>
      <c r="EQ372" s="21"/>
      <c r="ER372" s="21"/>
      <c r="ES372" s="21"/>
      <c r="ET372" s="21"/>
      <c r="EU372" s="21"/>
      <c r="EV372" s="21"/>
      <c r="EW372" s="21"/>
      <c r="EX372" s="21"/>
      <c r="EY372" s="21"/>
      <c r="EZ372" s="21"/>
      <c r="FA372" s="21"/>
      <c r="FB372" s="21"/>
      <c r="FC372" s="21"/>
      <c r="FD372" s="21"/>
      <c r="FE372" s="21"/>
      <c r="FF372" s="21"/>
      <c r="FG372" s="21"/>
      <c r="FH372" s="21"/>
      <c r="FI372" s="21"/>
    </row>
    <row r="373" spans="1:165"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21"/>
      <c r="CH373" s="21"/>
      <c r="CI373" s="21"/>
      <c r="CJ373" s="21"/>
      <c r="CK373" s="21"/>
      <c r="CL373" s="21"/>
      <c r="CM373" s="21"/>
      <c r="CN373" s="21"/>
      <c r="CO373" s="21"/>
      <c r="CP373" s="21"/>
      <c r="CQ373" s="21"/>
      <c r="CR373" s="21"/>
      <c r="CS373" s="21"/>
      <c r="CT373" s="21"/>
      <c r="CU373" s="21"/>
      <c r="CV373" s="21"/>
      <c r="CW373" s="21"/>
      <c r="CX373" s="21"/>
      <c r="CY373" s="21"/>
      <c r="CZ373" s="21"/>
      <c r="DA373" s="21"/>
      <c r="DB373" s="21"/>
      <c r="DC373" s="21"/>
      <c r="DD373" s="21"/>
      <c r="DE373" s="21"/>
      <c r="DF373" s="21"/>
      <c r="DG373" s="21"/>
      <c r="DH373" s="21"/>
      <c r="DI373" s="21"/>
      <c r="DJ373" s="21"/>
      <c r="DK373" s="21"/>
      <c r="DL373" s="21"/>
      <c r="DM373" s="21"/>
      <c r="DN373" s="21"/>
      <c r="DO373" s="21"/>
      <c r="DP373" s="21"/>
      <c r="DQ373" s="21"/>
      <c r="DR373" s="21"/>
      <c r="DS373" s="21"/>
      <c r="DT373" s="21"/>
      <c r="DU373" s="21"/>
      <c r="DV373" s="21"/>
      <c r="DW373" s="21"/>
      <c r="DX373" s="21"/>
      <c r="DY373" s="21"/>
      <c r="DZ373" s="21"/>
      <c r="EA373" s="21"/>
      <c r="EB373" s="21"/>
      <c r="EC373" s="21"/>
      <c r="ED373" s="21"/>
      <c r="EE373" s="21"/>
      <c r="EF373" s="21"/>
      <c r="EG373" s="21"/>
      <c r="EH373" s="21"/>
      <c r="EI373" s="21"/>
      <c r="EJ373" s="21"/>
      <c r="EK373" s="21"/>
      <c r="EL373" s="21"/>
      <c r="EM373" s="21"/>
      <c r="EN373" s="21"/>
      <c r="EO373" s="21"/>
      <c r="EP373" s="21"/>
      <c r="EQ373" s="21"/>
      <c r="ER373" s="21"/>
      <c r="ES373" s="21"/>
      <c r="ET373" s="21"/>
      <c r="EU373" s="21"/>
      <c r="EV373" s="21"/>
      <c r="EW373" s="21"/>
      <c r="EX373" s="21"/>
      <c r="EY373" s="21"/>
      <c r="EZ373" s="21"/>
      <c r="FA373" s="21"/>
      <c r="FB373" s="21"/>
      <c r="FC373" s="21"/>
      <c r="FD373" s="21"/>
      <c r="FE373" s="21"/>
      <c r="FF373" s="21"/>
      <c r="FG373" s="21"/>
      <c r="FH373" s="21"/>
      <c r="FI373" s="21"/>
    </row>
    <row r="374" spans="1:165"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c r="DB374" s="21"/>
      <c r="DC374" s="21"/>
      <c r="DD374" s="21"/>
      <c r="DE374" s="21"/>
      <c r="DF374" s="21"/>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1"/>
      <c r="FH374" s="21"/>
      <c r="FI374" s="21"/>
    </row>
    <row r="375" spans="1:165"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c r="DB375" s="21"/>
      <c r="DC375" s="21"/>
      <c r="DD375" s="21"/>
      <c r="DE375" s="21"/>
      <c r="DF375" s="21"/>
      <c r="DG375" s="21"/>
      <c r="DH375" s="21"/>
      <c r="DI375" s="21"/>
      <c r="DJ375" s="21"/>
      <c r="DK375" s="21"/>
      <c r="DL375" s="21"/>
      <c r="DM375" s="21"/>
      <c r="DN375" s="21"/>
      <c r="DO375" s="21"/>
      <c r="DP375" s="21"/>
      <c r="DQ375" s="21"/>
      <c r="DR375" s="21"/>
      <c r="DS375" s="21"/>
      <c r="DT375" s="21"/>
      <c r="DU375" s="21"/>
      <c r="DV375" s="21"/>
      <c r="DW375" s="21"/>
      <c r="DX375" s="21"/>
      <c r="DY375" s="21"/>
      <c r="DZ375" s="21"/>
      <c r="EA375" s="21"/>
      <c r="EB375" s="21"/>
      <c r="EC375" s="21"/>
      <c r="ED375" s="21"/>
      <c r="EE375" s="21"/>
      <c r="EF375" s="21"/>
      <c r="EG375" s="21"/>
      <c r="EH375" s="21"/>
      <c r="EI375" s="21"/>
      <c r="EJ375" s="21"/>
      <c r="EK375" s="21"/>
      <c r="EL375" s="21"/>
      <c r="EM375" s="21"/>
      <c r="EN375" s="21"/>
      <c r="EO375" s="21"/>
      <c r="EP375" s="21"/>
      <c r="EQ375" s="21"/>
      <c r="ER375" s="21"/>
      <c r="ES375" s="21"/>
      <c r="ET375" s="21"/>
      <c r="EU375" s="21"/>
      <c r="EV375" s="21"/>
      <c r="EW375" s="21"/>
      <c r="EX375" s="21"/>
      <c r="EY375" s="21"/>
      <c r="EZ375" s="21"/>
      <c r="FA375" s="21"/>
      <c r="FB375" s="21"/>
      <c r="FC375" s="21"/>
      <c r="FD375" s="21"/>
      <c r="FE375" s="21"/>
      <c r="FF375" s="21"/>
      <c r="FG375" s="21"/>
      <c r="FH375" s="21"/>
      <c r="FI375" s="21"/>
    </row>
    <row r="376" spans="1:165"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c r="DB376" s="21"/>
      <c r="DC376" s="21"/>
      <c r="DD376" s="21"/>
      <c r="DE376" s="21"/>
      <c r="DF376" s="21"/>
      <c r="DG376" s="21"/>
      <c r="DH376" s="21"/>
      <c r="DI376" s="21"/>
      <c r="DJ376" s="21"/>
      <c r="DK376" s="21"/>
      <c r="DL376" s="21"/>
      <c r="DM376" s="21"/>
      <c r="DN376" s="21"/>
      <c r="DO376" s="21"/>
      <c r="DP376" s="21"/>
      <c r="DQ376" s="21"/>
      <c r="DR376" s="21"/>
      <c r="DS376" s="21"/>
      <c r="DT376" s="21"/>
      <c r="DU376" s="21"/>
      <c r="DV376" s="21"/>
      <c r="DW376" s="21"/>
      <c r="DX376" s="21"/>
      <c r="DY376" s="21"/>
      <c r="DZ376" s="21"/>
      <c r="EA376" s="21"/>
      <c r="EB376" s="21"/>
      <c r="EC376" s="21"/>
      <c r="ED376" s="21"/>
      <c r="EE376" s="21"/>
      <c r="EF376" s="21"/>
      <c r="EG376" s="21"/>
      <c r="EH376" s="21"/>
      <c r="EI376" s="21"/>
      <c r="EJ376" s="21"/>
      <c r="EK376" s="21"/>
      <c r="EL376" s="21"/>
      <c r="EM376" s="21"/>
      <c r="EN376" s="21"/>
      <c r="EO376" s="21"/>
      <c r="EP376" s="21"/>
      <c r="EQ376" s="21"/>
      <c r="ER376" s="21"/>
      <c r="ES376" s="21"/>
      <c r="ET376" s="21"/>
      <c r="EU376" s="21"/>
      <c r="EV376" s="21"/>
      <c r="EW376" s="21"/>
      <c r="EX376" s="21"/>
      <c r="EY376" s="21"/>
      <c r="EZ376" s="21"/>
      <c r="FA376" s="21"/>
      <c r="FB376" s="21"/>
      <c r="FC376" s="21"/>
      <c r="FD376" s="21"/>
      <c r="FE376" s="21"/>
      <c r="FF376" s="21"/>
      <c r="FG376" s="21"/>
      <c r="FH376" s="21"/>
      <c r="FI376" s="21"/>
    </row>
    <row r="377" spans="1:165"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c r="DB377" s="21"/>
      <c r="DC377" s="21"/>
      <c r="DD377" s="21"/>
      <c r="DE377" s="21"/>
      <c r="DF377" s="21"/>
      <c r="DG377" s="21"/>
      <c r="DH377" s="21"/>
      <c r="DI377" s="21"/>
      <c r="DJ377" s="21"/>
      <c r="DK377" s="21"/>
      <c r="DL377" s="21"/>
      <c r="DM377" s="21"/>
      <c r="DN377" s="21"/>
      <c r="DO377" s="21"/>
      <c r="DP377" s="21"/>
      <c r="DQ377" s="21"/>
      <c r="DR377" s="21"/>
      <c r="DS377" s="21"/>
      <c r="DT377" s="21"/>
      <c r="DU377" s="21"/>
      <c r="DV377" s="21"/>
      <c r="DW377" s="21"/>
      <c r="DX377" s="21"/>
      <c r="DY377" s="21"/>
      <c r="DZ377" s="21"/>
      <c r="EA377" s="21"/>
      <c r="EB377" s="21"/>
      <c r="EC377" s="21"/>
      <c r="ED377" s="21"/>
      <c r="EE377" s="21"/>
      <c r="EF377" s="21"/>
      <c r="EG377" s="21"/>
      <c r="EH377" s="21"/>
      <c r="EI377" s="21"/>
      <c r="EJ377" s="21"/>
      <c r="EK377" s="21"/>
      <c r="EL377" s="21"/>
      <c r="EM377" s="21"/>
      <c r="EN377" s="21"/>
      <c r="EO377" s="21"/>
      <c r="EP377" s="21"/>
      <c r="EQ377" s="21"/>
      <c r="ER377" s="21"/>
      <c r="ES377" s="21"/>
      <c r="ET377" s="21"/>
      <c r="EU377" s="21"/>
      <c r="EV377" s="21"/>
      <c r="EW377" s="21"/>
      <c r="EX377" s="21"/>
      <c r="EY377" s="21"/>
      <c r="EZ377" s="21"/>
      <c r="FA377" s="21"/>
      <c r="FB377" s="21"/>
      <c r="FC377" s="21"/>
      <c r="FD377" s="21"/>
      <c r="FE377" s="21"/>
      <c r="FF377" s="21"/>
      <c r="FG377" s="21"/>
      <c r="FH377" s="21"/>
      <c r="FI377" s="21"/>
    </row>
    <row r="378" spans="1:165"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21"/>
      <c r="CH378" s="21"/>
      <c r="CI378" s="21"/>
      <c r="CJ378" s="21"/>
      <c r="CK378" s="21"/>
      <c r="CL378" s="21"/>
      <c r="CM378" s="21"/>
      <c r="CN378" s="21"/>
      <c r="CO378" s="21"/>
      <c r="CP378" s="21"/>
      <c r="CQ378" s="21"/>
      <c r="CR378" s="21"/>
      <c r="CS378" s="21"/>
      <c r="CT378" s="21"/>
      <c r="CU378" s="21"/>
      <c r="CV378" s="21"/>
      <c r="CW378" s="21"/>
      <c r="CX378" s="21"/>
      <c r="CY378" s="21"/>
      <c r="CZ378" s="21"/>
      <c r="DA378" s="21"/>
      <c r="DB378" s="21"/>
      <c r="DC378" s="21"/>
      <c r="DD378" s="21"/>
      <c r="DE378" s="21"/>
      <c r="DF378" s="21"/>
      <c r="DG378" s="21"/>
      <c r="DH378" s="21"/>
      <c r="DI378" s="21"/>
      <c r="DJ378" s="21"/>
      <c r="DK378" s="21"/>
      <c r="DL378" s="21"/>
      <c r="DM378" s="21"/>
      <c r="DN378" s="21"/>
      <c r="DO378" s="21"/>
      <c r="DP378" s="21"/>
      <c r="DQ378" s="21"/>
      <c r="DR378" s="21"/>
      <c r="DS378" s="21"/>
      <c r="DT378" s="21"/>
      <c r="DU378" s="21"/>
      <c r="DV378" s="21"/>
      <c r="DW378" s="21"/>
      <c r="DX378" s="21"/>
      <c r="DY378" s="21"/>
      <c r="DZ378" s="21"/>
      <c r="EA378" s="21"/>
      <c r="EB378" s="21"/>
      <c r="EC378" s="21"/>
      <c r="ED378" s="21"/>
      <c r="EE378" s="21"/>
      <c r="EF378" s="21"/>
      <c r="EG378" s="21"/>
      <c r="EH378" s="21"/>
      <c r="EI378" s="21"/>
      <c r="EJ378" s="21"/>
      <c r="EK378" s="21"/>
      <c r="EL378" s="21"/>
      <c r="EM378" s="21"/>
      <c r="EN378" s="21"/>
      <c r="EO378" s="21"/>
      <c r="EP378" s="21"/>
      <c r="EQ378" s="21"/>
      <c r="ER378" s="21"/>
      <c r="ES378" s="21"/>
      <c r="ET378" s="21"/>
      <c r="EU378" s="21"/>
      <c r="EV378" s="21"/>
      <c r="EW378" s="21"/>
      <c r="EX378" s="21"/>
      <c r="EY378" s="21"/>
      <c r="EZ378" s="21"/>
      <c r="FA378" s="21"/>
      <c r="FB378" s="21"/>
      <c r="FC378" s="21"/>
      <c r="FD378" s="21"/>
      <c r="FE378" s="21"/>
      <c r="FF378" s="21"/>
      <c r="FG378" s="21"/>
      <c r="FH378" s="21"/>
      <c r="FI378" s="21"/>
    </row>
    <row r="379" spans="1:165"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c r="DB379" s="21"/>
      <c r="DC379" s="21"/>
      <c r="DD379" s="21"/>
      <c r="DE379" s="21"/>
      <c r="DF379" s="21"/>
      <c r="DG379" s="21"/>
      <c r="DH379" s="21"/>
      <c r="DI379" s="21"/>
      <c r="DJ379" s="21"/>
      <c r="DK379" s="21"/>
      <c r="DL379" s="21"/>
      <c r="DM379" s="21"/>
      <c r="DN379" s="21"/>
      <c r="DO379" s="21"/>
      <c r="DP379" s="21"/>
      <c r="DQ379" s="21"/>
      <c r="DR379" s="21"/>
      <c r="DS379" s="21"/>
      <c r="DT379" s="21"/>
      <c r="DU379" s="21"/>
      <c r="DV379" s="21"/>
      <c r="DW379" s="21"/>
      <c r="DX379" s="21"/>
      <c r="DY379" s="21"/>
      <c r="DZ379" s="21"/>
      <c r="EA379" s="21"/>
      <c r="EB379" s="21"/>
      <c r="EC379" s="21"/>
      <c r="ED379" s="21"/>
      <c r="EE379" s="21"/>
      <c r="EF379" s="21"/>
      <c r="EG379" s="21"/>
      <c r="EH379" s="21"/>
      <c r="EI379" s="21"/>
      <c r="EJ379" s="21"/>
      <c r="EK379" s="21"/>
      <c r="EL379" s="21"/>
      <c r="EM379" s="21"/>
      <c r="EN379" s="21"/>
      <c r="EO379" s="21"/>
      <c r="EP379" s="21"/>
      <c r="EQ379" s="21"/>
      <c r="ER379" s="21"/>
      <c r="ES379" s="21"/>
      <c r="ET379" s="21"/>
      <c r="EU379" s="21"/>
      <c r="EV379" s="21"/>
      <c r="EW379" s="21"/>
      <c r="EX379" s="21"/>
      <c r="EY379" s="21"/>
      <c r="EZ379" s="21"/>
      <c r="FA379" s="21"/>
      <c r="FB379" s="21"/>
      <c r="FC379" s="21"/>
      <c r="FD379" s="21"/>
      <c r="FE379" s="21"/>
      <c r="FF379" s="21"/>
      <c r="FG379" s="21"/>
      <c r="FH379" s="21"/>
      <c r="FI379" s="21"/>
    </row>
    <row r="380" spans="1:165"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c r="DB380" s="21"/>
      <c r="DC380" s="21"/>
      <c r="DD380" s="21"/>
      <c r="DE380" s="21"/>
      <c r="DF380" s="21"/>
      <c r="DG380" s="21"/>
      <c r="DH380" s="21"/>
      <c r="DI380" s="21"/>
      <c r="DJ380" s="21"/>
      <c r="DK380" s="21"/>
      <c r="DL380" s="21"/>
      <c r="DM380" s="21"/>
      <c r="DN380" s="21"/>
      <c r="DO380" s="21"/>
      <c r="DP380" s="21"/>
      <c r="DQ380" s="21"/>
      <c r="DR380" s="21"/>
      <c r="DS380" s="21"/>
      <c r="DT380" s="21"/>
      <c r="DU380" s="21"/>
      <c r="DV380" s="21"/>
      <c r="DW380" s="21"/>
      <c r="DX380" s="21"/>
      <c r="DY380" s="21"/>
      <c r="DZ380" s="21"/>
      <c r="EA380" s="21"/>
      <c r="EB380" s="21"/>
      <c r="EC380" s="21"/>
      <c r="ED380" s="21"/>
      <c r="EE380" s="21"/>
      <c r="EF380" s="21"/>
      <c r="EG380" s="21"/>
      <c r="EH380" s="21"/>
      <c r="EI380" s="21"/>
      <c r="EJ380" s="21"/>
      <c r="EK380" s="21"/>
      <c r="EL380" s="21"/>
      <c r="EM380" s="21"/>
      <c r="EN380" s="21"/>
      <c r="EO380" s="21"/>
      <c r="EP380" s="21"/>
      <c r="EQ380" s="21"/>
      <c r="ER380" s="21"/>
      <c r="ES380" s="21"/>
      <c r="ET380" s="21"/>
      <c r="EU380" s="21"/>
      <c r="EV380" s="21"/>
      <c r="EW380" s="21"/>
      <c r="EX380" s="21"/>
      <c r="EY380" s="21"/>
      <c r="EZ380" s="21"/>
      <c r="FA380" s="21"/>
      <c r="FB380" s="21"/>
      <c r="FC380" s="21"/>
      <c r="FD380" s="21"/>
      <c r="FE380" s="21"/>
      <c r="FF380" s="21"/>
      <c r="FG380" s="21"/>
      <c r="FH380" s="21"/>
      <c r="FI380" s="21"/>
    </row>
    <row r="381" spans="1:165"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c r="DB381" s="21"/>
      <c r="DC381" s="21"/>
      <c r="DD381" s="21"/>
      <c r="DE381" s="21"/>
      <c r="DF381" s="21"/>
      <c r="DG381" s="21"/>
      <c r="DH381" s="21"/>
      <c r="DI381" s="21"/>
      <c r="DJ381" s="21"/>
      <c r="DK381" s="21"/>
      <c r="DL381" s="21"/>
      <c r="DM381" s="21"/>
      <c r="DN381" s="21"/>
      <c r="DO381" s="21"/>
      <c r="DP381" s="21"/>
      <c r="DQ381" s="21"/>
      <c r="DR381" s="21"/>
      <c r="DS381" s="21"/>
      <c r="DT381" s="21"/>
      <c r="DU381" s="21"/>
      <c r="DV381" s="21"/>
      <c r="DW381" s="21"/>
      <c r="DX381" s="21"/>
      <c r="DY381" s="21"/>
      <c r="DZ381" s="21"/>
      <c r="EA381" s="21"/>
      <c r="EB381" s="21"/>
      <c r="EC381" s="21"/>
      <c r="ED381" s="21"/>
      <c r="EE381" s="21"/>
      <c r="EF381" s="21"/>
      <c r="EG381" s="21"/>
      <c r="EH381" s="21"/>
      <c r="EI381" s="21"/>
      <c r="EJ381" s="21"/>
      <c r="EK381" s="21"/>
      <c r="EL381" s="21"/>
      <c r="EM381" s="21"/>
      <c r="EN381" s="21"/>
      <c r="EO381" s="21"/>
      <c r="EP381" s="21"/>
      <c r="EQ381" s="21"/>
      <c r="ER381" s="21"/>
      <c r="ES381" s="21"/>
      <c r="ET381" s="21"/>
      <c r="EU381" s="21"/>
      <c r="EV381" s="21"/>
      <c r="EW381" s="21"/>
      <c r="EX381" s="21"/>
      <c r="EY381" s="21"/>
      <c r="EZ381" s="21"/>
      <c r="FA381" s="21"/>
      <c r="FB381" s="21"/>
      <c r="FC381" s="21"/>
      <c r="FD381" s="21"/>
      <c r="FE381" s="21"/>
      <c r="FF381" s="21"/>
      <c r="FG381" s="21"/>
      <c r="FH381" s="21"/>
      <c r="FI381" s="21"/>
    </row>
    <row r="382" spans="1:165"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c r="DE382" s="21"/>
      <c r="DF382" s="21"/>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1"/>
      <c r="FH382" s="21"/>
      <c r="FI382" s="21"/>
    </row>
    <row r="383" spans="1:165"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c r="DB383" s="21"/>
      <c r="DC383" s="21"/>
      <c r="DD383" s="21"/>
      <c r="DE383" s="21"/>
      <c r="DF383" s="21"/>
      <c r="DG383" s="21"/>
      <c r="DH383" s="21"/>
      <c r="DI383" s="21"/>
      <c r="DJ383" s="21"/>
      <c r="DK383" s="21"/>
      <c r="DL383" s="21"/>
      <c r="DM383" s="21"/>
      <c r="DN383" s="21"/>
      <c r="DO383" s="21"/>
      <c r="DP383" s="21"/>
      <c r="DQ383" s="21"/>
      <c r="DR383" s="21"/>
      <c r="DS383" s="21"/>
      <c r="DT383" s="21"/>
      <c r="DU383" s="21"/>
      <c r="DV383" s="21"/>
      <c r="DW383" s="21"/>
      <c r="DX383" s="21"/>
      <c r="DY383" s="21"/>
      <c r="DZ383" s="21"/>
      <c r="EA383" s="21"/>
      <c r="EB383" s="21"/>
      <c r="EC383" s="21"/>
      <c r="ED383" s="21"/>
      <c r="EE383" s="21"/>
      <c r="EF383" s="21"/>
      <c r="EG383" s="21"/>
      <c r="EH383" s="21"/>
      <c r="EI383" s="21"/>
      <c r="EJ383" s="21"/>
      <c r="EK383" s="21"/>
      <c r="EL383" s="21"/>
      <c r="EM383" s="21"/>
      <c r="EN383" s="21"/>
      <c r="EO383" s="21"/>
      <c r="EP383" s="21"/>
      <c r="EQ383" s="21"/>
      <c r="ER383" s="21"/>
      <c r="ES383" s="21"/>
      <c r="ET383" s="21"/>
      <c r="EU383" s="21"/>
      <c r="EV383" s="21"/>
      <c r="EW383" s="21"/>
      <c r="EX383" s="21"/>
      <c r="EY383" s="21"/>
      <c r="EZ383" s="21"/>
      <c r="FA383" s="21"/>
      <c r="FB383" s="21"/>
      <c r="FC383" s="21"/>
      <c r="FD383" s="21"/>
      <c r="FE383" s="21"/>
      <c r="FF383" s="21"/>
      <c r="FG383" s="21"/>
      <c r="FH383" s="21"/>
      <c r="FI383" s="21"/>
    </row>
    <row r="384" spans="1:165"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c r="DB384" s="21"/>
      <c r="DC384" s="21"/>
      <c r="DD384" s="21"/>
      <c r="DE384" s="21"/>
      <c r="DF384" s="21"/>
      <c r="DG384" s="21"/>
      <c r="DH384" s="21"/>
      <c r="DI384" s="21"/>
      <c r="DJ384" s="21"/>
      <c r="DK384" s="21"/>
      <c r="DL384" s="21"/>
      <c r="DM384" s="21"/>
      <c r="DN384" s="21"/>
      <c r="DO384" s="21"/>
      <c r="DP384" s="21"/>
      <c r="DQ384" s="21"/>
      <c r="DR384" s="21"/>
      <c r="DS384" s="21"/>
      <c r="DT384" s="21"/>
      <c r="DU384" s="21"/>
      <c r="DV384" s="21"/>
      <c r="DW384" s="21"/>
      <c r="DX384" s="21"/>
      <c r="DY384" s="21"/>
      <c r="DZ384" s="21"/>
      <c r="EA384" s="21"/>
      <c r="EB384" s="21"/>
      <c r="EC384" s="21"/>
      <c r="ED384" s="21"/>
      <c r="EE384" s="21"/>
      <c r="EF384" s="21"/>
      <c r="EG384" s="21"/>
      <c r="EH384" s="21"/>
      <c r="EI384" s="21"/>
      <c r="EJ384" s="21"/>
      <c r="EK384" s="21"/>
      <c r="EL384" s="21"/>
      <c r="EM384" s="21"/>
      <c r="EN384" s="21"/>
      <c r="EO384" s="21"/>
      <c r="EP384" s="21"/>
      <c r="EQ384" s="21"/>
      <c r="ER384" s="21"/>
      <c r="ES384" s="21"/>
      <c r="ET384" s="21"/>
      <c r="EU384" s="21"/>
      <c r="EV384" s="21"/>
      <c r="EW384" s="21"/>
      <c r="EX384" s="21"/>
      <c r="EY384" s="21"/>
      <c r="EZ384" s="21"/>
      <c r="FA384" s="21"/>
      <c r="FB384" s="21"/>
      <c r="FC384" s="21"/>
      <c r="FD384" s="21"/>
      <c r="FE384" s="21"/>
      <c r="FF384" s="21"/>
      <c r="FG384" s="21"/>
      <c r="FH384" s="21"/>
      <c r="FI384" s="21"/>
    </row>
    <row r="385" spans="1:165"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21"/>
      <c r="CH385" s="21"/>
      <c r="CI385" s="21"/>
      <c r="CJ385" s="21"/>
      <c r="CK385" s="21"/>
      <c r="CL385" s="21"/>
      <c r="CM385" s="21"/>
      <c r="CN385" s="21"/>
      <c r="CO385" s="21"/>
      <c r="CP385" s="21"/>
      <c r="CQ385" s="21"/>
      <c r="CR385" s="21"/>
      <c r="CS385" s="21"/>
      <c r="CT385" s="21"/>
      <c r="CU385" s="21"/>
      <c r="CV385" s="21"/>
      <c r="CW385" s="21"/>
      <c r="CX385" s="21"/>
      <c r="CY385" s="21"/>
      <c r="CZ385" s="21"/>
      <c r="DA385" s="21"/>
      <c r="DB385" s="21"/>
      <c r="DC385" s="21"/>
      <c r="DD385" s="21"/>
      <c r="DE385" s="21"/>
      <c r="DF385" s="21"/>
      <c r="DG385" s="21"/>
      <c r="DH385" s="21"/>
      <c r="DI385" s="21"/>
      <c r="DJ385" s="21"/>
      <c r="DK385" s="21"/>
      <c r="DL385" s="21"/>
      <c r="DM385" s="21"/>
      <c r="DN385" s="21"/>
      <c r="DO385" s="21"/>
      <c r="DP385" s="21"/>
      <c r="DQ385" s="21"/>
      <c r="DR385" s="21"/>
      <c r="DS385" s="21"/>
      <c r="DT385" s="21"/>
      <c r="DU385" s="21"/>
      <c r="DV385" s="21"/>
      <c r="DW385" s="21"/>
      <c r="DX385" s="21"/>
      <c r="DY385" s="21"/>
      <c r="DZ385" s="21"/>
      <c r="EA385" s="21"/>
      <c r="EB385" s="21"/>
      <c r="EC385" s="21"/>
      <c r="ED385" s="21"/>
      <c r="EE385" s="21"/>
      <c r="EF385" s="21"/>
      <c r="EG385" s="21"/>
      <c r="EH385" s="21"/>
      <c r="EI385" s="21"/>
      <c r="EJ385" s="21"/>
      <c r="EK385" s="21"/>
      <c r="EL385" s="21"/>
      <c r="EM385" s="21"/>
      <c r="EN385" s="21"/>
      <c r="EO385" s="21"/>
      <c r="EP385" s="21"/>
      <c r="EQ385" s="21"/>
      <c r="ER385" s="21"/>
      <c r="ES385" s="21"/>
      <c r="ET385" s="21"/>
      <c r="EU385" s="21"/>
      <c r="EV385" s="21"/>
      <c r="EW385" s="21"/>
      <c r="EX385" s="21"/>
      <c r="EY385" s="21"/>
      <c r="EZ385" s="21"/>
      <c r="FA385" s="21"/>
      <c r="FB385" s="21"/>
      <c r="FC385" s="21"/>
      <c r="FD385" s="21"/>
      <c r="FE385" s="21"/>
      <c r="FF385" s="21"/>
      <c r="FG385" s="21"/>
      <c r="FH385" s="21"/>
      <c r="FI385" s="21"/>
    </row>
    <row r="386" spans="1:165"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21"/>
      <c r="CH386" s="21"/>
      <c r="CI386" s="21"/>
      <c r="CJ386" s="21"/>
      <c r="CK386" s="21"/>
      <c r="CL386" s="21"/>
      <c r="CM386" s="21"/>
      <c r="CN386" s="21"/>
      <c r="CO386" s="21"/>
      <c r="CP386" s="21"/>
      <c r="CQ386" s="21"/>
      <c r="CR386" s="21"/>
      <c r="CS386" s="21"/>
      <c r="CT386" s="21"/>
      <c r="CU386" s="21"/>
      <c r="CV386" s="21"/>
      <c r="CW386" s="21"/>
      <c r="CX386" s="21"/>
      <c r="CY386" s="21"/>
      <c r="CZ386" s="21"/>
      <c r="DA386" s="21"/>
      <c r="DB386" s="21"/>
      <c r="DC386" s="21"/>
      <c r="DD386" s="21"/>
      <c r="DE386" s="21"/>
      <c r="DF386" s="21"/>
      <c r="DG386" s="21"/>
      <c r="DH386" s="21"/>
      <c r="DI386" s="21"/>
      <c r="DJ386" s="21"/>
      <c r="DK386" s="21"/>
      <c r="DL386" s="21"/>
      <c r="DM386" s="21"/>
      <c r="DN386" s="21"/>
      <c r="DO386" s="21"/>
      <c r="DP386" s="21"/>
      <c r="DQ386" s="21"/>
      <c r="DR386" s="21"/>
      <c r="DS386" s="21"/>
      <c r="DT386" s="21"/>
      <c r="DU386" s="21"/>
      <c r="DV386" s="21"/>
      <c r="DW386" s="21"/>
      <c r="DX386" s="21"/>
      <c r="DY386" s="21"/>
      <c r="DZ386" s="21"/>
      <c r="EA386" s="21"/>
      <c r="EB386" s="21"/>
      <c r="EC386" s="21"/>
      <c r="ED386" s="21"/>
      <c r="EE386" s="21"/>
      <c r="EF386" s="21"/>
      <c r="EG386" s="21"/>
      <c r="EH386" s="21"/>
      <c r="EI386" s="21"/>
      <c r="EJ386" s="21"/>
      <c r="EK386" s="21"/>
      <c r="EL386" s="21"/>
      <c r="EM386" s="21"/>
      <c r="EN386" s="21"/>
      <c r="EO386" s="21"/>
      <c r="EP386" s="21"/>
      <c r="EQ386" s="21"/>
      <c r="ER386" s="21"/>
      <c r="ES386" s="21"/>
      <c r="ET386" s="21"/>
      <c r="EU386" s="21"/>
      <c r="EV386" s="21"/>
      <c r="EW386" s="21"/>
      <c r="EX386" s="21"/>
      <c r="EY386" s="21"/>
      <c r="EZ386" s="21"/>
      <c r="FA386" s="21"/>
      <c r="FB386" s="21"/>
      <c r="FC386" s="21"/>
      <c r="FD386" s="21"/>
      <c r="FE386" s="21"/>
      <c r="FF386" s="21"/>
      <c r="FG386" s="21"/>
      <c r="FH386" s="21"/>
      <c r="FI386" s="21"/>
    </row>
    <row r="387" spans="1:165"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21"/>
      <c r="CH387" s="21"/>
      <c r="CI387" s="21"/>
      <c r="CJ387" s="21"/>
      <c r="CK387" s="21"/>
      <c r="CL387" s="21"/>
      <c r="CM387" s="21"/>
      <c r="CN387" s="21"/>
      <c r="CO387" s="21"/>
      <c r="CP387" s="21"/>
      <c r="CQ387" s="21"/>
      <c r="CR387" s="21"/>
      <c r="CS387" s="21"/>
      <c r="CT387" s="21"/>
      <c r="CU387" s="21"/>
      <c r="CV387" s="21"/>
      <c r="CW387" s="21"/>
      <c r="CX387" s="21"/>
      <c r="CY387" s="21"/>
      <c r="CZ387" s="21"/>
      <c r="DA387" s="21"/>
      <c r="DB387" s="21"/>
      <c r="DC387" s="21"/>
      <c r="DD387" s="21"/>
      <c r="DE387" s="21"/>
      <c r="DF387" s="21"/>
      <c r="DG387" s="21"/>
      <c r="DH387" s="21"/>
      <c r="DI387" s="21"/>
      <c r="DJ387" s="21"/>
      <c r="DK387" s="21"/>
      <c r="DL387" s="21"/>
      <c r="DM387" s="21"/>
      <c r="DN387" s="21"/>
      <c r="DO387" s="21"/>
      <c r="DP387" s="21"/>
      <c r="DQ387" s="21"/>
      <c r="DR387" s="21"/>
      <c r="DS387" s="21"/>
      <c r="DT387" s="21"/>
      <c r="DU387" s="21"/>
      <c r="DV387" s="21"/>
      <c r="DW387" s="21"/>
      <c r="DX387" s="21"/>
      <c r="DY387" s="21"/>
      <c r="DZ387" s="21"/>
      <c r="EA387" s="21"/>
      <c r="EB387" s="21"/>
      <c r="EC387" s="21"/>
      <c r="ED387" s="21"/>
      <c r="EE387" s="21"/>
      <c r="EF387" s="21"/>
      <c r="EG387" s="21"/>
      <c r="EH387" s="21"/>
      <c r="EI387" s="21"/>
      <c r="EJ387" s="21"/>
      <c r="EK387" s="21"/>
      <c r="EL387" s="21"/>
      <c r="EM387" s="21"/>
      <c r="EN387" s="21"/>
      <c r="EO387" s="21"/>
      <c r="EP387" s="21"/>
      <c r="EQ387" s="21"/>
      <c r="ER387" s="21"/>
      <c r="ES387" s="21"/>
      <c r="ET387" s="21"/>
      <c r="EU387" s="21"/>
      <c r="EV387" s="21"/>
      <c r="EW387" s="21"/>
      <c r="EX387" s="21"/>
      <c r="EY387" s="21"/>
      <c r="EZ387" s="21"/>
      <c r="FA387" s="21"/>
      <c r="FB387" s="21"/>
      <c r="FC387" s="21"/>
      <c r="FD387" s="21"/>
      <c r="FE387" s="21"/>
      <c r="FF387" s="21"/>
      <c r="FG387" s="21"/>
      <c r="FH387" s="21"/>
      <c r="FI387" s="21"/>
    </row>
    <row r="388" spans="1:165"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21"/>
      <c r="CH388" s="21"/>
      <c r="CI388" s="21"/>
      <c r="CJ388" s="21"/>
      <c r="CK388" s="21"/>
      <c r="CL388" s="21"/>
      <c r="CM388" s="21"/>
      <c r="CN388" s="21"/>
      <c r="CO388" s="21"/>
      <c r="CP388" s="21"/>
      <c r="CQ388" s="21"/>
      <c r="CR388" s="21"/>
      <c r="CS388" s="21"/>
      <c r="CT388" s="21"/>
      <c r="CU388" s="21"/>
      <c r="CV388" s="21"/>
      <c r="CW388" s="21"/>
      <c r="CX388" s="21"/>
      <c r="CY388" s="21"/>
      <c r="CZ388" s="21"/>
      <c r="DA388" s="21"/>
      <c r="DB388" s="21"/>
      <c r="DC388" s="21"/>
      <c r="DD388" s="21"/>
      <c r="DE388" s="21"/>
      <c r="DF388" s="21"/>
      <c r="DG388" s="21"/>
      <c r="DH388" s="21"/>
      <c r="DI388" s="21"/>
      <c r="DJ388" s="21"/>
      <c r="DK388" s="21"/>
      <c r="DL388" s="21"/>
      <c r="DM388" s="21"/>
      <c r="DN388" s="21"/>
      <c r="DO388" s="21"/>
      <c r="DP388" s="21"/>
      <c r="DQ388" s="21"/>
      <c r="DR388" s="21"/>
      <c r="DS388" s="21"/>
      <c r="DT388" s="21"/>
      <c r="DU388" s="21"/>
      <c r="DV388" s="21"/>
      <c r="DW388" s="21"/>
      <c r="DX388" s="21"/>
      <c r="DY388" s="21"/>
      <c r="DZ388" s="21"/>
      <c r="EA388" s="21"/>
      <c r="EB388" s="21"/>
      <c r="EC388" s="21"/>
      <c r="ED388" s="21"/>
      <c r="EE388" s="21"/>
      <c r="EF388" s="21"/>
      <c r="EG388" s="21"/>
      <c r="EH388" s="21"/>
      <c r="EI388" s="21"/>
      <c r="EJ388" s="21"/>
      <c r="EK388" s="21"/>
      <c r="EL388" s="21"/>
      <c r="EM388" s="21"/>
      <c r="EN388" s="21"/>
      <c r="EO388" s="21"/>
      <c r="EP388" s="21"/>
      <c r="EQ388" s="21"/>
      <c r="ER388" s="21"/>
      <c r="ES388" s="21"/>
      <c r="ET388" s="21"/>
      <c r="EU388" s="21"/>
      <c r="EV388" s="21"/>
      <c r="EW388" s="21"/>
      <c r="EX388" s="21"/>
      <c r="EY388" s="21"/>
      <c r="EZ388" s="21"/>
      <c r="FA388" s="21"/>
      <c r="FB388" s="21"/>
      <c r="FC388" s="21"/>
      <c r="FD388" s="21"/>
      <c r="FE388" s="21"/>
      <c r="FF388" s="21"/>
      <c r="FG388" s="21"/>
      <c r="FH388" s="21"/>
      <c r="FI388" s="21"/>
    </row>
    <row r="389" spans="1:165"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c r="DB389" s="21"/>
      <c r="DC389" s="21"/>
      <c r="DD389" s="21"/>
      <c r="DE389" s="21"/>
      <c r="DF389" s="21"/>
      <c r="DG389" s="21"/>
      <c r="DH389" s="21"/>
      <c r="DI389" s="21"/>
      <c r="DJ389" s="21"/>
      <c r="DK389" s="21"/>
      <c r="DL389" s="21"/>
      <c r="DM389" s="21"/>
      <c r="DN389" s="21"/>
      <c r="DO389" s="21"/>
      <c r="DP389" s="21"/>
      <c r="DQ389" s="21"/>
      <c r="DR389" s="21"/>
      <c r="DS389" s="21"/>
      <c r="DT389" s="21"/>
      <c r="DU389" s="21"/>
      <c r="DV389" s="21"/>
      <c r="DW389" s="21"/>
      <c r="DX389" s="21"/>
      <c r="DY389" s="21"/>
      <c r="DZ389" s="21"/>
      <c r="EA389" s="21"/>
      <c r="EB389" s="21"/>
      <c r="EC389" s="21"/>
      <c r="ED389" s="21"/>
      <c r="EE389" s="21"/>
      <c r="EF389" s="21"/>
      <c r="EG389" s="21"/>
      <c r="EH389" s="21"/>
      <c r="EI389" s="21"/>
      <c r="EJ389" s="21"/>
      <c r="EK389" s="21"/>
      <c r="EL389" s="21"/>
      <c r="EM389" s="21"/>
      <c r="EN389" s="21"/>
      <c r="EO389" s="21"/>
      <c r="EP389" s="21"/>
      <c r="EQ389" s="21"/>
      <c r="ER389" s="21"/>
      <c r="ES389" s="21"/>
      <c r="ET389" s="21"/>
      <c r="EU389" s="21"/>
      <c r="EV389" s="21"/>
      <c r="EW389" s="21"/>
      <c r="EX389" s="21"/>
      <c r="EY389" s="21"/>
      <c r="EZ389" s="21"/>
      <c r="FA389" s="21"/>
      <c r="FB389" s="21"/>
      <c r="FC389" s="21"/>
      <c r="FD389" s="21"/>
      <c r="FE389" s="21"/>
      <c r="FF389" s="21"/>
      <c r="FG389" s="21"/>
      <c r="FH389" s="21"/>
      <c r="FI389" s="21"/>
    </row>
    <row r="390" spans="1:165"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c r="DE390" s="21"/>
      <c r="DF390" s="21"/>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1"/>
      <c r="FH390" s="21"/>
      <c r="FI390" s="21"/>
    </row>
    <row r="391" spans="1:165"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c r="DB391" s="21"/>
      <c r="DC391" s="21"/>
      <c r="DD391" s="21"/>
      <c r="DE391" s="21"/>
      <c r="DF391" s="21"/>
      <c r="DG391" s="21"/>
      <c r="DH391" s="21"/>
      <c r="DI391" s="21"/>
      <c r="DJ391" s="21"/>
      <c r="DK391" s="21"/>
      <c r="DL391" s="21"/>
      <c r="DM391" s="21"/>
      <c r="DN391" s="21"/>
      <c r="DO391" s="21"/>
      <c r="DP391" s="21"/>
      <c r="DQ391" s="21"/>
      <c r="DR391" s="21"/>
      <c r="DS391" s="21"/>
      <c r="DT391" s="21"/>
      <c r="DU391" s="21"/>
      <c r="DV391" s="21"/>
      <c r="DW391" s="21"/>
      <c r="DX391" s="21"/>
      <c r="DY391" s="21"/>
      <c r="DZ391" s="21"/>
      <c r="EA391" s="21"/>
      <c r="EB391" s="21"/>
      <c r="EC391" s="21"/>
      <c r="ED391" s="21"/>
      <c r="EE391" s="21"/>
      <c r="EF391" s="21"/>
      <c r="EG391" s="21"/>
      <c r="EH391" s="21"/>
      <c r="EI391" s="21"/>
      <c r="EJ391" s="21"/>
      <c r="EK391" s="21"/>
      <c r="EL391" s="21"/>
      <c r="EM391" s="21"/>
      <c r="EN391" s="21"/>
      <c r="EO391" s="21"/>
      <c r="EP391" s="21"/>
      <c r="EQ391" s="21"/>
      <c r="ER391" s="21"/>
      <c r="ES391" s="21"/>
      <c r="ET391" s="21"/>
      <c r="EU391" s="21"/>
      <c r="EV391" s="21"/>
      <c r="EW391" s="21"/>
      <c r="EX391" s="21"/>
      <c r="EY391" s="21"/>
      <c r="EZ391" s="21"/>
      <c r="FA391" s="21"/>
      <c r="FB391" s="21"/>
      <c r="FC391" s="21"/>
      <c r="FD391" s="21"/>
      <c r="FE391" s="21"/>
      <c r="FF391" s="21"/>
      <c r="FG391" s="21"/>
      <c r="FH391" s="21"/>
      <c r="FI391" s="21"/>
    </row>
    <row r="392" spans="1:165"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c r="DB392" s="21"/>
      <c r="DC392" s="21"/>
      <c r="DD392" s="21"/>
      <c r="DE392" s="21"/>
      <c r="DF392" s="21"/>
      <c r="DG392" s="21"/>
      <c r="DH392" s="21"/>
      <c r="DI392" s="21"/>
      <c r="DJ392" s="21"/>
      <c r="DK392" s="21"/>
      <c r="DL392" s="21"/>
      <c r="DM392" s="21"/>
      <c r="DN392" s="21"/>
      <c r="DO392" s="21"/>
      <c r="DP392" s="21"/>
      <c r="DQ392" s="21"/>
      <c r="DR392" s="21"/>
      <c r="DS392" s="21"/>
      <c r="DT392" s="21"/>
      <c r="DU392" s="21"/>
      <c r="DV392" s="21"/>
      <c r="DW392" s="21"/>
      <c r="DX392" s="21"/>
      <c r="DY392" s="21"/>
      <c r="DZ392" s="21"/>
      <c r="EA392" s="21"/>
      <c r="EB392" s="21"/>
      <c r="EC392" s="21"/>
      <c r="ED392" s="21"/>
      <c r="EE392" s="21"/>
      <c r="EF392" s="21"/>
      <c r="EG392" s="21"/>
      <c r="EH392" s="21"/>
      <c r="EI392" s="21"/>
      <c r="EJ392" s="21"/>
      <c r="EK392" s="21"/>
      <c r="EL392" s="21"/>
      <c r="EM392" s="21"/>
      <c r="EN392" s="21"/>
      <c r="EO392" s="21"/>
      <c r="EP392" s="21"/>
      <c r="EQ392" s="21"/>
      <c r="ER392" s="21"/>
      <c r="ES392" s="21"/>
      <c r="ET392" s="21"/>
      <c r="EU392" s="21"/>
      <c r="EV392" s="21"/>
      <c r="EW392" s="21"/>
      <c r="EX392" s="21"/>
      <c r="EY392" s="21"/>
      <c r="EZ392" s="21"/>
      <c r="FA392" s="21"/>
      <c r="FB392" s="21"/>
      <c r="FC392" s="21"/>
      <c r="FD392" s="21"/>
      <c r="FE392" s="21"/>
      <c r="FF392" s="21"/>
      <c r="FG392" s="21"/>
      <c r="FH392" s="21"/>
      <c r="FI392" s="21"/>
    </row>
    <row r="393" spans="1:165"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21"/>
      <c r="CH393" s="21"/>
      <c r="CI393" s="21"/>
      <c r="CJ393" s="21"/>
      <c r="CK393" s="21"/>
      <c r="CL393" s="21"/>
      <c r="CM393" s="21"/>
      <c r="CN393" s="21"/>
      <c r="CO393" s="21"/>
      <c r="CP393" s="21"/>
      <c r="CQ393" s="21"/>
      <c r="CR393" s="21"/>
      <c r="CS393" s="21"/>
      <c r="CT393" s="21"/>
      <c r="CU393" s="21"/>
      <c r="CV393" s="21"/>
      <c r="CW393" s="21"/>
      <c r="CX393" s="21"/>
      <c r="CY393" s="21"/>
      <c r="CZ393" s="21"/>
      <c r="DA393" s="21"/>
      <c r="DB393" s="21"/>
      <c r="DC393" s="21"/>
      <c r="DD393" s="21"/>
      <c r="DE393" s="21"/>
      <c r="DF393" s="21"/>
      <c r="DG393" s="21"/>
      <c r="DH393" s="21"/>
      <c r="DI393" s="21"/>
      <c r="DJ393" s="21"/>
      <c r="DK393" s="21"/>
      <c r="DL393" s="21"/>
      <c r="DM393" s="21"/>
      <c r="DN393" s="21"/>
      <c r="DO393" s="21"/>
      <c r="DP393" s="21"/>
      <c r="DQ393" s="21"/>
      <c r="DR393" s="21"/>
      <c r="DS393" s="21"/>
      <c r="DT393" s="21"/>
      <c r="DU393" s="21"/>
      <c r="DV393" s="21"/>
      <c r="DW393" s="21"/>
      <c r="DX393" s="21"/>
      <c r="DY393" s="21"/>
      <c r="DZ393" s="21"/>
      <c r="EA393" s="21"/>
      <c r="EB393" s="21"/>
      <c r="EC393" s="21"/>
      <c r="ED393" s="21"/>
      <c r="EE393" s="21"/>
      <c r="EF393" s="21"/>
      <c r="EG393" s="21"/>
      <c r="EH393" s="21"/>
      <c r="EI393" s="21"/>
      <c r="EJ393" s="21"/>
      <c r="EK393" s="21"/>
      <c r="EL393" s="21"/>
      <c r="EM393" s="21"/>
      <c r="EN393" s="21"/>
      <c r="EO393" s="21"/>
      <c r="EP393" s="21"/>
      <c r="EQ393" s="21"/>
      <c r="ER393" s="21"/>
      <c r="ES393" s="21"/>
      <c r="ET393" s="21"/>
      <c r="EU393" s="21"/>
      <c r="EV393" s="21"/>
      <c r="EW393" s="21"/>
      <c r="EX393" s="21"/>
      <c r="EY393" s="21"/>
      <c r="EZ393" s="21"/>
      <c r="FA393" s="21"/>
      <c r="FB393" s="21"/>
      <c r="FC393" s="21"/>
      <c r="FD393" s="21"/>
      <c r="FE393" s="21"/>
      <c r="FF393" s="21"/>
      <c r="FG393" s="21"/>
      <c r="FH393" s="21"/>
      <c r="FI393" s="21"/>
    </row>
    <row r="394" spans="1:165"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c r="DB394" s="21"/>
      <c r="DC394" s="21"/>
      <c r="DD394" s="21"/>
      <c r="DE394" s="21"/>
      <c r="DF394" s="21"/>
      <c r="DG394" s="21"/>
      <c r="DH394" s="21"/>
      <c r="DI394" s="21"/>
      <c r="DJ394" s="21"/>
      <c r="DK394" s="21"/>
      <c r="DL394" s="21"/>
      <c r="DM394" s="21"/>
      <c r="DN394" s="21"/>
      <c r="DO394" s="21"/>
      <c r="DP394" s="21"/>
      <c r="DQ394" s="21"/>
      <c r="DR394" s="21"/>
      <c r="DS394" s="21"/>
      <c r="DT394" s="21"/>
      <c r="DU394" s="21"/>
      <c r="DV394" s="21"/>
      <c r="DW394" s="21"/>
      <c r="DX394" s="21"/>
      <c r="DY394" s="21"/>
      <c r="DZ394" s="21"/>
      <c r="EA394" s="21"/>
      <c r="EB394" s="21"/>
      <c r="EC394" s="21"/>
      <c r="ED394" s="21"/>
      <c r="EE394" s="21"/>
      <c r="EF394" s="21"/>
      <c r="EG394" s="21"/>
      <c r="EH394" s="21"/>
      <c r="EI394" s="21"/>
      <c r="EJ394" s="21"/>
      <c r="EK394" s="21"/>
      <c r="EL394" s="21"/>
      <c r="EM394" s="21"/>
      <c r="EN394" s="21"/>
      <c r="EO394" s="21"/>
      <c r="EP394" s="21"/>
      <c r="EQ394" s="21"/>
      <c r="ER394" s="21"/>
      <c r="ES394" s="21"/>
      <c r="ET394" s="21"/>
      <c r="EU394" s="21"/>
      <c r="EV394" s="21"/>
      <c r="EW394" s="21"/>
      <c r="EX394" s="21"/>
      <c r="EY394" s="21"/>
      <c r="EZ394" s="21"/>
      <c r="FA394" s="21"/>
      <c r="FB394" s="21"/>
      <c r="FC394" s="21"/>
      <c r="FD394" s="21"/>
      <c r="FE394" s="21"/>
      <c r="FF394" s="21"/>
      <c r="FG394" s="21"/>
      <c r="FH394" s="21"/>
      <c r="FI394" s="21"/>
    </row>
    <row r="395" spans="1:165"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c r="DB395" s="21"/>
      <c r="DC395" s="21"/>
      <c r="DD395" s="21"/>
      <c r="DE395" s="21"/>
      <c r="DF395" s="21"/>
      <c r="DG395" s="21"/>
      <c r="DH395" s="21"/>
      <c r="DI395" s="21"/>
      <c r="DJ395" s="21"/>
      <c r="DK395" s="21"/>
      <c r="DL395" s="21"/>
      <c r="DM395" s="21"/>
      <c r="DN395" s="21"/>
      <c r="DO395" s="21"/>
      <c r="DP395" s="21"/>
      <c r="DQ395" s="21"/>
      <c r="DR395" s="21"/>
      <c r="DS395" s="21"/>
      <c r="DT395" s="21"/>
      <c r="DU395" s="21"/>
      <c r="DV395" s="21"/>
      <c r="DW395" s="21"/>
      <c r="DX395" s="21"/>
      <c r="DY395" s="21"/>
      <c r="DZ395" s="21"/>
      <c r="EA395" s="21"/>
      <c r="EB395" s="21"/>
      <c r="EC395" s="21"/>
      <c r="ED395" s="21"/>
      <c r="EE395" s="21"/>
      <c r="EF395" s="21"/>
      <c r="EG395" s="21"/>
      <c r="EH395" s="21"/>
      <c r="EI395" s="21"/>
      <c r="EJ395" s="21"/>
      <c r="EK395" s="21"/>
      <c r="EL395" s="21"/>
      <c r="EM395" s="21"/>
      <c r="EN395" s="21"/>
      <c r="EO395" s="21"/>
      <c r="EP395" s="21"/>
      <c r="EQ395" s="21"/>
      <c r="ER395" s="21"/>
      <c r="ES395" s="21"/>
      <c r="ET395" s="21"/>
      <c r="EU395" s="21"/>
      <c r="EV395" s="21"/>
      <c r="EW395" s="21"/>
      <c r="EX395" s="21"/>
      <c r="EY395" s="21"/>
      <c r="EZ395" s="21"/>
      <c r="FA395" s="21"/>
      <c r="FB395" s="21"/>
      <c r="FC395" s="21"/>
      <c r="FD395" s="21"/>
      <c r="FE395" s="21"/>
      <c r="FF395" s="21"/>
      <c r="FG395" s="21"/>
      <c r="FH395" s="21"/>
      <c r="FI395" s="21"/>
    </row>
    <row r="396" spans="1:165"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c r="DB396" s="21"/>
      <c r="DC396" s="21"/>
      <c r="DD396" s="21"/>
      <c r="DE396" s="21"/>
      <c r="DF396" s="21"/>
      <c r="DG396" s="21"/>
      <c r="DH396" s="21"/>
      <c r="DI396" s="21"/>
      <c r="DJ396" s="21"/>
      <c r="DK396" s="21"/>
      <c r="DL396" s="21"/>
      <c r="DM396" s="21"/>
      <c r="DN396" s="21"/>
      <c r="DO396" s="21"/>
      <c r="DP396" s="21"/>
      <c r="DQ396" s="21"/>
      <c r="DR396" s="21"/>
      <c r="DS396" s="21"/>
      <c r="DT396" s="21"/>
      <c r="DU396" s="21"/>
      <c r="DV396" s="21"/>
      <c r="DW396" s="21"/>
      <c r="DX396" s="21"/>
      <c r="DY396" s="21"/>
      <c r="DZ396" s="21"/>
      <c r="EA396" s="21"/>
      <c r="EB396" s="21"/>
      <c r="EC396" s="21"/>
      <c r="ED396" s="21"/>
      <c r="EE396" s="21"/>
      <c r="EF396" s="21"/>
      <c r="EG396" s="21"/>
      <c r="EH396" s="21"/>
      <c r="EI396" s="21"/>
      <c r="EJ396" s="21"/>
      <c r="EK396" s="21"/>
      <c r="EL396" s="21"/>
      <c r="EM396" s="21"/>
      <c r="EN396" s="21"/>
      <c r="EO396" s="21"/>
      <c r="EP396" s="21"/>
      <c r="EQ396" s="21"/>
      <c r="ER396" s="21"/>
      <c r="ES396" s="21"/>
      <c r="ET396" s="21"/>
      <c r="EU396" s="21"/>
      <c r="EV396" s="21"/>
      <c r="EW396" s="21"/>
      <c r="EX396" s="21"/>
      <c r="EY396" s="21"/>
      <c r="EZ396" s="21"/>
      <c r="FA396" s="21"/>
      <c r="FB396" s="21"/>
      <c r="FC396" s="21"/>
      <c r="FD396" s="21"/>
      <c r="FE396" s="21"/>
      <c r="FF396" s="21"/>
      <c r="FG396" s="21"/>
      <c r="FH396" s="21"/>
      <c r="FI396" s="21"/>
    </row>
    <row r="397" spans="1:165"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c r="DB397" s="21"/>
      <c r="DC397" s="21"/>
      <c r="DD397" s="21"/>
      <c r="DE397" s="21"/>
      <c r="DF397" s="21"/>
      <c r="DG397" s="21"/>
      <c r="DH397" s="21"/>
      <c r="DI397" s="21"/>
      <c r="DJ397" s="21"/>
      <c r="DK397" s="21"/>
      <c r="DL397" s="21"/>
      <c r="DM397" s="21"/>
      <c r="DN397" s="21"/>
      <c r="DO397" s="21"/>
      <c r="DP397" s="21"/>
      <c r="DQ397" s="21"/>
      <c r="DR397" s="21"/>
      <c r="DS397" s="21"/>
      <c r="DT397" s="21"/>
      <c r="DU397" s="21"/>
      <c r="DV397" s="21"/>
      <c r="DW397" s="21"/>
      <c r="DX397" s="21"/>
      <c r="DY397" s="21"/>
      <c r="DZ397" s="21"/>
      <c r="EA397" s="21"/>
      <c r="EB397" s="21"/>
      <c r="EC397" s="21"/>
      <c r="ED397" s="21"/>
      <c r="EE397" s="21"/>
      <c r="EF397" s="21"/>
      <c r="EG397" s="21"/>
      <c r="EH397" s="21"/>
      <c r="EI397" s="21"/>
      <c r="EJ397" s="21"/>
      <c r="EK397" s="21"/>
      <c r="EL397" s="21"/>
      <c r="EM397" s="21"/>
      <c r="EN397" s="21"/>
      <c r="EO397" s="21"/>
      <c r="EP397" s="21"/>
      <c r="EQ397" s="21"/>
      <c r="ER397" s="21"/>
      <c r="ES397" s="21"/>
      <c r="ET397" s="21"/>
      <c r="EU397" s="21"/>
      <c r="EV397" s="21"/>
      <c r="EW397" s="21"/>
      <c r="EX397" s="21"/>
      <c r="EY397" s="21"/>
      <c r="EZ397" s="21"/>
      <c r="FA397" s="21"/>
      <c r="FB397" s="21"/>
      <c r="FC397" s="21"/>
      <c r="FD397" s="21"/>
      <c r="FE397" s="21"/>
      <c r="FF397" s="21"/>
      <c r="FG397" s="21"/>
      <c r="FH397" s="21"/>
      <c r="FI397" s="21"/>
    </row>
    <row r="398" spans="1:165"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c r="DE398" s="21"/>
      <c r="DF398" s="21"/>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1"/>
      <c r="FH398" s="21"/>
      <c r="FI398" s="21"/>
    </row>
    <row r="399" spans="1:165"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c r="DB399" s="21"/>
      <c r="DC399" s="21"/>
      <c r="DD399" s="21"/>
      <c r="DE399" s="21"/>
      <c r="DF399" s="21"/>
      <c r="DG399" s="21"/>
      <c r="DH399" s="21"/>
      <c r="DI399" s="21"/>
      <c r="DJ399" s="21"/>
      <c r="DK399" s="21"/>
      <c r="DL399" s="21"/>
      <c r="DM399" s="21"/>
      <c r="DN399" s="21"/>
      <c r="DO399" s="21"/>
      <c r="DP399" s="21"/>
      <c r="DQ399" s="21"/>
      <c r="DR399" s="21"/>
      <c r="DS399" s="21"/>
      <c r="DT399" s="21"/>
      <c r="DU399" s="21"/>
      <c r="DV399" s="21"/>
      <c r="DW399" s="21"/>
      <c r="DX399" s="21"/>
      <c r="DY399" s="21"/>
      <c r="DZ399" s="21"/>
      <c r="EA399" s="21"/>
      <c r="EB399" s="21"/>
      <c r="EC399" s="21"/>
      <c r="ED399" s="21"/>
      <c r="EE399" s="21"/>
      <c r="EF399" s="21"/>
      <c r="EG399" s="21"/>
      <c r="EH399" s="21"/>
      <c r="EI399" s="21"/>
      <c r="EJ399" s="21"/>
      <c r="EK399" s="21"/>
      <c r="EL399" s="21"/>
      <c r="EM399" s="21"/>
      <c r="EN399" s="21"/>
      <c r="EO399" s="21"/>
      <c r="EP399" s="21"/>
      <c r="EQ399" s="21"/>
      <c r="ER399" s="21"/>
      <c r="ES399" s="21"/>
      <c r="ET399" s="21"/>
      <c r="EU399" s="21"/>
      <c r="EV399" s="21"/>
      <c r="EW399" s="21"/>
      <c r="EX399" s="21"/>
      <c r="EY399" s="21"/>
      <c r="EZ399" s="21"/>
      <c r="FA399" s="21"/>
      <c r="FB399" s="21"/>
      <c r="FC399" s="21"/>
      <c r="FD399" s="21"/>
      <c r="FE399" s="21"/>
      <c r="FF399" s="21"/>
      <c r="FG399" s="21"/>
      <c r="FH399" s="21"/>
      <c r="FI399" s="21"/>
    </row>
    <row r="400" spans="1:165"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c r="DB400" s="21"/>
      <c r="DC400" s="21"/>
      <c r="DD400" s="21"/>
      <c r="DE400" s="21"/>
      <c r="DF400" s="21"/>
      <c r="DG400" s="21"/>
      <c r="DH400" s="21"/>
      <c r="DI400" s="21"/>
      <c r="DJ400" s="21"/>
      <c r="DK400" s="21"/>
      <c r="DL400" s="21"/>
      <c r="DM400" s="21"/>
      <c r="DN400" s="21"/>
      <c r="DO400" s="21"/>
      <c r="DP400" s="21"/>
      <c r="DQ400" s="21"/>
      <c r="DR400" s="21"/>
      <c r="DS400" s="21"/>
      <c r="DT400" s="21"/>
      <c r="DU400" s="21"/>
      <c r="DV400" s="21"/>
      <c r="DW400" s="21"/>
      <c r="DX400" s="21"/>
      <c r="DY400" s="21"/>
      <c r="DZ400" s="21"/>
      <c r="EA400" s="21"/>
      <c r="EB400" s="21"/>
      <c r="EC400" s="21"/>
      <c r="ED400" s="21"/>
      <c r="EE400" s="21"/>
      <c r="EF400" s="21"/>
      <c r="EG400" s="21"/>
      <c r="EH400" s="21"/>
      <c r="EI400" s="21"/>
      <c r="EJ400" s="21"/>
      <c r="EK400" s="21"/>
      <c r="EL400" s="21"/>
      <c r="EM400" s="21"/>
      <c r="EN400" s="21"/>
      <c r="EO400" s="21"/>
      <c r="EP400" s="21"/>
      <c r="EQ400" s="21"/>
      <c r="ER400" s="21"/>
      <c r="ES400" s="21"/>
      <c r="ET400" s="21"/>
      <c r="EU400" s="21"/>
      <c r="EV400" s="21"/>
      <c r="EW400" s="21"/>
      <c r="EX400" s="21"/>
      <c r="EY400" s="21"/>
      <c r="EZ400" s="21"/>
      <c r="FA400" s="21"/>
      <c r="FB400" s="21"/>
      <c r="FC400" s="21"/>
      <c r="FD400" s="21"/>
      <c r="FE400" s="21"/>
      <c r="FF400" s="21"/>
      <c r="FG400" s="21"/>
      <c r="FH400" s="21"/>
      <c r="FI400" s="21"/>
    </row>
    <row r="401" spans="1:165"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21"/>
      <c r="CH401" s="21"/>
      <c r="CI401" s="21"/>
      <c r="CJ401" s="21"/>
      <c r="CK401" s="21"/>
      <c r="CL401" s="21"/>
      <c r="CM401" s="21"/>
      <c r="CN401" s="21"/>
      <c r="CO401" s="21"/>
      <c r="CP401" s="21"/>
      <c r="CQ401" s="21"/>
      <c r="CR401" s="21"/>
      <c r="CS401" s="21"/>
      <c r="CT401" s="21"/>
      <c r="CU401" s="21"/>
      <c r="CV401" s="21"/>
      <c r="CW401" s="21"/>
      <c r="CX401" s="21"/>
      <c r="CY401" s="21"/>
      <c r="CZ401" s="21"/>
      <c r="DA401" s="21"/>
      <c r="DB401" s="21"/>
      <c r="DC401" s="21"/>
      <c r="DD401" s="21"/>
      <c r="DE401" s="21"/>
      <c r="DF401" s="21"/>
      <c r="DG401" s="21"/>
      <c r="DH401" s="21"/>
      <c r="DI401" s="21"/>
      <c r="DJ401" s="21"/>
      <c r="DK401" s="21"/>
      <c r="DL401" s="21"/>
      <c r="DM401" s="21"/>
      <c r="DN401" s="21"/>
      <c r="DO401" s="21"/>
      <c r="DP401" s="21"/>
      <c r="DQ401" s="21"/>
      <c r="DR401" s="21"/>
      <c r="DS401" s="21"/>
      <c r="DT401" s="21"/>
      <c r="DU401" s="21"/>
      <c r="DV401" s="21"/>
      <c r="DW401" s="21"/>
      <c r="DX401" s="21"/>
      <c r="DY401" s="21"/>
      <c r="DZ401" s="21"/>
      <c r="EA401" s="21"/>
      <c r="EB401" s="21"/>
      <c r="EC401" s="21"/>
      <c r="ED401" s="21"/>
      <c r="EE401" s="21"/>
      <c r="EF401" s="21"/>
      <c r="EG401" s="21"/>
      <c r="EH401" s="21"/>
      <c r="EI401" s="21"/>
      <c r="EJ401" s="21"/>
      <c r="EK401" s="21"/>
      <c r="EL401" s="21"/>
      <c r="EM401" s="21"/>
      <c r="EN401" s="21"/>
      <c r="EO401" s="21"/>
      <c r="EP401" s="21"/>
      <c r="EQ401" s="21"/>
      <c r="ER401" s="21"/>
      <c r="ES401" s="21"/>
      <c r="ET401" s="21"/>
      <c r="EU401" s="21"/>
      <c r="EV401" s="21"/>
      <c r="EW401" s="21"/>
      <c r="EX401" s="21"/>
      <c r="EY401" s="21"/>
      <c r="EZ401" s="21"/>
      <c r="FA401" s="21"/>
      <c r="FB401" s="21"/>
      <c r="FC401" s="21"/>
      <c r="FD401" s="21"/>
      <c r="FE401" s="21"/>
      <c r="FF401" s="21"/>
      <c r="FG401" s="21"/>
      <c r="FH401" s="21"/>
      <c r="FI401" s="21"/>
    </row>
    <row r="402" spans="1:165"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c r="DB402" s="21"/>
      <c r="DC402" s="21"/>
      <c r="DD402" s="21"/>
      <c r="DE402" s="21"/>
      <c r="DF402" s="21"/>
      <c r="DG402" s="21"/>
      <c r="DH402" s="21"/>
      <c r="DI402" s="21"/>
      <c r="DJ402" s="21"/>
      <c r="DK402" s="21"/>
      <c r="DL402" s="21"/>
      <c r="DM402" s="21"/>
      <c r="DN402" s="21"/>
      <c r="DO402" s="21"/>
      <c r="DP402" s="21"/>
      <c r="DQ402" s="21"/>
      <c r="DR402" s="21"/>
      <c r="DS402" s="21"/>
      <c r="DT402" s="21"/>
      <c r="DU402" s="21"/>
      <c r="DV402" s="21"/>
      <c r="DW402" s="21"/>
      <c r="DX402" s="21"/>
      <c r="DY402" s="21"/>
      <c r="DZ402" s="21"/>
      <c r="EA402" s="21"/>
      <c r="EB402" s="21"/>
      <c r="EC402" s="21"/>
      <c r="ED402" s="21"/>
      <c r="EE402" s="21"/>
      <c r="EF402" s="21"/>
      <c r="EG402" s="21"/>
      <c r="EH402" s="21"/>
      <c r="EI402" s="21"/>
      <c r="EJ402" s="21"/>
      <c r="EK402" s="21"/>
      <c r="EL402" s="21"/>
      <c r="EM402" s="21"/>
      <c r="EN402" s="21"/>
      <c r="EO402" s="21"/>
      <c r="EP402" s="21"/>
      <c r="EQ402" s="21"/>
      <c r="ER402" s="21"/>
      <c r="ES402" s="21"/>
      <c r="ET402" s="21"/>
      <c r="EU402" s="21"/>
      <c r="EV402" s="21"/>
      <c r="EW402" s="21"/>
      <c r="EX402" s="21"/>
      <c r="EY402" s="21"/>
      <c r="EZ402" s="21"/>
      <c r="FA402" s="21"/>
      <c r="FB402" s="21"/>
      <c r="FC402" s="21"/>
      <c r="FD402" s="21"/>
      <c r="FE402" s="21"/>
      <c r="FF402" s="21"/>
      <c r="FG402" s="21"/>
      <c r="FH402" s="21"/>
      <c r="FI402" s="21"/>
    </row>
    <row r="403" spans="1:165"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21"/>
      <c r="CH403" s="21"/>
      <c r="CI403" s="21"/>
      <c r="CJ403" s="21"/>
      <c r="CK403" s="21"/>
      <c r="CL403" s="21"/>
      <c r="CM403" s="21"/>
      <c r="CN403" s="21"/>
      <c r="CO403" s="21"/>
      <c r="CP403" s="21"/>
      <c r="CQ403" s="21"/>
      <c r="CR403" s="21"/>
      <c r="CS403" s="21"/>
      <c r="CT403" s="21"/>
      <c r="CU403" s="21"/>
      <c r="CV403" s="21"/>
      <c r="CW403" s="21"/>
      <c r="CX403" s="21"/>
      <c r="CY403" s="21"/>
      <c r="CZ403" s="21"/>
      <c r="DA403" s="21"/>
      <c r="DB403" s="21"/>
      <c r="DC403" s="21"/>
      <c r="DD403" s="21"/>
      <c r="DE403" s="21"/>
      <c r="DF403" s="21"/>
      <c r="DG403" s="21"/>
      <c r="DH403" s="21"/>
      <c r="DI403" s="21"/>
      <c r="DJ403" s="21"/>
      <c r="DK403" s="21"/>
      <c r="DL403" s="21"/>
      <c r="DM403" s="21"/>
      <c r="DN403" s="21"/>
      <c r="DO403" s="21"/>
      <c r="DP403" s="21"/>
      <c r="DQ403" s="21"/>
      <c r="DR403" s="21"/>
      <c r="DS403" s="21"/>
      <c r="DT403" s="21"/>
      <c r="DU403" s="21"/>
      <c r="DV403" s="21"/>
      <c r="DW403" s="21"/>
      <c r="DX403" s="21"/>
      <c r="DY403" s="21"/>
      <c r="DZ403" s="21"/>
      <c r="EA403" s="21"/>
      <c r="EB403" s="21"/>
      <c r="EC403" s="21"/>
      <c r="ED403" s="21"/>
      <c r="EE403" s="21"/>
      <c r="EF403" s="21"/>
      <c r="EG403" s="21"/>
      <c r="EH403" s="21"/>
      <c r="EI403" s="21"/>
      <c r="EJ403" s="21"/>
      <c r="EK403" s="21"/>
      <c r="EL403" s="21"/>
      <c r="EM403" s="21"/>
      <c r="EN403" s="21"/>
      <c r="EO403" s="21"/>
      <c r="EP403" s="21"/>
      <c r="EQ403" s="21"/>
      <c r="ER403" s="21"/>
      <c r="ES403" s="21"/>
      <c r="ET403" s="21"/>
      <c r="EU403" s="21"/>
      <c r="EV403" s="21"/>
      <c r="EW403" s="21"/>
      <c r="EX403" s="21"/>
      <c r="EY403" s="21"/>
      <c r="EZ403" s="21"/>
      <c r="FA403" s="21"/>
      <c r="FB403" s="21"/>
      <c r="FC403" s="21"/>
      <c r="FD403" s="21"/>
      <c r="FE403" s="21"/>
      <c r="FF403" s="21"/>
      <c r="FG403" s="21"/>
      <c r="FH403" s="21"/>
      <c r="FI403" s="21"/>
    </row>
    <row r="404" spans="1:165"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21"/>
      <c r="CH404" s="21"/>
      <c r="CI404" s="21"/>
      <c r="CJ404" s="21"/>
      <c r="CK404" s="21"/>
      <c r="CL404" s="21"/>
      <c r="CM404" s="21"/>
      <c r="CN404" s="21"/>
      <c r="CO404" s="21"/>
      <c r="CP404" s="21"/>
      <c r="CQ404" s="21"/>
      <c r="CR404" s="21"/>
      <c r="CS404" s="21"/>
      <c r="CT404" s="21"/>
      <c r="CU404" s="21"/>
      <c r="CV404" s="21"/>
      <c r="CW404" s="21"/>
      <c r="CX404" s="21"/>
      <c r="CY404" s="21"/>
      <c r="CZ404" s="21"/>
      <c r="DA404" s="21"/>
      <c r="DB404" s="21"/>
      <c r="DC404" s="21"/>
      <c r="DD404" s="21"/>
      <c r="DE404" s="21"/>
      <c r="DF404" s="21"/>
      <c r="DG404" s="21"/>
      <c r="DH404" s="21"/>
      <c r="DI404" s="21"/>
      <c r="DJ404" s="21"/>
      <c r="DK404" s="21"/>
      <c r="DL404" s="21"/>
      <c r="DM404" s="21"/>
      <c r="DN404" s="21"/>
      <c r="DO404" s="21"/>
      <c r="DP404" s="21"/>
      <c r="DQ404" s="21"/>
      <c r="DR404" s="21"/>
      <c r="DS404" s="21"/>
      <c r="DT404" s="21"/>
      <c r="DU404" s="21"/>
      <c r="DV404" s="21"/>
      <c r="DW404" s="21"/>
      <c r="DX404" s="21"/>
      <c r="DY404" s="21"/>
      <c r="DZ404" s="21"/>
      <c r="EA404" s="21"/>
      <c r="EB404" s="21"/>
      <c r="EC404" s="21"/>
      <c r="ED404" s="21"/>
      <c r="EE404" s="21"/>
      <c r="EF404" s="21"/>
      <c r="EG404" s="21"/>
      <c r="EH404" s="21"/>
      <c r="EI404" s="21"/>
      <c r="EJ404" s="21"/>
      <c r="EK404" s="21"/>
      <c r="EL404" s="21"/>
      <c r="EM404" s="21"/>
      <c r="EN404" s="21"/>
      <c r="EO404" s="21"/>
      <c r="EP404" s="21"/>
      <c r="EQ404" s="21"/>
      <c r="ER404" s="21"/>
      <c r="ES404" s="21"/>
      <c r="ET404" s="21"/>
      <c r="EU404" s="21"/>
      <c r="EV404" s="21"/>
      <c r="EW404" s="21"/>
      <c r="EX404" s="21"/>
      <c r="EY404" s="21"/>
      <c r="EZ404" s="21"/>
      <c r="FA404" s="21"/>
      <c r="FB404" s="21"/>
      <c r="FC404" s="21"/>
      <c r="FD404" s="21"/>
      <c r="FE404" s="21"/>
      <c r="FF404" s="21"/>
      <c r="FG404" s="21"/>
      <c r="FH404" s="21"/>
      <c r="FI404" s="21"/>
    </row>
    <row r="405" spans="1:165"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c r="DB405" s="21"/>
      <c r="DC405" s="21"/>
      <c r="DD405" s="21"/>
      <c r="DE405" s="21"/>
      <c r="DF405" s="21"/>
      <c r="DG405" s="21"/>
      <c r="DH405" s="21"/>
      <c r="DI405" s="21"/>
      <c r="DJ405" s="21"/>
      <c r="DK405" s="21"/>
      <c r="DL405" s="21"/>
      <c r="DM405" s="21"/>
      <c r="DN405" s="21"/>
      <c r="DO405" s="21"/>
      <c r="DP405" s="21"/>
      <c r="DQ405" s="21"/>
      <c r="DR405" s="21"/>
      <c r="DS405" s="21"/>
      <c r="DT405" s="21"/>
      <c r="DU405" s="21"/>
      <c r="DV405" s="21"/>
      <c r="DW405" s="21"/>
      <c r="DX405" s="21"/>
      <c r="DY405" s="21"/>
      <c r="DZ405" s="21"/>
      <c r="EA405" s="21"/>
      <c r="EB405" s="21"/>
      <c r="EC405" s="21"/>
      <c r="ED405" s="21"/>
      <c r="EE405" s="21"/>
      <c r="EF405" s="21"/>
      <c r="EG405" s="21"/>
      <c r="EH405" s="21"/>
      <c r="EI405" s="21"/>
      <c r="EJ405" s="21"/>
      <c r="EK405" s="21"/>
      <c r="EL405" s="21"/>
      <c r="EM405" s="21"/>
      <c r="EN405" s="21"/>
      <c r="EO405" s="21"/>
      <c r="EP405" s="21"/>
      <c r="EQ405" s="21"/>
      <c r="ER405" s="21"/>
      <c r="ES405" s="21"/>
      <c r="ET405" s="21"/>
      <c r="EU405" s="21"/>
      <c r="EV405" s="21"/>
      <c r="EW405" s="21"/>
      <c r="EX405" s="21"/>
      <c r="EY405" s="21"/>
      <c r="EZ405" s="21"/>
      <c r="FA405" s="21"/>
      <c r="FB405" s="21"/>
      <c r="FC405" s="21"/>
      <c r="FD405" s="21"/>
      <c r="FE405" s="21"/>
      <c r="FF405" s="21"/>
      <c r="FG405" s="21"/>
      <c r="FH405" s="21"/>
      <c r="FI405" s="21"/>
    </row>
    <row r="406" spans="1:165"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c r="DB406" s="21"/>
      <c r="DC406" s="21"/>
      <c r="DD406" s="21"/>
      <c r="DE406" s="21"/>
      <c r="DF406" s="21"/>
      <c r="DG406" s="21"/>
      <c r="DH406" s="21"/>
      <c r="DI406" s="21"/>
      <c r="DJ406" s="21"/>
      <c r="DK406" s="21"/>
      <c r="DL406" s="21"/>
      <c r="DM406" s="21"/>
      <c r="DN406" s="21"/>
      <c r="DO406" s="21"/>
      <c r="DP406" s="21"/>
      <c r="DQ406" s="21"/>
      <c r="DR406" s="21"/>
      <c r="DS406" s="21"/>
      <c r="DT406" s="21"/>
      <c r="DU406" s="21"/>
      <c r="DV406" s="21"/>
      <c r="DW406" s="21"/>
      <c r="DX406" s="21"/>
      <c r="DY406" s="21"/>
      <c r="DZ406" s="21"/>
      <c r="EA406" s="21"/>
      <c r="EB406" s="21"/>
      <c r="EC406" s="21"/>
      <c r="ED406" s="21"/>
      <c r="EE406" s="21"/>
      <c r="EF406" s="21"/>
      <c r="EG406" s="21"/>
      <c r="EH406" s="21"/>
      <c r="EI406" s="21"/>
      <c r="EJ406" s="21"/>
      <c r="EK406" s="21"/>
      <c r="EL406" s="21"/>
      <c r="EM406" s="21"/>
      <c r="EN406" s="21"/>
      <c r="EO406" s="21"/>
      <c r="EP406" s="21"/>
      <c r="EQ406" s="21"/>
      <c r="ER406" s="21"/>
      <c r="ES406" s="21"/>
      <c r="ET406" s="21"/>
      <c r="EU406" s="21"/>
      <c r="EV406" s="21"/>
      <c r="EW406" s="21"/>
      <c r="EX406" s="21"/>
      <c r="EY406" s="21"/>
      <c r="EZ406" s="21"/>
      <c r="FA406" s="21"/>
      <c r="FB406" s="21"/>
      <c r="FC406" s="21"/>
      <c r="FD406" s="21"/>
      <c r="FE406" s="21"/>
      <c r="FF406" s="21"/>
      <c r="FG406" s="21"/>
      <c r="FH406" s="21"/>
      <c r="FI406" s="21"/>
    </row>
    <row r="407" spans="1:165"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c r="DB407" s="21"/>
      <c r="DC407" s="21"/>
      <c r="DD407" s="21"/>
      <c r="DE407" s="21"/>
      <c r="DF407" s="21"/>
      <c r="DG407" s="21"/>
      <c r="DH407" s="21"/>
      <c r="DI407" s="21"/>
      <c r="DJ407" s="21"/>
      <c r="DK407" s="21"/>
      <c r="DL407" s="21"/>
      <c r="DM407" s="21"/>
      <c r="DN407" s="21"/>
      <c r="DO407" s="21"/>
      <c r="DP407" s="21"/>
      <c r="DQ407" s="21"/>
      <c r="DR407" s="21"/>
      <c r="DS407" s="21"/>
      <c r="DT407" s="21"/>
      <c r="DU407" s="21"/>
      <c r="DV407" s="21"/>
      <c r="DW407" s="21"/>
      <c r="DX407" s="21"/>
      <c r="DY407" s="21"/>
      <c r="DZ407" s="21"/>
      <c r="EA407" s="21"/>
      <c r="EB407" s="21"/>
      <c r="EC407" s="21"/>
      <c r="ED407" s="21"/>
      <c r="EE407" s="21"/>
      <c r="EF407" s="21"/>
      <c r="EG407" s="21"/>
      <c r="EH407" s="21"/>
      <c r="EI407" s="21"/>
      <c r="EJ407" s="21"/>
      <c r="EK407" s="21"/>
      <c r="EL407" s="21"/>
      <c r="EM407" s="21"/>
      <c r="EN407" s="21"/>
      <c r="EO407" s="21"/>
      <c r="EP407" s="21"/>
      <c r="EQ407" s="21"/>
      <c r="ER407" s="21"/>
      <c r="ES407" s="21"/>
      <c r="ET407" s="21"/>
      <c r="EU407" s="21"/>
      <c r="EV407" s="21"/>
      <c r="EW407" s="21"/>
      <c r="EX407" s="21"/>
      <c r="EY407" s="21"/>
      <c r="EZ407" s="21"/>
      <c r="FA407" s="21"/>
      <c r="FB407" s="21"/>
      <c r="FC407" s="21"/>
      <c r="FD407" s="21"/>
      <c r="FE407" s="21"/>
      <c r="FF407" s="21"/>
      <c r="FG407" s="21"/>
      <c r="FH407" s="21"/>
      <c r="FI407" s="21"/>
    </row>
    <row r="408" spans="1:165"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c r="DB408" s="21"/>
      <c r="DC408" s="21"/>
      <c r="DD408" s="21"/>
      <c r="DE408" s="21"/>
      <c r="DF408" s="21"/>
      <c r="DG408" s="21"/>
      <c r="DH408" s="21"/>
      <c r="DI408" s="21"/>
      <c r="DJ408" s="21"/>
      <c r="DK408" s="21"/>
      <c r="DL408" s="21"/>
      <c r="DM408" s="21"/>
      <c r="DN408" s="21"/>
      <c r="DO408" s="21"/>
      <c r="DP408" s="21"/>
      <c r="DQ408" s="21"/>
      <c r="DR408" s="21"/>
      <c r="DS408" s="21"/>
      <c r="DT408" s="21"/>
      <c r="DU408" s="21"/>
      <c r="DV408" s="21"/>
      <c r="DW408" s="21"/>
      <c r="DX408" s="21"/>
      <c r="DY408" s="21"/>
      <c r="DZ408" s="21"/>
      <c r="EA408" s="21"/>
      <c r="EB408" s="21"/>
      <c r="EC408" s="21"/>
      <c r="ED408" s="21"/>
      <c r="EE408" s="21"/>
      <c r="EF408" s="21"/>
      <c r="EG408" s="21"/>
      <c r="EH408" s="21"/>
      <c r="EI408" s="21"/>
      <c r="EJ408" s="21"/>
      <c r="EK408" s="21"/>
      <c r="EL408" s="21"/>
      <c r="EM408" s="21"/>
      <c r="EN408" s="21"/>
      <c r="EO408" s="21"/>
      <c r="EP408" s="21"/>
      <c r="EQ408" s="21"/>
      <c r="ER408" s="21"/>
      <c r="ES408" s="21"/>
      <c r="ET408" s="21"/>
      <c r="EU408" s="21"/>
      <c r="EV408" s="21"/>
      <c r="EW408" s="21"/>
      <c r="EX408" s="21"/>
      <c r="EY408" s="21"/>
      <c r="EZ408" s="21"/>
      <c r="FA408" s="21"/>
      <c r="FB408" s="21"/>
      <c r="FC408" s="21"/>
      <c r="FD408" s="21"/>
      <c r="FE408" s="21"/>
      <c r="FF408" s="21"/>
      <c r="FG408" s="21"/>
      <c r="FH408" s="21"/>
      <c r="FI408" s="21"/>
    </row>
    <row r="409" spans="1:165"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c r="DB409" s="21"/>
      <c r="DC409" s="21"/>
      <c r="DD409" s="21"/>
      <c r="DE409" s="21"/>
      <c r="DF409" s="21"/>
      <c r="DG409" s="21"/>
      <c r="DH409" s="21"/>
      <c r="DI409" s="21"/>
      <c r="DJ409" s="21"/>
      <c r="DK409" s="21"/>
      <c r="DL409" s="21"/>
      <c r="DM409" s="21"/>
      <c r="DN409" s="21"/>
      <c r="DO409" s="21"/>
      <c r="DP409" s="21"/>
      <c r="DQ409" s="21"/>
      <c r="DR409" s="21"/>
      <c r="DS409" s="21"/>
      <c r="DT409" s="21"/>
      <c r="DU409" s="21"/>
      <c r="DV409" s="21"/>
      <c r="DW409" s="21"/>
      <c r="DX409" s="21"/>
      <c r="DY409" s="21"/>
      <c r="DZ409" s="21"/>
      <c r="EA409" s="21"/>
      <c r="EB409" s="21"/>
      <c r="EC409" s="21"/>
      <c r="ED409" s="21"/>
      <c r="EE409" s="21"/>
      <c r="EF409" s="21"/>
      <c r="EG409" s="21"/>
      <c r="EH409" s="21"/>
      <c r="EI409" s="21"/>
      <c r="EJ409" s="21"/>
      <c r="EK409" s="21"/>
      <c r="EL409" s="21"/>
      <c r="EM409" s="21"/>
      <c r="EN409" s="21"/>
      <c r="EO409" s="21"/>
      <c r="EP409" s="21"/>
      <c r="EQ409" s="21"/>
      <c r="ER409" s="21"/>
      <c r="ES409" s="21"/>
      <c r="ET409" s="21"/>
      <c r="EU409" s="21"/>
      <c r="EV409" s="21"/>
      <c r="EW409" s="21"/>
      <c r="EX409" s="21"/>
      <c r="EY409" s="21"/>
      <c r="EZ409" s="21"/>
      <c r="FA409" s="21"/>
      <c r="FB409" s="21"/>
      <c r="FC409" s="21"/>
      <c r="FD409" s="21"/>
      <c r="FE409" s="21"/>
      <c r="FF409" s="21"/>
      <c r="FG409" s="21"/>
      <c r="FH409" s="21"/>
      <c r="FI409" s="21"/>
    </row>
    <row r="410" spans="1:165"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c r="DB410" s="21"/>
      <c r="DC410" s="21"/>
      <c r="DD410" s="21"/>
      <c r="DE410" s="21"/>
      <c r="DF410" s="21"/>
      <c r="DG410" s="21"/>
      <c r="DH410" s="21"/>
      <c r="DI410" s="21"/>
      <c r="DJ410" s="21"/>
      <c r="DK410" s="21"/>
      <c r="DL410" s="21"/>
      <c r="DM410" s="21"/>
      <c r="DN410" s="21"/>
      <c r="DO410" s="21"/>
      <c r="DP410" s="21"/>
      <c r="DQ410" s="21"/>
      <c r="DR410" s="21"/>
      <c r="DS410" s="21"/>
      <c r="DT410" s="21"/>
      <c r="DU410" s="21"/>
      <c r="DV410" s="21"/>
      <c r="DW410" s="21"/>
      <c r="DX410" s="21"/>
      <c r="DY410" s="21"/>
      <c r="DZ410" s="21"/>
      <c r="EA410" s="21"/>
      <c r="EB410" s="21"/>
      <c r="EC410" s="21"/>
      <c r="ED410" s="21"/>
      <c r="EE410" s="21"/>
      <c r="EF410" s="21"/>
      <c r="EG410" s="21"/>
      <c r="EH410" s="21"/>
      <c r="EI410" s="21"/>
      <c r="EJ410" s="21"/>
      <c r="EK410" s="21"/>
      <c r="EL410" s="21"/>
      <c r="EM410" s="21"/>
      <c r="EN410" s="21"/>
      <c r="EO410" s="21"/>
      <c r="EP410" s="21"/>
      <c r="EQ410" s="21"/>
      <c r="ER410" s="21"/>
      <c r="ES410" s="21"/>
      <c r="ET410" s="21"/>
      <c r="EU410" s="21"/>
      <c r="EV410" s="21"/>
      <c r="EW410" s="21"/>
      <c r="EX410" s="21"/>
      <c r="EY410" s="21"/>
      <c r="EZ410" s="21"/>
      <c r="FA410" s="21"/>
      <c r="FB410" s="21"/>
      <c r="FC410" s="21"/>
      <c r="FD410" s="21"/>
      <c r="FE410" s="21"/>
      <c r="FF410" s="21"/>
      <c r="FG410" s="21"/>
      <c r="FH410" s="21"/>
      <c r="FI410" s="21"/>
    </row>
    <row r="411" spans="1:165"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c r="DB411" s="21"/>
      <c r="DC411" s="21"/>
      <c r="DD411" s="21"/>
      <c r="DE411" s="21"/>
      <c r="DF411" s="21"/>
      <c r="DG411" s="21"/>
      <c r="DH411" s="21"/>
      <c r="DI411" s="21"/>
      <c r="DJ411" s="21"/>
      <c r="DK411" s="21"/>
      <c r="DL411" s="21"/>
      <c r="DM411" s="21"/>
      <c r="DN411" s="21"/>
      <c r="DO411" s="21"/>
      <c r="DP411" s="21"/>
      <c r="DQ411" s="21"/>
      <c r="DR411" s="21"/>
      <c r="DS411" s="21"/>
      <c r="DT411" s="21"/>
      <c r="DU411" s="21"/>
      <c r="DV411" s="21"/>
      <c r="DW411" s="21"/>
      <c r="DX411" s="21"/>
      <c r="DY411" s="21"/>
      <c r="DZ411" s="21"/>
      <c r="EA411" s="21"/>
      <c r="EB411" s="21"/>
      <c r="EC411" s="21"/>
      <c r="ED411" s="21"/>
      <c r="EE411" s="21"/>
      <c r="EF411" s="21"/>
      <c r="EG411" s="21"/>
      <c r="EH411" s="21"/>
      <c r="EI411" s="21"/>
      <c r="EJ411" s="21"/>
      <c r="EK411" s="21"/>
      <c r="EL411" s="21"/>
      <c r="EM411" s="21"/>
      <c r="EN411" s="21"/>
      <c r="EO411" s="21"/>
      <c r="EP411" s="21"/>
      <c r="EQ411" s="21"/>
      <c r="ER411" s="21"/>
      <c r="ES411" s="21"/>
      <c r="ET411" s="21"/>
      <c r="EU411" s="21"/>
      <c r="EV411" s="21"/>
      <c r="EW411" s="21"/>
      <c r="EX411" s="21"/>
      <c r="EY411" s="21"/>
      <c r="EZ411" s="21"/>
      <c r="FA411" s="21"/>
      <c r="FB411" s="21"/>
      <c r="FC411" s="21"/>
      <c r="FD411" s="21"/>
      <c r="FE411" s="21"/>
      <c r="FF411" s="21"/>
      <c r="FG411" s="21"/>
      <c r="FH411" s="21"/>
      <c r="FI411" s="21"/>
    </row>
    <row r="412" spans="1:165"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c r="DB412" s="21"/>
      <c r="DC412" s="21"/>
      <c r="DD412" s="21"/>
      <c r="DE412" s="21"/>
      <c r="DF412" s="21"/>
      <c r="DG412" s="21"/>
      <c r="DH412" s="21"/>
      <c r="DI412" s="21"/>
      <c r="DJ412" s="21"/>
      <c r="DK412" s="21"/>
      <c r="DL412" s="21"/>
      <c r="DM412" s="21"/>
      <c r="DN412" s="21"/>
      <c r="DO412" s="21"/>
      <c r="DP412" s="21"/>
      <c r="DQ412" s="21"/>
      <c r="DR412" s="21"/>
      <c r="DS412" s="21"/>
      <c r="DT412" s="21"/>
      <c r="DU412" s="21"/>
      <c r="DV412" s="21"/>
      <c r="DW412" s="21"/>
      <c r="DX412" s="21"/>
      <c r="DY412" s="21"/>
      <c r="DZ412" s="21"/>
      <c r="EA412" s="21"/>
      <c r="EB412" s="21"/>
      <c r="EC412" s="21"/>
      <c r="ED412" s="21"/>
      <c r="EE412" s="21"/>
      <c r="EF412" s="21"/>
      <c r="EG412" s="21"/>
      <c r="EH412" s="21"/>
      <c r="EI412" s="21"/>
      <c r="EJ412" s="21"/>
      <c r="EK412" s="21"/>
      <c r="EL412" s="21"/>
      <c r="EM412" s="21"/>
      <c r="EN412" s="21"/>
      <c r="EO412" s="21"/>
      <c r="EP412" s="21"/>
      <c r="EQ412" s="21"/>
      <c r="ER412" s="21"/>
      <c r="ES412" s="21"/>
      <c r="ET412" s="21"/>
      <c r="EU412" s="21"/>
      <c r="EV412" s="21"/>
      <c r="EW412" s="21"/>
      <c r="EX412" s="21"/>
      <c r="EY412" s="21"/>
      <c r="EZ412" s="21"/>
      <c r="FA412" s="21"/>
      <c r="FB412" s="21"/>
      <c r="FC412" s="21"/>
      <c r="FD412" s="21"/>
      <c r="FE412" s="21"/>
      <c r="FF412" s="21"/>
      <c r="FG412" s="21"/>
      <c r="FH412" s="21"/>
      <c r="FI412" s="21"/>
    </row>
    <row r="413" spans="1:165"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c r="DB413" s="21"/>
      <c r="DC413" s="21"/>
      <c r="DD413" s="21"/>
      <c r="DE413" s="21"/>
      <c r="DF413" s="21"/>
      <c r="DG413" s="21"/>
      <c r="DH413" s="21"/>
      <c r="DI413" s="21"/>
      <c r="DJ413" s="21"/>
      <c r="DK413" s="21"/>
      <c r="DL413" s="21"/>
      <c r="DM413" s="21"/>
      <c r="DN413" s="21"/>
      <c r="DO413" s="21"/>
      <c r="DP413" s="21"/>
      <c r="DQ413" s="21"/>
      <c r="DR413" s="21"/>
      <c r="DS413" s="21"/>
      <c r="DT413" s="21"/>
      <c r="DU413" s="21"/>
      <c r="DV413" s="21"/>
      <c r="DW413" s="21"/>
      <c r="DX413" s="21"/>
      <c r="DY413" s="21"/>
      <c r="DZ413" s="21"/>
      <c r="EA413" s="21"/>
      <c r="EB413" s="21"/>
      <c r="EC413" s="21"/>
      <c r="ED413" s="21"/>
      <c r="EE413" s="21"/>
      <c r="EF413" s="21"/>
      <c r="EG413" s="21"/>
      <c r="EH413" s="21"/>
      <c r="EI413" s="21"/>
      <c r="EJ413" s="21"/>
      <c r="EK413" s="21"/>
      <c r="EL413" s="21"/>
      <c r="EM413" s="21"/>
      <c r="EN413" s="21"/>
      <c r="EO413" s="21"/>
      <c r="EP413" s="21"/>
      <c r="EQ413" s="21"/>
      <c r="ER413" s="21"/>
      <c r="ES413" s="21"/>
      <c r="ET413" s="21"/>
      <c r="EU413" s="21"/>
      <c r="EV413" s="21"/>
      <c r="EW413" s="21"/>
      <c r="EX413" s="21"/>
      <c r="EY413" s="21"/>
      <c r="EZ413" s="21"/>
      <c r="FA413" s="21"/>
      <c r="FB413" s="21"/>
      <c r="FC413" s="21"/>
      <c r="FD413" s="21"/>
      <c r="FE413" s="21"/>
      <c r="FF413" s="21"/>
      <c r="FG413" s="21"/>
      <c r="FH413" s="21"/>
      <c r="FI413" s="21"/>
    </row>
    <row r="414" spans="1:165"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c r="DB414" s="21"/>
      <c r="DC414" s="21"/>
      <c r="DD414" s="21"/>
      <c r="DE414" s="21"/>
      <c r="DF414" s="21"/>
      <c r="DG414" s="21"/>
      <c r="DH414" s="21"/>
      <c r="DI414" s="21"/>
      <c r="DJ414" s="21"/>
      <c r="DK414" s="21"/>
      <c r="DL414" s="21"/>
      <c r="DM414" s="21"/>
      <c r="DN414" s="21"/>
      <c r="DO414" s="21"/>
      <c r="DP414" s="21"/>
      <c r="DQ414" s="21"/>
      <c r="DR414" s="21"/>
      <c r="DS414" s="21"/>
      <c r="DT414" s="21"/>
      <c r="DU414" s="21"/>
      <c r="DV414" s="21"/>
      <c r="DW414" s="21"/>
      <c r="DX414" s="21"/>
      <c r="DY414" s="21"/>
      <c r="DZ414" s="21"/>
      <c r="EA414" s="21"/>
      <c r="EB414" s="21"/>
      <c r="EC414" s="21"/>
      <c r="ED414" s="21"/>
      <c r="EE414" s="21"/>
      <c r="EF414" s="21"/>
      <c r="EG414" s="21"/>
      <c r="EH414" s="21"/>
      <c r="EI414" s="21"/>
      <c r="EJ414" s="21"/>
      <c r="EK414" s="21"/>
      <c r="EL414" s="21"/>
      <c r="EM414" s="21"/>
      <c r="EN414" s="21"/>
      <c r="EO414" s="21"/>
      <c r="EP414" s="21"/>
      <c r="EQ414" s="21"/>
      <c r="ER414" s="21"/>
      <c r="ES414" s="21"/>
      <c r="ET414" s="21"/>
      <c r="EU414" s="21"/>
      <c r="EV414" s="21"/>
      <c r="EW414" s="21"/>
      <c r="EX414" s="21"/>
      <c r="EY414" s="21"/>
      <c r="EZ414" s="21"/>
      <c r="FA414" s="21"/>
      <c r="FB414" s="21"/>
      <c r="FC414" s="21"/>
      <c r="FD414" s="21"/>
      <c r="FE414" s="21"/>
      <c r="FF414" s="21"/>
      <c r="FG414" s="21"/>
      <c r="FH414" s="21"/>
      <c r="FI414" s="21"/>
    </row>
    <row r="415" spans="1:165"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c r="DB415" s="21"/>
      <c r="DC415" s="21"/>
      <c r="DD415" s="21"/>
      <c r="DE415" s="21"/>
      <c r="DF415" s="21"/>
      <c r="DG415" s="21"/>
      <c r="DH415" s="21"/>
      <c r="DI415" s="21"/>
      <c r="DJ415" s="21"/>
      <c r="DK415" s="21"/>
      <c r="DL415" s="21"/>
      <c r="DM415" s="21"/>
      <c r="DN415" s="21"/>
      <c r="DO415" s="21"/>
      <c r="DP415" s="21"/>
      <c r="DQ415" s="21"/>
      <c r="DR415" s="21"/>
      <c r="DS415" s="21"/>
      <c r="DT415" s="21"/>
      <c r="DU415" s="21"/>
      <c r="DV415" s="21"/>
      <c r="DW415" s="21"/>
      <c r="DX415" s="21"/>
      <c r="DY415" s="21"/>
      <c r="DZ415" s="21"/>
      <c r="EA415" s="21"/>
      <c r="EB415" s="21"/>
      <c r="EC415" s="21"/>
      <c r="ED415" s="21"/>
      <c r="EE415" s="21"/>
      <c r="EF415" s="21"/>
      <c r="EG415" s="21"/>
      <c r="EH415" s="21"/>
      <c r="EI415" s="21"/>
      <c r="EJ415" s="21"/>
      <c r="EK415" s="21"/>
      <c r="EL415" s="21"/>
      <c r="EM415" s="21"/>
      <c r="EN415" s="21"/>
      <c r="EO415" s="21"/>
      <c r="EP415" s="21"/>
      <c r="EQ415" s="21"/>
      <c r="ER415" s="21"/>
      <c r="ES415" s="21"/>
      <c r="ET415" s="21"/>
      <c r="EU415" s="21"/>
      <c r="EV415" s="21"/>
      <c r="EW415" s="21"/>
      <c r="EX415" s="21"/>
      <c r="EY415" s="21"/>
      <c r="EZ415" s="21"/>
      <c r="FA415" s="21"/>
      <c r="FB415" s="21"/>
      <c r="FC415" s="21"/>
      <c r="FD415" s="21"/>
      <c r="FE415" s="21"/>
      <c r="FF415" s="21"/>
      <c r="FG415" s="21"/>
      <c r="FH415" s="21"/>
      <c r="FI415" s="21"/>
    </row>
    <row r="416" spans="1:165"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c r="DB416" s="21"/>
      <c r="DC416" s="21"/>
      <c r="DD416" s="21"/>
      <c r="DE416" s="21"/>
      <c r="DF416" s="21"/>
      <c r="DG416" s="21"/>
      <c r="DH416" s="21"/>
      <c r="DI416" s="21"/>
      <c r="DJ416" s="21"/>
      <c r="DK416" s="21"/>
      <c r="DL416" s="21"/>
      <c r="DM416" s="21"/>
      <c r="DN416" s="21"/>
      <c r="DO416" s="21"/>
      <c r="DP416" s="21"/>
      <c r="DQ416" s="21"/>
      <c r="DR416" s="21"/>
      <c r="DS416" s="21"/>
      <c r="DT416" s="21"/>
      <c r="DU416" s="21"/>
      <c r="DV416" s="21"/>
      <c r="DW416" s="21"/>
      <c r="DX416" s="21"/>
      <c r="DY416" s="21"/>
      <c r="DZ416" s="21"/>
      <c r="EA416" s="21"/>
      <c r="EB416" s="21"/>
      <c r="EC416" s="21"/>
      <c r="ED416" s="21"/>
      <c r="EE416" s="21"/>
      <c r="EF416" s="21"/>
      <c r="EG416" s="21"/>
      <c r="EH416" s="21"/>
      <c r="EI416" s="21"/>
      <c r="EJ416" s="21"/>
      <c r="EK416" s="21"/>
      <c r="EL416" s="21"/>
      <c r="EM416" s="21"/>
      <c r="EN416" s="21"/>
      <c r="EO416" s="21"/>
      <c r="EP416" s="21"/>
      <c r="EQ416" s="21"/>
      <c r="ER416" s="21"/>
      <c r="ES416" s="21"/>
      <c r="ET416" s="21"/>
      <c r="EU416" s="21"/>
      <c r="EV416" s="21"/>
      <c r="EW416" s="21"/>
      <c r="EX416" s="21"/>
      <c r="EY416" s="21"/>
      <c r="EZ416" s="21"/>
      <c r="FA416" s="21"/>
      <c r="FB416" s="21"/>
      <c r="FC416" s="21"/>
      <c r="FD416" s="21"/>
      <c r="FE416" s="21"/>
      <c r="FF416" s="21"/>
      <c r="FG416" s="21"/>
      <c r="FH416" s="21"/>
      <c r="FI416" s="21"/>
    </row>
    <row r="417" spans="1:165"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21"/>
      <c r="CH417" s="21"/>
      <c r="CI417" s="21"/>
      <c r="CJ417" s="21"/>
      <c r="CK417" s="21"/>
      <c r="CL417" s="21"/>
      <c r="CM417" s="21"/>
      <c r="CN417" s="21"/>
      <c r="CO417" s="21"/>
      <c r="CP417" s="21"/>
      <c r="CQ417" s="21"/>
      <c r="CR417" s="21"/>
      <c r="CS417" s="21"/>
      <c r="CT417" s="21"/>
      <c r="CU417" s="21"/>
      <c r="CV417" s="21"/>
      <c r="CW417" s="21"/>
      <c r="CX417" s="21"/>
      <c r="CY417" s="21"/>
      <c r="CZ417" s="21"/>
      <c r="DA417" s="21"/>
      <c r="DB417" s="21"/>
      <c r="DC417" s="21"/>
      <c r="DD417" s="21"/>
      <c r="DE417" s="21"/>
      <c r="DF417" s="21"/>
      <c r="DG417" s="21"/>
      <c r="DH417" s="21"/>
      <c r="DI417" s="21"/>
      <c r="DJ417" s="21"/>
      <c r="DK417" s="21"/>
      <c r="DL417" s="21"/>
      <c r="DM417" s="21"/>
      <c r="DN417" s="21"/>
      <c r="DO417" s="21"/>
      <c r="DP417" s="21"/>
      <c r="DQ417" s="21"/>
      <c r="DR417" s="21"/>
      <c r="DS417" s="21"/>
      <c r="DT417" s="21"/>
      <c r="DU417" s="21"/>
      <c r="DV417" s="21"/>
      <c r="DW417" s="21"/>
      <c r="DX417" s="21"/>
      <c r="DY417" s="21"/>
      <c r="DZ417" s="21"/>
      <c r="EA417" s="21"/>
      <c r="EB417" s="21"/>
      <c r="EC417" s="21"/>
      <c r="ED417" s="21"/>
      <c r="EE417" s="21"/>
      <c r="EF417" s="21"/>
      <c r="EG417" s="21"/>
      <c r="EH417" s="21"/>
      <c r="EI417" s="21"/>
      <c r="EJ417" s="21"/>
      <c r="EK417" s="21"/>
      <c r="EL417" s="21"/>
      <c r="EM417" s="21"/>
      <c r="EN417" s="21"/>
      <c r="EO417" s="21"/>
      <c r="EP417" s="21"/>
      <c r="EQ417" s="21"/>
      <c r="ER417" s="21"/>
      <c r="ES417" s="21"/>
      <c r="ET417" s="21"/>
      <c r="EU417" s="21"/>
      <c r="EV417" s="21"/>
      <c r="EW417" s="21"/>
      <c r="EX417" s="21"/>
      <c r="EY417" s="21"/>
      <c r="EZ417" s="21"/>
      <c r="FA417" s="21"/>
      <c r="FB417" s="21"/>
      <c r="FC417" s="21"/>
      <c r="FD417" s="21"/>
      <c r="FE417" s="21"/>
      <c r="FF417" s="21"/>
      <c r="FG417" s="21"/>
      <c r="FH417" s="21"/>
      <c r="FI417" s="21"/>
    </row>
    <row r="418" spans="1:165"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21"/>
      <c r="CH418" s="21"/>
      <c r="CI418" s="21"/>
      <c r="CJ418" s="21"/>
      <c r="CK418" s="21"/>
      <c r="CL418" s="21"/>
      <c r="CM418" s="21"/>
      <c r="CN418" s="21"/>
      <c r="CO418" s="21"/>
      <c r="CP418" s="21"/>
      <c r="CQ418" s="21"/>
      <c r="CR418" s="21"/>
      <c r="CS418" s="21"/>
      <c r="CT418" s="21"/>
      <c r="CU418" s="21"/>
      <c r="CV418" s="21"/>
      <c r="CW418" s="21"/>
      <c r="CX418" s="21"/>
      <c r="CY418" s="21"/>
      <c r="CZ418" s="21"/>
      <c r="DA418" s="21"/>
      <c r="DB418" s="21"/>
      <c r="DC418" s="21"/>
      <c r="DD418" s="21"/>
      <c r="DE418" s="21"/>
      <c r="DF418" s="21"/>
      <c r="DG418" s="21"/>
      <c r="DH418" s="21"/>
      <c r="DI418" s="21"/>
      <c r="DJ418" s="21"/>
      <c r="DK418" s="21"/>
      <c r="DL418" s="21"/>
      <c r="DM418" s="21"/>
      <c r="DN418" s="21"/>
      <c r="DO418" s="21"/>
      <c r="DP418" s="21"/>
      <c r="DQ418" s="21"/>
      <c r="DR418" s="21"/>
      <c r="DS418" s="21"/>
      <c r="DT418" s="21"/>
      <c r="DU418" s="21"/>
      <c r="DV418" s="21"/>
      <c r="DW418" s="21"/>
      <c r="DX418" s="21"/>
      <c r="DY418" s="21"/>
      <c r="DZ418" s="21"/>
      <c r="EA418" s="21"/>
      <c r="EB418" s="21"/>
      <c r="EC418" s="21"/>
      <c r="ED418" s="21"/>
      <c r="EE418" s="21"/>
      <c r="EF418" s="21"/>
      <c r="EG418" s="21"/>
      <c r="EH418" s="21"/>
      <c r="EI418" s="21"/>
      <c r="EJ418" s="21"/>
      <c r="EK418" s="21"/>
      <c r="EL418" s="21"/>
      <c r="EM418" s="21"/>
      <c r="EN418" s="21"/>
      <c r="EO418" s="21"/>
      <c r="EP418" s="21"/>
      <c r="EQ418" s="21"/>
      <c r="ER418" s="21"/>
      <c r="ES418" s="21"/>
      <c r="ET418" s="21"/>
      <c r="EU418" s="21"/>
      <c r="EV418" s="21"/>
      <c r="EW418" s="21"/>
      <c r="EX418" s="21"/>
      <c r="EY418" s="21"/>
      <c r="EZ418" s="21"/>
      <c r="FA418" s="21"/>
      <c r="FB418" s="21"/>
      <c r="FC418" s="21"/>
      <c r="FD418" s="21"/>
      <c r="FE418" s="21"/>
      <c r="FF418" s="21"/>
      <c r="FG418" s="21"/>
      <c r="FH418" s="21"/>
      <c r="FI418" s="21"/>
    </row>
    <row r="419" spans="1:165"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c r="DB419" s="21"/>
      <c r="DC419" s="21"/>
      <c r="DD419" s="21"/>
      <c r="DE419" s="21"/>
      <c r="DF419" s="21"/>
      <c r="DG419" s="21"/>
      <c r="DH419" s="21"/>
      <c r="DI419" s="21"/>
      <c r="DJ419" s="21"/>
      <c r="DK419" s="21"/>
      <c r="DL419" s="21"/>
      <c r="DM419" s="21"/>
      <c r="DN419" s="21"/>
      <c r="DO419" s="21"/>
      <c r="DP419" s="21"/>
      <c r="DQ419" s="21"/>
      <c r="DR419" s="21"/>
      <c r="DS419" s="21"/>
      <c r="DT419" s="21"/>
      <c r="DU419" s="21"/>
      <c r="DV419" s="21"/>
      <c r="DW419" s="21"/>
      <c r="DX419" s="21"/>
      <c r="DY419" s="21"/>
      <c r="DZ419" s="21"/>
      <c r="EA419" s="21"/>
      <c r="EB419" s="21"/>
      <c r="EC419" s="21"/>
      <c r="ED419" s="21"/>
      <c r="EE419" s="21"/>
      <c r="EF419" s="21"/>
      <c r="EG419" s="21"/>
      <c r="EH419" s="21"/>
      <c r="EI419" s="21"/>
      <c r="EJ419" s="21"/>
      <c r="EK419" s="21"/>
      <c r="EL419" s="21"/>
      <c r="EM419" s="21"/>
      <c r="EN419" s="21"/>
      <c r="EO419" s="21"/>
      <c r="EP419" s="21"/>
      <c r="EQ419" s="21"/>
      <c r="ER419" s="21"/>
      <c r="ES419" s="21"/>
      <c r="ET419" s="21"/>
      <c r="EU419" s="21"/>
      <c r="EV419" s="21"/>
      <c r="EW419" s="21"/>
      <c r="EX419" s="21"/>
      <c r="EY419" s="21"/>
      <c r="EZ419" s="21"/>
      <c r="FA419" s="21"/>
      <c r="FB419" s="21"/>
      <c r="FC419" s="21"/>
      <c r="FD419" s="21"/>
      <c r="FE419" s="21"/>
      <c r="FF419" s="21"/>
      <c r="FG419" s="21"/>
      <c r="FH419" s="21"/>
      <c r="FI419" s="21"/>
    </row>
    <row r="420" spans="1:165"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21"/>
      <c r="CH420" s="21"/>
      <c r="CI420" s="21"/>
      <c r="CJ420" s="21"/>
      <c r="CK420" s="21"/>
      <c r="CL420" s="21"/>
      <c r="CM420" s="21"/>
      <c r="CN420" s="21"/>
      <c r="CO420" s="21"/>
      <c r="CP420" s="21"/>
      <c r="CQ420" s="21"/>
      <c r="CR420" s="21"/>
      <c r="CS420" s="21"/>
      <c r="CT420" s="21"/>
      <c r="CU420" s="21"/>
      <c r="CV420" s="21"/>
      <c r="CW420" s="21"/>
      <c r="CX420" s="21"/>
      <c r="CY420" s="21"/>
      <c r="CZ420" s="21"/>
      <c r="DA420" s="21"/>
      <c r="DB420" s="21"/>
      <c r="DC420" s="21"/>
      <c r="DD420" s="21"/>
      <c r="DE420" s="21"/>
      <c r="DF420" s="21"/>
      <c r="DG420" s="21"/>
      <c r="DH420" s="21"/>
      <c r="DI420" s="21"/>
      <c r="DJ420" s="21"/>
      <c r="DK420" s="21"/>
      <c r="DL420" s="21"/>
      <c r="DM420" s="21"/>
      <c r="DN420" s="21"/>
      <c r="DO420" s="21"/>
      <c r="DP420" s="21"/>
      <c r="DQ420" s="21"/>
      <c r="DR420" s="21"/>
      <c r="DS420" s="21"/>
      <c r="DT420" s="21"/>
      <c r="DU420" s="21"/>
      <c r="DV420" s="21"/>
      <c r="DW420" s="21"/>
      <c r="DX420" s="21"/>
      <c r="DY420" s="21"/>
      <c r="DZ420" s="21"/>
      <c r="EA420" s="21"/>
      <c r="EB420" s="21"/>
      <c r="EC420" s="21"/>
      <c r="ED420" s="21"/>
      <c r="EE420" s="21"/>
      <c r="EF420" s="21"/>
      <c r="EG420" s="21"/>
      <c r="EH420" s="21"/>
      <c r="EI420" s="21"/>
      <c r="EJ420" s="21"/>
      <c r="EK420" s="21"/>
      <c r="EL420" s="21"/>
      <c r="EM420" s="21"/>
      <c r="EN420" s="21"/>
      <c r="EO420" s="21"/>
      <c r="EP420" s="21"/>
      <c r="EQ420" s="21"/>
      <c r="ER420" s="21"/>
      <c r="ES420" s="21"/>
      <c r="ET420" s="21"/>
      <c r="EU420" s="21"/>
      <c r="EV420" s="21"/>
      <c r="EW420" s="21"/>
      <c r="EX420" s="21"/>
      <c r="EY420" s="21"/>
      <c r="EZ420" s="21"/>
      <c r="FA420" s="21"/>
      <c r="FB420" s="21"/>
      <c r="FC420" s="21"/>
      <c r="FD420" s="21"/>
      <c r="FE420" s="21"/>
      <c r="FF420" s="21"/>
      <c r="FG420" s="21"/>
      <c r="FH420" s="21"/>
      <c r="FI420" s="21"/>
    </row>
    <row r="421" spans="1:165"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c r="DB421" s="21"/>
      <c r="DC421" s="21"/>
      <c r="DD421" s="21"/>
      <c r="DE421" s="21"/>
      <c r="DF421" s="21"/>
      <c r="DG421" s="21"/>
      <c r="DH421" s="21"/>
      <c r="DI421" s="21"/>
      <c r="DJ421" s="21"/>
      <c r="DK421" s="21"/>
      <c r="DL421" s="21"/>
      <c r="DM421" s="21"/>
      <c r="DN421" s="21"/>
      <c r="DO421" s="21"/>
      <c r="DP421" s="21"/>
      <c r="DQ421" s="21"/>
      <c r="DR421" s="21"/>
      <c r="DS421" s="21"/>
      <c r="DT421" s="21"/>
      <c r="DU421" s="21"/>
      <c r="DV421" s="21"/>
      <c r="DW421" s="21"/>
      <c r="DX421" s="21"/>
      <c r="DY421" s="21"/>
      <c r="DZ421" s="21"/>
      <c r="EA421" s="21"/>
      <c r="EB421" s="21"/>
      <c r="EC421" s="21"/>
      <c r="ED421" s="21"/>
      <c r="EE421" s="21"/>
      <c r="EF421" s="21"/>
      <c r="EG421" s="21"/>
      <c r="EH421" s="21"/>
      <c r="EI421" s="21"/>
      <c r="EJ421" s="21"/>
      <c r="EK421" s="21"/>
      <c r="EL421" s="21"/>
      <c r="EM421" s="21"/>
      <c r="EN421" s="21"/>
      <c r="EO421" s="21"/>
      <c r="EP421" s="21"/>
      <c r="EQ421" s="21"/>
      <c r="ER421" s="21"/>
      <c r="ES421" s="21"/>
      <c r="ET421" s="21"/>
      <c r="EU421" s="21"/>
      <c r="EV421" s="21"/>
      <c r="EW421" s="21"/>
      <c r="EX421" s="21"/>
      <c r="EY421" s="21"/>
      <c r="EZ421" s="21"/>
      <c r="FA421" s="21"/>
      <c r="FB421" s="21"/>
      <c r="FC421" s="21"/>
      <c r="FD421" s="21"/>
      <c r="FE421" s="21"/>
      <c r="FF421" s="21"/>
      <c r="FG421" s="21"/>
      <c r="FH421" s="21"/>
      <c r="FI421" s="21"/>
    </row>
    <row r="422" spans="1:165"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c r="DB422" s="21"/>
      <c r="DC422" s="21"/>
      <c r="DD422" s="21"/>
      <c r="DE422" s="21"/>
      <c r="DF422" s="21"/>
      <c r="DG422" s="21"/>
      <c r="DH422" s="21"/>
      <c r="DI422" s="21"/>
      <c r="DJ422" s="21"/>
      <c r="DK422" s="21"/>
      <c r="DL422" s="21"/>
      <c r="DM422" s="21"/>
      <c r="DN422" s="21"/>
      <c r="DO422" s="21"/>
      <c r="DP422" s="21"/>
      <c r="DQ422" s="21"/>
      <c r="DR422" s="21"/>
      <c r="DS422" s="21"/>
      <c r="DT422" s="21"/>
      <c r="DU422" s="21"/>
      <c r="DV422" s="21"/>
      <c r="DW422" s="21"/>
      <c r="DX422" s="21"/>
      <c r="DY422" s="21"/>
      <c r="DZ422" s="21"/>
      <c r="EA422" s="21"/>
      <c r="EB422" s="21"/>
      <c r="EC422" s="21"/>
      <c r="ED422" s="21"/>
      <c r="EE422" s="21"/>
      <c r="EF422" s="21"/>
      <c r="EG422" s="21"/>
      <c r="EH422" s="21"/>
      <c r="EI422" s="21"/>
      <c r="EJ422" s="21"/>
      <c r="EK422" s="21"/>
      <c r="EL422" s="21"/>
      <c r="EM422" s="21"/>
      <c r="EN422" s="21"/>
      <c r="EO422" s="21"/>
      <c r="EP422" s="21"/>
      <c r="EQ422" s="21"/>
      <c r="ER422" s="21"/>
      <c r="ES422" s="21"/>
      <c r="ET422" s="21"/>
      <c r="EU422" s="21"/>
      <c r="EV422" s="21"/>
      <c r="EW422" s="21"/>
      <c r="EX422" s="21"/>
      <c r="EY422" s="21"/>
      <c r="EZ422" s="21"/>
      <c r="FA422" s="21"/>
      <c r="FB422" s="21"/>
      <c r="FC422" s="21"/>
      <c r="FD422" s="21"/>
      <c r="FE422" s="21"/>
      <c r="FF422" s="21"/>
      <c r="FG422" s="21"/>
      <c r="FH422" s="21"/>
      <c r="FI422" s="21"/>
    </row>
    <row r="423" spans="1:165"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c r="DB423" s="21"/>
      <c r="DC423" s="21"/>
      <c r="DD423" s="21"/>
      <c r="DE423" s="21"/>
      <c r="DF423" s="21"/>
      <c r="DG423" s="21"/>
      <c r="DH423" s="21"/>
      <c r="DI423" s="21"/>
      <c r="DJ423" s="21"/>
      <c r="DK423" s="21"/>
      <c r="DL423" s="21"/>
      <c r="DM423" s="21"/>
      <c r="DN423" s="21"/>
      <c r="DO423" s="21"/>
      <c r="DP423" s="21"/>
      <c r="DQ423" s="21"/>
      <c r="DR423" s="21"/>
      <c r="DS423" s="21"/>
      <c r="DT423" s="21"/>
      <c r="DU423" s="21"/>
      <c r="DV423" s="21"/>
      <c r="DW423" s="21"/>
      <c r="DX423" s="21"/>
      <c r="DY423" s="21"/>
      <c r="DZ423" s="21"/>
      <c r="EA423" s="21"/>
      <c r="EB423" s="21"/>
      <c r="EC423" s="21"/>
      <c r="ED423" s="21"/>
      <c r="EE423" s="21"/>
      <c r="EF423" s="21"/>
      <c r="EG423" s="21"/>
      <c r="EH423" s="21"/>
      <c r="EI423" s="21"/>
      <c r="EJ423" s="21"/>
      <c r="EK423" s="21"/>
      <c r="EL423" s="21"/>
      <c r="EM423" s="21"/>
      <c r="EN423" s="21"/>
      <c r="EO423" s="21"/>
      <c r="EP423" s="21"/>
      <c r="EQ423" s="21"/>
      <c r="ER423" s="21"/>
      <c r="ES423" s="21"/>
      <c r="ET423" s="21"/>
      <c r="EU423" s="21"/>
      <c r="EV423" s="21"/>
      <c r="EW423" s="21"/>
      <c r="EX423" s="21"/>
      <c r="EY423" s="21"/>
      <c r="EZ423" s="21"/>
      <c r="FA423" s="21"/>
      <c r="FB423" s="21"/>
      <c r="FC423" s="21"/>
      <c r="FD423" s="21"/>
      <c r="FE423" s="21"/>
      <c r="FF423" s="21"/>
      <c r="FG423" s="21"/>
      <c r="FH423" s="21"/>
      <c r="FI423" s="21"/>
    </row>
    <row r="424" spans="1:165"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c r="DB424" s="21"/>
      <c r="DC424" s="21"/>
      <c r="DD424" s="21"/>
      <c r="DE424" s="21"/>
      <c r="DF424" s="21"/>
      <c r="DG424" s="21"/>
      <c r="DH424" s="21"/>
      <c r="DI424" s="21"/>
      <c r="DJ424" s="21"/>
      <c r="DK424" s="21"/>
      <c r="DL424" s="21"/>
      <c r="DM424" s="21"/>
      <c r="DN424" s="21"/>
      <c r="DO424" s="21"/>
      <c r="DP424" s="21"/>
      <c r="DQ424" s="21"/>
      <c r="DR424" s="21"/>
      <c r="DS424" s="21"/>
      <c r="DT424" s="21"/>
      <c r="DU424" s="21"/>
      <c r="DV424" s="21"/>
      <c r="DW424" s="21"/>
      <c r="DX424" s="21"/>
      <c r="DY424" s="21"/>
      <c r="DZ424" s="21"/>
      <c r="EA424" s="21"/>
      <c r="EB424" s="21"/>
      <c r="EC424" s="21"/>
      <c r="ED424" s="21"/>
      <c r="EE424" s="21"/>
      <c r="EF424" s="21"/>
      <c r="EG424" s="21"/>
      <c r="EH424" s="21"/>
      <c r="EI424" s="21"/>
      <c r="EJ424" s="21"/>
      <c r="EK424" s="21"/>
      <c r="EL424" s="21"/>
      <c r="EM424" s="21"/>
      <c r="EN424" s="21"/>
      <c r="EO424" s="21"/>
      <c r="EP424" s="21"/>
      <c r="EQ424" s="21"/>
      <c r="ER424" s="21"/>
      <c r="ES424" s="21"/>
      <c r="ET424" s="21"/>
      <c r="EU424" s="21"/>
      <c r="EV424" s="21"/>
      <c r="EW424" s="21"/>
      <c r="EX424" s="21"/>
      <c r="EY424" s="21"/>
      <c r="EZ424" s="21"/>
      <c r="FA424" s="21"/>
      <c r="FB424" s="21"/>
      <c r="FC424" s="21"/>
      <c r="FD424" s="21"/>
      <c r="FE424" s="21"/>
      <c r="FF424" s="21"/>
      <c r="FG424" s="21"/>
      <c r="FH424" s="21"/>
      <c r="FI424" s="21"/>
    </row>
    <row r="425" spans="1:165"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c r="DB425" s="21"/>
      <c r="DC425" s="21"/>
      <c r="DD425" s="21"/>
      <c r="DE425" s="21"/>
      <c r="DF425" s="21"/>
      <c r="DG425" s="21"/>
      <c r="DH425" s="21"/>
      <c r="DI425" s="21"/>
      <c r="DJ425" s="21"/>
      <c r="DK425" s="21"/>
      <c r="DL425" s="21"/>
      <c r="DM425" s="21"/>
      <c r="DN425" s="21"/>
      <c r="DO425" s="21"/>
      <c r="DP425" s="21"/>
      <c r="DQ425" s="21"/>
      <c r="DR425" s="21"/>
      <c r="DS425" s="21"/>
      <c r="DT425" s="21"/>
      <c r="DU425" s="21"/>
      <c r="DV425" s="21"/>
      <c r="DW425" s="21"/>
      <c r="DX425" s="21"/>
      <c r="DY425" s="21"/>
      <c r="DZ425" s="21"/>
      <c r="EA425" s="21"/>
      <c r="EB425" s="21"/>
      <c r="EC425" s="21"/>
      <c r="ED425" s="21"/>
      <c r="EE425" s="21"/>
      <c r="EF425" s="21"/>
      <c r="EG425" s="21"/>
      <c r="EH425" s="21"/>
      <c r="EI425" s="21"/>
      <c r="EJ425" s="21"/>
      <c r="EK425" s="21"/>
      <c r="EL425" s="21"/>
      <c r="EM425" s="21"/>
      <c r="EN425" s="21"/>
      <c r="EO425" s="21"/>
      <c r="EP425" s="21"/>
      <c r="EQ425" s="21"/>
      <c r="ER425" s="21"/>
      <c r="ES425" s="21"/>
      <c r="ET425" s="21"/>
      <c r="EU425" s="21"/>
      <c r="EV425" s="21"/>
      <c r="EW425" s="21"/>
      <c r="EX425" s="21"/>
      <c r="EY425" s="21"/>
      <c r="EZ425" s="21"/>
      <c r="FA425" s="21"/>
      <c r="FB425" s="21"/>
      <c r="FC425" s="21"/>
      <c r="FD425" s="21"/>
      <c r="FE425" s="21"/>
      <c r="FF425" s="21"/>
      <c r="FG425" s="21"/>
      <c r="FH425" s="21"/>
      <c r="FI425" s="21"/>
    </row>
    <row r="426" spans="1:165"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c r="DB426" s="21"/>
      <c r="DC426" s="21"/>
      <c r="DD426" s="21"/>
      <c r="DE426" s="21"/>
      <c r="DF426" s="21"/>
      <c r="DG426" s="21"/>
      <c r="DH426" s="21"/>
      <c r="DI426" s="21"/>
      <c r="DJ426" s="21"/>
      <c r="DK426" s="21"/>
      <c r="DL426" s="21"/>
      <c r="DM426" s="21"/>
      <c r="DN426" s="21"/>
      <c r="DO426" s="21"/>
      <c r="DP426" s="21"/>
      <c r="DQ426" s="21"/>
      <c r="DR426" s="21"/>
      <c r="DS426" s="21"/>
      <c r="DT426" s="21"/>
      <c r="DU426" s="21"/>
      <c r="DV426" s="21"/>
      <c r="DW426" s="21"/>
      <c r="DX426" s="21"/>
      <c r="DY426" s="21"/>
      <c r="DZ426" s="21"/>
      <c r="EA426" s="21"/>
      <c r="EB426" s="21"/>
      <c r="EC426" s="21"/>
      <c r="ED426" s="21"/>
      <c r="EE426" s="21"/>
      <c r="EF426" s="21"/>
      <c r="EG426" s="21"/>
      <c r="EH426" s="21"/>
      <c r="EI426" s="21"/>
      <c r="EJ426" s="21"/>
      <c r="EK426" s="21"/>
      <c r="EL426" s="21"/>
      <c r="EM426" s="21"/>
      <c r="EN426" s="21"/>
      <c r="EO426" s="21"/>
      <c r="EP426" s="21"/>
      <c r="EQ426" s="21"/>
      <c r="ER426" s="21"/>
      <c r="ES426" s="21"/>
      <c r="ET426" s="21"/>
      <c r="EU426" s="21"/>
      <c r="EV426" s="21"/>
      <c r="EW426" s="21"/>
      <c r="EX426" s="21"/>
      <c r="EY426" s="21"/>
      <c r="EZ426" s="21"/>
      <c r="FA426" s="21"/>
      <c r="FB426" s="21"/>
      <c r="FC426" s="21"/>
      <c r="FD426" s="21"/>
      <c r="FE426" s="21"/>
      <c r="FF426" s="21"/>
      <c r="FG426" s="21"/>
      <c r="FH426" s="21"/>
      <c r="FI426" s="21"/>
    </row>
    <row r="427" spans="1:165"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c r="DB427" s="21"/>
      <c r="DC427" s="21"/>
      <c r="DD427" s="21"/>
      <c r="DE427" s="21"/>
      <c r="DF427" s="21"/>
      <c r="DG427" s="21"/>
      <c r="DH427" s="21"/>
      <c r="DI427" s="21"/>
      <c r="DJ427" s="21"/>
      <c r="DK427" s="21"/>
      <c r="DL427" s="21"/>
      <c r="DM427" s="21"/>
      <c r="DN427" s="21"/>
      <c r="DO427" s="21"/>
      <c r="DP427" s="21"/>
      <c r="DQ427" s="21"/>
      <c r="DR427" s="21"/>
      <c r="DS427" s="21"/>
      <c r="DT427" s="21"/>
      <c r="DU427" s="21"/>
      <c r="DV427" s="21"/>
      <c r="DW427" s="21"/>
      <c r="DX427" s="21"/>
      <c r="DY427" s="21"/>
      <c r="DZ427" s="21"/>
      <c r="EA427" s="21"/>
      <c r="EB427" s="21"/>
      <c r="EC427" s="21"/>
      <c r="ED427" s="21"/>
      <c r="EE427" s="21"/>
      <c r="EF427" s="21"/>
      <c r="EG427" s="21"/>
      <c r="EH427" s="21"/>
      <c r="EI427" s="21"/>
      <c r="EJ427" s="21"/>
      <c r="EK427" s="21"/>
      <c r="EL427" s="21"/>
      <c r="EM427" s="21"/>
      <c r="EN427" s="21"/>
      <c r="EO427" s="21"/>
      <c r="EP427" s="21"/>
      <c r="EQ427" s="21"/>
      <c r="ER427" s="21"/>
      <c r="ES427" s="21"/>
      <c r="ET427" s="21"/>
      <c r="EU427" s="21"/>
      <c r="EV427" s="21"/>
      <c r="EW427" s="21"/>
      <c r="EX427" s="21"/>
      <c r="EY427" s="21"/>
      <c r="EZ427" s="21"/>
      <c r="FA427" s="21"/>
      <c r="FB427" s="21"/>
      <c r="FC427" s="21"/>
      <c r="FD427" s="21"/>
      <c r="FE427" s="21"/>
      <c r="FF427" s="21"/>
      <c r="FG427" s="21"/>
      <c r="FH427" s="21"/>
      <c r="FI427" s="21"/>
    </row>
    <row r="428" spans="1:165"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c r="DB428" s="21"/>
      <c r="DC428" s="21"/>
      <c r="DD428" s="21"/>
      <c r="DE428" s="21"/>
      <c r="DF428" s="21"/>
      <c r="DG428" s="21"/>
      <c r="DH428" s="21"/>
      <c r="DI428" s="21"/>
      <c r="DJ428" s="21"/>
      <c r="DK428" s="21"/>
      <c r="DL428" s="21"/>
      <c r="DM428" s="21"/>
      <c r="DN428" s="21"/>
      <c r="DO428" s="21"/>
      <c r="DP428" s="21"/>
      <c r="DQ428" s="21"/>
      <c r="DR428" s="21"/>
      <c r="DS428" s="21"/>
      <c r="DT428" s="21"/>
      <c r="DU428" s="21"/>
      <c r="DV428" s="21"/>
      <c r="DW428" s="21"/>
      <c r="DX428" s="21"/>
      <c r="DY428" s="21"/>
      <c r="DZ428" s="21"/>
      <c r="EA428" s="21"/>
      <c r="EB428" s="21"/>
      <c r="EC428" s="21"/>
      <c r="ED428" s="21"/>
      <c r="EE428" s="21"/>
      <c r="EF428" s="21"/>
      <c r="EG428" s="21"/>
      <c r="EH428" s="21"/>
      <c r="EI428" s="21"/>
      <c r="EJ428" s="21"/>
      <c r="EK428" s="21"/>
      <c r="EL428" s="21"/>
      <c r="EM428" s="21"/>
      <c r="EN428" s="21"/>
      <c r="EO428" s="21"/>
      <c r="EP428" s="21"/>
      <c r="EQ428" s="21"/>
      <c r="ER428" s="21"/>
      <c r="ES428" s="21"/>
      <c r="ET428" s="21"/>
      <c r="EU428" s="21"/>
      <c r="EV428" s="21"/>
      <c r="EW428" s="21"/>
      <c r="EX428" s="21"/>
      <c r="EY428" s="21"/>
      <c r="EZ428" s="21"/>
      <c r="FA428" s="21"/>
      <c r="FB428" s="21"/>
      <c r="FC428" s="21"/>
      <c r="FD428" s="21"/>
      <c r="FE428" s="21"/>
      <c r="FF428" s="21"/>
      <c r="FG428" s="21"/>
      <c r="FH428" s="21"/>
      <c r="FI428" s="21"/>
    </row>
    <row r="429" spans="1:165"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c r="DB429" s="21"/>
      <c r="DC429" s="21"/>
      <c r="DD429" s="21"/>
      <c r="DE429" s="21"/>
      <c r="DF429" s="21"/>
      <c r="DG429" s="21"/>
      <c r="DH429" s="21"/>
      <c r="DI429" s="21"/>
      <c r="DJ429" s="21"/>
      <c r="DK429" s="21"/>
      <c r="DL429" s="21"/>
      <c r="DM429" s="21"/>
      <c r="DN429" s="21"/>
      <c r="DO429" s="21"/>
      <c r="DP429" s="21"/>
      <c r="DQ429" s="21"/>
      <c r="DR429" s="21"/>
      <c r="DS429" s="21"/>
      <c r="DT429" s="21"/>
      <c r="DU429" s="21"/>
      <c r="DV429" s="21"/>
      <c r="DW429" s="21"/>
      <c r="DX429" s="21"/>
      <c r="DY429" s="21"/>
      <c r="DZ429" s="21"/>
      <c r="EA429" s="21"/>
      <c r="EB429" s="21"/>
      <c r="EC429" s="21"/>
      <c r="ED429" s="21"/>
      <c r="EE429" s="21"/>
      <c r="EF429" s="21"/>
      <c r="EG429" s="21"/>
      <c r="EH429" s="21"/>
      <c r="EI429" s="21"/>
      <c r="EJ429" s="21"/>
      <c r="EK429" s="21"/>
      <c r="EL429" s="21"/>
      <c r="EM429" s="21"/>
      <c r="EN429" s="21"/>
      <c r="EO429" s="21"/>
      <c r="EP429" s="21"/>
      <c r="EQ429" s="21"/>
      <c r="ER429" s="21"/>
      <c r="ES429" s="21"/>
      <c r="ET429" s="21"/>
      <c r="EU429" s="21"/>
      <c r="EV429" s="21"/>
      <c r="EW429" s="21"/>
      <c r="EX429" s="21"/>
      <c r="EY429" s="21"/>
      <c r="EZ429" s="21"/>
      <c r="FA429" s="21"/>
      <c r="FB429" s="21"/>
      <c r="FC429" s="21"/>
      <c r="FD429" s="21"/>
      <c r="FE429" s="21"/>
      <c r="FF429" s="21"/>
      <c r="FG429" s="21"/>
      <c r="FH429" s="21"/>
      <c r="FI429" s="21"/>
    </row>
    <row r="430" spans="1:165"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c r="DE430" s="21"/>
      <c r="DF430" s="21"/>
      <c r="DG430" s="21"/>
      <c r="DH430" s="21"/>
      <c r="DI430" s="21"/>
      <c r="DJ430" s="21"/>
      <c r="DK430" s="21"/>
      <c r="DL430" s="21"/>
      <c r="DM430" s="21"/>
      <c r="DN430" s="21"/>
      <c r="DO430" s="21"/>
      <c r="DP430" s="21"/>
      <c r="DQ430" s="21"/>
      <c r="DR430" s="21"/>
      <c r="DS430" s="21"/>
      <c r="DT430" s="21"/>
      <c r="DU430" s="21"/>
      <c r="DV430" s="21"/>
      <c r="DW430" s="21"/>
      <c r="DX430" s="21"/>
      <c r="DY430" s="21"/>
      <c r="DZ430" s="21"/>
      <c r="EA430" s="21"/>
      <c r="EB430" s="21"/>
      <c r="EC430" s="21"/>
      <c r="ED430" s="21"/>
      <c r="EE430" s="21"/>
      <c r="EF430" s="21"/>
      <c r="EG430" s="21"/>
      <c r="EH430" s="21"/>
      <c r="EI430" s="21"/>
      <c r="EJ430" s="21"/>
      <c r="EK430" s="21"/>
      <c r="EL430" s="21"/>
      <c r="EM430" s="21"/>
      <c r="EN430" s="21"/>
      <c r="EO430" s="21"/>
      <c r="EP430" s="21"/>
      <c r="EQ430" s="21"/>
      <c r="ER430" s="21"/>
      <c r="ES430" s="21"/>
      <c r="ET430" s="21"/>
      <c r="EU430" s="21"/>
      <c r="EV430" s="21"/>
      <c r="EW430" s="21"/>
      <c r="EX430" s="21"/>
      <c r="EY430" s="21"/>
      <c r="EZ430" s="21"/>
      <c r="FA430" s="21"/>
      <c r="FB430" s="21"/>
      <c r="FC430" s="21"/>
      <c r="FD430" s="21"/>
      <c r="FE430" s="21"/>
      <c r="FF430" s="21"/>
      <c r="FG430" s="21"/>
      <c r="FH430" s="21"/>
      <c r="FI430" s="21"/>
    </row>
    <row r="431" spans="1:165"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c r="DB431" s="21"/>
      <c r="DC431" s="21"/>
      <c r="DD431" s="21"/>
      <c r="DE431" s="21"/>
      <c r="DF431" s="21"/>
      <c r="DG431" s="21"/>
      <c r="DH431" s="21"/>
      <c r="DI431" s="21"/>
      <c r="DJ431" s="21"/>
      <c r="DK431" s="21"/>
      <c r="DL431" s="21"/>
      <c r="DM431" s="21"/>
      <c r="DN431" s="21"/>
      <c r="DO431" s="21"/>
      <c r="DP431" s="21"/>
      <c r="DQ431" s="21"/>
      <c r="DR431" s="21"/>
      <c r="DS431" s="21"/>
      <c r="DT431" s="21"/>
      <c r="DU431" s="21"/>
      <c r="DV431" s="21"/>
      <c r="DW431" s="21"/>
      <c r="DX431" s="21"/>
      <c r="DY431" s="21"/>
      <c r="DZ431" s="21"/>
      <c r="EA431" s="21"/>
      <c r="EB431" s="21"/>
      <c r="EC431" s="21"/>
      <c r="ED431" s="21"/>
      <c r="EE431" s="21"/>
      <c r="EF431" s="21"/>
      <c r="EG431" s="21"/>
      <c r="EH431" s="21"/>
      <c r="EI431" s="21"/>
      <c r="EJ431" s="21"/>
      <c r="EK431" s="21"/>
      <c r="EL431" s="21"/>
      <c r="EM431" s="21"/>
      <c r="EN431" s="21"/>
      <c r="EO431" s="21"/>
      <c r="EP431" s="21"/>
      <c r="EQ431" s="21"/>
      <c r="ER431" s="21"/>
      <c r="ES431" s="21"/>
      <c r="ET431" s="21"/>
      <c r="EU431" s="21"/>
      <c r="EV431" s="21"/>
      <c r="EW431" s="21"/>
      <c r="EX431" s="21"/>
      <c r="EY431" s="21"/>
      <c r="EZ431" s="21"/>
      <c r="FA431" s="21"/>
      <c r="FB431" s="21"/>
      <c r="FC431" s="21"/>
      <c r="FD431" s="21"/>
      <c r="FE431" s="21"/>
      <c r="FF431" s="21"/>
      <c r="FG431" s="21"/>
      <c r="FH431" s="21"/>
      <c r="FI431" s="21"/>
    </row>
    <row r="432" spans="1:165"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c r="DB432" s="21"/>
      <c r="DC432" s="21"/>
      <c r="DD432" s="21"/>
      <c r="DE432" s="21"/>
      <c r="DF432" s="21"/>
      <c r="DG432" s="21"/>
      <c r="DH432" s="21"/>
      <c r="DI432" s="21"/>
      <c r="DJ432" s="21"/>
      <c r="DK432" s="21"/>
      <c r="DL432" s="21"/>
      <c r="DM432" s="21"/>
      <c r="DN432" s="21"/>
      <c r="DO432" s="21"/>
      <c r="DP432" s="21"/>
      <c r="DQ432" s="21"/>
      <c r="DR432" s="21"/>
      <c r="DS432" s="21"/>
      <c r="DT432" s="21"/>
      <c r="DU432" s="21"/>
      <c r="DV432" s="21"/>
      <c r="DW432" s="21"/>
      <c r="DX432" s="21"/>
      <c r="DY432" s="21"/>
      <c r="DZ432" s="21"/>
      <c r="EA432" s="21"/>
      <c r="EB432" s="21"/>
      <c r="EC432" s="21"/>
      <c r="ED432" s="21"/>
      <c r="EE432" s="21"/>
      <c r="EF432" s="21"/>
      <c r="EG432" s="21"/>
      <c r="EH432" s="21"/>
      <c r="EI432" s="21"/>
      <c r="EJ432" s="21"/>
      <c r="EK432" s="21"/>
      <c r="EL432" s="21"/>
      <c r="EM432" s="21"/>
      <c r="EN432" s="21"/>
      <c r="EO432" s="21"/>
      <c r="EP432" s="21"/>
      <c r="EQ432" s="21"/>
      <c r="ER432" s="21"/>
      <c r="ES432" s="21"/>
      <c r="ET432" s="21"/>
      <c r="EU432" s="21"/>
      <c r="EV432" s="21"/>
      <c r="EW432" s="21"/>
      <c r="EX432" s="21"/>
      <c r="EY432" s="21"/>
      <c r="EZ432" s="21"/>
      <c r="FA432" s="21"/>
      <c r="FB432" s="21"/>
      <c r="FC432" s="21"/>
      <c r="FD432" s="21"/>
      <c r="FE432" s="21"/>
      <c r="FF432" s="21"/>
      <c r="FG432" s="21"/>
      <c r="FH432" s="21"/>
      <c r="FI432" s="21"/>
    </row>
    <row r="433" spans="1:165"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c r="DB433" s="21"/>
      <c r="DC433" s="21"/>
      <c r="DD433" s="21"/>
      <c r="DE433" s="21"/>
      <c r="DF433" s="21"/>
      <c r="DG433" s="21"/>
      <c r="DH433" s="21"/>
      <c r="DI433" s="21"/>
      <c r="DJ433" s="21"/>
      <c r="DK433" s="21"/>
      <c r="DL433" s="21"/>
      <c r="DM433" s="21"/>
      <c r="DN433" s="21"/>
      <c r="DO433" s="21"/>
      <c r="DP433" s="21"/>
      <c r="DQ433" s="21"/>
      <c r="DR433" s="21"/>
      <c r="DS433" s="21"/>
      <c r="DT433" s="21"/>
      <c r="DU433" s="21"/>
      <c r="DV433" s="21"/>
      <c r="DW433" s="21"/>
      <c r="DX433" s="21"/>
      <c r="DY433" s="21"/>
      <c r="DZ433" s="21"/>
      <c r="EA433" s="21"/>
      <c r="EB433" s="21"/>
      <c r="EC433" s="21"/>
      <c r="ED433" s="21"/>
      <c r="EE433" s="21"/>
      <c r="EF433" s="21"/>
      <c r="EG433" s="21"/>
      <c r="EH433" s="21"/>
      <c r="EI433" s="21"/>
      <c r="EJ433" s="21"/>
      <c r="EK433" s="21"/>
      <c r="EL433" s="21"/>
      <c r="EM433" s="21"/>
      <c r="EN433" s="21"/>
      <c r="EO433" s="21"/>
      <c r="EP433" s="21"/>
      <c r="EQ433" s="21"/>
      <c r="ER433" s="21"/>
      <c r="ES433" s="21"/>
      <c r="ET433" s="21"/>
      <c r="EU433" s="21"/>
      <c r="EV433" s="21"/>
      <c r="EW433" s="21"/>
      <c r="EX433" s="21"/>
      <c r="EY433" s="21"/>
      <c r="EZ433" s="21"/>
      <c r="FA433" s="21"/>
      <c r="FB433" s="21"/>
      <c r="FC433" s="21"/>
      <c r="FD433" s="21"/>
      <c r="FE433" s="21"/>
      <c r="FF433" s="21"/>
      <c r="FG433" s="21"/>
      <c r="FH433" s="21"/>
      <c r="FI433" s="21"/>
    </row>
    <row r="434" spans="1:165"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c r="DB434" s="21"/>
      <c r="DC434" s="21"/>
      <c r="DD434" s="21"/>
      <c r="DE434" s="21"/>
      <c r="DF434" s="21"/>
      <c r="DG434" s="21"/>
      <c r="DH434" s="21"/>
      <c r="DI434" s="21"/>
      <c r="DJ434" s="21"/>
      <c r="DK434" s="21"/>
      <c r="DL434" s="21"/>
      <c r="DM434" s="21"/>
      <c r="DN434" s="21"/>
      <c r="DO434" s="21"/>
      <c r="DP434" s="21"/>
      <c r="DQ434" s="21"/>
      <c r="DR434" s="21"/>
      <c r="DS434" s="21"/>
      <c r="DT434" s="21"/>
      <c r="DU434" s="21"/>
      <c r="DV434" s="21"/>
      <c r="DW434" s="21"/>
      <c r="DX434" s="21"/>
      <c r="DY434" s="21"/>
      <c r="DZ434" s="21"/>
      <c r="EA434" s="21"/>
      <c r="EB434" s="21"/>
      <c r="EC434" s="21"/>
      <c r="ED434" s="21"/>
      <c r="EE434" s="21"/>
      <c r="EF434" s="21"/>
      <c r="EG434" s="21"/>
      <c r="EH434" s="21"/>
      <c r="EI434" s="21"/>
      <c r="EJ434" s="21"/>
      <c r="EK434" s="21"/>
      <c r="EL434" s="21"/>
      <c r="EM434" s="21"/>
      <c r="EN434" s="21"/>
      <c r="EO434" s="21"/>
      <c r="EP434" s="21"/>
      <c r="EQ434" s="21"/>
      <c r="ER434" s="21"/>
      <c r="ES434" s="21"/>
      <c r="ET434" s="21"/>
      <c r="EU434" s="21"/>
      <c r="EV434" s="21"/>
      <c r="EW434" s="21"/>
      <c r="EX434" s="21"/>
      <c r="EY434" s="21"/>
      <c r="EZ434" s="21"/>
      <c r="FA434" s="21"/>
      <c r="FB434" s="21"/>
      <c r="FC434" s="21"/>
      <c r="FD434" s="21"/>
      <c r="FE434" s="21"/>
      <c r="FF434" s="21"/>
      <c r="FG434" s="21"/>
      <c r="FH434" s="21"/>
      <c r="FI434" s="21"/>
    </row>
    <row r="435" spans="1:165"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21"/>
      <c r="CH435" s="21"/>
      <c r="CI435" s="21"/>
      <c r="CJ435" s="21"/>
      <c r="CK435" s="21"/>
      <c r="CL435" s="21"/>
      <c r="CM435" s="21"/>
      <c r="CN435" s="21"/>
      <c r="CO435" s="21"/>
      <c r="CP435" s="21"/>
      <c r="CQ435" s="21"/>
      <c r="CR435" s="21"/>
      <c r="CS435" s="21"/>
      <c r="CT435" s="21"/>
      <c r="CU435" s="21"/>
      <c r="CV435" s="21"/>
      <c r="CW435" s="21"/>
      <c r="CX435" s="21"/>
      <c r="CY435" s="21"/>
      <c r="CZ435" s="21"/>
      <c r="DA435" s="21"/>
      <c r="DB435" s="21"/>
      <c r="DC435" s="21"/>
      <c r="DD435" s="21"/>
      <c r="DE435" s="21"/>
      <c r="DF435" s="21"/>
      <c r="DG435" s="21"/>
      <c r="DH435" s="21"/>
      <c r="DI435" s="21"/>
      <c r="DJ435" s="21"/>
      <c r="DK435" s="21"/>
      <c r="DL435" s="21"/>
      <c r="DM435" s="21"/>
      <c r="DN435" s="21"/>
      <c r="DO435" s="21"/>
      <c r="DP435" s="21"/>
      <c r="DQ435" s="21"/>
      <c r="DR435" s="21"/>
      <c r="DS435" s="21"/>
      <c r="DT435" s="21"/>
      <c r="DU435" s="21"/>
      <c r="DV435" s="21"/>
      <c r="DW435" s="21"/>
      <c r="DX435" s="21"/>
      <c r="DY435" s="21"/>
      <c r="DZ435" s="21"/>
      <c r="EA435" s="21"/>
      <c r="EB435" s="21"/>
      <c r="EC435" s="21"/>
      <c r="ED435" s="21"/>
      <c r="EE435" s="21"/>
      <c r="EF435" s="21"/>
      <c r="EG435" s="21"/>
      <c r="EH435" s="21"/>
      <c r="EI435" s="21"/>
      <c r="EJ435" s="21"/>
      <c r="EK435" s="21"/>
      <c r="EL435" s="21"/>
      <c r="EM435" s="21"/>
      <c r="EN435" s="21"/>
      <c r="EO435" s="21"/>
      <c r="EP435" s="21"/>
      <c r="EQ435" s="21"/>
      <c r="ER435" s="21"/>
      <c r="ES435" s="21"/>
      <c r="ET435" s="21"/>
      <c r="EU435" s="21"/>
      <c r="EV435" s="21"/>
      <c r="EW435" s="21"/>
      <c r="EX435" s="21"/>
      <c r="EY435" s="21"/>
      <c r="EZ435" s="21"/>
      <c r="FA435" s="21"/>
      <c r="FB435" s="21"/>
      <c r="FC435" s="21"/>
      <c r="FD435" s="21"/>
      <c r="FE435" s="21"/>
      <c r="FF435" s="21"/>
      <c r="FG435" s="21"/>
      <c r="FH435" s="21"/>
      <c r="FI435" s="21"/>
    </row>
    <row r="436" spans="1:165"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21"/>
      <c r="CH436" s="21"/>
      <c r="CI436" s="21"/>
      <c r="CJ436" s="21"/>
      <c r="CK436" s="21"/>
      <c r="CL436" s="21"/>
      <c r="CM436" s="21"/>
      <c r="CN436" s="21"/>
      <c r="CO436" s="21"/>
      <c r="CP436" s="21"/>
      <c r="CQ436" s="21"/>
      <c r="CR436" s="21"/>
      <c r="CS436" s="21"/>
      <c r="CT436" s="21"/>
      <c r="CU436" s="21"/>
      <c r="CV436" s="21"/>
      <c r="CW436" s="21"/>
      <c r="CX436" s="21"/>
      <c r="CY436" s="21"/>
      <c r="CZ436" s="21"/>
      <c r="DA436" s="21"/>
      <c r="DB436" s="21"/>
      <c r="DC436" s="21"/>
      <c r="DD436" s="21"/>
      <c r="DE436" s="21"/>
      <c r="DF436" s="21"/>
      <c r="DG436" s="21"/>
      <c r="DH436" s="21"/>
      <c r="DI436" s="21"/>
      <c r="DJ436" s="21"/>
      <c r="DK436" s="21"/>
      <c r="DL436" s="21"/>
      <c r="DM436" s="21"/>
      <c r="DN436" s="21"/>
      <c r="DO436" s="21"/>
      <c r="DP436" s="21"/>
      <c r="DQ436" s="21"/>
      <c r="DR436" s="21"/>
      <c r="DS436" s="21"/>
      <c r="DT436" s="21"/>
      <c r="DU436" s="21"/>
      <c r="DV436" s="21"/>
      <c r="DW436" s="21"/>
      <c r="DX436" s="21"/>
      <c r="DY436" s="21"/>
      <c r="DZ436" s="21"/>
      <c r="EA436" s="21"/>
      <c r="EB436" s="21"/>
      <c r="EC436" s="21"/>
      <c r="ED436" s="21"/>
      <c r="EE436" s="21"/>
      <c r="EF436" s="21"/>
      <c r="EG436" s="21"/>
      <c r="EH436" s="21"/>
      <c r="EI436" s="21"/>
      <c r="EJ436" s="21"/>
      <c r="EK436" s="21"/>
      <c r="EL436" s="21"/>
      <c r="EM436" s="21"/>
      <c r="EN436" s="21"/>
      <c r="EO436" s="21"/>
      <c r="EP436" s="21"/>
      <c r="EQ436" s="21"/>
      <c r="ER436" s="21"/>
      <c r="ES436" s="21"/>
      <c r="ET436" s="21"/>
      <c r="EU436" s="21"/>
      <c r="EV436" s="21"/>
      <c r="EW436" s="21"/>
      <c r="EX436" s="21"/>
      <c r="EY436" s="21"/>
      <c r="EZ436" s="21"/>
      <c r="FA436" s="21"/>
      <c r="FB436" s="21"/>
      <c r="FC436" s="21"/>
      <c r="FD436" s="21"/>
      <c r="FE436" s="21"/>
      <c r="FF436" s="21"/>
      <c r="FG436" s="21"/>
      <c r="FH436" s="21"/>
      <c r="FI436" s="21"/>
    </row>
    <row r="437" spans="1:165"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c r="DB437" s="21"/>
      <c r="DC437" s="21"/>
      <c r="DD437" s="21"/>
      <c r="DE437" s="21"/>
      <c r="DF437" s="21"/>
      <c r="DG437" s="21"/>
      <c r="DH437" s="21"/>
      <c r="DI437" s="21"/>
      <c r="DJ437" s="21"/>
      <c r="DK437" s="21"/>
      <c r="DL437" s="21"/>
      <c r="DM437" s="21"/>
      <c r="DN437" s="21"/>
      <c r="DO437" s="21"/>
      <c r="DP437" s="21"/>
      <c r="DQ437" s="21"/>
      <c r="DR437" s="21"/>
      <c r="DS437" s="21"/>
      <c r="DT437" s="21"/>
      <c r="DU437" s="21"/>
      <c r="DV437" s="21"/>
      <c r="DW437" s="21"/>
      <c r="DX437" s="21"/>
      <c r="DY437" s="21"/>
      <c r="DZ437" s="21"/>
      <c r="EA437" s="21"/>
      <c r="EB437" s="21"/>
      <c r="EC437" s="21"/>
      <c r="ED437" s="21"/>
      <c r="EE437" s="21"/>
      <c r="EF437" s="21"/>
      <c r="EG437" s="21"/>
      <c r="EH437" s="21"/>
      <c r="EI437" s="21"/>
      <c r="EJ437" s="21"/>
      <c r="EK437" s="21"/>
      <c r="EL437" s="21"/>
      <c r="EM437" s="21"/>
      <c r="EN437" s="21"/>
      <c r="EO437" s="21"/>
      <c r="EP437" s="21"/>
      <c r="EQ437" s="21"/>
      <c r="ER437" s="21"/>
      <c r="ES437" s="21"/>
      <c r="ET437" s="21"/>
      <c r="EU437" s="21"/>
      <c r="EV437" s="21"/>
      <c r="EW437" s="21"/>
      <c r="EX437" s="21"/>
      <c r="EY437" s="21"/>
      <c r="EZ437" s="21"/>
      <c r="FA437" s="21"/>
      <c r="FB437" s="21"/>
      <c r="FC437" s="21"/>
      <c r="FD437" s="21"/>
      <c r="FE437" s="21"/>
      <c r="FF437" s="21"/>
      <c r="FG437" s="21"/>
      <c r="FH437" s="21"/>
      <c r="FI437" s="21"/>
    </row>
    <row r="438" spans="1:165"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c r="DE438" s="21"/>
      <c r="DF438" s="21"/>
      <c r="DG438" s="21"/>
      <c r="DH438" s="21"/>
      <c r="DI438" s="21"/>
      <c r="DJ438" s="21"/>
      <c r="DK438" s="21"/>
      <c r="DL438" s="21"/>
      <c r="DM438" s="21"/>
      <c r="DN438" s="21"/>
      <c r="DO438" s="21"/>
      <c r="DP438" s="21"/>
      <c r="DQ438" s="21"/>
      <c r="DR438" s="21"/>
      <c r="DS438" s="21"/>
      <c r="DT438" s="21"/>
      <c r="DU438" s="21"/>
      <c r="DV438" s="21"/>
      <c r="DW438" s="21"/>
      <c r="DX438" s="21"/>
      <c r="DY438" s="21"/>
      <c r="DZ438" s="21"/>
      <c r="EA438" s="21"/>
      <c r="EB438" s="21"/>
      <c r="EC438" s="21"/>
      <c r="ED438" s="21"/>
      <c r="EE438" s="21"/>
      <c r="EF438" s="21"/>
      <c r="EG438" s="21"/>
      <c r="EH438" s="21"/>
      <c r="EI438" s="21"/>
      <c r="EJ438" s="21"/>
      <c r="EK438" s="21"/>
      <c r="EL438" s="21"/>
      <c r="EM438" s="21"/>
      <c r="EN438" s="21"/>
      <c r="EO438" s="21"/>
      <c r="EP438" s="21"/>
      <c r="EQ438" s="21"/>
      <c r="ER438" s="21"/>
      <c r="ES438" s="21"/>
      <c r="ET438" s="21"/>
      <c r="EU438" s="21"/>
      <c r="EV438" s="21"/>
      <c r="EW438" s="21"/>
      <c r="EX438" s="21"/>
      <c r="EY438" s="21"/>
      <c r="EZ438" s="21"/>
      <c r="FA438" s="21"/>
      <c r="FB438" s="21"/>
      <c r="FC438" s="21"/>
      <c r="FD438" s="21"/>
      <c r="FE438" s="21"/>
      <c r="FF438" s="21"/>
      <c r="FG438" s="21"/>
      <c r="FH438" s="21"/>
      <c r="FI438" s="21"/>
    </row>
    <row r="439" spans="1:165"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c r="DB439" s="21"/>
      <c r="DC439" s="21"/>
      <c r="DD439" s="21"/>
      <c r="DE439" s="21"/>
      <c r="DF439" s="21"/>
      <c r="DG439" s="21"/>
      <c r="DH439" s="21"/>
      <c r="DI439" s="21"/>
      <c r="DJ439" s="21"/>
      <c r="DK439" s="21"/>
      <c r="DL439" s="21"/>
      <c r="DM439" s="21"/>
      <c r="DN439" s="21"/>
      <c r="DO439" s="21"/>
      <c r="DP439" s="21"/>
      <c r="DQ439" s="21"/>
      <c r="DR439" s="21"/>
      <c r="DS439" s="21"/>
      <c r="DT439" s="21"/>
      <c r="DU439" s="21"/>
      <c r="DV439" s="21"/>
      <c r="DW439" s="21"/>
      <c r="DX439" s="21"/>
      <c r="DY439" s="21"/>
      <c r="DZ439" s="21"/>
      <c r="EA439" s="21"/>
      <c r="EB439" s="21"/>
      <c r="EC439" s="21"/>
      <c r="ED439" s="21"/>
      <c r="EE439" s="21"/>
      <c r="EF439" s="21"/>
      <c r="EG439" s="21"/>
      <c r="EH439" s="21"/>
      <c r="EI439" s="21"/>
      <c r="EJ439" s="21"/>
      <c r="EK439" s="21"/>
      <c r="EL439" s="21"/>
      <c r="EM439" s="21"/>
      <c r="EN439" s="21"/>
      <c r="EO439" s="21"/>
      <c r="EP439" s="21"/>
      <c r="EQ439" s="21"/>
      <c r="ER439" s="21"/>
      <c r="ES439" s="21"/>
      <c r="ET439" s="21"/>
      <c r="EU439" s="21"/>
      <c r="EV439" s="21"/>
      <c r="EW439" s="21"/>
      <c r="EX439" s="21"/>
      <c r="EY439" s="21"/>
      <c r="EZ439" s="21"/>
      <c r="FA439" s="21"/>
      <c r="FB439" s="21"/>
      <c r="FC439" s="21"/>
      <c r="FD439" s="21"/>
      <c r="FE439" s="21"/>
      <c r="FF439" s="21"/>
      <c r="FG439" s="21"/>
      <c r="FH439" s="21"/>
      <c r="FI439" s="21"/>
    </row>
    <row r="440" spans="1:165"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c r="DB440" s="21"/>
      <c r="DC440" s="21"/>
      <c r="DD440" s="21"/>
      <c r="DE440" s="21"/>
      <c r="DF440" s="21"/>
      <c r="DG440" s="21"/>
      <c r="DH440" s="21"/>
      <c r="DI440" s="21"/>
      <c r="DJ440" s="21"/>
      <c r="DK440" s="21"/>
      <c r="DL440" s="21"/>
      <c r="DM440" s="21"/>
      <c r="DN440" s="21"/>
      <c r="DO440" s="21"/>
      <c r="DP440" s="21"/>
      <c r="DQ440" s="21"/>
      <c r="DR440" s="21"/>
      <c r="DS440" s="21"/>
      <c r="DT440" s="21"/>
      <c r="DU440" s="21"/>
      <c r="DV440" s="21"/>
      <c r="DW440" s="21"/>
      <c r="DX440" s="21"/>
      <c r="DY440" s="21"/>
      <c r="DZ440" s="21"/>
      <c r="EA440" s="21"/>
      <c r="EB440" s="21"/>
      <c r="EC440" s="21"/>
      <c r="ED440" s="21"/>
      <c r="EE440" s="21"/>
      <c r="EF440" s="21"/>
      <c r="EG440" s="21"/>
      <c r="EH440" s="21"/>
      <c r="EI440" s="21"/>
      <c r="EJ440" s="21"/>
      <c r="EK440" s="21"/>
      <c r="EL440" s="21"/>
      <c r="EM440" s="21"/>
      <c r="EN440" s="21"/>
      <c r="EO440" s="21"/>
      <c r="EP440" s="21"/>
      <c r="EQ440" s="21"/>
      <c r="ER440" s="21"/>
      <c r="ES440" s="21"/>
      <c r="ET440" s="21"/>
      <c r="EU440" s="21"/>
      <c r="EV440" s="21"/>
      <c r="EW440" s="21"/>
      <c r="EX440" s="21"/>
      <c r="EY440" s="21"/>
      <c r="EZ440" s="21"/>
      <c r="FA440" s="21"/>
      <c r="FB440" s="21"/>
      <c r="FC440" s="21"/>
      <c r="FD440" s="21"/>
      <c r="FE440" s="21"/>
      <c r="FF440" s="21"/>
      <c r="FG440" s="21"/>
      <c r="FH440" s="21"/>
      <c r="FI440" s="21"/>
    </row>
    <row r="441" spans="1:165"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c r="DB441" s="21"/>
      <c r="DC441" s="21"/>
      <c r="DD441" s="21"/>
      <c r="DE441" s="21"/>
      <c r="DF441" s="21"/>
      <c r="DG441" s="21"/>
      <c r="DH441" s="21"/>
      <c r="DI441" s="21"/>
      <c r="DJ441" s="21"/>
      <c r="DK441" s="21"/>
      <c r="DL441" s="21"/>
      <c r="DM441" s="21"/>
      <c r="DN441" s="21"/>
      <c r="DO441" s="21"/>
      <c r="DP441" s="21"/>
      <c r="DQ441" s="21"/>
      <c r="DR441" s="21"/>
      <c r="DS441" s="21"/>
      <c r="DT441" s="21"/>
      <c r="DU441" s="21"/>
      <c r="DV441" s="21"/>
      <c r="DW441" s="21"/>
      <c r="DX441" s="21"/>
      <c r="DY441" s="21"/>
      <c r="DZ441" s="21"/>
      <c r="EA441" s="21"/>
      <c r="EB441" s="21"/>
      <c r="EC441" s="21"/>
      <c r="ED441" s="21"/>
      <c r="EE441" s="21"/>
      <c r="EF441" s="21"/>
      <c r="EG441" s="21"/>
      <c r="EH441" s="21"/>
      <c r="EI441" s="21"/>
      <c r="EJ441" s="21"/>
      <c r="EK441" s="21"/>
      <c r="EL441" s="21"/>
      <c r="EM441" s="21"/>
      <c r="EN441" s="21"/>
      <c r="EO441" s="21"/>
      <c r="EP441" s="21"/>
      <c r="EQ441" s="21"/>
      <c r="ER441" s="21"/>
      <c r="ES441" s="21"/>
      <c r="ET441" s="21"/>
      <c r="EU441" s="21"/>
      <c r="EV441" s="21"/>
      <c r="EW441" s="21"/>
      <c r="EX441" s="21"/>
      <c r="EY441" s="21"/>
      <c r="EZ441" s="21"/>
      <c r="FA441" s="21"/>
      <c r="FB441" s="21"/>
      <c r="FC441" s="21"/>
      <c r="FD441" s="21"/>
      <c r="FE441" s="21"/>
      <c r="FF441" s="21"/>
      <c r="FG441" s="21"/>
      <c r="FH441" s="21"/>
      <c r="FI441" s="21"/>
    </row>
    <row r="442" spans="1:165"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c r="DB442" s="21"/>
      <c r="DC442" s="21"/>
      <c r="DD442" s="21"/>
      <c r="DE442" s="21"/>
      <c r="DF442" s="21"/>
      <c r="DG442" s="21"/>
      <c r="DH442" s="21"/>
      <c r="DI442" s="21"/>
      <c r="DJ442" s="21"/>
      <c r="DK442" s="21"/>
      <c r="DL442" s="21"/>
      <c r="DM442" s="21"/>
      <c r="DN442" s="21"/>
      <c r="DO442" s="21"/>
      <c r="DP442" s="21"/>
      <c r="DQ442" s="21"/>
      <c r="DR442" s="21"/>
      <c r="DS442" s="21"/>
      <c r="DT442" s="21"/>
      <c r="DU442" s="21"/>
      <c r="DV442" s="21"/>
      <c r="DW442" s="21"/>
      <c r="DX442" s="21"/>
      <c r="DY442" s="21"/>
      <c r="DZ442" s="21"/>
      <c r="EA442" s="21"/>
      <c r="EB442" s="21"/>
      <c r="EC442" s="21"/>
      <c r="ED442" s="21"/>
      <c r="EE442" s="21"/>
      <c r="EF442" s="21"/>
      <c r="EG442" s="21"/>
      <c r="EH442" s="21"/>
      <c r="EI442" s="21"/>
      <c r="EJ442" s="21"/>
      <c r="EK442" s="21"/>
      <c r="EL442" s="21"/>
      <c r="EM442" s="21"/>
      <c r="EN442" s="21"/>
      <c r="EO442" s="21"/>
      <c r="EP442" s="21"/>
      <c r="EQ442" s="21"/>
      <c r="ER442" s="21"/>
      <c r="ES442" s="21"/>
      <c r="ET442" s="21"/>
      <c r="EU442" s="21"/>
      <c r="EV442" s="21"/>
      <c r="EW442" s="21"/>
      <c r="EX442" s="21"/>
      <c r="EY442" s="21"/>
      <c r="EZ442" s="21"/>
      <c r="FA442" s="21"/>
      <c r="FB442" s="21"/>
      <c r="FC442" s="21"/>
      <c r="FD442" s="21"/>
      <c r="FE442" s="21"/>
      <c r="FF442" s="21"/>
      <c r="FG442" s="21"/>
      <c r="FH442" s="21"/>
      <c r="FI442" s="21"/>
    </row>
    <row r="443" spans="1:165"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21"/>
      <c r="CH443" s="21"/>
      <c r="CI443" s="21"/>
      <c r="CJ443" s="21"/>
      <c r="CK443" s="21"/>
      <c r="CL443" s="21"/>
      <c r="CM443" s="21"/>
      <c r="CN443" s="21"/>
      <c r="CO443" s="21"/>
      <c r="CP443" s="21"/>
      <c r="CQ443" s="21"/>
      <c r="CR443" s="21"/>
      <c r="CS443" s="21"/>
      <c r="CT443" s="21"/>
      <c r="CU443" s="21"/>
      <c r="CV443" s="21"/>
      <c r="CW443" s="21"/>
      <c r="CX443" s="21"/>
      <c r="CY443" s="21"/>
      <c r="CZ443" s="21"/>
      <c r="DA443" s="21"/>
      <c r="DB443" s="21"/>
      <c r="DC443" s="21"/>
      <c r="DD443" s="21"/>
      <c r="DE443" s="21"/>
      <c r="DF443" s="21"/>
      <c r="DG443" s="21"/>
      <c r="DH443" s="21"/>
      <c r="DI443" s="21"/>
      <c r="DJ443" s="21"/>
      <c r="DK443" s="21"/>
      <c r="DL443" s="21"/>
      <c r="DM443" s="21"/>
      <c r="DN443" s="21"/>
      <c r="DO443" s="21"/>
      <c r="DP443" s="21"/>
      <c r="DQ443" s="21"/>
      <c r="DR443" s="21"/>
      <c r="DS443" s="21"/>
      <c r="DT443" s="21"/>
      <c r="DU443" s="21"/>
      <c r="DV443" s="21"/>
      <c r="DW443" s="21"/>
      <c r="DX443" s="21"/>
      <c r="DY443" s="21"/>
      <c r="DZ443" s="21"/>
      <c r="EA443" s="21"/>
      <c r="EB443" s="21"/>
      <c r="EC443" s="21"/>
      <c r="ED443" s="21"/>
      <c r="EE443" s="21"/>
      <c r="EF443" s="21"/>
      <c r="EG443" s="21"/>
      <c r="EH443" s="21"/>
      <c r="EI443" s="21"/>
      <c r="EJ443" s="21"/>
      <c r="EK443" s="21"/>
      <c r="EL443" s="21"/>
      <c r="EM443" s="21"/>
      <c r="EN443" s="21"/>
      <c r="EO443" s="21"/>
      <c r="EP443" s="21"/>
      <c r="EQ443" s="21"/>
      <c r="ER443" s="21"/>
      <c r="ES443" s="21"/>
      <c r="ET443" s="21"/>
      <c r="EU443" s="21"/>
      <c r="EV443" s="21"/>
      <c r="EW443" s="21"/>
      <c r="EX443" s="21"/>
      <c r="EY443" s="21"/>
      <c r="EZ443" s="21"/>
      <c r="FA443" s="21"/>
      <c r="FB443" s="21"/>
      <c r="FC443" s="21"/>
      <c r="FD443" s="21"/>
      <c r="FE443" s="21"/>
      <c r="FF443" s="21"/>
      <c r="FG443" s="21"/>
      <c r="FH443" s="21"/>
      <c r="FI443" s="21"/>
    </row>
    <row r="444" spans="1:165"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c r="DB444" s="21"/>
      <c r="DC444" s="21"/>
      <c r="DD444" s="21"/>
      <c r="DE444" s="21"/>
      <c r="DF444" s="21"/>
      <c r="DG444" s="21"/>
      <c r="DH444" s="21"/>
      <c r="DI444" s="21"/>
      <c r="DJ444" s="21"/>
      <c r="DK444" s="21"/>
      <c r="DL444" s="21"/>
      <c r="DM444" s="21"/>
      <c r="DN444" s="21"/>
      <c r="DO444" s="21"/>
      <c r="DP444" s="21"/>
      <c r="DQ444" s="21"/>
      <c r="DR444" s="21"/>
      <c r="DS444" s="21"/>
      <c r="DT444" s="21"/>
      <c r="DU444" s="21"/>
      <c r="DV444" s="21"/>
      <c r="DW444" s="21"/>
      <c r="DX444" s="21"/>
      <c r="DY444" s="21"/>
      <c r="DZ444" s="21"/>
      <c r="EA444" s="21"/>
      <c r="EB444" s="21"/>
      <c r="EC444" s="21"/>
      <c r="ED444" s="21"/>
      <c r="EE444" s="21"/>
      <c r="EF444" s="21"/>
      <c r="EG444" s="21"/>
      <c r="EH444" s="21"/>
      <c r="EI444" s="21"/>
      <c r="EJ444" s="21"/>
      <c r="EK444" s="21"/>
      <c r="EL444" s="21"/>
      <c r="EM444" s="21"/>
      <c r="EN444" s="21"/>
      <c r="EO444" s="21"/>
      <c r="EP444" s="21"/>
      <c r="EQ444" s="21"/>
      <c r="ER444" s="21"/>
      <c r="ES444" s="21"/>
      <c r="ET444" s="21"/>
      <c r="EU444" s="21"/>
      <c r="EV444" s="21"/>
      <c r="EW444" s="21"/>
      <c r="EX444" s="21"/>
      <c r="EY444" s="21"/>
      <c r="EZ444" s="21"/>
      <c r="FA444" s="21"/>
      <c r="FB444" s="21"/>
      <c r="FC444" s="21"/>
      <c r="FD444" s="21"/>
      <c r="FE444" s="21"/>
      <c r="FF444" s="21"/>
      <c r="FG444" s="21"/>
      <c r="FH444" s="21"/>
      <c r="FI444" s="21"/>
    </row>
    <row r="445" spans="1:165"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c r="DB445" s="21"/>
      <c r="DC445" s="21"/>
      <c r="DD445" s="21"/>
      <c r="DE445" s="21"/>
      <c r="DF445" s="21"/>
      <c r="DG445" s="21"/>
      <c r="DH445" s="21"/>
      <c r="DI445" s="21"/>
      <c r="DJ445" s="21"/>
      <c r="DK445" s="21"/>
      <c r="DL445" s="21"/>
      <c r="DM445" s="21"/>
      <c r="DN445" s="21"/>
      <c r="DO445" s="21"/>
      <c r="DP445" s="21"/>
      <c r="DQ445" s="21"/>
      <c r="DR445" s="21"/>
      <c r="DS445" s="21"/>
      <c r="DT445" s="21"/>
      <c r="DU445" s="21"/>
      <c r="DV445" s="21"/>
      <c r="DW445" s="21"/>
      <c r="DX445" s="21"/>
      <c r="DY445" s="21"/>
      <c r="DZ445" s="21"/>
      <c r="EA445" s="21"/>
      <c r="EB445" s="21"/>
      <c r="EC445" s="21"/>
      <c r="ED445" s="21"/>
      <c r="EE445" s="21"/>
      <c r="EF445" s="21"/>
      <c r="EG445" s="21"/>
      <c r="EH445" s="21"/>
      <c r="EI445" s="21"/>
      <c r="EJ445" s="21"/>
      <c r="EK445" s="21"/>
      <c r="EL445" s="21"/>
      <c r="EM445" s="21"/>
      <c r="EN445" s="21"/>
      <c r="EO445" s="21"/>
      <c r="EP445" s="21"/>
      <c r="EQ445" s="21"/>
      <c r="ER445" s="21"/>
      <c r="ES445" s="21"/>
      <c r="ET445" s="21"/>
      <c r="EU445" s="21"/>
      <c r="EV445" s="21"/>
      <c r="EW445" s="21"/>
      <c r="EX445" s="21"/>
      <c r="EY445" s="21"/>
      <c r="EZ445" s="21"/>
      <c r="FA445" s="21"/>
      <c r="FB445" s="21"/>
      <c r="FC445" s="21"/>
      <c r="FD445" s="21"/>
      <c r="FE445" s="21"/>
      <c r="FF445" s="21"/>
      <c r="FG445" s="21"/>
      <c r="FH445" s="21"/>
      <c r="FI445" s="21"/>
    </row>
    <row r="446" spans="1:165"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c r="DB446" s="21"/>
      <c r="DC446" s="21"/>
      <c r="DD446" s="21"/>
      <c r="DE446" s="21"/>
      <c r="DF446" s="21"/>
      <c r="DG446" s="21"/>
      <c r="DH446" s="21"/>
      <c r="DI446" s="21"/>
      <c r="DJ446" s="21"/>
      <c r="DK446" s="21"/>
      <c r="DL446" s="21"/>
      <c r="DM446" s="21"/>
      <c r="DN446" s="21"/>
      <c r="DO446" s="21"/>
      <c r="DP446" s="21"/>
      <c r="DQ446" s="21"/>
      <c r="DR446" s="21"/>
      <c r="DS446" s="21"/>
      <c r="DT446" s="21"/>
      <c r="DU446" s="21"/>
      <c r="DV446" s="21"/>
      <c r="DW446" s="21"/>
      <c r="DX446" s="21"/>
      <c r="DY446" s="21"/>
      <c r="DZ446" s="21"/>
      <c r="EA446" s="21"/>
      <c r="EB446" s="21"/>
      <c r="EC446" s="21"/>
      <c r="ED446" s="21"/>
      <c r="EE446" s="21"/>
      <c r="EF446" s="21"/>
      <c r="EG446" s="21"/>
      <c r="EH446" s="21"/>
      <c r="EI446" s="21"/>
      <c r="EJ446" s="21"/>
      <c r="EK446" s="21"/>
      <c r="EL446" s="21"/>
      <c r="EM446" s="21"/>
      <c r="EN446" s="21"/>
      <c r="EO446" s="21"/>
      <c r="EP446" s="21"/>
      <c r="EQ446" s="21"/>
      <c r="ER446" s="21"/>
      <c r="ES446" s="21"/>
      <c r="ET446" s="21"/>
      <c r="EU446" s="21"/>
      <c r="EV446" s="21"/>
      <c r="EW446" s="21"/>
      <c r="EX446" s="21"/>
      <c r="EY446" s="21"/>
      <c r="EZ446" s="21"/>
      <c r="FA446" s="21"/>
      <c r="FB446" s="21"/>
      <c r="FC446" s="21"/>
      <c r="FD446" s="21"/>
      <c r="FE446" s="21"/>
      <c r="FF446" s="21"/>
      <c r="FG446" s="21"/>
      <c r="FH446" s="21"/>
      <c r="FI446" s="21"/>
    </row>
    <row r="447" spans="1:165"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c r="DB447" s="21"/>
      <c r="DC447" s="21"/>
      <c r="DD447" s="21"/>
      <c r="DE447" s="21"/>
      <c r="DF447" s="21"/>
      <c r="DG447" s="21"/>
      <c r="DH447" s="21"/>
      <c r="DI447" s="21"/>
      <c r="DJ447" s="21"/>
      <c r="DK447" s="21"/>
      <c r="DL447" s="21"/>
      <c r="DM447" s="21"/>
      <c r="DN447" s="21"/>
      <c r="DO447" s="21"/>
      <c r="DP447" s="21"/>
      <c r="DQ447" s="21"/>
      <c r="DR447" s="21"/>
      <c r="DS447" s="21"/>
      <c r="DT447" s="21"/>
      <c r="DU447" s="21"/>
      <c r="DV447" s="21"/>
      <c r="DW447" s="21"/>
      <c r="DX447" s="21"/>
      <c r="DY447" s="21"/>
      <c r="DZ447" s="21"/>
      <c r="EA447" s="21"/>
      <c r="EB447" s="21"/>
      <c r="EC447" s="21"/>
      <c r="ED447" s="21"/>
      <c r="EE447" s="21"/>
      <c r="EF447" s="21"/>
      <c r="EG447" s="21"/>
      <c r="EH447" s="21"/>
      <c r="EI447" s="21"/>
      <c r="EJ447" s="21"/>
      <c r="EK447" s="21"/>
      <c r="EL447" s="21"/>
      <c r="EM447" s="21"/>
      <c r="EN447" s="21"/>
      <c r="EO447" s="21"/>
      <c r="EP447" s="21"/>
      <c r="EQ447" s="21"/>
      <c r="ER447" s="21"/>
      <c r="ES447" s="21"/>
      <c r="ET447" s="21"/>
      <c r="EU447" s="21"/>
      <c r="EV447" s="21"/>
      <c r="EW447" s="21"/>
      <c r="EX447" s="21"/>
      <c r="EY447" s="21"/>
      <c r="EZ447" s="21"/>
      <c r="FA447" s="21"/>
      <c r="FB447" s="21"/>
      <c r="FC447" s="21"/>
      <c r="FD447" s="21"/>
      <c r="FE447" s="21"/>
      <c r="FF447" s="21"/>
      <c r="FG447" s="21"/>
      <c r="FH447" s="21"/>
      <c r="FI447" s="21"/>
    </row>
    <row r="448" spans="1:165"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c r="DB448" s="21"/>
      <c r="DC448" s="21"/>
      <c r="DD448" s="21"/>
      <c r="DE448" s="21"/>
      <c r="DF448" s="21"/>
      <c r="DG448" s="21"/>
      <c r="DH448" s="21"/>
      <c r="DI448" s="21"/>
      <c r="DJ448" s="21"/>
      <c r="DK448" s="21"/>
      <c r="DL448" s="21"/>
      <c r="DM448" s="21"/>
      <c r="DN448" s="21"/>
      <c r="DO448" s="21"/>
      <c r="DP448" s="21"/>
      <c r="DQ448" s="21"/>
      <c r="DR448" s="21"/>
      <c r="DS448" s="21"/>
      <c r="DT448" s="21"/>
      <c r="DU448" s="21"/>
      <c r="DV448" s="21"/>
      <c r="DW448" s="21"/>
      <c r="DX448" s="21"/>
      <c r="DY448" s="21"/>
      <c r="DZ448" s="21"/>
      <c r="EA448" s="21"/>
      <c r="EB448" s="21"/>
      <c r="EC448" s="21"/>
      <c r="ED448" s="21"/>
      <c r="EE448" s="21"/>
      <c r="EF448" s="21"/>
      <c r="EG448" s="21"/>
      <c r="EH448" s="21"/>
      <c r="EI448" s="21"/>
      <c r="EJ448" s="21"/>
      <c r="EK448" s="21"/>
      <c r="EL448" s="21"/>
      <c r="EM448" s="21"/>
      <c r="EN448" s="21"/>
      <c r="EO448" s="21"/>
      <c r="EP448" s="21"/>
      <c r="EQ448" s="21"/>
      <c r="ER448" s="21"/>
      <c r="ES448" s="21"/>
      <c r="ET448" s="21"/>
      <c r="EU448" s="21"/>
      <c r="EV448" s="21"/>
      <c r="EW448" s="21"/>
      <c r="EX448" s="21"/>
      <c r="EY448" s="21"/>
      <c r="EZ448" s="21"/>
      <c r="FA448" s="21"/>
      <c r="FB448" s="21"/>
      <c r="FC448" s="21"/>
      <c r="FD448" s="21"/>
      <c r="FE448" s="21"/>
      <c r="FF448" s="21"/>
      <c r="FG448" s="21"/>
      <c r="FH448" s="21"/>
      <c r="FI448" s="21"/>
    </row>
    <row r="449" spans="1:165"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21"/>
      <c r="CH449" s="21"/>
      <c r="CI449" s="21"/>
      <c r="CJ449" s="21"/>
      <c r="CK449" s="21"/>
      <c r="CL449" s="21"/>
      <c r="CM449" s="21"/>
      <c r="CN449" s="21"/>
      <c r="CO449" s="21"/>
      <c r="CP449" s="21"/>
      <c r="CQ449" s="21"/>
      <c r="CR449" s="21"/>
      <c r="CS449" s="21"/>
      <c r="CT449" s="21"/>
      <c r="CU449" s="21"/>
      <c r="CV449" s="21"/>
      <c r="CW449" s="21"/>
      <c r="CX449" s="21"/>
      <c r="CY449" s="21"/>
      <c r="CZ449" s="21"/>
      <c r="DA449" s="21"/>
      <c r="DB449" s="21"/>
      <c r="DC449" s="21"/>
      <c r="DD449" s="21"/>
      <c r="DE449" s="21"/>
      <c r="DF449" s="21"/>
      <c r="DG449" s="21"/>
      <c r="DH449" s="21"/>
      <c r="DI449" s="21"/>
      <c r="DJ449" s="21"/>
      <c r="DK449" s="21"/>
      <c r="DL449" s="21"/>
      <c r="DM449" s="21"/>
      <c r="DN449" s="21"/>
      <c r="DO449" s="21"/>
      <c r="DP449" s="21"/>
      <c r="DQ449" s="21"/>
      <c r="DR449" s="21"/>
      <c r="DS449" s="21"/>
      <c r="DT449" s="21"/>
      <c r="DU449" s="21"/>
      <c r="DV449" s="21"/>
      <c r="DW449" s="21"/>
      <c r="DX449" s="21"/>
      <c r="DY449" s="21"/>
      <c r="DZ449" s="21"/>
      <c r="EA449" s="21"/>
      <c r="EB449" s="21"/>
      <c r="EC449" s="21"/>
      <c r="ED449" s="21"/>
      <c r="EE449" s="21"/>
      <c r="EF449" s="21"/>
      <c r="EG449" s="21"/>
      <c r="EH449" s="21"/>
      <c r="EI449" s="21"/>
      <c r="EJ449" s="21"/>
      <c r="EK449" s="21"/>
      <c r="EL449" s="21"/>
      <c r="EM449" s="21"/>
      <c r="EN449" s="21"/>
      <c r="EO449" s="21"/>
      <c r="EP449" s="21"/>
      <c r="EQ449" s="21"/>
      <c r="ER449" s="21"/>
      <c r="ES449" s="21"/>
      <c r="ET449" s="21"/>
      <c r="EU449" s="21"/>
      <c r="EV449" s="21"/>
      <c r="EW449" s="21"/>
      <c r="EX449" s="21"/>
      <c r="EY449" s="21"/>
      <c r="EZ449" s="21"/>
      <c r="FA449" s="21"/>
      <c r="FB449" s="21"/>
      <c r="FC449" s="21"/>
      <c r="FD449" s="21"/>
      <c r="FE449" s="21"/>
      <c r="FF449" s="21"/>
      <c r="FG449" s="21"/>
      <c r="FH449" s="21"/>
      <c r="FI449" s="21"/>
    </row>
    <row r="450" spans="1:165"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21"/>
      <c r="CH450" s="21"/>
      <c r="CI450" s="21"/>
      <c r="CJ450" s="21"/>
      <c r="CK450" s="21"/>
      <c r="CL450" s="21"/>
      <c r="CM450" s="21"/>
      <c r="CN450" s="21"/>
      <c r="CO450" s="21"/>
      <c r="CP450" s="21"/>
      <c r="CQ450" s="21"/>
      <c r="CR450" s="21"/>
      <c r="CS450" s="21"/>
      <c r="CT450" s="21"/>
      <c r="CU450" s="21"/>
      <c r="CV450" s="21"/>
      <c r="CW450" s="21"/>
      <c r="CX450" s="21"/>
      <c r="CY450" s="21"/>
      <c r="CZ450" s="21"/>
      <c r="DA450" s="21"/>
      <c r="DB450" s="21"/>
      <c r="DC450" s="21"/>
      <c r="DD450" s="21"/>
      <c r="DE450" s="21"/>
      <c r="DF450" s="21"/>
      <c r="DG450" s="21"/>
      <c r="DH450" s="21"/>
      <c r="DI450" s="21"/>
      <c r="DJ450" s="21"/>
      <c r="DK450" s="21"/>
      <c r="DL450" s="21"/>
      <c r="DM450" s="21"/>
      <c r="DN450" s="21"/>
      <c r="DO450" s="21"/>
      <c r="DP450" s="21"/>
      <c r="DQ450" s="21"/>
      <c r="DR450" s="21"/>
      <c r="DS450" s="21"/>
      <c r="DT450" s="21"/>
      <c r="DU450" s="21"/>
      <c r="DV450" s="21"/>
      <c r="DW450" s="21"/>
      <c r="DX450" s="21"/>
      <c r="DY450" s="21"/>
      <c r="DZ450" s="21"/>
      <c r="EA450" s="21"/>
      <c r="EB450" s="21"/>
      <c r="EC450" s="21"/>
      <c r="ED450" s="21"/>
      <c r="EE450" s="21"/>
      <c r="EF450" s="21"/>
      <c r="EG450" s="21"/>
      <c r="EH450" s="21"/>
      <c r="EI450" s="21"/>
      <c r="EJ450" s="21"/>
      <c r="EK450" s="21"/>
      <c r="EL450" s="21"/>
      <c r="EM450" s="21"/>
      <c r="EN450" s="21"/>
      <c r="EO450" s="21"/>
      <c r="EP450" s="21"/>
      <c r="EQ450" s="21"/>
      <c r="ER450" s="21"/>
      <c r="ES450" s="21"/>
      <c r="ET450" s="21"/>
      <c r="EU450" s="21"/>
      <c r="EV450" s="21"/>
      <c r="EW450" s="21"/>
      <c r="EX450" s="21"/>
      <c r="EY450" s="21"/>
      <c r="EZ450" s="21"/>
      <c r="FA450" s="21"/>
      <c r="FB450" s="21"/>
      <c r="FC450" s="21"/>
      <c r="FD450" s="21"/>
      <c r="FE450" s="21"/>
      <c r="FF450" s="21"/>
      <c r="FG450" s="21"/>
      <c r="FH450" s="21"/>
      <c r="FI450" s="21"/>
    </row>
    <row r="451" spans="1:165"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21"/>
      <c r="CH451" s="21"/>
      <c r="CI451" s="21"/>
      <c r="CJ451" s="21"/>
      <c r="CK451" s="21"/>
      <c r="CL451" s="21"/>
      <c r="CM451" s="21"/>
      <c r="CN451" s="21"/>
      <c r="CO451" s="21"/>
      <c r="CP451" s="21"/>
      <c r="CQ451" s="21"/>
      <c r="CR451" s="21"/>
      <c r="CS451" s="21"/>
      <c r="CT451" s="21"/>
      <c r="CU451" s="21"/>
      <c r="CV451" s="21"/>
      <c r="CW451" s="21"/>
      <c r="CX451" s="21"/>
      <c r="CY451" s="21"/>
      <c r="CZ451" s="21"/>
      <c r="DA451" s="21"/>
      <c r="DB451" s="21"/>
      <c r="DC451" s="21"/>
      <c r="DD451" s="21"/>
      <c r="DE451" s="21"/>
      <c r="DF451" s="21"/>
      <c r="DG451" s="21"/>
      <c r="DH451" s="21"/>
      <c r="DI451" s="21"/>
      <c r="DJ451" s="21"/>
      <c r="DK451" s="21"/>
      <c r="DL451" s="21"/>
      <c r="DM451" s="21"/>
      <c r="DN451" s="21"/>
      <c r="DO451" s="21"/>
      <c r="DP451" s="21"/>
      <c r="DQ451" s="21"/>
      <c r="DR451" s="21"/>
      <c r="DS451" s="21"/>
      <c r="DT451" s="21"/>
      <c r="DU451" s="21"/>
      <c r="DV451" s="21"/>
      <c r="DW451" s="21"/>
      <c r="DX451" s="21"/>
      <c r="DY451" s="21"/>
      <c r="DZ451" s="21"/>
      <c r="EA451" s="21"/>
      <c r="EB451" s="21"/>
      <c r="EC451" s="21"/>
      <c r="ED451" s="21"/>
      <c r="EE451" s="21"/>
      <c r="EF451" s="21"/>
      <c r="EG451" s="21"/>
      <c r="EH451" s="21"/>
      <c r="EI451" s="21"/>
      <c r="EJ451" s="21"/>
      <c r="EK451" s="21"/>
      <c r="EL451" s="21"/>
      <c r="EM451" s="21"/>
      <c r="EN451" s="21"/>
      <c r="EO451" s="21"/>
      <c r="EP451" s="21"/>
      <c r="EQ451" s="21"/>
      <c r="ER451" s="21"/>
      <c r="ES451" s="21"/>
      <c r="ET451" s="21"/>
      <c r="EU451" s="21"/>
      <c r="EV451" s="21"/>
      <c r="EW451" s="21"/>
      <c r="EX451" s="21"/>
      <c r="EY451" s="21"/>
      <c r="EZ451" s="21"/>
      <c r="FA451" s="21"/>
      <c r="FB451" s="21"/>
      <c r="FC451" s="21"/>
      <c r="FD451" s="21"/>
      <c r="FE451" s="21"/>
      <c r="FF451" s="21"/>
      <c r="FG451" s="21"/>
      <c r="FH451" s="21"/>
      <c r="FI451" s="21"/>
    </row>
    <row r="452" spans="1:165"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c r="DB452" s="21"/>
      <c r="DC452" s="21"/>
      <c r="DD452" s="21"/>
      <c r="DE452" s="21"/>
      <c r="DF452" s="21"/>
      <c r="DG452" s="21"/>
      <c r="DH452" s="21"/>
      <c r="DI452" s="21"/>
      <c r="DJ452" s="21"/>
      <c r="DK452" s="21"/>
      <c r="DL452" s="21"/>
      <c r="DM452" s="21"/>
      <c r="DN452" s="21"/>
      <c r="DO452" s="21"/>
      <c r="DP452" s="21"/>
      <c r="DQ452" s="21"/>
      <c r="DR452" s="21"/>
      <c r="DS452" s="21"/>
      <c r="DT452" s="21"/>
      <c r="DU452" s="21"/>
      <c r="DV452" s="21"/>
      <c r="DW452" s="21"/>
      <c r="DX452" s="21"/>
      <c r="DY452" s="21"/>
      <c r="DZ452" s="21"/>
      <c r="EA452" s="21"/>
      <c r="EB452" s="21"/>
      <c r="EC452" s="21"/>
      <c r="ED452" s="21"/>
      <c r="EE452" s="21"/>
      <c r="EF452" s="21"/>
      <c r="EG452" s="21"/>
      <c r="EH452" s="21"/>
      <c r="EI452" s="21"/>
      <c r="EJ452" s="21"/>
      <c r="EK452" s="21"/>
      <c r="EL452" s="21"/>
      <c r="EM452" s="21"/>
      <c r="EN452" s="21"/>
      <c r="EO452" s="21"/>
      <c r="EP452" s="21"/>
      <c r="EQ452" s="21"/>
      <c r="ER452" s="21"/>
      <c r="ES452" s="21"/>
      <c r="ET452" s="21"/>
      <c r="EU452" s="21"/>
      <c r="EV452" s="21"/>
      <c r="EW452" s="21"/>
      <c r="EX452" s="21"/>
      <c r="EY452" s="21"/>
      <c r="EZ452" s="21"/>
      <c r="FA452" s="21"/>
      <c r="FB452" s="21"/>
      <c r="FC452" s="21"/>
      <c r="FD452" s="21"/>
      <c r="FE452" s="21"/>
      <c r="FF452" s="21"/>
      <c r="FG452" s="21"/>
      <c r="FH452" s="21"/>
      <c r="FI452" s="21"/>
    </row>
    <row r="453" spans="1:165"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c r="DB453" s="21"/>
      <c r="DC453" s="21"/>
      <c r="DD453" s="21"/>
      <c r="DE453" s="21"/>
      <c r="DF453" s="21"/>
      <c r="DG453" s="21"/>
      <c r="DH453" s="21"/>
      <c r="DI453" s="21"/>
      <c r="DJ453" s="21"/>
      <c r="DK453" s="21"/>
      <c r="DL453" s="21"/>
      <c r="DM453" s="21"/>
      <c r="DN453" s="21"/>
      <c r="DO453" s="21"/>
      <c r="DP453" s="21"/>
      <c r="DQ453" s="21"/>
      <c r="DR453" s="21"/>
      <c r="DS453" s="21"/>
      <c r="DT453" s="21"/>
      <c r="DU453" s="21"/>
      <c r="DV453" s="21"/>
      <c r="DW453" s="21"/>
      <c r="DX453" s="21"/>
      <c r="DY453" s="21"/>
      <c r="DZ453" s="21"/>
      <c r="EA453" s="21"/>
      <c r="EB453" s="21"/>
      <c r="EC453" s="21"/>
      <c r="ED453" s="21"/>
      <c r="EE453" s="21"/>
      <c r="EF453" s="21"/>
      <c r="EG453" s="21"/>
      <c r="EH453" s="21"/>
      <c r="EI453" s="21"/>
      <c r="EJ453" s="21"/>
      <c r="EK453" s="21"/>
      <c r="EL453" s="21"/>
      <c r="EM453" s="21"/>
      <c r="EN453" s="21"/>
      <c r="EO453" s="21"/>
      <c r="EP453" s="21"/>
      <c r="EQ453" s="21"/>
      <c r="ER453" s="21"/>
      <c r="ES453" s="21"/>
      <c r="ET453" s="21"/>
      <c r="EU453" s="21"/>
      <c r="EV453" s="21"/>
      <c r="EW453" s="21"/>
      <c r="EX453" s="21"/>
      <c r="EY453" s="21"/>
      <c r="EZ453" s="21"/>
      <c r="FA453" s="21"/>
      <c r="FB453" s="21"/>
      <c r="FC453" s="21"/>
      <c r="FD453" s="21"/>
      <c r="FE453" s="21"/>
      <c r="FF453" s="21"/>
      <c r="FG453" s="21"/>
      <c r="FH453" s="21"/>
      <c r="FI453" s="21"/>
    </row>
    <row r="454" spans="1:165"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c r="DE454" s="21"/>
      <c r="DF454" s="21"/>
      <c r="DG454" s="21"/>
      <c r="DH454" s="21"/>
      <c r="DI454" s="21"/>
      <c r="DJ454" s="21"/>
      <c r="DK454" s="21"/>
      <c r="DL454" s="21"/>
      <c r="DM454" s="21"/>
      <c r="DN454" s="21"/>
      <c r="DO454" s="21"/>
      <c r="DP454" s="21"/>
      <c r="DQ454" s="21"/>
      <c r="DR454" s="21"/>
      <c r="DS454" s="21"/>
      <c r="DT454" s="21"/>
      <c r="DU454" s="21"/>
      <c r="DV454" s="21"/>
      <c r="DW454" s="21"/>
      <c r="DX454" s="21"/>
      <c r="DY454" s="21"/>
      <c r="DZ454" s="21"/>
      <c r="EA454" s="21"/>
      <c r="EB454" s="21"/>
      <c r="EC454" s="21"/>
      <c r="ED454" s="21"/>
      <c r="EE454" s="21"/>
      <c r="EF454" s="21"/>
      <c r="EG454" s="21"/>
      <c r="EH454" s="21"/>
      <c r="EI454" s="21"/>
      <c r="EJ454" s="21"/>
      <c r="EK454" s="21"/>
      <c r="EL454" s="21"/>
      <c r="EM454" s="21"/>
      <c r="EN454" s="21"/>
      <c r="EO454" s="21"/>
      <c r="EP454" s="21"/>
      <c r="EQ454" s="21"/>
      <c r="ER454" s="21"/>
      <c r="ES454" s="21"/>
      <c r="ET454" s="21"/>
      <c r="EU454" s="21"/>
      <c r="EV454" s="21"/>
      <c r="EW454" s="21"/>
      <c r="EX454" s="21"/>
      <c r="EY454" s="21"/>
      <c r="EZ454" s="21"/>
      <c r="FA454" s="21"/>
      <c r="FB454" s="21"/>
      <c r="FC454" s="21"/>
      <c r="FD454" s="21"/>
      <c r="FE454" s="21"/>
      <c r="FF454" s="21"/>
      <c r="FG454" s="21"/>
      <c r="FH454" s="21"/>
      <c r="FI454" s="21"/>
    </row>
    <row r="455" spans="1:165"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c r="DB455" s="21"/>
      <c r="DC455" s="21"/>
      <c r="DD455" s="21"/>
      <c r="DE455" s="21"/>
      <c r="DF455" s="21"/>
      <c r="DG455" s="21"/>
      <c r="DH455" s="21"/>
      <c r="DI455" s="21"/>
      <c r="DJ455" s="21"/>
      <c r="DK455" s="21"/>
      <c r="DL455" s="21"/>
      <c r="DM455" s="21"/>
      <c r="DN455" s="21"/>
      <c r="DO455" s="21"/>
      <c r="DP455" s="21"/>
      <c r="DQ455" s="21"/>
      <c r="DR455" s="21"/>
      <c r="DS455" s="21"/>
      <c r="DT455" s="21"/>
      <c r="DU455" s="21"/>
      <c r="DV455" s="21"/>
      <c r="DW455" s="21"/>
      <c r="DX455" s="21"/>
      <c r="DY455" s="21"/>
      <c r="DZ455" s="21"/>
      <c r="EA455" s="21"/>
      <c r="EB455" s="21"/>
      <c r="EC455" s="21"/>
      <c r="ED455" s="21"/>
      <c r="EE455" s="21"/>
      <c r="EF455" s="21"/>
      <c r="EG455" s="21"/>
      <c r="EH455" s="21"/>
      <c r="EI455" s="21"/>
      <c r="EJ455" s="21"/>
      <c r="EK455" s="21"/>
      <c r="EL455" s="21"/>
      <c r="EM455" s="21"/>
      <c r="EN455" s="21"/>
      <c r="EO455" s="21"/>
      <c r="EP455" s="21"/>
      <c r="EQ455" s="21"/>
      <c r="ER455" s="21"/>
      <c r="ES455" s="21"/>
      <c r="ET455" s="21"/>
      <c r="EU455" s="21"/>
      <c r="EV455" s="21"/>
      <c r="EW455" s="21"/>
      <c r="EX455" s="21"/>
      <c r="EY455" s="21"/>
      <c r="EZ455" s="21"/>
      <c r="FA455" s="21"/>
      <c r="FB455" s="21"/>
      <c r="FC455" s="21"/>
      <c r="FD455" s="21"/>
      <c r="FE455" s="21"/>
      <c r="FF455" s="21"/>
      <c r="FG455" s="21"/>
      <c r="FH455" s="21"/>
      <c r="FI455" s="21"/>
    </row>
    <row r="456" spans="1:165"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c r="DB456" s="21"/>
      <c r="DC456" s="21"/>
      <c r="DD456" s="21"/>
      <c r="DE456" s="21"/>
      <c r="DF456" s="21"/>
      <c r="DG456" s="21"/>
      <c r="DH456" s="21"/>
      <c r="DI456" s="21"/>
      <c r="DJ456" s="21"/>
      <c r="DK456" s="21"/>
      <c r="DL456" s="21"/>
      <c r="DM456" s="21"/>
      <c r="DN456" s="21"/>
      <c r="DO456" s="21"/>
      <c r="DP456" s="21"/>
      <c r="DQ456" s="21"/>
      <c r="DR456" s="21"/>
      <c r="DS456" s="21"/>
      <c r="DT456" s="21"/>
      <c r="DU456" s="21"/>
      <c r="DV456" s="21"/>
      <c r="DW456" s="21"/>
      <c r="DX456" s="21"/>
      <c r="DY456" s="21"/>
      <c r="DZ456" s="21"/>
      <c r="EA456" s="21"/>
      <c r="EB456" s="21"/>
      <c r="EC456" s="21"/>
      <c r="ED456" s="21"/>
      <c r="EE456" s="21"/>
      <c r="EF456" s="21"/>
      <c r="EG456" s="21"/>
      <c r="EH456" s="21"/>
      <c r="EI456" s="21"/>
      <c r="EJ456" s="21"/>
      <c r="EK456" s="21"/>
      <c r="EL456" s="21"/>
      <c r="EM456" s="21"/>
      <c r="EN456" s="21"/>
      <c r="EO456" s="21"/>
      <c r="EP456" s="21"/>
      <c r="EQ456" s="21"/>
      <c r="ER456" s="21"/>
      <c r="ES456" s="21"/>
      <c r="ET456" s="21"/>
      <c r="EU456" s="21"/>
      <c r="EV456" s="21"/>
      <c r="EW456" s="21"/>
      <c r="EX456" s="21"/>
      <c r="EY456" s="21"/>
      <c r="EZ456" s="21"/>
      <c r="FA456" s="21"/>
      <c r="FB456" s="21"/>
      <c r="FC456" s="21"/>
      <c r="FD456" s="21"/>
      <c r="FE456" s="21"/>
      <c r="FF456" s="21"/>
      <c r="FG456" s="21"/>
      <c r="FH456" s="21"/>
      <c r="FI456" s="21"/>
    </row>
    <row r="457" spans="1:165"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c r="DB457" s="21"/>
      <c r="DC457" s="21"/>
      <c r="DD457" s="21"/>
      <c r="DE457" s="21"/>
      <c r="DF457" s="21"/>
      <c r="DG457" s="21"/>
      <c r="DH457" s="21"/>
      <c r="DI457" s="21"/>
      <c r="DJ457" s="21"/>
      <c r="DK457" s="21"/>
      <c r="DL457" s="21"/>
      <c r="DM457" s="21"/>
      <c r="DN457" s="21"/>
      <c r="DO457" s="21"/>
      <c r="DP457" s="21"/>
      <c r="DQ457" s="21"/>
      <c r="DR457" s="21"/>
      <c r="DS457" s="21"/>
      <c r="DT457" s="21"/>
      <c r="DU457" s="21"/>
      <c r="DV457" s="21"/>
      <c r="DW457" s="21"/>
      <c r="DX457" s="21"/>
      <c r="DY457" s="21"/>
      <c r="DZ457" s="21"/>
      <c r="EA457" s="21"/>
      <c r="EB457" s="21"/>
      <c r="EC457" s="21"/>
      <c r="ED457" s="21"/>
      <c r="EE457" s="21"/>
      <c r="EF457" s="21"/>
      <c r="EG457" s="21"/>
      <c r="EH457" s="21"/>
      <c r="EI457" s="21"/>
      <c r="EJ457" s="21"/>
      <c r="EK457" s="21"/>
      <c r="EL457" s="21"/>
      <c r="EM457" s="21"/>
      <c r="EN457" s="21"/>
      <c r="EO457" s="21"/>
      <c r="EP457" s="21"/>
      <c r="EQ457" s="21"/>
      <c r="ER457" s="21"/>
      <c r="ES457" s="21"/>
      <c r="ET457" s="21"/>
      <c r="EU457" s="21"/>
      <c r="EV457" s="21"/>
      <c r="EW457" s="21"/>
      <c r="EX457" s="21"/>
      <c r="EY457" s="21"/>
      <c r="EZ457" s="21"/>
      <c r="FA457" s="21"/>
      <c r="FB457" s="21"/>
      <c r="FC457" s="21"/>
      <c r="FD457" s="21"/>
      <c r="FE457" s="21"/>
      <c r="FF457" s="21"/>
      <c r="FG457" s="21"/>
      <c r="FH457" s="21"/>
      <c r="FI457" s="21"/>
    </row>
    <row r="458" spans="1:165"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c r="DB458" s="21"/>
      <c r="DC458" s="21"/>
      <c r="DD458" s="21"/>
      <c r="DE458" s="21"/>
      <c r="DF458" s="21"/>
      <c r="DG458" s="21"/>
      <c r="DH458" s="21"/>
      <c r="DI458" s="21"/>
      <c r="DJ458" s="21"/>
      <c r="DK458" s="21"/>
      <c r="DL458" s="21"/>
      <c r="DM458" s="21"/>
      <c r="DN458" s="21"/>
      <c r="DO458" s="21"/>
      <c r="DP458" s="21"/>
      <c r="DQ458" s="21"/>
      <c r="DR458" s="21"/>
      <c r="DS458" s="21"/>
      <c r="DT458" s="21"/>
      <c r="DU458" s="21"/>
      <c r="DV458" s="21"/>
      <c r="DW458" s="21"/>
      <c r="DX458" s="21"/>
      <c r="DY458" s="21"/>
      <c r="DZ458" s="21"/>
      <c r="EA458" s="21"/>
      <c r="EB458" s="21"/>
      <c r="EC458" s="21"/>
      <c r="ED458" s="21"/>
      <c r="EE458" s="21"/>
      <c r="EF458" s="21"/>
      <c r="EG458" s="21"/>
      <c r="EH458" s="21"/>
      <c r="EI458" s="21"/>
      <c r="EJ458" s="21"/>
      <c r="EK458" s="21"/>
      <c r="EL458" s="21"/>
      <c r="EM458" s="21"/>
      <c r="EN458" s="21"/>
      <c r="EO458" s="21"/>
      <c r="EP458" s="21"/>
      <c r="EQ458" s="21"/>
      <c r="ER458" s="21"/>
      <c r="ES458" s="21"/>
      <c r="ET458" s="21"/>
      <c r="EU458" s="21"/>
      <c r="EV458" s="21"/>
      <c r="EW458" s="21"/>
      <c r="EX458" s="21"/>
      <c r="EY458" s="21"/>
      <c r="EZ458" s="21"/>
      <c r="FA458" s="21"/>
      <c r="FB458" s="21"/>
      <c r="FC458" s="21"/>
      <c r="FD458" s="21"/>
      <c r="FE458" s="21"/>
      <c r="FF458" s="21"/>
      <c r="FG458" s="21"/>
      <c r="FH458" s="21"/>
      <c r="FI458" s="21"/>
    </row>
    <row r="459" spans="1:165"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21"/>
      <c r="CH459" s="21"/>
      <c r="CI459" s="21"/>
      <c r="CJ459" s="21"/>
      <c r="CK459" s="21"/>
      <c r="CL459" s="21"/>
      <c r="CM459" s="21"/>
      <c r="CN459" s="21"/>
      <c r="CO459" s="21"/>
      <c r="CP459" s="21"/>
      <c r="CQ459" s="21"/>
      <c r="CR459" s="21"/>
      <c r="CS459" s="21"/>
      <c r="CT459" s="21"/>
      <c r="CU459" s="21"/>
      <c r="CV459" s="21"/>
      <c r="CW459" s="21"/>
      <c r="CX459" s="21"/>
      <c r="CY459" s="21"/>
      <c r="CZ459" s="21"/>
      <c r="DA459" s="21"/>
      <c r="DB459" s="21"/>
      <c r="DC459" s="21"/>
      <c r="DD459" s="21"/>
      <c r="DE459" s="21"/>
      <c r="DF459" s="21"/>
      <c r="DG459" s="21"/>
      <c r="DH459" s="21"/>
      <c r="DI459" s="21"/>
      <c r="DJ459" s="21"/>
      <c r="DK459" s="21"/>
      <c r="DL459" s="21"/>
      <c r="DM459" s="21"/>
      <c r="DN459" s="21"/>
      <c r="DO459" s="21"/>
      <c r="DP459" s="21"/>
      <c r="DQ459" s="21"/>
      <c r="DR459" s="21"/>
      <c r="DS459" s="21"/>
      <c r="DT459" s="21"/>
      <c r="DU459" s="21"/>
      <c r="DV459" s="21"/>
      <c r="DW459" s="21"/>
      <c r="DX459" s="21"/>
      <c r="DY459" s="21"/>
      <c r="DZ459" s="21"/>
      <c r="EA459" s="21"/>
      <c r="EB459" s="21"/>
      <c r="EC459" s="21"/>
      <c r="ED459" s="21"/>
      <c r="EE459" s="21"/>
      <c r="EF459" s="21"/>
      <c r="EG459" s="21"/>
      <c r="EH459" s="21"/>
      <c r="EI459" s="21"/>
      <c r="EJ459" s="21"/>
      <c r="EK459" s="21"/>
      <c r="EL459" s="21"/>
      <c r="EM459" s="21"/>
      <c r="EN459" s="21"/>
      <c r="EO459" s="21"/>
      <c r="EP459" s="21"/>
      <c r="EQ459" s="21"/>
      <c r="ER459" s="21"/>
      <c r="ES459" s="21"/>
      <c r="ET459" s="21"/>
      <c r="EU459" s="21"/>
      <c r="EV459" s="21"/>
      <c r="EW459" s="21"/>
      <c r="EX459" s="21"/>
      <c r="EY459" s="21"/>
      <c r="EZ459" s="21"/>
      <c r="FA459" s="21"/>
      <c r="FB459" s="21"/>
      <c r="FC459" s="21"/>
      <c r="FD459" s="21"/>
      <c r="FE459" s="21"/>
      <c r="FF459" s="21"/>
      <c r="FG459" s="21"/>
      <c r="FH459" s="21"/>
      <c r="FI459" s="21"/>
    </row>
    <row r="460" spans="1:165"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21"/>
      <c r="CH460" s="21"/>
      <c r="CI460" s="21"/>
      <c r="CJ460" s="21"/>
      <c r="CK460" s="21"/>
      <c r="CL460" s="21"/>
      <c r="CM460" s="21"/>
      <c r="CN460" s="21"/>
      <c r="CO460" s="21"/>
      <c r="CP460" s="21"/>
      <c r="CQ460" s="21"/>
      <c r="CR460" s="21"/>
      <c r="CS460" s="21"/>
      <c r="CT460" s="21"/>
      <c r="CU460" s="21"/>
      <c r="CV460" s="21"/>
      <c r="CW460" s="21"/>
      <c r="CX460" s="21"/>
      <c r="CY460" s="21"/>
      <c r="CZ460" s="21"/>
      <c r="DA460" s="21"/>
      <c r="DB460" s="21"/>
      <c r="DC460" s="21"/>
      <c r="DD460" s="21"/>
      <c r="DE460" s="21"/>
      <c r="DF460" s="21"/>
      <c r="DG460" s="21"/>
      <c r="DH460" s="21"/>
      <c r="DI460" s="21"/>
      <c r="DJ460" s="21"/>
      <c r="DK460" s="21"/>
      <c r="DL460" s="21"/>
      <c r="DM460" s="21"/>
      <c r="DN460" s="21"/>
      <c r="DO460" s="21"/>
      <c r="DP460" s="21"/>
      <c r="DQ460" s="21"/>
      <c r="DR460" s="21"/>
      <c r="DS460" s="21"/>
      <c r="DT460" s="21"/>
      <c r="DU460" s="21"/>
      <c r="DV460" s="21"/>
      <c r="DW460" s="21"/>
      <c r="DX460" s="21"/>
      <c r="DY460" s="21"/>
      <c r="DZ460" s="21"/>
      <c r="EA460" s="21"/>
      <c r="EB460" s="21"/>
      <c r="EC460" s="21"/>
      <c r="ED460" s="21"/>
      <c r="EE460" s="21"/>
      <c r="EF460" s="21"/>
      <c r="EG460" s="21"/>
      <c r="EH460" s="21"/>
      <c r="EI460" s="21"/>
      <c r="EJ460" s="21"/>
      <c r="EK460" s="21"/>
      <c r="EL460" s="21"/>
      <c r="EM460" s="21"/>
      <c r="EN460" s="21"/>
      <c r="EO460" s="21"/>
      <c r="EP460" s="21"/>
      <c r="EQ460" s="21"/>
      <c r="ER460" s="21"/>
      <c r="ES460" s="21"/>
      <c r="ET460" s="21"/>
      <c r="EU460" s="21"/>
      <c r="EV460" s="21"/>
      <c r="EW460" s="21"/>
      <c r="EX460" s="21"/>
      <c r="EY460" s="21"/>
      <c r="EZ460" s="21"/>
      <c r="FA460" s="21"/>
      <c r="FB460" s="21"/>
      <c r="FC460" s="21"/>
      <c r="FD460" s="21"/>
      <c r="FE460" s="21"/>
      <c r="FF460" s="21"/>
      <c r="FG460" s="21"/>
      <c r="FH460" s="21"/>
      <c r="FI460" s="21"/>
    </row>
    <row r="461" spans="1:165"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21"/>
      <c r="CH461" s="21"/>
      <c r="CI461" s="21"/>
      <c r="CJ461" s="21"/>
      <c r="CK461" s="21"/>
      <c r="CL461" s="21"/>
      <c r="CM461" s="21"/>
      <c r="CN461" s="21"/>
      <c r="CO461" s="21"/>
      <c r="CP461" s="21"/>
      <c r="CQ461" s="21"/>
      <c r="CR461" s="21"/>
      <c r="CS461" s="21"/>
      <c r="CT461" s="21"/>
      <c r="CU461" s="21"/>
      <c r="CV461" s="21"/>
      <c r="CW461" s="21"/>
      <c r="CX461" s="21"/>
      <c r="CY461" s="21"/>
      <c r="CZ461" s="21"/>
      <c r="DA461" s="21"/>
      <c r="DB461" s="21"/>
      <c r="DC461" s="21"/>
      <c r="DD461" s="21"/>
      <c r="DE461" s="21"/>
      <c r="DF461" s="21"/>
      <c r="DG461" s="21"/>
      <c r="DH461" s="21"/>
      <c r="DI461" s="21"/>
      <c r="DJ461" s="21"/>
      <c r="DK461" s="21"/>
      <c r="DL461" s="21"/>
      <c r="DM461" s="21"/>
      <c r="DN461" s="21"/>
      <c r="DO461" s="21"/>
      <c r="DP461" s="21"/>
      <c r="DQ461" s="21"/>
      <c r="DR461" s="21"/>
      <c r="DS461" s="21"/>
      <c r="DT461" s="21"/>
      <c r="DU461" s="21"/>
      <c r="DV461" s="21"/>
      <c r="DW461" s="21"/>
      <c r="DX461" s="21"/>
      <c r="DY461" s="21"/>
      <c r="DZ461" s="21"/>
      <c r="EA461" s="21"/>
      <c r="EB461" s="21"/>
      <c r="EC461" s="21"/>
      <c r="ED461" s="21"/>
      <c r="EE461" s="21"/>
      <c r="EF461" s="21"/>
      <c r="EG461" s="21"/>
      <c r="EH461" s="21"/>
      <c r="EI461" s="21"/>
      <c r="EJ461" s="21"/>
      <c r="EK461" s="21"/>
      <c r="EL461" s="21"/>
      <c r="EM461" s="21"/>
      <c r="EN461" s="21"/>
      <c r="EO461" s="21"/>
      <c r="EP461" s="21"/>
      <c r="EQ461" s="21"/>
      <c r="ER461" s="21"/>
      <c r="ES461" s="21"/>
      <c r="ET461" s="21"/>
      <c r="EU461" s="21"/>
      <c r="EV461" s="21"/>
      <c r="EW461" s="21"/>
      <c r="EX461" s="21"/>
      <c r="EY461" s="21"/>
      <c r="EZ461" s="21"/>
      <c r="FA461" s="21"/>
      <c r="FB461" s="21"/>
      <c r="FC461" s="21"/>
      <c r="FD461" s="21"/>
      <c r="FE461" s="21"/>
      <c r="FF461" s="21"/>
      <c r="FG461" s="21"/>
      <c r="FH461" s="21"/>
      <c r="FI461" s="21"/>
    </row>
    <row r="462" spans="1:165"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21"/>
      <c r="CH462" s="21"/>
      <c r="CI462" s="21"/>
      <c r="CJ462" s="21"/>
      <c r="CK462" s="21"/>
      <c r="CL462" s="21"/>
      <c r="CM462" s="21"/>
      <c r="CN462" s="21"/>
      <c r="CO462" s="21"/>
      <c r="CP462" s="21"/>
      <c r="CQ462" s="21"/>
      <c r="CR462" s="21"/>
      <c r="CS462" s="21"/>
      <c r="CT462" s="21"/>
      <c r="CU462" s="21"/>
      <c r="CV462" s="21"/>
      <c r="CW462" s="21"/>
      <c r="CX462" s="21"/>
      <c r="CY462" s="21"/>
      <c r="CZ462" s="21"/>
      <c r="DA462" s="21"/>
      <c r="DB462" s="21"/>
      <c r="DC462" s="21"/>
      <c r="DD462" s="21"/>
      <c r="DE462" s="21"/>
      <c r="DF462" s="21"/>
      <c r="DG462" s="21"/>
      <c r="DH462" s="21"/>
      <c r="DI462" s="21"/>
      <c r="DJ462" s="21"/>
      <c r="DK462" s="21"/>
      <c r="DL462" s="21"/>
      <c r="DM462" s="21"/>
      <c r="DN462" s="21"/>
      <c r="DO462" s="21"/>
      <c r="DP462" s="21"/>
      <c r="DQ462" s="21"/>
      <c r="DR462" s="21"/>
      <c r="DS462" s="21"/>
      <c r="DT462" s="21"/>
      <c r="DU462" s="21"/>
      <c r="DV462" s="21"/>
      <c r="DW462" s="21"/>
      <c r="DX462" s="21"/>
      <c r="DY462" s="21"/>
      <c r="DZ462" s="21"/>
      <c r="EA462" s="21"/>
      <c r="EB462" s="21"/>
      <c r="EC462" s="21"/>
      <c r="ED462" s="21"/>
      <c r="EE462" s="21"/>
      <c r="EF462" s="21"/>
      <c r="EG462" s="21"/>
      <c r="EH462" s="21"/>
      <c r="EI462" s="21"/>
      <c r="EJ462" s="21"/>
      <c r="EK462" s="21"/>
      <c r="EL462" s="21"/>
      <c r="EM462" s="21"/>
      <c r="EN462" s="21"/>
      <c r="EO462" s="21"/>
      <c r="EP462" s="21"/>
      <c r="EQ462" s="21"/>
      <c r="ER462" s="21"/>
      <c r="ES462" s="21"/>
      <c r="ET462" s="21"/>
      <c r="EU462" s="21"/>
      <c r="EV462" s="21"/>
      <c r="EW462" s="21"/>
      <c r="EX462" s="21"/>
      <c r="EY462" s="21"/>
      <c r="EZ462" s="21"/>
      <c r="FA462" s="21"/>
      <c r="FB462" s="21"/>
      <c r="FC462" s="21"/>
      <c r="FD462" s="21"/>
      <c r="FE462" s="21"/>
      <c r="FF462" s="21"/>
      <c r="FG462" s="21"/>
      <c r="FH462" s="21"/>
      <c r="FI462" s="21"/>
    </row>
    <row r="463" spans="1:165"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21"/>
      <c r="CH463" s="21"/>
      <c r="CI463" s="21"/>
      <c r="CJ463" s="21"/>
      <c r="CK463" s="21"/>
      <c r="CL463" s="21"/>
      <c r="CM463" s="21"/>
      <c r="CN463" s="21"/>
      <c r="CO463" s="21"/>
      <c r="CP463" s="21"/>
      <c r="CQ463" s="21"/>
      <c r="CR463" s="21"/>
      <c r="CS463" s="21"/>
      <c r="CT463" s="21"/>
      <c r="CU463" s="21"/>
      <c r="CV463" s="21"/>
      <c r="CW463" s="21"/>
      <c r="CX463" s="21"/>
      <c r="CY463" s="21"/>
      <c r="CZ463" s="21"/>
      <c r="DA463" s="21"/>
      <c r="DB463" s="21"/>
      <c r="DC463" s="21"/>
      <c r="DD463" s="21"/>
      <c r="DE463" s="21"/>
      <c r="DF463" s="21"/>
      <c r="DG463" s="21"/>
      <c r="DH463" s="21"/>
      <c r="DI463" s="21"/>
      <c r="DJ463" s="21"/>
      <c r="DK463" s="21"/>
      <c r="DL463" s="21"/>
      <c r="DM463" s="21"/>
      <c r="DN463" s="21"/>
      <c r="DO463" s="21"/>
      <c r="DP463" s="21"/>
      <c r="DQ463" s="21"/>
      <c r="DR463" s="21"/>
      <c r="DS463" s="21"/>
      <c r="DT463" s="21"/>
      <c r="DU463" s="21"/>
      <c r="DV463" s="21"/>
      <c r="DW463" s="21"/>
      <c r="DX463" s="21"/>
      <c r="DY463" s="21"/>
      <c r="DZ463" s="21"/>
      <c r="EA463" s="21"/>
      <c r="EB463" s="21"/>
      <c r="EC463" s="21"/>
      <c r="ED463" s="21"/>
      <c r="EE463" s="21"/>
      <c r="EF463" s="21"/>
      <c r="EG463" s="21"/>
      <c r="EH463" s="21"/>
      <c r="EI463" s="21"/>
      <c r="EJ463" s="21"/>
      <c r="EK463" s="21"/>
      <c r="EL463" s="21"/>
      <c r="EM463" s="21"/>
      <c r="EN463" s="21"/>
      <c r="EO463" s="21"/>
      <c r="EP463" s="21"/>
      <c r="EQ463" s="21"/>
      <c r="ER463" s="21"/>
      <c r="ES463" s="21"/>
      <c r="ET463" s="21"/>
      <c r="EU463" s="21"/>
      <c r="EV463" s="21"/>
      <c r="EW463" s="21"/>
      <c r="EX463" s="21"/>
      <c r="EY463" s="21"/>
      <c r="EZ463" s="21"/>
      <c r="FA463" s="21"/>
      <c r="FB463" s="21"/>
      <c r="FC463" s="21"/>
      <c r="FD463" s="21"/>
      <c r="FE463" s="21"/>
      <c r="FF463" s="21"/>
      <c r="FG463" s="21"/>
      <c r="FH463" s="21"/>
      <c r="FI463" s="21"/>
    </row>
    <row r="464" spans="1:165"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c r="DB464" s="21"/>
      <c r="DC464" s="21"/>
      <c r="DD464" s="21"/>
      <c r="DE464" s="21"/>
      <c r="DF464" s="21"/>
      <c r="DG464" s="21"/>
      <c r="DH464" s="21"/>
      <c r="DI464" s="21"/>
      <c r="DJ464" s="21"/>
      <c r="DK464" s="21"/>
      <c r="DL464" s="21"/>
      <c r="DM464" s="21"/>
      <c r="DN464" s="21"/>
      <c r="DO464" s="21"/>
      <c r="DP464" s="21"/>
      <c r="DQ464" s="21"/>
      <c r="DR464" s="21"/>
      <c r="DS464" s="21"/>
      <c r="DT464" s="21"/>
      <c r="DU464" s="21"/>
      <c r="DV464" s="21"/>
      <c r="DW464" s="21"/>
      <c r="DX464" s="21"/>
      <c r="DY464" s="21"/>
      <c r="DZ464" s="21"/>
      <c r="EA464" s="21"/>
      <c r="EB464" s="21"/>
      <c r="EC464" s="21"/>
      <c r="ED464" s="21"/>
      <c r="EE464" s="21"/>
      <c r="EF464" s="21"/>
      <c r="EG464" s="21"/>
      <c r="EH464" s="21"/>
      <c r="EI464" s="21"/>
      <c r="EJ464" s="21"/>
      <c r="EK464" s="21"/>
      <c r="EL464" s="21"/>
      <c r="EM464" s="21"/>
      <c r="EN464" s="21"/>
      <c r="EO464" s="21"/>
      <c r="EP464" s="21"/>
      <c r="EQ464" s="21"/>
      <c r="ER464" s="21"/>
      <c r="ES464" s="21"/>
      <c r="ET464" s="21"/>
      <c r="EU464" s="21"/>
      <c r="EV464" s="21"/>
      <c r="EW464" s="21"/>
      <c r="EX464" s="21"/>
      <c r="EY464" s="21"/>
      <c r="EZ464" s="21"/>
      <c r="FA464" s="21"/>
      <c r="FB464" s="21"/>
      <c r="FC464" s="21"/>
      <c r="FD464" s="21"/>
      <c r="FE464" s="21"/>
      <c r="FF464" s="21"/>
      <c r="FG464" s="21"/>
      <c r="FH464" s="21"/>
      <c r="FI464" s="21"/>
    </row>
    <row r="465" spans="1:165"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c r="DB465" s="21"/>
      <c r="DC465" s="21"/>
      <c r="DD465" s="21"/>
      <c r="DE465" s="21"/>
      <c r="DF465" s="21"/>
      <c r="DG465" s="21"/>
      <c r="DH465" s="21"/>
      <c r="DI465" s="21"/>
      <c r="DJ465" s="21"/>
      <c r="DK465" s="21"/>
      <c r="DL465" s="21"/>
      <c r="DM465" s="21"/>
      <c r="DN465" s="21"/>
      <c r="DO465" s="21"/>
      <c r="DP465" s="21"/>
      <c r="DQ465" s="21"/>
      <c r="DR465" s="21"/>
      <c r="DS465" s="21"/>
      <c r="DT465" s="21"/>
      <c r="DU465" s="21"/>
      <c r="DV465" s="21"/>
      <c r="DW465" s="21"/>
      <c r="DX465" s="21"/>
      <c r="DY465" s="21"/>
      <c r="DZ465" s="21"/>
      <c r="EA465" s="21"/>
      <c r="EB465" s="21"/>
      <c r="EC465" s="21"/>
      <c r="ED465" s="21"/>
      <c r="EE465" s="21"/>
      <c r="EF465" s="21"/>
      <c r="EG465" s="21"/>
      <c r="EH465" s="21"/>
      <c r="EI465" s="21"/>
      <c r="EJ465" s="21"/>
      <c r="EK465" s="21"/>
      <c r="EL465" s="21"/>
      <c r="EM465" s="21"/>
      <c r="EN465" s="21"/>
      <c r="EO465" s="21"/>
      <c r="EP465" s="21"/>
      <c r="EQ465" s="21"/>
      <c r="ER465" s="21"/>
      <c r="ES465" s="21"/>
      <c r="ET465" s="21"/>
      <c r="EU465" s="21"/>
      <c r="EV465" s="21"/>
      <c r="EW465" s="21"/>
      <c r="EX465" s="21"/>
      <c r="EY465" s="21"/>
      <c r="EZ465" s="21"/>
      <c r="FA465" s="21"/>
      <c r="FB465" s="21"/>
      <c r="FC465" s="21"/>
      <c r="FD465" s="21"/>
      <c r="FE465" s="21"/>
      <c r="FF465" s="21"/>
      <c r="FG465" s="21"/>
      <c r="FH465" s="21"/>
      <c r="FI465" s="21"/>
    </row>
    <row r="466" spans="1:165"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c r="DB466" s="21"/>
      <c r="DC466" s="21"/>
      <c r="DD466" s="21"/>
      <c r="DE466" s="21"/>
      <c r="DF466" s="21"/>
      <c r="DG466" s="21"/>
      <c r="DH466" s="21"/>
      <c r="DI466" s="21"/>
      <c r="DJ466" s="21"/>
      <c r="DK466" s="21"/>
      <c r="DL466" s="21"/>
      <c r="DM466" s="21"/>
      <c r="DN466" s="21"/>
      <c r="DO466" s="21"/>
      <c r="DP466" s="21"/>
      <c r="DQ466" s="21"/>
      <c r="DR466" s="21"/>
      <c r="DS466" s="21"/>
      <c r="DT466" s="21"/>
      <c r="DU466" s="21"/>
      <c r="DV466" s="21"/>
      <c r="DW466" s="21"/>
      <c r="DX466" s="21"/>
      <c r="DY466" s="21"/>
      <c r="DZ466" s="21"/>
      <c r="EA466" s="21"/>
      <c r="EB466" s="21"/>
      <c r="EC466" s="21"/>
      <c r="ED466" s="21"/>
      <c r="EE466" s="21"/>
      <c r="EF466" s="21"/>
      <c r="EG466" s="21"/>
      <c r="EH466" s="21"/>
      <c r="EI466" s="21"/>
      <c r="EJ466" s="21"/>
      <c r="EK466" s="21"/>
      <c r="EL466" s="21"/>
      <c r="EM466" s="21"/>
      <c r="EN466" s="21"/>
      <c r="EO466" s="21"/>
      <c r="EP466" s="21"/>
      <c r="EQ466" s="21"/>
      <c r="ER466" s="21"/>
      <c r="ES466" s="21"/>
      <c r="ET466" s="21"/>
      <c r="EU466" s="21"/>
      <c r="EV466" s="21"/>
      <c r="EW466" s="21"/>
      <c r="EX466" s="21"/>
      <c r="EY466" s="21"/>
      <c r="EZ466" s="21"/>
      <c r="FA466" s="21"/>
      <c r="FB466" s="21"/>
      <c r="FC466" s="21"/>
      <c r="FD466" s="21"/>
      <c r="FE466" s="21"/>
      <c r="FF466" s="21"/>
      <c r="FG466" s="21"/>
      <c r="FH466" s="21"/>
      <c r="FI466" s="21"/>
    </row>
    <row r="467" spans="1:165"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21"/>
      <c r="CH467" s="21"/>
      <c r="CI467" s="21"/>
      <c r="CJ467" s="21"/>
      <c r="CK467" s="21"/>
      <c r="CL467" s="21"/>
      <c r="CM467" s="21"/>
      <c r="CN467" s="21"/>
      <c r="CO467" s="21"/>
      <c r="CP467" s="21"/>
      <c r="CQ467" s="21"/>
      <c r="CR467" s="21"/>
      <c r="CS467" s="21"/>
      <c r="CT467" s="21"/>
      <c r="CU467" s="21"/>
      <c r="CV467" s="21"/>
      <c r="CW467" s="21"/>
      <c r="CX467" s="21"/>
      <c r="CY467" s="21"/>
      <c r="CZ467" s="21"/>
      <c r="DA467" s="21"/>
      <c r="DB467" s="21"/>
      <c r="DC467" s="21"/>
      <c r="DD467" s="21"/>
      <c r="DE467" s="21"/>
      <c r="DF467" s="21"/>
      <c r="DG467" s="21"/>
      <c r="DH467" s="21"/>
      <c r="DI467" s="21"/>
      <c r="DJ467" s="21"/>
      <c r="DK467" s="21"/>
      <c r="DL467" s="21"/>
      <c r="DM467" s="21"/>
      <c r="DN467" s="21"/>
      <c r="DO467" s="21"/>
      <c r="DP467" s="21"/>
      <c r="DQ467" s="21"/>
      <c r="DR467" s="21"/>
      <c r="DS467" s="21"/>
      <c r="DT467" s="21"/>
      <c r="DU467" s="21"/>
      <c r="DV467" s="21"/>
      <c r="DW467" s="21"/>
      <c r="DX467" s="21"/>
      <c r="DY467" s="21"/>
      <c r="DZ467" s="21"/>
      <c r="EA467" s="21"/>
      <c r="EB467" s="21"/>
      <c r="EC467" s="21"/>
      <c r="ED467" s="21"/>
      <c r="EE467" s="21"/>
      <c r="EF467" s="21"/>
      <c r="EG467" s="21"/>
      <c r="EH467" s="21"/>
      <c r="EI467" s="21"/>
      <c r="EJ467" s="21"/>
      <c r="EK467" s="21"/>
      <c r="EL467" s="21"/>
      <c r="EM467" s="21"/>
      <c r="EN467" s="21"/>
      <c r="EO467" s="21"/>
      <c r="EP467" s="21"/>
      <c r="EQ467" s="21"/>
      <c r="ER467" s="21"/>
      <c r="ES467" s="21"/>
      <c r="ET467" s="21"/>
      <c r="EU467" s="21"/>
      <c r="EV467" s="21"/>
      <c r="EW467" s="21"/>
      <c r="EX467" s="21"/>
      <c r="EY467" s="21"/>
      <c r="EZ467" s="21"/>
      <c r="FA467" s="21"/>
      <c r="FB467" s="21"/>
      <c r="FC467" s="21"/>
      <c r="FD467" s="21"/>
      <c r="FE467" s="21"/>
      <c r="FF467" s="21"/>
      <c r="FG467" s="21"/>
      <c r="FH467" s="21"/>
      <c r="FI467" s="21"/>
    </row>
    <row r="468" spans="1:165"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21"/>
      <c r="CH468" s="21"/>
      <c r="CI468" s="21"/>
      <c r="CJ468" s="21"/>
      <c r="CK468" s="21"/>
      <c r="CL468" s="21"/>
      <c r="CM468" s="21"/>
      <c r="CN468" s="21"/>
      <c r="CO468" s="21"/>
      <c r="CP468" s="21"/>
      <c r="CQ468" s="21"/>
      <c r="CR468" s="21"/>
      <c r="CS468" s="21"/>
      <c r="CT468" s="21"/>
      <c r="CU468" s="21"/>
      <c r="CV468" s="21"/>
      <c r="CW468" s="21"/>
      <c r="CX468" s="21"/>
      <c r="CY468" s="21"/>
      <c r="CZ468" s="21"/>
      <c r="DA468" s="21"/>
      <c r="DB468" s="21"/>
      <c r="DC468" s="21"/>
      <c r="DD468" s="21"/>
      <c r="DE468" s="21"/>
      <c r="DF468" s="21"/>
      <c r="DG468" s="21"/>
      <c r="DH468" s="21"/>
      <c r="DI468" s="21"/>
      <c r="DJ468" s="21"/>
      <c r="DK468" s="21"/>
      <c r="DL468" s="21"/>
      <c r="DM468" s="21"/>
      <c r="DN468" s="21"/>
      <c r="DO468" s="21"/>
      <c r="DP468" s="21"/>
      <c r="DQ468" s="21"/>
      <c r="DR468" s="21"/>
      <c r="DS468" s="21"/>
      <c r="DT468" s="21"/>
      <c r="DU468" s="21"/>
      <c r="DV468" s="21"/>
      <c r="DW468" s="21"/>
      <c r="DX468" s="21"/>
      <c r="DY468" s="21"/>
      <c r="DZ468" s="21"/>
      <c r="EA468" s="21"/>
      <c r="EB468" s="21"/>
      <c r="EC468" s="21"/>
      <c r="ED468" s="21"/>
      <c r="EE468" s="21"/>
      <c r="EF468" s="21"/>
      <c r="EG468" s="21"/>
      <c r="EH468" s="21"/>
      <c r="EI468" s="21"/>
      <c r="EJ468" s="21"/>
      <c r="EK468" s="21"/>
      <c r="EL468" s="21"/>
      <c r="EM468" s="21"/>
      <c r="EN468" s="21"/>
      <c r="EO468" s="21"/>
      <c r="EP468" s="21"/>
      <c r="EQ468" s="21"/>
      <c r="ER468" s="21"/>
      <c r="ES468" s="21"/>
      <c r="ET468" s="21"/>
      <c r="EU468" s="21"/>
      <c r="EV468" s="21"/>
      <c r="EW468" s="21"/>
      <c r="EX468" s="21"/>
      <c r="EY468" s="21"/>
      <c r="EZ468" s="21"/>
      <c r="FA468" s="21"/>
      <c r="FB468" s="21"/>
      <c r="FC468" s="21"/>
      <c r="FD468" s="21"/>
      <c r="FE468" s="21"/>
      <c r="FF468" s="21"/>
      <c r="FG468" s="21"/>
      <c r="FH468" s="21"/>
      <c r="FI468" s="21"/>
    </row>
    <row r="469" spans="1:165"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c r="DB469" s="21"/>
      <c r="DC469" s="21"/>
      <c r="DD469" s="21"/>
      <c r="DE469" s="21"/>
      <c r="DF469" s="21"/>
      <c r="DG469" s="21"/>
      <c r="DH469" s="21"/>
      <c r="DI469" s="21"/>
      <c r="DJ469" s="21"/>
      <c r="DK469" s="21"/>
      <c r="DL469" s="21"/>
      <c r="DM469" s="21"/>
      <c r="DN469" s="21"/>
      <c r="DO469" s="21"/>
      <c r="DP469" s="21"/>
      <c r="DQ469" s="21"/>
      <c r="DR469" s="21"/>
      <c r="DS469" s="21"/>
      <c r="DT469" s="21"/>
      <c r="DU469" s="21"/>
      <c r="DV469" s="21"/>
      <c r="DW469" s="21"/>
      <c r="DX469" s="21"/>
      <c r="DY469" s="21"/>
      <c r="DZ469" s="21"/>
      <c r="EA469" s="21"/>
      <c r="EB469" s="21"/>
      <c r="EC469" s="21"/>
      <c r="ED469" s="21"/>
      <c r="EE469" s="21"/>
      <c r="EF469" s="21"/>
      <c r="EG469" s="21"/>
      <c r="EH469" s="21"/>
      <c r="EI469" s="21"/>
      <c r="EJ469" s="21"/>
      <c r="EK469" s="21"/>
      <c r="EL469" s="21"/>
      <c r="EM469" s="21"/>
      <c r="EN469" s="21"/>
      <c r="EO469" s="21"/>
      <c r="EP469" s="21"/>
      <c r="EQ469" s="21"/>
      <c r="ER469" s="21"/>
      <c r="ES469" s="21"/>
      <c r="ET469" s="21"/>
      <c r="EU469" s="21"/>
      <c r="EV469" s="21"/>
      <c r="EW469" s="21"/>
      <c r="EX469" s="21"/>
      <c r="EY469" s="21"/>
      <c r="EZ469" s="21"/>
      <c r="FA469" s="21"/>
      <c r="FB469" s="21"/>
      <c r="FC469" s="21"/>
      <c r="FD469" s="21"/>
      <c r="FE469" s="21"/>
      <c r="FF469" s="21"/>
      <c r="FG469" s="21"/>
      <c r="FH469" s="21"/>
      <c r="FI469" s="21"/>
    </row>
    <row r="470" spans="1:165"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c r="DB470" s="21"/>
      <c r="DC470" s="21"/>
      <c r="DD470" s="21"/>
      <c r="DE470" s="21"/>
      <c r="DF470" s="21"/>
      <c r="DG470" s="21"/>
      <c r="DH470" s="21"/>
      <c r="DI470" s="21"/>
      <c r="DJ470" s="21"/>
      <c r="DK470" s="21"/>
      <c r="DL470" s="21"/>
      <c r="DM470" s="21"/>
      <c r="DN470" s="21"/>
      <c r="DO470" s="21"/>
      <c r="DP470" s="21"/>
      <c r="DQ470" s="21"/>
      <c r="DR470" s="21"/>
      <c r="DS470" s="21"/>
      <c r="DT470" s="21"/>
      <c r="DU470" s="21"/>
      <c r="DV470" s="21"/>
      <c r="DW470" s="21"/>
      <c r="DX470" s="21"/>
      <c r="DY470" s="21"/>
      <c r="DZ470" s="21"/>
      <c r="EA470" s="21"/>
      <c r="EB470" s="21"/>
      <c r="EC470" s="21"/>
      <c r="ED470" s="21"/>
      <c r="EE470" s="21"/>
      <c r="EF470" s="21"/>
      <c r="EG470" s="21"/>
      <c r="EH470" s="21"/>
      <c r="EI470" s="21"/>
      <c r="EJ470" s="21"/>
      <c r="EK470" s="21"/>
      <c r="EL470" s="21"/>
      <c r="EM470" s="21"/>
      <c r="EN470" s="21"/>
      <c r="EO470" s="21"/>
      <c r="EP470" s="21"/>
      <c r="EQ470" s="21"/>
      <c r="ER470" s="21"/>
      <c r="ES470" s="21"/>
      <c r="ET470" s="21"/>
      <c r="EU470" s="21"/>
      <c r="EV470" s="21"/>
      <c r="EW470" s="21"/>
      <c r="EX470" s="21"/>
      <c r="EY470" s="21"/>
      <c r="EZ470" s="21"/>
      <c r="FA470" s="21"/>
      <c r="FB470" s="21"/>
      <c r="FC470" s="21"/>
      <c r="FD470" s="21"/>
      <c r="FE470" s="21"/>
      <c r="FF470" s="21"/>
      <c r="FG470" s="21"/>
      <c r="FH470" s="21"/>
      <c r="FI470" s="21"/>
    </row>
    <row r="471" spans="1:165"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21"/>
      <c r="CH471" s="21"/>
      <c r="CI471" s="21"/>
      <c r="CJ471" s="21"/>
      <c r="CK471" s="21"/>
      <c r="CL471" s="21"/>
      <c r="CM471" s="21"/>
      <c r="CN471" s="21"/>
      <c r="CO471" s="21"/>
      <c r="CP471" s="21"/>
      <c r="CQ471" s="21"/>
      <c r="CR471" s="21"/>
      <c r="CS471" s="21"/>
      <c r="CT471" s="21"/>
      <c r="CU471" s="21"/>
      <c r="CV471" s="21"/>
      <c r="CW471" s="21"/>
      <c r="CX471" s="21"/>
      <c r="CY471" s="21"/>
      <c r="CZ471" s="21"/>
      <c r="DA471" s="21"/>
      <c r="DB471" s="21"/>
      <c r="DC471" s="21"/>
      <c r="DD471" s="21"/>
      <c r="DE471" s="21"/>
      <c r="DF471" s="21"/>
      <c r="DG471" s="21"/>
      <c r="DH471" s="21"/>
      <c r="DI471" s="21"/>
      <c r="DJ471" s="21"/>
      <c r="DK471" s="21"/>
      <c r="DL471" s="21"/>
      <c r="DM471" s="21"/>
      <c r="DN471" s="21"/>
      <c r="DO471" s="21"/>
      <c r="DP471" s="21"/>
      <c r="DQ471" s="21"/>
      <c r="DR471" s="21"/>
      <c r="DS471" s="21"/>
      <c r="DT471" s="21"/>
      <c r="DU471" s="21"/>
      <c r="DV471" s="21"/>
      <c r="DW471" s="21"/>
      <c r="DX471" s="21"/>
      <c r="DY471" s="21"/>
      <c r="DZ471" s="21"/>
      <c r="EA471" s="21"/>
      <c r="EB471" s="21"/>
      <c r="EC471" s="21"/>
      <c r="ED471" s="21"/>
      <c r="EE471" s="21"/>
      <c r="EF471" s="21"/>
      <c r="EG471" s="21"/>
      <c r="EH471" s="21"/>
      <c r="EI471" s="21"/>
      <c r="EJ471" s="21"/>
      <c r="EK471" s="21"/>
      <c r="EL471" s="21"/>
      <c r="EM471" s="21"/>
      <c r="EN471" s="21"/>
      <c r="EO471" s="21"/>
      <c r="EP471" s="21"/>
      <c r="EQ471" s="21"/>
      <c r="ER471" s="21"/>
      <c r="ES471" s="21"/>
      <c r="ET471" s="21"/>
      <c r="EU471" s="21"/>
      <c r="EV471" s="21"/>
      <c r="EW471" s="21"/>
      <c r="EX471" s="21"/>
      <c r="EY471" s="21"/>
      <c r="EZ471" s="21"/>
      <c r="FA471" s="21"/>
      <c r="FB471" s="21"/>
      <c r="FC471" s="21"/>
      <c r="FD471" s="21"/>
      <c r="FE471" s="21"/>
      <c r="FF471" s="21"/>
      <c r="FG471" s="21"/>
      <c r="FH471" s="21"/>
      <c r="FI471" s="21"/>
    </row>
    <row r="472" spans="1:165"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21"/>
      <c r="CH472" s="21"/>
      <c r="CI472" s="21"/>
      <c r="CJ472" s="21"/>
      <c r="CK472" s="21"/>
      <c r="CL472" s="21"/>
      <c r="CM472" s="21"/>
      <c r="CN472" s="21"/>
      <c r="CO472" s="21"/>
      <c r="CP472" s="21"/>
      <c r="CQ472" s="21"/>
      <c r="CR472" s="21"/>
      <c r="CS472" s="21"/>
      <c r="CT472" s="21"/>
      <c r="CU472" s="21"/>
      <c r="CV472" s="21"/>
      <c r="CW472" s="21"/>
      <c r="CX472" s="21"/>
      <c r="CY472" s="21"/>
      <c r="CZ472" s="21"/>
      <c r="DA472" s="21"/>
      <c r="DB472" s="21"/>
      <c r="DC472" s="21"/>
      <c r="DD472" s="21"/>
      <c r="DE472" s="21"/>
      <c r="DF472" s="21"/>
      <c r="DG472" s="21"/>
      <c r="DH472" s="21"/>
      <c r="DI472" s="21"/>
      <c r="DJ472" s="21"/>
      <c r="DK472" s="21"/>
      <c r="DL472" s="21"/>
      <c r="DM472" s="21"/>
      <c r="DN472" s="21"/>
      <c r="DO472" s="21"/>
      <c r="DP472" s="21"/>
      <c r="DQ472" s="21"/>
      <c r="DR472" s="21"/>
      <c r="DS472" s="21"/>
      <c r="DT472" s="21"/>
      <c r="DU472" s="21"/>
      <c r="DV472" s="21"/>
      <c r="DW472" s="21"/>
      <c r="DX472" s="21"/>
      <c r="DY472" s="21"/>
      <c r="DZ472" s="21"/>
      <c r="EA472" s="21"/>
      <c r="EB472" s="21"/>
      <c r="EC472" s="21"/>
      <c r="ED472" s="21"/>
      <c r="EE472" s="21"/>
      <c r="EF472" s="21"/>
      <c r="EG472" s="21"/>
      <c r="EH472" s="21"/>
      <c r="EI472" s="21"/>
      <c r="EJ472" s="21"/>
      <c r="EK472" s="21"/>
      <c r="EL472" s="21"/>
      <c r="EM472" s="21"/>
      <c r="EN472" s="21"/>
      <c r="EO472" s="21"/>
      <c r="EP472" s="21"/>
      <c r="EQ472" s="21"/>
      <c r="ER472" s="21"/>
      <c r="ES472" s="21"/>
      <c r="ET472" s="21"/>
      <c r="EU472" s="21"/>
      <c r="EV472" s="21"/>
      <c r="EW472" s="21"/>
      <c r="EX472" s="21"/>
      <c r="EY472" s="21"/>
      <c r="EZ472" s="21"/>
      <c r="FA472" s="21"/>
      <c r="FB472" s="21"/>
      <c r="FC472" s="21"/>
      <c r="FD472" s="21"/>
      <c r="FE472" s="21"/>
      <c r="FF472" s="21"/>
      <c r="FG472" s="21"/>
      <c r="FH472" s="21"/>
      <c r="FI472" s="21"/>
    </row>
    <row r="473" spans="1:165"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c r="DB473" s="21"/>
      <c r="DC473" s="21"/>
      <c r="DD473" s="21"/>
      <c r="DE473" s="21"/>
      <c r="DF473" s="21"/>
      <c r="DG473" s="21"/>
      <c r="DH473" s="21"/>
      <c r="DI473" s="21"/>
      <c r="DJ473" s="21"/>
      <c r="DK473" s="21"/>
      <c r="DL473" s="21"/>
      <c r="DM473" s="21"/>
      <c r="DN473" s="21"/>
      <c r="DO473" s="21"/>
      <c r="DP473" s="21"/>
      <c r="DQ473" s="21"/>
      <c r="DR473" s="21"/>
      <c r="DS473" s="21"/>
      <c r="DT473" s="21"/>
      <c r="DU473" s="21"/>
      <c r="DV473" s="21"/>
      <c r="DW473" s="21"/>
      <c r="DX473" s="21"/>
      <c r="DY473" s="21"/>
      <c r="DZ473" s="21"/>
      <c r="EA473" s="21"/>
      <c r="EB473" s="21"/>
      <c r="EC473" s="21"/>
      <c r="ED473" s="21"/>
      <c r="EE473" s="21"/>
      <c r="EF473" s="21"/>
      <c r="EG473" s="21"/>
      <c r="EH473" s="21"/>
      <c r="EI473" s="21"/>
      <c r="EJ473" s="21"/>
      <c r="EK473" s="21"/>
      <c r="EL473" s="21"/>
      <c r="EM473" s="21"/>
      <c r="EN473" s="21"/>
      <c r="EO473" s="21"/>
      <c r="EP473" s="21"/>
      <c r="EQ473" s="21"/>
      <c r="ER473" s="21"/>
      <c r="ES473" s="21"/>
      <c r="ET473" s="21"/>
      <c r="EU473" s="21"/>
      <c r="EV473" s="21"/>
      <c r="EW473" s="21"/>
      <c r="EX473" s="21"/>
      <c r="EY473" s="21"/>
      <c r="EZ473" s="21"/>
      <c r="FA473" s="21"/>
      <c r="FB473" s="21"/>
      <c r="FC473" s="21"/>
      <c r="FD473" s="21"/>
      <c r="FE473" s="21"/>
      <c r="FF473" s="21"/>
      <c r="FG473" s="21"/>
      <c r="FH473" s="21"/>
      <c r="FI473" s="21"/>
    </row>
    <row r="474" spans="1:165"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21"/>
      <c r="CH474" s="21"/>
      <c r="CI474" s="21"/>
      <c r="CJ474" s="21"/>
      <c r="CK474" s="21"/>
      <c r="CL474" s="21"/>
      <c r="CM474" s="21"/>
      <c r="CN474" s="21"/>
      <c r="CO474" s="21"/>
      <c r="CP474" s="21"/>
      <c r="CQ474" s="21"/>
      <c r="CR474" s="21"/>
      <c r="CS474" s="21"/>
      <c r="CT474" s="21"/>
      <c r="CU474" s="21"/>
      <c r="CV474" s="21"/>
      <c r="CW474" s="21"/>
      <c r="CX474" s="21"/>
      <c r="CY474" s="21"/>
      <c r="CZ474" s="21"/>
      <c r="DA474" s="21"/>
      <c r="DB474" s="21"/>
      <c r="DC474" s="21"/>
      <c r="DD474" s="21"/>
      <c r="DE474" s="21"/>
      <c r="DF474" s="21"/>
      <c r="DG474" s="21"/>
      <c r="DH474" s="21"/>
      <c r="DI474" s="21"/>
      <c r="DJ474" s="21"/>
      <c r="DK474" s="21"/>
      <c r="DL474" s="21"/>
      <c r="DM474" s="21"/>
      <c r="DN474" s="21"/>
      <c r="DO474" s="21"/>
      <c r="DP474" s="21"/>
      <c r="DQ474" s="21"/>
      <c r="DR474" s="21"/>
      <c r="DS474" s="21"/>
      <c r="DT474" s="21"/>
      <c r="DU474" s="21"/>
      <c r="DV474" s="21"/>
      <c r="DW474" s="21"/>
      <c r="DX474" s="21"/>
      <c r="DY474" s="21"/>
      <c r="DZ474" s="21"/>
      <c r="EA474" s="21"/>
      <c r="EB474" s="21"/>
      <c r="EC474" s="21"/>
      <c r="ED474" s="21"/>
      <c r="EE474" s="21"/>
      <c r="EF474" s="21"/>
      <c r="EG474" s="21"/>
      <c r="EH474" s="21"/>
      <c r="EI474" s="21"/>
      <c r="EJ474" s="21"/>
      <c r="EK474" s="21"/>
      <c r="EL474" s="21"/>
      <c r="EM474" s="21"/>
      <c r="EN474" s="21"/>
      <c r="EO474" s="21"/>
      <c r="EP474" s="21"/>
      <c r="EQ474" s="21"/>
      <c r="ER474" s="21"/>
      <c r="ES474" s="21"/>
      <c r="ET474" s="21"/>
      <c r="EU474" s="21"/>
      <c r="EV474" s="21"/>
      <c r="EW474" s="21"/>
      <c r="EX474" s="21"/>
      <c r="EY474" s="21"/>
      <c r="EZ474" s="21"/>
      <c r="FA474" s="21"/>
      <c r="FB474" s="21"/>
      <c r="FC474" s="21"/>
      <c r="FD474" s="21"/>
      <c r="FE474" s="21"/>
      <c r="FF474" s="21"/>
      <c r="FG474" s="21"/>
      <c r="FH474" s="21"/>
      <c r="FI474" s="21"/>
    </row>
    <row r="475" spans="1:165"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c r="DB475" s="21"/>
      <c r="DC475" s="21"/>
      <c r="DD475" s="21"/>
      <c r="DE475" s="21"/>
      <c r="DF475" s="21"/>
      <c r="DG475" s="21"/>
      <c r="DH475" s="21"/>
      <c r="DI475" s="21"/>
      <c r="DJ475" s="21"/>
      <c r="DK475" s="21"/>
      <c r="DL475" s="21"/>
      <c r="DM475" s="21"/>
      <c r="DN475" s="21"/>
      <c r="DO475" s="21"/>
      <c r="DP475" s="21"/>
      <c r="DQ475" s="21"/>
      <c r="DR475" s="21"/>
      <c r="DS475" s="21"/>
      <c r="DT475" s="21"/>
      <c r="DU475" s="21"/>
      <c r="DV475" s="21"/>
      <c r="DW475" s="21"/>
      <c r="DX475" s="21"/>
      <c r="DY475" s="21"/>
      <c r="DZ475" s="21"/>
      <c r="EA475" s="21"/>
      <c r="EB475" s="21"/>
      <c r="EC475" s="21"/>
      <c r="ED475" s="21"/>
      <c r="EE475" s="21"/>
      <c r="EF475" s="21"/>
      <c r="EG475" s="21"/>
      <c r="EH475" s="21"/>
      <c r="EI475" s="21"/>
      <c r="EJ475" s="21"/>
      <c r="EK475" s="21"/>
      <c r="EL475" s="21"/>
      <c r="EM475" s="21"/>
      <c r="EN475" s="21"/>
      <c r="EO475" s="21"/>
      <c r="EP475" s="21"/>
      <c r="EQ475" s="21"/>
      <c r="ER475" s="21"/>
      <c r="ES475" s="21"/>
      <c r="ET475" s="21"/>
      <c r="EU475" s="21"/>
      <c r="EV475" s="21"/>
      <c r="EW475" s="21"/>
      <c r="EX475" s="21"/>
      <c r="EY475" s="21"/>
      <c r="EZ475" s="21"/>
      <c r="FA475" s="21"/>
      <c r="FB475" s="21"/>
      <c r="FC475" s="21"/>
      <c r="FD475" s="21"/>
      <c r="FE475" s="21"/>
      <c r="FF475" s="21"/>
      <c r="FG475" s="21"/>
      <c r="FH475" s="21"/>
      <c r="FI475" s="21"/>
    </row>
    <row r="476" spans="1:165"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c r="DB476" s="21"/>
      <c r="DC476" s="21"/>
      <c r="DD476" s="21"/>
      <c r="DE476" s="21"/>
      <c r="DF476" s="21"/>
      <c r="DG476" s="21"/>
      <c r="DH476" s="21"/>
      <c r="DI476" s="21"/>
      <c r="DJ476" s="21"/>
      <c r="DK476" s="21"/>
      <c r="DL476" s="21"/>
      <c r="DM476" s="21"/>
      <c r="DN476" s="21"/>
      <c r="DO476" s="21"/>
      <c r="DP476" s="21"/>
      <c r="DQ476" s="21"/>
      <c r="DR476" s="21"/>
      <c r="DS476" s="21"/>
      <c r="DT476" s="21"/>
      <c r="DU476" s="21"/>
      <c r="DV476" s="21"/>
      <c r="DW476" s="21"/>
      <c r="DX476" s="21"/>
      <c r="DY476" s="21"/>
      <c r="DZ476" s="21"/>
      <c r="EA476" s="21"/>
      <c r="EB476" s="21"/>
      <c r="EC476" s="21"/>
      <c r="ED476" s="21"/>
      <c r="EE476" s="21"/>
      <c r="EF476" s="21"/>
      <c r="EG476" s="21"/>
      <c r="EH476" s="21"/>
      <c r="EI476" s="21"/>
      <c r="EJ476" s="21"/>
      <c r="EK476" s="21"/>
      <c r="EL476" s="21"/>
      <c r="EM476" s="21"/>
      <c r="EN476" s="21"/>
      <c r="EO476" s="21"/>
      <c r="EP476" s="21"/>
      <c r="EQ476" s="21"/>
      <c r="ER476" s="21"/>
      <c r="ES476" s="21"/>
      <c r="ET476" s="21"/>
      <c r="EU476" s="21"/>
      <c r="EV476" s="21"/>
      <c r="EW476" s="21"/>
      <c r="EX476" s="21"/>
      <c r="EY476" s="21"/>
      <c r="EZ476" s="21"/>
      <c r="FA476" s="21"/>
      <c r="FB476" s="21"/>
      <c r="FC476" s="21"/>
      <c r="FD476" s="21"/>
      <c r="FE476" s="21"/>
      <c r="FF476" s="21"/>
      <c r="FG476" s="21"/>
      <c r="FH476" s="21"/>
      <c r="FI476" s="21"/>
    </row>
    <row r="477" spans="1:165"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21"/>
      <c r="CH477" s="21"/>
      <c r="CI477" s="21"/>
      <c r="CJ477" s="21"/>
      <c r="CK477" s="21"/>
      <c r="CL477" s="21"/>
      <c r="CM477" s="21"/>
      <c r="CN477" s="21"/>
      <c r="CO477" s="21"/>
      <c r="CP477" s="21"/>
      <c r="CQ477" s="21"/>
      <c r="CR477" s="21"/>
      <c r="CS477" s="21"/>
      <c r="CT477" s="21"/>
      <c r="CU477" s="21"/>
      <c r="CV477" s="21"/>
      <c r="CW477" s="21"/>
      <c r="CX477" s="21"/>
      <c r="CY477" s="21"/>
      <c r="CZ477" s="21"/>
      <c r="DA477" s="21"/>
      <c r="DB477" s="21"/>
      <c r="DC477" s="21"/>
      <c r="DD477" s="21"/>
      <c r="DE477" s="21"/>
      <c r="DF477" s="21"/>
      <c r="DG477" s="21"/>
      <c r="DH477" s="21"/>
      <c r="DI477" s="21"/>
      <c r="DJ477" s="21"/>
      <c r="DK477" s="21"/>
      <c r="DL477" s="21"/>
      <c r="DM477" s="21"/>
      <c r="DN477" s="21"/>
      <c r="DO477" s="21"/>
      <c r="DP477" s="21"/>
      <c r="DQ477" s="21"/>
      <c r="DR477" s="21"/>
      <c r="DS477" s="21"/>
      <c r="DT477" s="21"/>
      <c r="DU477" s="21"/>
      <c r="DV477" s="21"/>
      <c r="DW477" s="21"/>
      <c r="DX477" s="21"/>
      <c r="DY477" s="21"/>
      <c r="DZ477" s="21"/>
      <c r="EA477" s="21"/>
      <c r="EB477" s="21"/>
      <c r="EC477" s="21"/>
      <c r="ED477" s="21"/>
      <c r="EE477" s="21"/>
      <c r="EF477" s="21"/>
      <c r="EG477" s="21"/>
      <c r="EH477" s="21"/>
      <c r="EI477" s="21"/>
      <c r="EJ477" s="21"/>
      <c r="EK477" s="21"/>
      <c r="EL477" s="21"/>
      <c r="EM477" s="21"/>
      <c r="EN477" s="21"/>
      <c r="EO477" s="21"/>
      <c r="EP477" s="21"/>
      <c r="EQ477" s="21"/>
      <c r="ER477" s="21"/>
      <c r="ES477" s="21"/>
      <c r="ET477" s="21"/>
      <c r="EU477" s="21"/>
      <c r="EV477" s="21"/>
      <c r="EW477" s="21"/>
      <c r="EX477" s="21"/>
      <c r="EY477" s="21"/>
      <c r="EZ477" s="21"/>
      <c r="FA477" s="21"/>
      <c r="FB477" s="21"/>
      <c r="FC477" s="21"/>
      <c r="FD477" s="21"/>
      <c r="FE477" s="21"/>
      <c r="FF477" s="21"/>
      <c r="FG477" s="21"/>
      <c r="FH477" s="21"/>
      <c r="FI477" s="21"/>
    </row>
    <row r="478" spans="1:165"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21"/>
      <c r="CH478" s="21"/>
      <c r="CI478" s="21"/>
      <c r="CJ478" s="21"/>
      <c r="CK478" s="21"/>
      <c r="CL478" s="21"/>
      <c r="CM478" s="21"/>
      <c r="CN478" s="21"/>
      <c r="CO478" s="21"/>
      <c r="CP478" s="21"/>
      <c r="CQ478" s="21"/>
      <c r="CR478" s="21"/>
      <c r="CS478" s="21"/>
      <c r="CT478" s="21"/>
      <c r="CU478" s="21"/>
      <c r="CV478" s="21"/>
      <c r="CW478" s="21"/>
      <c r="CX478" s="21"/>
      <c r="CY478" s="21"/>
      <c r="CZ478" s="21"/>
      <c r="DA478" s="21"/>
      <c r="DB478" s="21"/>
      <c r="DC478" s="21"/>
      <c r="DD478" s="21"/>
      <c r="DE478" s="21"/>
      <c r="DF478" s="21"/>
      <c r="DG478" s="21"/>
      <c r="DH478" s="21"/>
      <c r="DI478" s="21"/>
      <c r="DJ478" s="21"/>
      <c r="DK478" s="21"/>
      <c r="DL478" s="21"/>
      <c r="DM478" s="21"/>
      <c r="DN478" s="21"/>
      <c r="DO478" s="21"/>
      <c r="DP478" s="21"/>
      <c r="DQ478" s="21"/>
      <c r="DR478" s="21"/>
      <c r="DS478" s="21"/>
      <c r="DT478" s="21"/>
      <c r="DU478" s="21"/>
      <c r="DV478" s="21"/>
      <c r="DW478" s="21"/>
      <c r="DX478" s="21"/>
      <c r="DY478" s="21"/>
      <c r="DZ478" s="21"/>
      <c r="EA478" s="21"/>
      <c r="EB478" s="21"/>
      <c r="EC478" s="21"/>
      <c r="ED478" s="21"/>
      <c r="EE478" s="21"/>
      <c r="EF478" s="21"/>
      <c r="EG478" s="21"/>
      <c r="EH478" s="21"/>
      <c r="EI478" s="21"/>
      <c r="EJ478" s="21"/>
      <c r="EK478" s="21"/>
      <c r="EL478" s="21"/>
      <c r="EM478" s="21"/>
      <c r="EN478" s="21"/>
      <c r="EO478" s="21"/>
      <c r="EP478" s="21"/>
      <c r="EQ478" s="21"/>
      <c r="ER478" s="21"/>
      <c r="ES478" s="21"/>
      <c r="ET478" s="21"/>
      <c r="EU478" s="21"/>
      <c r="EV478" s="21"/>
      <c r="EW478" s="21"/>
      <c r="EX478" s="21"/>
      <c r="EY478" s="21"/>
      <c r="EZ478" s="21"/>
      <c r="FA478" s="21"/>
      <c r="FB478" s="21"/>
      <c r="FC478" s="21"/>
      <c r="FD478" s="21"/>
      <c r="FE478" s="21"/>
      <c r="FF478" s="21"/>
      <c r="FG478" s="21"/>
      <c r="FH478" s="21"/>
      <c r="FI478" s="21"/>
    </row>
    <row r="479" spans="1:165"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c r="DB479" s="21"/>
      <c r="DC479" s="21"/>
      <c r="DD479" s="21"/>
      <c r="DE479" s="21"/>
      <c r="DF479" s="21"/>
      <c r="DG479" s="21"/>
      <c r="DH479" s="21"/>
      <c r="DI479" s="21"/>
      <c r="DJ479" s="21"/>
      <c r="DK479" s="21"/>
      <c r="DL479" s="21"/>
      <c r="DM479" s="21"/>
      <c r="DN479" s="21"/>
      <c r="DO479" s="21"/>
      <c r="DP479" s="21"/>
      <c r="DQ479" s="21"/>
      <c r="DR479" s="21"/>
      <c r="DS479" s="21"/>
      <c r="DT479" s="21"/>
      <c r="DU479" s="21"/>
      <c r="DV479" s="21"/>
      <c r="DW479" s="21"/>
      <c r="DX479" s="21"/>
      <c r="DY479" s="21"/>
      <c r="DZ479" s="21"/>
      <c r="EA479" s="21"/>
      <c r="EB479" s="21"/>
      <c r="EC479" s="21"/>
      <c r="ED479" s="21"/>
      <c r="EE479" s="21"/>
      <c r="EF479" s="21"/>
      <c r="EG479" s="21"/>
      <c r="EH479" s="21"/>
      <c r="EI479" s="21"/>
      <c r="EJ479" s="21"/>
      <c r="EK479" s="21"/>
      <c r="EL479" s="21"/>
      <c r="EM479" s="21"/>
      <c r="EN479" s="21"/>
      <c r="EO479" s="21"/>
      <c r="EP479" s="21"/>
      <c r="EQ479" s="21"/>
      <c r="ER479" s="21"/>
      <c r="ES479" s="21"/>
      <c r="ET479" s="21"/>
      <c r="EU479" s="21"/>
      <c r="EV479" s="21"/>
      <c r="EW479" s="21"/>
      <c r="EX479" s="21"/>
      <c r="EY479" s="21"/>
      <c r="EZ479" s="21"/>
      <c r="FA479" s="21"/>
      <c r="FB479" s="21"/>
      <c r="FC479" s="21"/>
      <c r="FD479" s="21"/>
      <c r="FE479" s="21"/>
      <c r="FF479" s="21"/>
      <c r="FG479" s="21"/>
      <c r="FH479" s="21"/>
      <c r="FI479" s="21"/>
    </row>
    <row r="480" spans="1:165"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c r="DB480" s="21"/>
      <c r="DC480" s="21"/>
      <c r="DD480" s="21"/>
      <c r="DE480" s="21"/>
      <c r="DF480" s="21"/>
      <c r="DG480" s="21"/>
      <c r="DH480" s="21"/>
      <c r="DI480" s="21"/>
      <c r="DJ480" s="21"/>
      <c r="DK480" s="21"/>
      <c r="DL480" s="21"/>
      <c r="DM480" s="21"/>
      <c r="DN480" s="21"/>
      <c r="DO480" s="21"/>
      <c r="DP480" s="21"/>
      <c r="DQ480" s="21"/>
      <c r="DR480" s="21"/>
      <c r="DS480" s="21"/>
      <c r="DT480" s="21"/>
      <c r="DU480" s="21"/>
      <c r="DV480" s="21"/>
      <c r="DW480" s="21"/>
      <c r="DX480" s="21"/>
      <c r="DY480" s="21"/>
      <c r="DZ480" s="21"/>
      <c r="EA480" s="21"/>
      <c r="EB480" s="21"/>
      <c r="EC480" s="21"/>
      <c r="ED480" s="21"/>
      <c r="EE480" s="21"/>
      <c r="EF480" s="21"/>
      <c r="EG480" s="21"/>
      <c r="EH480" s="21"/>
      <c r="EI480" s="21"/>
      <c r="EJ480" s="21"/>
      <c r="EK480" s="21"/>
      <c r="EL480" s="21"/>
      <c r="EM480" s="21"/>
      <c r="EN480" s="21"/>
      <c r="EO480" s="21"/>
      <c r="EP480" s="21"/>
      <c r="EQ480" s="21"/>
      <c r="ER480" s="21"/>
      <c r="ES480" s="21"/>
      <c r="ET480" s="21"/>
      <c r="EU480" s="21"/>
      <c r="EV480" s="21"/>
      <c r="EW480" s="21"/>
      <c r="EX480" s="21"/>
      <c r="EY480" s="21"/>
      <c r="EZ480" s="21"/>
      <c r="FA480" s="21"/>
      <c r="FB480" s="21"/>
      <c r="FC480" s="21"/>
      <c r="FD480" s="21"/>
      <c r="FE480" s="21"/>
      <c r="FF480" s="21"/>
      <c r="FG480" s="21"/>
      <c r="FH480" s="21"/>
      <c r="FI480" s="21"/>
    </row>
    <row r="481" spans="1:165"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c r="DB481" s="21"/>
      <c r="DC481" s="21"/>
      <c r="DD481" s="21"/>
      <c r="DE481" s="21"/>
      <c r="DF481" s="21"/>
      <c r="DG481" s="21"/>
      <c r="DH481" s="21"/>
      <c r="DI481" s="21"/>
      <c r="DJ481" s="21"/>
      <c r="DK481" s="21"/>
      <c r="DL481" s="21"/>
      <c r="DM481" s="21"/>
      <c r="DN481" s="21"/>
      <c r="DO481" s="21"/>
      <c r="DP481" s="21"/>
      <c r="DQ481" s="21"/>
      <c r="DR481" s="21"/>
      <c r="DS481" s="21"/>
      <c r="DT481" s="21"/>
      <c r="DU481" s="21"/>
      <c r="DV481" s="21"/>
      <c r="DW481" s="21"/>
      <c r="DX481" s="21"/>
      <c r="DY481" s="21"/>
      <c r="DZ481" s="21"/>
      <c r="EA481" s="21"/>
      <c r="EB481" s="21"/>
      <c r="EC481" s="21"/>
      <c r="ED481" s="21"/>
      <c r="EE481" s="21"/>
      <c r="EF481" s="21"/>
      <c r="EG481" s="21"/>
      <c r="EH481" s="21"/>
      <c r="EI481" s="21"/>
      <c r="EJ481" s="21"/>
      <c r="EK481" s="21"/>
      <c r="EL481" s="21"/>
      <c r="EM481" s="21"/>
      <c r="EN481" s="21"/>
      <c r="EO481" s="21"/>
      <c r="EP481" s="21"/>
      <c r="EQ481" s="21"/>
      <c r="ER481" s="21"/>
      <c r="ES481" s="21"/>
      <c r="ET481" s="21"/>
      <c r="EU481" s="21"/>
      <c r="EV481" s="21"/>
      <c r="EW481" s="21"/>
      <c r="EX481" s="21"/>
      <c r="EY481" s="21"/>
      <c r="EZ481" s="21"/>
      <c r="FA481" s="21"/>
      <c r="FB481" s="21"/>
      <c r="FC481" s="21"/>
      <c r="FD481" s="21"/>
      <c r="FE481" s="21"/>
      <c r="FF481" s="21"/>
      <c r="FG481" s="21"/>
      <c r="FH481" s="21"/>
      <c r="FI481" s="21"/>
    </row>
    <row r="482" spans="1:165"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c r="DB482" s="21"/>
      <c r="DC482" s="21"/>
      <c r="DD482" s="21"/>
      <c r="DE482" s="21"/>
      <c r="DF482" s="21"/>
      <c r="DG482" s="21"/>
      <c r="DH482" s="21"/>
      <c r="DI482" s="21"/>
      <c r="DJ482" s="21"/>
      <c r="DK482" s="21"/>
      <c r="DL482" s="21"/>
      <c r="DM482" s="21"/>
      <c r="DN482" s="21"/>
      <c r="DO482" s="21"/>
      <c r="DP482" s="21"/>
      <c r="DQ482" s="21"/>
      <c r="DR482" s="21"/>
      <c r="DS482" s="21"/>
      <c r="DT482" s="21"/>
      <c r="DU482" s="21"/>
      <c r="DV482" s="21"/>
      <c r="DW482" s="21"/>
      <c r="DX482" s="21"/>
      <c r="DY482" s="21"/>
      <c r="DZ482" s="21"/>
      <c r="EA482" s="21"/>
      <c r="EB482" s="21"/>
      <c r="EC482" s="21"/>
      <c r="ED482" s="21"/>
      <c r="EE482" s="21"/>
      <c r="EF482" s="21"/>
      <c r="EG482" s="21"/>
      <c r="EH482" s="21"/>
      <c r="EI482" s="21"/>
      <c r="EJ482" s="21"/>
      <c r="EK482" s="21"/>
      <c r="EL482" s="21"/>
      <c r="EM482" s="21"/>
      <c r="EN482" s="21"/>
      <c r="EO482" s="21"/>
      <c r="EP482" s="21"/>
      <c r="EQ482" s="21"/>
      <c r="ER482" s="21"/>
      <c r="ES482" s="21"/>
      <c r="ET482" s="21"/>
      <c r="EU482" s="21"/>
      <c r="EV482" s="21"/>
      <c r="EW482" s="21"/>
      <c r="EX482" s="21"/>
      <c r="EY482" s="21"/>
      <c r="EZ482" s="21"/>
      <c r="FA482" s="21"/>
      <c r="FB482" s="21"/>
      <c r="FC482" s="21"/>
      <c r="FD482" s="21"/>
      <c r="FE482" s="21"/>
      <c r="FF482" s="21"/>
      <c r="FG482" s="21"/>
      <c r="FH482" s="21"/>
      <c r="FI482" s="21"/>
    </row>
    <row r="483" spans="1:165"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c r="DB483" s="21"/>
      <c r="DC483" s="21"/>
      <c r="DD483" s="21"/>
      <c r="DE483" s="21"/>
      <c r="DF483" s="21"/>
      <c r="DG483" s="21"/>
      <c r="DH483" s="21"/>
      <c r="DI483" s="21"/>
      <c r="DJ483" s="21"/>
      <c r="DK483" s="21"/>
      <c r="DL483" s="21"/>
      <c r="DM483" s="21"/>
      <c r="DN483" s="21"/>
      <c r="DO483" s="21"/>
      <c r="DP483" s="21"/>
      <c r="DQ483" s="21"/>
      <c r="DR483" s="21"/>
      <c r="DS483" s="21"/>
      <c r="DT483" s="21"/>
      <c r="DU483" s="21"/>
      <c r="DV483" s="21"/>
      <c r="DW483" s="21"/>
      <c r="DX483" s="21"/>
      <c r="DY483" s="21"/>
      <c r="DZ483" s="21"/>
      <c r="EA483" s="21"/>
      <c r="EB483" s="21"/>
      <c r="EC483" s="21"/>
      <c r="ED483" s="21"/>
      <c r="EE483" s="21"/>
      <c r="EF483" s="21"/>
      <c r="EG483" s="21"/>
      <c r="EH483" s="21"/>
      <c r="EI483" s="21"/>
      <c r="EJ483" s="21"/>
      <c r="EK483" s="21"/>
      <c r="EL483" s="21"/>
      <c r="EM483" s="21"/>
      <c r="EN483" s="21"/>
      <c r="EO483" s="21"/>
      <c r="EP483" s="21"/>
      <c r="EQ483" s="21"/>
      <c r="ER483" s="21"/>
      <c r="ES483" s="21"/>
      <c r="ET483" s="21"/>
      <c r="EU483" s="21"/>
      <c r="EV483" s="21"/>
      <c r="EW483" s="21"/>
      <c r="EX483" s="21"/>
      <c r="EY483" s="21"/>
      <c r="EZ483" s="21"/>
      <c r="FA483" s="21"/>
      <c r="FB483" s="21"/>
      <c r="FC483" s="21"/>
      <c r="FD483" s="21"/>
      <c r="FE483" s="21"/>
      <c r="FF483" s="21"/>
      <c r="FG483" s="21"/>
      <c r="FH483" s="21"/>
      <c r="FI483" s="21"/>
    </row>
    <row r="484" spans="1:165"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c r="DB484" s="21"/>
      <c r="DC484" s="21"/>
      <c r="DD484" s="21"/>
      <c r="DE484" s="21"/>
      <c r="DF484" s="21"/>
      <c r="DG484" s="21"/>
      <c r="DH484" s="21"/>
      <c r="DI484" s="21"/>
      <c r="DJ484" s="21"/>
      <c r="DK484" s="21"/>
      <c r="DL484" s="21"/>
      <c r="DM484" s="21"/>
      <c r="DN484" s="21"/>
      <c r="DO484" s="21"/>
      <c r="DP484" s="21"/>
      <c r="DQ484" s="21"/>
      <c r="DR484" s="21"/>
      <c r="DS484" s="21"/>
      <c r="DT484" s="21"/>
      <c r="DU484" s="21"/>
      <c r="DV484" s="21"/>
      <c r="DW484" s="21"/>
      <c r="DX484" s="21"/>
      <c r="DY484" s="21"/>
      <c r="DZ484" s="21"/>
      <c r="EA484" s="21"/>
      <c r="EB484" s="21"/>
      <c r="EC484" s="21"/>
      <c r="ED484" s="21"/>
      <c r="EE484" s="21"/>
      <c r="EF484" s="21"/>
      <c r="EG484" s="21"/>
      <c r="EH484" s="21"/>
      <c r="EI484" s="21"/>
      <c r="EJ484" s="21"/>
      <c r="EK484" s="21"/>
      <c r="EL484" s="21"/>
      <c r="EM484" s="21"/>
      <c r="EN484" s="21"/>
      <c r="EO484" s="21"/>
      <c r="EP484" s="21"/>
      <c r="EQ484" s="21"/>
      <c r="ER484" s="21"/>
      <c r="ES484" s="21"/>
      <c r="ET484" s="21"/>
      <c r="EU484" s="21"/>
      <c r="EV484" s="21"/>
      <c r="EW484" s="21"/>
      <c r="EX484" s="21"/>
      <c r="EY484" s="21"/>
      <c r="EZ484" s="21"/>
      <c r="FA484" s="21"/>
      <c r="FB484" s="21"/>
      <c r="FC484" s="21"/>
      <c r="FD484" s="21"/>
      <c r="FE484" s="21"/>
      <c r="FF484" s="21"/>
      <c r="FG484" s="21"/>
      <c r="FH484" s="21"/>
      <c r="FI484" s="21"/>
    </row>
    <row r="485" spans="1:165"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21"/>
      <c r="CH485" s="21"/>
      <c r="CI485" s="21"/>
      <c r="CJ485" s="21"/>
      <c r="CK485" s="21"/>
      <c r="CL485" s="21"/>
      <c r="CM485" s="21"/>
      <c r="CN485" s="21"/>
      <c r="CO485" s="21"/>
      <c r="CP485" s="21"/>
      <c r="CQ485" s="21"/>
      <c r="CR485" s="21"/>
      <c r="CS485" s="21"/>
      <c r="CT485" s="21"/>
      <c r="CU485" s="21"/>
      <c r="CV485" s="21"/>
      <c r="CW485" s="21"/>
      <c r="CX485" s="21"/>
      <c r="CY485" s="21"/>
      <c r="CZ485" s="21"/>
      <c r="DA485" s="21"/>
      <c r="DB485" s="21"/>
      <c r="DC485" s="21"/>
      <c r="DD485" s="21"/>
      <c r="DE485" s="21"/>
      <c r="DF485" s="21"/>
      <c r="DG485" s="21"/>
      <c r="DH485" s="21"/>
      <c r="DI485" s="21"/>
      <c r="DJ485" s="21"/>
      <c r="DK485" s="21"/>
      <c r="DL485" s="21"/>
      <c r="DM485" s="21"/>
      <c r="DN485" s="21"/>
      <c r="DO485" s="21"/>
      <c r="DP485" s="21"/>
      <c r="DQ485" s="21"/>
      <c r="DR485" s="21"/>
      <c r="DS485" s="21"/>
      <c r="DT485" s="21"/>
      <c r="DU485" s="21"/>
      <c r="DV485" s="21"/>
      <c r="DW485" s="21"/>
      <c r="DX485" s="21"/>
      <c r="DY485" s="21"/>
      <c r="DZ485" s="21"/>
      <c r="EA485" s="21"/>
      <c r="EB485" s="21"/>
      <c r="EC485" s="21"/>
      <c r="ED485" s="21"/>
      <c r="EE485" s="21"/>
      <c r="EF485" s="21"/>
      <c r="EG485" s="21"/>
      <c r="EH485" s="21"/>
      <c r="EI485" s="21"/>
      <c r="EJ485" s="21"/>
      <c r="EK485" s="21"/>
      <c r="EL485" s="21"/>
      <c r="EM485" s="21"/>
      <c r="EN485" s="21"/>
      <c r="EO485" s="21"/>
      <c r="EP485" s="21"/>
      <c r="EQ485" s="21"/>
      <c r="ER485" s="21"/>
      <c r="ES485" s="21"/>
      <c r="ET485" s="21"/>
      <c r="EU485" s="21"/>
      <c r="EV485" s="21"/>
      <c r="EW485" s="21"/>
      <c r="EX485" s="21"/>
      <c r="EY485" s="21"/>
      <c r="EZ485" s="21"/>
      <c r="FA485" s="21"/>
      <c r="FB485" s="21"/>
      <c r="FC485" s="21"/>
      <c r="FD485" s="21"/>
      <c r="FE485" s="21"/>
      <c r="FF485" s="21"/>
      <c r="FG485" s="21"/>
      <c r="FH485" s="21"/>
      <c r="FI485" s="21"/>
    </row>
    <row r="486" spans="1:165"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c r="DB486" s="21"/>
      <c r="DC486" s="21"/>
      <c r="DD486" s="21"/>
      <c r="DE486" s="21"/>
      <c r="DF486" s="21"/>
      <c r="DG486" s="21"/>
      <c r="DH486" s="21"/>
      <c r="DI486" s="21"/>
      <c r="DJ486" s="21"/>
      <c r="DK486" s="21"/>
      <c r="DL486" s="21"/>
      <c r="DM486" s="21"/>
      <c r="DN486" s="21"/>
      <c r="DO486" s="21"/>
      <c r="DP486" s="21"/>
      <c r="DQ486" s="21"/>
      <c r="DR486" s="21"/>
      <c r="DS486" s="21"/>
      <c r="DT486" s="21"/>
      <c r="DU486" s="21"/>
      <c r="DV486" s="21"/>
      <c r="DW486" s="21"/>
      <c r="DX486" s="21"/>
      <c r="DY486" s="21"/>
      <c r="DZ486" s="21"/>
      <c r="EA486" s="21"/>
      <c r="EB486" s="21"/>
      <c r="EC486" s="21"/>
      <c r="ED486" s="21"/>
      <c r="EE486" s="21"/>
      <c r="EF486" s="21"/>
      <c r="EG486" s="21"/>
      <c r="EH486" s="21"/>
      <c r="EI486" s="21"/>
      <c r="EJ486" s="21"/>
      <c r="EK486" s="21"/>
      <c r="EL486" s="21"/>
      <c r="EM486" s="21"/>
      <c r="EN486" s="21"/>
      <c r="EO486" s="21"/>
      <c r="EP486" s="21"/>
      <c r="EQ486" s="21"/>
      <c r="ER486" s="21"/>
      <c r="ES486" s="21"/>
      <c r="ET486" s="21"/>
      <c r="EU486" s="21"/>
      <c r="EV486" s="21"/>
      <c r="EW486" s="21"/>
      <c r="EX486" s="21"/>
      <c r="EY486" s="21"/>
      <c r="EZ486" s="21"/>
      <c r="FA486" s="21"/>
      <c r="FB486" s="21"/>
      <c r="FC486" s="21"/>
      <c r="FD486" s="21"/>
      <c r="FE486" s="21"/>
      <c r="FF486" s="21"/>
      <c r="FG486" s="21"/>
      <c r="FH486" s="21"/>
      <c r="FI486" s="21"/>
    </row>
    <row r="487" spans="1:165"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c r="DB487" s="21"/>
      <c r="DC487" s="21"/>
      <c r="DD487" s="21"/>
      <c r="DE487" s="21"/>
      <c r="DF487" s="21"/>
      <c r="DG487" s="21"/>
      <c r="DH487" s="21"/>
      <c r="DI487" s="21"/>
      <c r="DJ487" s="21"/>
      <c r="DK487" s="21"/>
      <c r="DL487" s="21"/>
      <c r="DM487" s="21"/>
      <c r="DN487" s="21"/>
      <c r="DO487" s="21"/>
      <c r="DP487" s="21"/>
      <c r="DQ487" s="21"/>
      <c r="DR487" s="21"/>
      <c r="DS487" s="21"/>
      <c r="DT487" s="21"/>
      <c r="DU487" s="21"/>
      <c r="DV487" s="21"/>
      <c r="DW487" s="21"/>
      <c r="DX487" s="21"/>
      <c r="DY487" s="21"/>
      <c r="DZ487" s="21"/>
      <c r="EA487" s="21"/>
      <c r="EB487" s="21"/>
      <c r="EC487" s="21"/>
      <c r="ED487" s="21"/>
      <c r="EE487" s="21"/>
      <c r="EF487" s="21"/>
      <c r="EG487" s="21"/>
      <c r="EH487" s="21"/>
      <c r="EI487" s="21"/>
      <c r="EJ487" s="21"/>
      <c r="EK487" s="21"/>
      <c r="EL487" s="21"/>
      <c r="EM487" s="21"/>
      <c r="EN487" s="21"/>
      <c r="EO487" s="21"/>
      <c r="EP487" s="21"/>
      <c r="EQ487" s="21"/>
      <c r="ER487" s="21"/>
      <c r="ES487" s="21"/>
      <c r="ET487" s="21"/>
      <c r="EU487" s="21"/>
      <c r="EV487" s="21"/>
      <c r="EW487" s="21"/>
      <c r="EX487" s="21"/>
      <c r="EY487" s="21"/>
      <c r="EZ487" s="21"/>
      <c r="FA487" s="21"/>
      <c r="FB487" s="21"/>
      <c r="FC487" s="21"/>
      <c r="FD487" s="21"/>
      <c r="FE487" s="21"/>
      <c r="FF487" s="21"/>
      <c r="FG487" s="21"/>
      <c r="FH487" s="21"/>
      <c r="FI487" s="21"/>
    </row>
    <row r="488" spans="1:165"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21"/>
      <c r="CH488" s="21"/>
      <c r="CI488" s="21"/>
      <c r="CJ488" s="21"/>
      <c r="CK488" s="21"/>
      <c r="CL488" s="21"/>
      <c r="CM488" s="21"/>
      <c r="CN488" s="21"/>
      <c r="CO488" s="21"/>
      <c r="CP488" s="21"/>
      <c r="CQ488" s="21"/>
      <c r="CR488" s="21"/>
      <c r="CS488" s="21"/>
      <c r="CT488" s="21"/>
      <c r="CU488" s="21"/>
      <c r="CV488" s="21"/>
      <c r="CW488" s="21"/>
      <c r="CX488" s="21"/>
      <c r="CY488" s="21"/>
      <c r="CZ488" s="21"/>
      <c r="DA488" s="21"/>
      <c r="DB488" s="21"/>
      <c r="DC488" s="21"/>
      <c r="DD488" s="21"/>
      <c r="DE488" s="21"/>
      <c r="DF488" s="21"/>
      <c r="DG488" s="21"/>
      <c r="DH488" s="21"/>
      <c r="DI488" s="21"/>
      <c r="DJ488" s="21"/>
      <c r="DK488" s="21"/>
      <c r="DL488" s="21"/>
      <c r="DM488" s="21"/>
      <c r="DN488" s="21"/>
      <c r="DO488" s="21"/>
      <c r="DP488" s="21"/>
      <c r="DQ488" s="21"/>
      <c r="DR488" s="21"/>
      <c r="DS488" s="21"/>
      <c r="DT488" s="21"/>
      <c r="DU488" s="21"/>
      <c r="DV488" s="21"/>
      <c r="DW488" s="21"/>
      <c r="DX488" s="21"/>
      <c r="DY488" s="21"/>
      <c r="DZ488" s="21"/>
      <c r="EA488" s="21"/>
      <c r="EB488" s="21"/>
      <c r="EC488" s="21"/>
      <c r="ED488" s="21"/>
      <c r="EE488" s="21"/>
      <c r="EF488" s="21"/>
      <c r="EG488" s="21"/>
      <c r="EH488" s="21"/>
      <c r="EI488" s="21"/>
      <c r="EJ488" s="21"/>
      <c r="EK488" s="21"/>
      <c r="EL488" s="21"/>
      <c r="EM488" s="21"/>
      <c r="EN488" s="21"/>
      <c r="EO488" s="21"/>
      <c r="EP488" s="21"/>
      <c r="EQ488" s="21"/>
      <c r="ER488" s="21"/>
      <c r="ES488" s="21"/>
      <c r="ET488" s="21"/>
      <c r="EU488" s="21"/>
      <c r="EV488" s="21"/>
      <c r="EW488" s="21"/>
      <c r="EX488" s="21"/>
      <c r="EY488" s="21"/>
      <c r="EZ488" s="21"/>
      <c r="FA488" s="21"/>
      <c r="FB488" s="21"/>
      <c r="FC488" s="21"/>
      <c r="FD488" s="21"/>
      <c r="FE488" s="21"/>
      <c r="FF488" s="21"/>
      <c r="FG488" s="21"/>
      <c r="FH488" s="21"/>
      <c r="FI488" s="21"/>
    </row>
    <row r="489" spans="1:165"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21"/>
      <c r="CH489" s="21"/>
      <c r="CI489" s="21"/>
      <c r="CJ489" s="21"/>
      <c r="CK489" s="21"/>
      <c r="CL489" s="21"/>
      <c r="CM489" s="21"/>
      <c r="CN489" s="21"/>
      <c r="CO489" s="21"/>
      <c r="CP489" s="21"/>
      <c r="CQ489" s="21"/>
      <c r="CR489" s="21"/>
      <c r="CS489" s="21"/>
      <c r="CT489" s="21"/>
      <c r="CU489" s="21"/>
      <c r="CV489" s="21"/>
      <c r="CW489" s="21"/>
      <c r="CX489" s="21"/>
      <c r="CY489" s="21"/>
      <c r="CZ489" s="21"/>
      <c r="DA489" s="21"/>
      <c r="DB489" s="21"/>
      <c r="DC489" s="21"/>
      <c r="DD489" s="21"/>
      <c r="DE489" s="21"/>
      <c r="DF489" s="21"/>
      <c r="DG489" s="21"/>
      <c r="DH489" s="21"/>
      <c r="DI489" s="21"/>
      <c r="DJ489" s="21"/>
      <c r="DK489" s="21"/>
      <c r="DL489" s="21"/>
      <c r="DM489" s="21"/>
      <c r="DN489" s="21"/>
      <c r="DO489" s="21"/>
      <c r="DP489" s="21"/>
      <c r="DQ489" s="21"/>
      <c r="DR489" s="21"/>
      <c r="DS489" s="21"/>
      <c r="DT489" s="21"/>
      <c r="DU489" s="21"/>
      <c r="DV489" s="21"/>
      <c r="DW489" s="21"/>
      <c r="DX489" s="21"/>
      <c r="DY489" s="21"/>
      <c r="DZ489" s="21"/>
      <c r="EA489" s="21"/>
      <c r="EB489" s="21"/>
      <c r="EC489" s="21"/>
      <c r="ED489" s="21"/>
      <c r="EE489" s="21"/>
      <c r="EF489" s="21"/>
      <c r="EG489" s="21"/>
      <c r="EH489" s="21"/>
      <c r="EI489" s="21"/>
      <c r="EJ489" s="21"/>
      <c r="EK489" s="21"/>
      <c r="EL489" s="21"/>
      <c r="EM489" s="21"/>
      <c r="EN489" s="21"/>
      <c r="EO489" s="21"/>
      <c r="EP489" s="21"/>
      <c r="EQ489" s="21"/>
      <c r="ER489" s="21"/>
      <c r="ES489" s="21"/>
      <c r="ET489" s="21"/>
      <c r="EU489" s="21"/>
      <c r="EV489" s="21"/>
      <c r="EW489" s="21"/>
      <c r="EX489" s="21"/>
      <c r="EY489" s="21"/>
      <c r="EZ489" s="21"/>
      <c r="FA489" s="21"/>
      <c r="FB489" s="21"/>
      <c r="FC489" s="21"/>
      <c r="FD489" s="21"/>
      <c r="FE489" s="21"/>
      <c r="FF489" s="21"/>
      <c r="FG489" s="21"/>
      <c r="FH489" s="21"/>
      <c r="FI489" s="21"/>
    </row>
    <row r="490" spans="1:165"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21"/>
      <c r="CH490" s="21"/>
      <c r="CI490" s="21"/>
      <c r="CJ490" s="21"/>
      <c r="CK490" s="21"/>
      <c r="CL490" s="21"/>
      <c r="CM490" s="21"/>
      <c r="CN490" s="21"/>
      <c r="CO490" s="21"/>
      <c r="CP490" s="21"/>
      <c r="CQ490" s="21"/>
      <c r="CR490" s="21"/>
      <c r="CS490" s="21"/>
      <c r="CT490" s="21"/>
      <c r="CU490" s="21"/>
      <c r="CV490" s="21"/>
      <c r="CW490" s="21"/>
      <c r="CX490" s="21"/>
      <c r="CY490" s="21"/>
      <c r="CZ490" s="21"/>
      <c r="DA490" s="21"/>
      <c r="DB490" s="21"/>
      <c r="DC490" s="21"/>
      <c r="DD490" s="21"/>
      <c r="DE490" s="21"/>
      <c r="DF490" s="21"/>
      <c r="DG490" s="21"/>
      <c r="DH490" s="21"/>
      <c r="DI490" s="21"/>
      <c r="DJ490" s="21"/>
      <c r="DK490" s="21"/>
      <c r="DL490" s="21"/>
      <c r="DM490" s="21"/>
      <c r="DN490" s="21"/>
      <c r="DO490" s="21"/>
      <c r="DP490" s="21"/>
      <c r="DQ490" s="21"/>
      <c r="DR490" s="21"/>
      <c r="DS490" s="21"/>
      <c r="DT490" s="21"/>
      <c r="DU490" s="21"/>
      <c r="DV490" s="21"/>
      <c r="DW490" s="21"/>
      <c r="DX490" s="21"/>
      <c r="DY490" s="21"/>
      <c r="DZ490" s="21"/>
      <c r="EA490" s="21"/>
      <c r="EB490" s="21"/>
      <c r="EC490" s="21"/>
      <c r="ED490" s="21"/>
      <c r="EE490" s="21"/>
      <c r="EF490" s="21"/>
      <c r="EG490" s="21"/>
      <c r="EH490" s="21"/>
      <c r="EI490" s="21"/>
      <c r="EJ490" s="21"/>
      <c r="EK490" s="21"/>
      <c r="EL490" s="21"/>
      <c r="EM490" s="21"/>
      <c r="EN490" s="21"/>
      <c r="EO490" s="21"/>
      <c r="EP490" s="21"/>
      <c r="EQ490" s="21"/>
      <c r="ER490" s="21"/>
      <c r="ES490" s="21"/>
      <c r="ET490" s="21"/>
      <c r="EU490" s="21"/>
      <c r="EV490" s="21"/>
      <c r="EW490" s="21"/>
      <c r="EX490" s="21"/>
      <c r="EY490" s="21"/>
      <c r="EZ490" s="21"/>
      <c r="FA490" s="21"/>
      <c r="FB490" s="21"/>
      <c r="FC490" s="21"/>
      <c r="FD490" s="21"/>
      <c r="FE490" s="21"/>
      <c r="FF490" s="21"/>
      <c r="FG490" s="21"/>
      <c r="FH490" s="21"/>
      <c r="FI490" s="21"/>
    </row>
    <row r="491" spans="1:165"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c r="DB491" s="21"/>
      <c r="DC491" s="21"/>
      <c r="DD491" s="21"/>
      <c r="DE491" s="21"/>
      <c r="DF491" s="21"/>
      <c r="DG491" s="21"/>
      <c r="DH491" s="21"/>
      <c r="DI491" s="21"/>
      <c r="DJ491" s="21"/>
      <c r="DK491" s="21"/>
      <c r="DL491" s="21"/>
      <c r="DM491" s="21"/>
      <c r="DN491" s="21"/>
      <c r="DO491" s="21"/>
      <c r="DP491" s="21"/>
      <c r="DQ491" s="21"/>
      <c r="DR491" s="21"/>
      <c r="DS491" s="21"/>
      <c r="DT491" s="21"/>
      <c r="DU491" s="21"/>
      <c r="DV491" s="21"/>
      <c r="DW491" s="21"/>
      <c r="DX491" s="21"/>
      <c r="DY491" s="21"/>
      <c r="DZ491" s="21"/>
      <c r="EA491" s="21"/>
      <c r="EB491" s="21"/>
      <c r="EC491" s="21"/>
      <c r="ED491" s="21"/>
      <c r="EE491" s="21"/>
      <c r="EF491" s="21"/>
      <c r="EG491" s="21"/>
      <c r="EH491" s="21"/>
      <c r="EI491" s="21"/>
      <c r="EJ491" s="21"/>
      <c r="EK491" s="21"/>
      <c r="EL491" s="21"/>
      <c r="EM491" s="21"/>
      <c r="EN491" s="21"/>
      <c r="EO491" s="21"/>
      <c r="EP491" s="21"/>
      <c r="EQ491" s="21"/>
      <c r="ER491" s="21"/>
      <c r="ES491" s="21"/>
      <c r="ET491" s="21"/>
      <c r="EU491" s="21"/>
      <c r="EV491" s="21"/>
      <c r="EW491" s="21"/>
      <c r="EX491" s="21"/>
      <c r="EY491" s="21"/>
      <c r="EZ491" s="21"/>
      <c r="FA491" s="21"/>
      <c r="FB491" s="21"/>
      <c r="FC491" s="21"/>
      <c r="FD491" s="21"/>
      <c r="FE491" s="21"/>
      <c r="FF491" s="21"/>
      <c r="FG491" s="21"/>
      <c r="FH491" s="21"/>
      <c r="FI491" s="21"/>
    </row>
    <row r="492" spans="1:165"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21"/>
      <c r="CH492" s="21"/>
      <c r="CI492" s="21"/>
      <c r="CJ492" s="21"/>
      <c r="CK492" s="21"/>
      <c r="CL492" s="21"/>
      <c r="CM492" s="21"/>
      <c r="CN492" s="21"/>
      <c r="CO492" s="21"/>
      <c r="CP492" s="21"/>
      <c r="CQ492" s="21"/>
      <c r="CR492" s="21"/>
      <c r="CS492" s="21"/>
      <c r="CT492" s="21"/>
      <c r="CU492" s="21"/>
      <c r="CV492" s="21"/>
      <c r="CW492" s="21"/>
      <c r="CX492" s="21"/>
      <c r="CY492" s="21"/>
      <c r="CZ492" s="21"/>
      <c r="DA492" s="21"/>
      <c r="DB492" s="21"/>
      <c r="DC492" s="21"/>
      <c r="DD492" s="21"/>
      <c r="DE492" s="21"/>
      <c r="DF492" s="21"/>
      <c r="DG492" s="21"/>
      <c r="DH492" s="21"/>
      <c r="DI492" s="21"/>
      <c r="DJ492" s="21"/>
      <c r="DK492" s="21"/>
      <c r="DL492" s="21"/>
      <c r="DM492" s="21"/>
      <c r="DN492" s="21"/>
      <c r="DO492" s="21"/>
      <c r="DP492" s="21"/>
      <c r="DQ492" s="21"/>
      <c r="DR492" s="21"/>
      <c r="DS492" s="21"/>
      <c r="DT492" s="21"/>
      <c r="DU492" s="21"/>
      <c r="DV492" s="21"/>
      <c r="DW492" s="21"/>
      <c r="DX492" s="21"/>
      <c r="DY492" s="21"/>
      <c r="DZ492" s="21"/>
      <c r="EA492" s="21"/>
      <c r="EB492" s="21"/>
      <c r="EC492" s="21"/>
      <c r="ED492" s="21"/>
      <c r="EE492" s="21"/>
      <c r="EF492" s="21"/>
      <c r="EG492" s="21"/>
      <c r="EH492" s="21"/>
      <c r="EI492" s="21"/>
      <c r="EJ492" s="21"/>
      <c r="EK492" s="21"/>
      <c r="EL492" s="21"/>
      <c r="EM492" s="21"/>
      <c r="EN492" s="21"/>
      <c r="EO492" s="21"/>
      <c r="EP492" s="21"/>
      <c r="EQ492" s="21"/>
      <c r="ER492" s="21"/>
      <c r="ES492" s="21"/>
      <c r="ET492" s="21"/>
      <c r="EU492" s="21"/>
      <c r="EV492" s="21"/>
      <c r="EW492" s="21"/>
      <c r="EX492" s="21"/>
      <c r="EY492" s="21"/>
      <c r="EZ492" s="21"/>
      <c r="FA492" s="21"/>
      <c r="FB492" s="21"/>
      <c r="FC492" s="21"/>
      <c r="FD492" s="21"/>
      <c r="FE492" s="21"/>
      <c r="FF492" s="21"/>
      <c r="FG492" s="21"/>
      <c r="FH492" s="21"/>
      <c r="FI492" s="21"/>
    </row>
    <row r="493" spans="1:165"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c r="DB493" s="21"/>
      <c r="DC493" s="21"/>
      <c r="DD493" s="21"/>
      <c r="DE493" s="21"/>
      <c r="DF493" s="21"/>
      <c r="DG493" s="21"/>
      <c r="DH493" s="21"/>
      <c r="DI493" s="21"/>
      <c r="DJ493" s="21"/>
      <c r="DK493" s="21"/>
      <c r="DL493" s="21"/>
      <c r="DM493" s="21"/>
      <c r="DN493" s="21"/>
      <c r="DO493" s="21"/>
      <c r="DP493" s="21"/>
      <c r="DQ493" s="21"/>
      <c r="DR493" s="21"/>
      <c r="DS493" s="21"/>
      <c r="DT493" s="21"/>
      <c r="DU493" s="21"/>
      <c r="DV493" s="21"/>
      <c r="DW493" s="21"/>
      <c r="DX493" s="21"/>
      <c r="DY493" s="21"/>
      <c r="DZ493" s="21"/>
      <c r="EA493" s="21"/>
      <c r="EB493" s="21"/>
      <c r="EC493" s="21"/>
      <c r="ED493" s="21"/>
      <c r="EE493" s="21"/>
      <c r="EF493" s="21"/>
      <c r="EG493" s="21"/>
      <c r="EH493" s="21"/>
      <c r="EI493" s="21"/>
      <c r="EJ493" s="21"/>
      <c r="EK493" s="21"/>
      <c r="EL493" s="21"/>
      <c r="EM493" s="21"/>
      <c r="EN493" s="21"/>
      <c r="EO493" s="21"/>
      <c r="EP493" s="21"/>
      <c r="EQ493" s="21"/>
      <c r="ER493" s="21"/>
      <c r="ES493" s="21"/>
      <c r="ET493" s="21"/>
      <c r="EU493" s="21"/>
      <c r="EV493" s="21"/>
      <c r="EW493" s="21"/>
      <c r="EX493" s="21"/>
      <c r="EY493" s="21"/>
      <c r="EZ493" s="21"/>
      <c r="FA493" s="21"/>
      <c r="FB493" s="21"/>
      <c r="FC493" s="21"/>
      <c r="FD493" s="21"/>
      <c r="FE493" s="21"/>
      <c r="FF493" s="21"/>
      <c r="FG493" s="21"/>
      <c r="FH493" s="21"/>
      <c r="FI493" s="21"/>
    </row>
    <row r="494" spans="1:165"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c r="DB494" s="21"/>
      <c r="DC494" s="21"/>
      <c r="DD494" s="21"/>
      <c r="DE494" s="21"/>
      <c r="DF494" s="21"/>
      <c r="DG494" s="21"/>
      <c r="DH494" s="21"/>
      <c r="DI494" s="21"/>
      <c r="DJ494" s="21"/>
      <c r="DK494" s="21"/>
      <c r="DL494" s="21"/>
      <c r="DM494" s="21"/>
      <c r="DN494" s="21"/>
      <c r="DO494" s="21"/>
      <c r="DP494" s="21"/>
      <c r="DQ494" s="21"/>
      <c r="DR494" s="21"/>
      <c r="DS494" s="21"/>
      <c r="DT494" s="21"/>
      <c r="DU494" s="21"/>
      <c r="DV494" s="21"/>
      <c r="DW494" s="21"/>
      <c r="DX494" s="21"/>
      <c r="DY494" s="21"/>
      <c r="DZ494" s="21"/>
      <c r="EA494" s="21"/>
      <c r="EB494" s="21"/>
      <c r="EC494" s="21"/>
      <c r="ED494" s="21"/>
      <c r="EE494" s="21"/>
      <c r="EF494" s="21"/>
      <c r="EG494" s="21"/>
      <c r="EH494" s="21"/>
      <c r="EI494" s="21"/>
      <c r="EJ494" s="21"/>
      <c r="EK494" s="21"/>
      <c r="EL494" s="21"/>
      <c r="EM494" s="21"/>
      <c r="EN494" s="21"/>
      <c r="EO494" s="21"/>
      <c r="EP494" s="21"/>
      <c r="EQ494" s="21"/>
      <c r="ER494" s="21"/>
      <c r="ES494" s="21"/>
      <c r="ET494" s="21"/>
      <c r="EU494" s="21"/>
      <c r="EV494" s="21"/>
      <c r="EW494" s="21"/>
      <c r="EX494" s="21"/>
      <c r="EY494" s="21"/>
      <c r="EZ494" s="21"/>
      <c r="FA494" s="21"/>
      <c r="FB494" s="21"/>
      <c r="FC494" s="21"/>
      <c r="FD494" s="21"/>
      <c r="FE494" s="21"/>
      <c r="FF494" s="21"/>
      <c r="FG494" s="21"/>
      <c r="FH494" s="21"/>
      <c r="FI494" s="21"/>
    </row>
    <row r="495" spans="1:165"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c r="DB495" s="21"/>
      <c r="DC495" s="21"/>
      <c r="DD495" s="21"/>
      <c r="DE495" s="21"/>
      <c r="DF495" s="21"/>
      <c r="DG495" s="21"/>
      <c r="DH495" s="21"/>
      <c r="DI495" s="21"/>
      <c r="DJ495" s="21"/>
      <c r="DK495" s="21"/>
      <c r="DL495" s="21"/>
      <c r="DM495" s="21"/>
      <c r="DN495" s="21"/>
      <c r="DO495" s="21"/>
      <c r="DP495" s="21"/>
      <c r="DQ495" s="21"/>
      <c r="DR495" s="21"/>
      <c r="DS495" s="21"/>
      <c r="DT495" s="21"/>
      <c r="DU495" s="21"/>
      <c r="DV495" s="21"/>
      <c r="DW495" s="21"/>
      <c r="DX495" s="21"/>
      <c r="DY495" s="21"/>
      <c r="DZ495" s="21"/>
      <c r="EA495" s="21"/>
      <c r="EB495" s="21"/>
      <c r="EC495" s="21"/>
      <c r="ED495" s="21"/>
      <c r="EE495" s="21"/>
      <c r="EF495" s="21"/>
      <c r="EG495" s="21"/>
      <c r="EH495" s="21"/>
      <c r="EI495" s="21"/>
      <c r="EJ495" s="21"/>
      <c r="EK495" s="21"/>
      <c r="EL495" s="21"/>
      <c r="EM495" s="21"/>
      <c r="EN495" s="21"/>
      <c r="EO495" s="21"/>
      <c r="EP495" s="21"/>
      <c r="EQ495" s="21"/>
      <c r="ER495" s="21"/>
      <c r="ES495" s="21"/>
      <c r="ET495" s="21"/>
      <c r="EU495" s="21"/>
      <c r="EV495" s="21"/>
      <c r="EW495" s="21"/>
      <c r="EX495" s="21"/>
      <c r="EY495" s="21"/>
      <c r="EZ495" s="21"/>
      <c r="FA495" s="21"/>
      <c r="FB495" s="21"/>
      <c r="FC495" s="21"/>
      <c r="FD495" s="21"/>
      <c r="FE495" s="21"/>
      <c r="FF495" s="21"/>
      <c r="FG495" s="21"/>
      <c r="FH495" s="21"/>
      <c r="FI495" s="21"/>
    </row>
    <row r="496" spans="1:165"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21"/>
      <c r="CH496" s="21"/>
      <c r="CI496" s="21"/>
      <c r="CJ496" s="21"/>
      <c r="CK496" s="21"/>
      <c r="CL496" s="21"/>
      <c r="CM496" s="21"/>
      <c r="CN496" s="21"/>
      <c r="CO496" s="21"/>
      <c r="CP496" s="21"/>
      <c r="CQ496" s="21"/>
      <c r="CR496" s="21"/>
      <c r="CS496" s="21"/>
      <c r="CT496" s="21"/>
      <c r="CU496" s="21"/>
      <c r="CV496" s="21"/>
      <c r="CW496" s="21"/>
      <c r="CX496" s="21"/>
      <c r="CY496" s="21"/>
      <c r="CZ496" s="21"/>
      <c r="DA496" s="21"/>
      <c r="DB496" s="21"/>
      <c r="DC496" s="21"/>
      <c r="DD496" s="21"/>
      <c r="DE496" s="21"/>
      <c r="DF496" s="21"/>
      <c r="DG496" s="21"/>
      <c r="DH496" s="21"/>
      <c r="DI496" s="21"/>
      <c r="DJ496" s="21"/>
      <c r="DK496" s="21"/>
      <c r="DL496" s="21"/>
      <c r="DM496" s="21"/>
      <c r="DN496" s="21"/>
      <c r="DO496" s="21"/>
      <c r="DP496" s="21"/>
      <c r="DQ496" s="21"/>
      <c r="DR496" s="21"/>
      <c r="DS496" s="21"/>
      <c r="DT496" s="21"/>
      <c r="DU496" s="21"/>
      <c r="DV496" s="21"/>
      <c r="DW496" s="21"/>
      <c r="DX496" s="21"/>
      <c r="DY496" s="21"/>
      <c r="DZ496" s="21"/>
      <c r="EA496" s="21"/>
      <c r="EB496" s="21"/>
      <c r="EC496" s="21"/>
      <c r="ED496" s="21"/>
      <c r="EE496" s="21"/>
      <c r="EF496" s="21"/>
      <c r="EG496" s="21"/>
      <c r="EH496" s="21"/>
      <c r="EI496" s="21"/>
      <c r="EJ496" s="21"/>
      <c r="EK496" s="21"/>
      <c r="EL496" s="21"/>
      <c r="EM496" s="21"/>
      <c r="EN496" s="21"/>
      <c r="EO496" s="21"/>
      <c r="EP496" s="21"/>
      <c r="EQ496" s="21"/>
      <c r="ER496" s="21"/>
      <c r="ES496" s="21"/>
      <c r="ET496" s="21"/>
      <c r="EU496" s="21"/>
      <c r="EV496" s="21"/>
      <c r="EW496" s="21"/>
      <c r="EX496" s="21"/>
      <c r="EY496" s="21"/>
      <c r="EZ496" s="21"/>
      <c r="FA496" s="21"/>
      <c r="FB496" s="21"/>
      <c r="FC496" s="21"/>
      <c r="FD496" s="21"/>
      <c r="FE496" s="21"/>
      <c r="FF496" s="21"/>
      <c r="FG496" s="21"/>
      <c r="FH496" s="21"/>
      <c r="FI496" s="21"/>
    </row>
    <row r="497" spans="1:165"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c r="DB497" s="21"/>
      <c r="DC497" s="21"/>
      <c r="DD497" s="21"/>
      <c r="DE497" s="21"/>
      <c r="DF497" s="21"/>
      <c r="DG497" s="21"/>
      <c r="DH497" s="21"/>
      <c r="DI497" s="21"/>
      <c r="DJ497" s="21"/>
      <c r="DK497" s="21"/>
      <c r="DL497" s="21"/>
      <c r="DM497" s="21"/>
      <c r="DN497" s="21"/>
      <c r="DO497" s="21"/>
      <c r="DP497" s="21"/>
      <c r="DQ497" s="21"/>
      <c r="DR497" s="21"/>
      <c r="DS497" s="21"/>
      <c r="DT497" s="21"/>
      <c r="DU497" s="21"/>
      <c r="DV497" s="21"/>
      <c r="DW497" s="21"/>
      <c r="DX497" s="21"/>
      <c r="DY497" s="21"/>
      <c r="DZ497" s="21"/>
      <c r="EA497" s="21"/>
      <c r="EB497" s="21"/>
      <c r="EC497" s="21"/>
      <c r="ED497" s="21"/>
      <c r="EE497" s="21"/>
      <c r="EF497" s="21"/>
      <c r="EG497" s="21"/>
      <c r="EH497" s="21"/>
      <c r="EI497" s="21"/>
      <c r="EJ497" s="21"/>
      <c r="EK497" s="21"/>
      <c r="EL497" s="21"/>
      <c r="EM497" s="21"/>
      <c r="EN497" s="21"/>
      <c r="EO497" s="21"/>
      <c r="EP497" s="21"/>
      <c r="EQ497" s="21"/>
      <c r="ER497" s="21"/>
      <c r="ES497" s="21"/>
      <c r="ET497" s="21"/>
      <c r="EU497" s="21"/>
      <c r="EV497" s="21"/>
      <c r="EW497" s="21"/>
      <c r="EX497" s="21"/>
      <c r="EY497" s="21"/>
      <c r="EZ497" s="21"/>
      <c r="FA497" s="21"/>
      <c r="FB497" s="21"/>
      <c r="FC497" s="21"/>
      <c r="FD497" s="21"/>
      <c r="FE497" s="21"/>
      <c r="FF497" s="21"/>
      <c r="FG497" s="21"/>
      <c r="FH497" s="21"/>
      <c r="FI497" s="21"/>
    </row>
    <row r="498" spans="1:165"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21"/>
      <c r="CH498" s="21"/>
      <c r="CI498" s="21"/>
      <c r="CJ498" s="21"/>
      <c r="CK498" s="21"/>
      <c r="CL498" s="21"/>
      <c r="CM498" s="21"/>
      <c r="CN498" s="21"/>
      <c r="CO498" s="21"/>
      <c r="CP498" s="21"/>
      <c r="CQ498" s="21"/>
      <c r="CR498" s="21"/>
      <c r="CS498" s="21"/>
      <c r="CT498" s="21"/>
      <c r="CU498" s="21"/>
      <c r="CV498" s="21"/>
      <c r="CW498" s="21"/>
      <c r="CX498" s="21"/>
      <c r="CY498" s="21"/>
      <c r="CZ498" s="21"/>
      <c r="DA498" s="21"/>
      <c r="DB498" s="21"/>
      <c r="DC498" s="21"/>
      <c r="DD498" s="21"/>
      <c r="DE498" s="21"/>
      <c r="DF498" s="21"/>
      <c r="DG498" s="21"/>
      <c r="DH498" s="21"/>
      <c r="DI498" s="21"/>
      <c r="DJ498" s="21"/>
      <c r="DK498" s="21"/>
      <c r="DL498" s="21"/>
      <c r="DM498" s="21"/>
      <c r="DN498" s="21"/>
      <c r="DO498" s="21"/>
      <c r="DP498" s="21"/>
      <c r="DQ498" s="21"/>
      <c r="DR498" s="21"/>
      <c r="DS498" s="21"/>
      <c r="DT498" s="21"/>
      <c r="DU498" s="21"/>
      <c r="DV498" s="21"/>
      <c r="DW498" s="21"/>
      <c r="DX498" s="21"/>
      <c r="DY498" s="21"/>
      <c r="DZ498" s="21"/>
      <c r="EA498" s="21"/>
      <c r="EB498" s="21"/>
      <c r="EC498" s="21"/>
      <c r="ED498" s="21"/>
      <c r="EE498" s="21"/>
      <c r="EF498" s="21"/>
      <c r="EG498" s="21"/>
      <c r="EH498" s="21"/>
      <c r="EI498" s="21"/>
      <c r="EJ498" s="21"/>
      <c r="EK498" s="21"/>
      <c r="EL498" s="21"/>
      <c r="EM498" s="21"/>
      <c r="EN498" s="21"/>
      <c r="EO498" s="21"/>
      <c r="EP498" s="21"/>
      <c r="EQ498" s="21"/>
      <c r="ER498" s="21"/>
      <c r="ES498" s="21"/>
      <c r="ET498" s="21"/>
      <c r="EU498" s="21"/>
      <c r="EV498" s="21"/>
      <c r="EW498" s="21"/>
      <c r="EX498" s="21"/>
      <c r="EY498" s="21"/>
      <c r="EZ498" s="21"/>
      <c r="FA498" s="21"/>
      <c r="FB498" s="21"/>
      <c r="FC498" s="21"/>
      <c r="FD498" s="21"/>
      <c r="FE498" s="21"/>
      <c r="FF498" s="21"/>
      <c r="FG498" s="21"/>
      <c r="FH498" s="21"/>
      <c r="FI498" s="21"/>
    </row>
    <row r="499" spans="1:165"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21"/>
      <c r="CH499" s="21"/>
      <c r="CI499" s="21"/>
      <c r="CJ499" s="21"/>
      <c r="CK499" s="21"/>
      <c r="CL499" s="21"/>
      <c r="CM499" s="21"/>
      <c r="CN499" s="21"/>
      <c r="CO499" s="21"/>
      <c r="CP499" s="21"/>
      <c r="CQ499" s="21"/>
      <c r="CR499" s="21"/>
      <c r="CS499" s="21"/>
      <c r="CT499" s="21"/>
      <c r="CU499" s="21"/>
      <c r="CV499" s="21"/>
      <c r="CW499" s="21"/>
      <c r="CX499" s="21"/>
      <c r="CY499" s="21"/>
      <c r="CZ499" s="21"/>
      <c r="DA499" s="21"/>
      <c r="DB499" s="21"/>
      <c r="DC499" s="21"/>
      <c r="DD499" s="21"/>
      <c r="DE499" s="21"/>
      <c r="DF499" s="21"/>
      <c r="DG499" s="21"/>
      <c r="DH499" s="21"/>
      <c r="DI499" s="21"/>
      <c r="DJ499" s="21"/>
      <c r="DK499" s="21"/>
      <c r="DL499" s="21"/>
      <c r="DM499" s="21"/>
      <c r="DN499" s="21"/>
      <c r="DO499" s="21"/>
      <c r="DP499" s="21"/>
      <c r="DQ499" s="21"/>
      <c r="DR499" s="21"/>
      <c r="DS499" s="21"/>
      <c r="DT499" s="21"/>
      <c r="DU499" s="21"/>
      <c r="DV499" s="21"/>
      <c r="DW499" s="21"/>
      <c r="DX499" s="21"/>
      <c r="DY499" s="21"/>
      <c r="DZ499" s="21"/>
      <c r="EA499" s="21"/>
      <c r="EB499" s="21"/>
      <c r="EC499" s="21"/>
      <c r="ED499" s="21"/>
      <c r="EE499" s="21"/>
      <c r="EF499" s="21"/>
      <c r="EG499" s="21"/>
      <c r="EH499" s="21"/>
      <c r="EI499" s="21"/>
      <c r="EJ499" s="21"/>
      <c r="EK499" s="21"/>
      <c r="EL499" s="21"/>
      <c r="EM499" s="21"/>
      <c r="EN499" s="21"/>
      <c r="EO499" s="21"/>
      <c r="EP499" s="21"/>
      <c r="EQ499" s="21"/>
      <c r="ER499" s="21"/>
      <c r="ES499" s="21"/>
      <c r="ET499" s="21"/>
      <c r="EU499" s="21"/>
      <c r="EV499" s="21"/>
      <c r="EW499" s="21"/>
      <c r="EX499" s="21"/>
      <c r="EY499" s="21"/>
      <c r="EZ499" s="21"/>
      <c r="FA499" s="21"/>
      <c r="FB499" s="21"/>
      <c r="FC499" s="21"/>
      <c r="FD499" s="21"/>
      <c r="FE499" s="21"/>
      <c r="FF499" s="21"/>
      <c r="FG499" s="21"/>
      <c r="FH499" s="21"/>
      <c r="FI499" s="21"/>
    </row>
    <row r="500" spans="1:165"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c r="DB500" s="21"/>
      <c r="DC500" s="21"/>
      <c r="DD500" s="21"/>
      <c r="DE500" s="21"/>
      <c r="DF500" s="21"/>
      <c r="DG500" s="21"/>
      <c r="DH500" s="21"/>
      <c r="DI500" s="21"/>
      <c r="DJ500" s="21"/>
      <c r="DK500" s="21"/>
      <c r="DL500" s="21"/>
      <c r="DM500" s="21"/>
      <c r="DN500" s="21"/>
      <c r="DO500" s="21"/>
      <c r="DP500" s="21"/>
      <c r="DQ500" s="21"/>
      <c r="DR500" s="21"/>
      <c r="DS500" s="21"/>
      <c r="DT500" s="21"/>
      <c r="DU500" s="21"/>
      <c r="DV500" s="21"/>
      <c r="DW500" s="21"/>
      <c r="DX500" s="21"/>
      <c r="DY500" s="21"/>
      <c r="DZ500" s="21"/>
      <c r="EA500" s="21"/>
      <c r="EB500" s="21"/>
      <c r="EC500" s="21"/>
      <c r="ED500" s="21"/>
      <c r="EE500" s="21"/>
      <c r="EF500" s="21"/>
      <c r="EG500" s="21"/>
      <c r="EH500" s="21"/>
      <c r="EI500" s="21"/>
      <c r="EJ500" s="21"/>
      <c r="EK500" s="21"/>
      <c r="EL500" s="21"/>
      <c r="EM500" s="21"/>
      <c r="EN500" s="21"/>
      <c r="EO500" s="21"/>
      <c r="EP500" s="21"/>
      <c r="EQ500" s="21"/>
      <c r="ER500" s="21"/>
      <c r="ES500" s="21"/>
      <c r="ET500" s="21"/>
      <c r="EU500" s="21"/>
      <c r="EV500" s="21"/>
      <c r="EW500" s="21"/>
      <c r="EX500" s="21"/>
      <c r="EY500" s="21"/>
      <c r="EZ500" s="21"/>
      <c r="FA500" s="21"/>
      <c r="FB500" s="21"/>
      <c r="FC500" s="21"/>
      <c r="FD500" s="21"/>
      <c r="FE500" s="21"/>
      <c r="FF500" s="21"/>
      <c r="FG500" s="21"/>
      <c r="FH500" s="21"/>
      <c r="FI500" s="21"/>
    </row>
    <row r="501" spans="1:165"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c r="DB501" s="21"/>
      <c r="DC501" s="21"/>
      <c r="DD501" s="21"/>
      <c r="DE501" s="21"/>
      <c r="DF501" s="21"/>
      <c r="DG501" s="21"/>
      <c r="DH501" s="21"/>
      <c r="DI501" s="21"/>
      <c r="DJ501" s="21"/>
      <c r="DK501" s="21"/>
      <c r="DL501" s="21"/>
      <c r="DM501" s="21"/>
      <c r="DN501" s="21"/>
      <c r="DO501" s="21"/>
      <c r="DP501" s="21"/>
      <c r="DQ501" s="21"/>
      <c r="DR501" s="21"/>
      <c r="DS501" s="21"/>
      <c r="DT501" s="21"/>
      <c r="DU501" s="21"/>
      <c r="DV501" s="21"/>
      <c r="DW501" s="21"/>
      <c r="DX501" s="21"/>
      <c r="DY501" s="21"/>
      <c r="DZ501" s="21"/>
      <c r="EA501" s="21"/>
      <c r="EB501" s="21"/>
      <c r="EC501" s="21"/>
      <c r="ED501" s="21"/>
      <c r="EE501" s="21"/>
      <c r="EF501" s="21"/>
      <c r="EG501" s="21"/>
      <c r="EH501" s="21"/>
      <c r="EI501" s="21"/>
      <c r="EJ501" s="21"/>
      <c r="EK501" s="21"/>
      <c r="EL501" s="21"/>
      <c r="EM501" s="21"/>
      <c r="EN501" s="21"/>
      <c r="EO501" s="21"/>
      <c r="EP501" s="21"/>
      <c r="EQ501" s="21"/>
      <c r="ER501" s="21"/>
      <c r="ES501" s="21"/>
      <c r="ET501" s="21"/>
      <c r="EU501" s="21"/>
      <c r="EV501" s="21"/>
      <c r="EW501" s="21"/>
      <c r="EX501" s="21"/>
      <c r="EY501" s="21"/>
      <c r="EZ501" s="21"/>
      <c r="FA501" s="21"/>
      <c r="FB501" s="21"/>
      <c r="FC501" s="21"/>
      <c r="FD501" s="21"/>
      <c r="FE501" s="21"/>
      <c r="FF501" s="21"/>
      <c r="FG501" s="21"/>
      <c r="FH501" s="21"/>
      <c r="FI501" s="21"/>
    </row>
    <row r="502" spans="1:165"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c r="DB502" s="21"/>
      <c r="DC502" s="21"/>
      <c r="DD502" s="21"/>
      <c r="DE502" s="21"/>
      <c r="DF502" s="21"/>
      <c r="DG502" s="21"/>
      <c r="DH502" s="21"/>
      <c r="DI502" s="21"/>
      <c r="DJ502" s="21"/>
      <c r="DK502" s="21"/>
      <c r="DL502" s="21"/>
      <c r="DM502" s="21"/>
      <c r="DN502" s="21"/>
      <c r="DO502" s="21"/>
      <c r="DP502" s="21"/>
      <c r="DQ502" s="21"/>
      <c r="DR502" s="21"/>
      <c r="DS502" s="21"/>
      <c r="DT502" s="21"/>
      <c r="DU502" s="21"/>
      <c r="DV502" s="21"/>
      <c r="DW502" s="21"/>
      <c r="DX502" s="21"/>
      <c r="DY502" s="21"/>
      <c r="DZ502" s="21"/>
      <c r="EA502" s="21"/>
      <c r="EB502" s="21"/>
      <c r="EC502" s="21"/>
      <c r="ED502" s="21"/>
      <c r="EE502" s="21"/>
      <c r="EF502" s="21"/>
      <c r="EG502" s="21"/>
      <c r="EH502" s="21"/>
      <c r="EI502" s="21"/>
      <c r="EJ502" s="21"/>
      <c r="EK502" s="21"/>
      <c r="EL502" s="21"/>
      <c r="EM502" s="21"/>
      <c r="EN502" s="21"/>
      <c r="EO502" s="21"/>
      <c r="EP502" s="21"/>
      <c r="EQ502" s="21"/>
      <c r="ER502" s="21"/>
      <c r="ES502" s="21"/>
      <c r="ET502" s="21"/>
      <c r="EU502" s="21"/>
      <c r="EV502" s="21"/>
      <c r="EW502" s="21"/>
      <c r="EX502" s="21"/>
      <c r="EY502" s="21"/>
      <c r="EZ502" s="21"/>
      <c r="FA502" s="21"/>
      <c r="FB502" s="21"/>
      <c r="FC502" s="21"/>
      <c r="FD502" s="21"/>
      <c r="FE502" s="21"/>
      <c r="FF502" s="21"/>
      <c r="FG502" s="21"/>
      <c r="FH502" s="21"/>
      <c r="FI502" s="21"/>
    </row>
    <row r="503" spans="1:165"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c r="DB503" s="21"/>
      <c r="DC503" s="21"/>
      <c r="DD503" s="21"/>
      <c r="DE503" s="21"/>
      <c r="DF503" s="21"/>
      <c r="DG503" s="21"/>
      <c r="DH503" s="21"/>
      <c r="DI503" s="21"/>
      <c r="DJ503" s="21"/>
      <c r="DK503" s="21"/>
      <c r="DL503" s="21"/>
      <c r="DM503" s="21"/>
      <c r="DN503" s="21"/>
      <c r="DO503" s="21"/>
      <c r="DP503" s="21"/>
      <c r="DQ503" s="21"/>
      <c r="DR503" s="21"/>
      <c r="DS503" s="21"/>
      <c r="DT503" s="21"/>
      <c r="DU503" s="21"/>
      <c r="DV503" s="21"/>
      <c r="DW503" s="21"/>
      <c r="DX503" s="21"/>
      <c r="DY503" s="21"/>
      <c r="DZ503" s="21"/>
      <c r="EA503" s="21"/>
      <c r="EB503" s="21"/>
      <c r="EC503" s="21"/>
      <c r="ED503" s="21"/>
      <c r="EE503" s="21"/>
      <c r="EF503" s="21"/>
      <c r="EG503" s="21"/>
      <c r="EH503" s="21"/>
      <c r="EI503" s="21"/>
      <c r="EJ503" s="21"/>
      <c r="EK503" s="21"/>
      <c r="EL503" s="21"/>
      <c r="EM503" s="21"/>
      <c r="EN503" s="21"/>
      <c r="EO503" s="21"/>
      <c r="EP503" s="21"/>
      <c r="EQ503" s="21"/>
      <c r="ER503" s="21"/>
      <c r="ES503" s="21"/>
      <c r="ET503" s="21"/>
      <c r="EU503" s="21"/>
      <c r="EV503" s="21"/>
      <c r="EW503" s="21"/>
      <c r="EX503" s="21"/>
      <c r="EY503" s="21"/>
      <c r="EZ503" s="21"/>
      <c r="FA503" s="21"/>
      <c r="FB503" s="21"/>
      <c r="FC503" s="21"/>
      <c r="FD503" s="21"/>
      <c r="FE503" s="21"/>
      <c r="FF503" s="21"/>
      <c r="FG503" s="21"/>
      <c r="FH503" s="21"/>
      <c r="FI503" s="21"/>
    </row>
  </sheetData>
  <sheetProtection algorithmName="SHA-512" hashValue="6t0OuK7kbJ3Swh+pKp7yw+83gV1Q5pfvK2pmA991cGPUY7xeoCSsyAsafYKd2JCRMu4z9gW9mCQxutgd04eW8A==" saltValue="0o/4uI51rxfOG319HGOsBA==" spinCount="100000" sheet="1" selectLockedCells="1"/>
  <mergeCells count="20">
    <mergeCell ref="A161:G161"/>
    <mergeCell ref="I161:P161"/>
    <mergeCell ref="E157:F157"/>
    <mergeCell ref="A154:E154"/>
    <mergeCell ref="CP154:CR154"/>
    <mergeCell ref="AF154:AL154"/>
    <mergeCell ref="CT154:CV154"/>
    <mergeCell ref="CX154:CZ154"/>
    <mergeCell ref="DB154:DD154"/>
    <mergeCell ref="E159:F159"/>
    <mergeCell ref="AN154:BE154"/>
    <mergeCell ref="BG154:BX154"/>
    <mergeCell ref="CB154:CD154"/>
    <mergeCell ref="CF154:CI154"/>
    <mergeCell ref="CK154:CN154"/>
    <mergeCell ref="A79:C79"/>
    <mergeCell ref="E158:F158"/>
    <mergeCell ref="A112:E112"/>
    <mergeCell ref="A114:G114"/>
    <mergeCell ref="I114:P114"/>
  </mergeCells>
  <conditionalFormatting sqref="E6">
    <cfRule type="cellIs" dxfId="275" priority="141" stopIfTrue="1" operator="notBetween">
      <formula>$H$6</formula>
      <formula>$I$6</formula>
    </cfRule>
  </conditionalFormatting>
  <conditionalFormatting sqref="E9">
    <cfRule type="cellIs" dxfId="274" priority="140" stopIfTrue="1" operator="notBetween">
      <formula>$H$9</formula>
      <formula>$I$9</formula>
    </cfRule>
  </conditionalFormatting>
  <conditionalFormatting sqref="E7">
    <cfRule type="cellIs" dxfId="273" priority="133" operator="notBetween">
      <formula>$H$7</formula>
      <formula>$I$7</formula>
    </cfRule>
    <cfRule type="cellIs" dxfId="272" priority="139" operator="notBetween">
      <formula>$J$7</formula>
      <formula>$K$7</formula>
    </cfRule>
  </conditionalFormatting>
  <conditionalFormatting sqref="E101:E102">
    <cfRule type="cellIs" dxfId="271" priority="119" operator="greaterThan">
      <formula>#REF!</formula>
    </cfRule>
  </conditionalFormatting>
  <conditionalFormatting sqref="E8">
    <cfRule type="cellIs" dxfId="270" priority="99" operator="notBetween">
      <formula>$H$8</formula>
      <formula>$I$8</formula>
    </cfRule>
  </conditionalFormatting>
  <conditionalFormatting sqref="E13">
    <cfRule type="cellIs" dxfId="269" priority="98" operator="notBetween">
      <formula>H13</formula>
      <formula>I13</formula>
    </cfRule>
  </conditionalFormatting>
  <conditionalFormatting sqref="E15">
    <cfRule type="cellIs" dxfId="268" priority="97" operator="notBetween">
      <formula>H15</formula>
      <formula>I15</formula>
    </cfRule>
  </conditionalFormatting>
  <conditionalFormatting sqref="E24">
    <cfRule type="cellIs" dxfId="267" priority="95" operator="lessThan">
      <formula>H24</formula>
    </cfRule>
  </conditionalFormatting>
  <conditionalFormatting sqref="E29">
    <cfRule type="cellIs" dxfId="266" priority="94" operator="notBetween">
      <formula>H29</formula>
      <formula>I29</formula>
    </cfRule>
  </conditionalFormatting>
  <conditionalFormatting sqref="E26">
    <cfRule type="cellIs" dxfId="265" priority="93" operator="lessThan">
      <formula>H26</formula>
    </cfRule>
  </conditionalFormatting>
  <conditionalFormatting sqref="E66">
    <cfRule type="cellIs" dxfId="264" priority="89" operator="notBetween">
      <formula>$H$66</formula>
      <formula>$I$66</formula>
    </cfRule>
  </conditionalFormatting>
  <conditionalFormatting sqref="E67">
    <cfRule type="cellIs" dxfId="263" priority="88" operator="notBetween">
      <formula>$H$67</formula>
      <formula>$I$67</formula>
    </cfRule>
  </conditionalFormatting>
  <conditionalFormatting sqref="E43">
    <cfRule type="cellIs" dxfId="262" priority="87" operator="notBetween">
      <formula>H43</formula>
      <formula>I43</formula>
    </cfRule>
  </conditionalFormatting>
  <conditionalFormatting sqref="E45">
    <cfRule type="cellIs" dxfId="261" priority="86" operator="notBetween">
      <formula>H45</formula>
      <formula>I45</formula>
    </cfRule>
  </conditionalFormatting>
  <conditionalFormatting sqref="E46:E48">
    <cfRule type="cellIs" dxfId="260" priority="85" operator="notBetween">
      <formula>H46</formula>
      <formula>I46</formula>
    </cfRule>
  </conditionalFormatting>
  <conditionalFormatting sqref="E54">
    <cfRule type="cellIs" dxfId="259" priority="83" operator="notBetween">
      <formula>H54</formula>
      <formula>I54</formula>
    </cfRule>
  </conditionalFormatting>
  <conditionalFormatting sqref="E55">
    <cfRule type="cellIs" dxfId="258" priority="82" operator="notBetween">
      <formula>H55</formula>
      <formula>I55</formula>
    </cfRule>
  </conditionalFormatting>
  <conditionalFormatting sqref="E94:E96">
    <cfRule type="expression" dxfId="257" priority="78">
      <formula>$Q$94</formula>
    </cfRule>
  </conditionalFormatting>
  <conditionalFormatting sqref="E93">
    <cfRule type="cellIs" dxfId="256" priority="75" operator="notEqual">
      <formula>$E$88</formula>
    </cfRule>
  </conditionalFormatting>
  <conditionalFormatting sqref="E92">
    <cfRule type="cellIs" dxfId="255" priority="74" operator="notBetween">
      <formula>$H$92</formula>
      <formula>$I$92</formula>
    </cfRule>
  </conditionalFormatting>
  <conditionalFormatting sqref="E70">
    <cfRule type="cellIs" dxfId="254" priority="70" operator="greaterThan">
      <formula>$H$70</formula>
    </cfRule>
  </conditionalFormatting>
  <conditionalFormatting sqref="E77">
    <cfRule type="cellIs" dxfId="253" priority="69" operator="notBetween">
      <formula>$H$77</formula>
      <formula>$I$77</formula>
    </cfRule>
  </conditionalFormatting>
  <conditionalFormatting sqref="E74">
    <cfRule type="expression" dxfId="252" priority="68">
      <formula>$H$74</formula>
    </cfRule>
  </conditionalFormatting>
  <conditionalFormatting sqref="E75:E76">
    <cfRule type="expression" dxfId="251" priority="67">
      <formula>$H$75</formula>
    </cfRule>
  </conditionalFormatting>
  <conditionalFormatting sqref="E18">
    <cfRule type="cellIs" dxfId="250" priority="42" operator="lessThan">
      <formula>$I$18</formula>
    </cfRule>
  </conditionalFormatting>
  <conditionalFormatting sqref="E19">
    <cfRule type="cellIs" dxfId="249" priority="41" operator="lessThan">
      <formula>$I$19</formula>
    </cfRule>
  </conditionalFormatting>
  <conditionalFormatting sqref="E20">
    <cfRule type="cellIs" dxfId="248" priority="40" operator="lessThan">
      <formula>$I$20</formula>
    </cfRule>
  </conditionalFormatting>
  <conditionalFormatting sqref="A161:G161">
    <cfRule type="expression" dxfId="247" priority="691">
      <formula>IF($E$157=$J$157,0,1)</formula>
    </cfRule>
  </conditionalFormatting>
  <conditionalFormatting sqref="I161:P161">
    <cfRule type="expression" dxfId="246" priority="692">
      <formula>IF($E$157=$I$157,0,1)</formula>
    </cfRule>
  </conditionalFormatting>
  <conditionalFormatting sqref="A162:G174">
    <cfRule type="expression" dxfId="245" priority="36">
      <formula>IF($E$157=$J$157,0,1)</formula>
    </cfRule>
  </conditionalFormatting>
  <conditionalFormatting sqref="E25:E26">
    <cfRule type="cellIs" dxfId="244" priority="24" operator="notBetween">
      <formula>$H$25</formula>
      <formula>$I$25</formula>
    </cfRule>
  </conditionalFormatting>
  <conditionalFormatting sqref="I114:P149">
    <cfRule type="expression" dxfId="243" priority="21">
      <formula>$R$117</formula>
    </cfRule>
  </conditionalFormatting>
  <conditionalFormatting sqref="E159:F159">
    <cfRule type="expression" dxfId="242" priority="741">
      <formula>IF($K$159=$E$10, 0,1)</formula>
    </cfRule>
  </conditionalFormatting>
  <conditionalFormatting sqref="E100">
    <cfRule type="cellIs" dxfId="241" priority="6" operator="lessThan">
      <formula>$H$100</formula>
    </cfRule>
  </conditionalFormatting>
  <conditionalFormatting sqref="E106">
    <cfRule type="cellIs" dxfId="240" priority="5" operator="lessThan">
      <formula>$H$106</formula>
    </cfRule>
  </conditionalFormatting>
  <conditionalFormatting sqref="E16">
    <cfRule type="cellIs" dxfId="239" priority="4" operator="notBetween">
      <formula>$H$16</formula>
      <formula>$I$16</formula>
    </cfRule>
  </conditionalFormatting>
  <conditionalFormatting sqref="T231:T452 T504:T1048576 T1:T226">
    <cfRule type="expression" dxfId="238" priority="752">
      <formula>IF($E$3=$H$3, 0,1)</formula>
    </cfRule>
  </conditionalFormatting>
  <conditionalFormatting sqref="G152 H152:S153 Q161:S188 C189:G189 A189:A190 G111:S111 G98:G102 R114:R119 I189:S189 L190:S190 H155:S160 G104:G110 H98:S110 G5:S35 G42:S97 B190:J190 G36:L41 N36:S41">
    <cfRule type="expression" dxfId="237" priority="755">
      <formula>IF($H$3=$E$3, 0,1)</formula>
    </cfRule>
  </conditionalFormatting>
  <conditionalFormatting sqref="AF155:DE256">
    <cfRule type="expression" dxfId="236" priority="771">
      <formula>IF($H$3=$E$3, 1,0)</formula>
    </cfRule>
  </conditionalFormatting>
  <conditionalFormatting sqref="U154:AF154 BY154:CB154 AF257:DL468 U155:CD155 AF156:CD256 CE154:CF154 CO154:CP154 DE154:DL154 CE155:DL256 BF154:BG154 CJ154:CK154 CS154:CT154 CW154:CX154 DA154:DB154 U156:AE468 U132:DL153 DM132:FI468 U116:FJ131 U1:FI115 A469:FI503 AM154:AN154">
    <cfRule type="expression" dxfId="235" priority="772">
      <formula>IF($E$3=$H$3, 0,1)</formula>
    </cfRule>
  </conditionalFormatting>
  <conditionalFormatting sqref="H2:H3">
    <cfRule type="expression" dxfId="234" priority="3">
      <formula>IF($E$3=$H$3,0,1)</formula>
    </cfRule>
  </conditionalFormatting>
  <conditionalFormatting sqref="M36:M41">
    <cfRule type="expression" dxfId="233" priority="1">
      <formula>IF($H$3=$E$3, 0,1)</formula>
    </cfRule>
  </conditionalFormatting>
  <dataValidations disablePrompts="1" count="9">
    <dataValidation type="list" allowBlank="1" showInputMessage="1" showErrorMessage="1" sqref="E88" xr:uid="{4A1BED94-4A6D-41CD-BD18-2F09AF104B18}">
      <formula1>$H$88:$I$88</formula1>
    </dataValidation>
    <dataValidation type="list" allowBlank="1" showInputMessage="1" showErrorMessage="1" sqref="E76" xr:uid="{DBD53FFE-C5ED-4A8C-B7C3-D4E2D30F3C4E}">
      <formula1>$H$76:$AM$76</formula1>
    </dataValidation>
    <dataValidation type="list" allowBlank="1" showInputMessage="1" showErrorMessage="1" sqref="E80" xr:uid="{AFA7F537-9EE7-4F8A-BCA9-028955168CBA}">
      <formula1>$H$80:$K$80</formula1>
    </dataValidation>
    <dataValidation type="list" allowBlank="1" showInputMessage="1" showErrorMessage="1" sqref="E81" xr:uid="{36C5A1F3-0102-4A12-BF2F-1376A924A571}">
      <formula1>$H$81:$K$81</formula1>
    </dataValidation>
    <dataValidation type="list" allowBlank="1" showInputMessage="1" showErrorMessage="1" sqref="E158" xr:uid="{9C60CA42-6B6D-47CC-BE5D-01D9758C739B}">
      <formula1>$I$158:$K$158</formula1>
    </dataValidation>
    <dataValidation type="list" allowBlank="1" showInputMessage="1" showErrorMessage="1" sqref="E157" xr:uid="{20ADCEA2-98BD-421A-92CF-CBD1E6E9CD7C}">
      <formula1>$I$157:$K$157</formula1>
    </dataValidation>
    <dataValidation type="list" allowBlank="1" showInputMessage="1" showErrorMessage="1" sqref="R116" xr:uid="{B773702E-7FF7-4EAF-93DF-E8C8A90E6BD8}">
      <formula1>$T$116:$U$116</formula1>
    </dataValidation>
    <dataValidation type="list" allowBlank="1" showInputMessage="1" showErrorMessage="1" sqref="E159" xr:uid="{60A3E98D-14CE-4B96-A128-35F2EED77837}">
      <formula1>$I$159:$J$159</formula1>
    </dataValidation>
    <dataValidation type="list" allowBlank="1" showInputMessage="1" showErrorMessage="1" sqref="N115 N133" xr:uid="{D11D579E-C101-4902-B8E8-2F0FF51BEF59}">
      <formula1>$Y$116:$AC$116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0" r:id="rId4" name="Spinner 46">
              <controlPr defaultSize="0" autoPict="0">
                <anchor moveWithCells="1" sizeWithCells="1">
                  <from>
                    <xdr:col>5</xdr:col>
                    <xdr:colOff>85725</xdr:colOff>
                    <xdr:row>6</xdr:row>
                    <xdr:rowOff>9525</xdr:rowOff>
                  </from>
                  <to>
                    <xdr:col>5</xdr:col>
                    <xdr:colOff>200025</xdr:colOff>
                    <xdr:row>7</xdr:row>
                    <xdr:rowOff>9525</xdr:rowOff>
                  </to>
                </anchor>
              </controlPr>
            </control>
          </mc:Choice>
        </mc:AlternateContent>
        <mc:AlternateContent xmlns:mc="http://schemas.openxmlformats.org/markup-compatibility/2006">
          <mc:Choice Requires="x14">
            <control shapeId="1072" r:id="rId5" name="Spinner 48">
              <controlPr defaultSize="0" autoPict="0">
                <anchor moveWithCells="1" sizeWithCells="1">
                  <from>
                    <xdr:col>5</xdr:col>
                    <xdr:colOff>85725</xdr:colOff>
                    <xdr:row>6</xdr:row>
                    <xdr:rowOff>9525</xdr:rowOff>
                  </from>
                  <to>
                    <xdr:col>5</xdr:col>
                    <xdr:colOff>200025</xdr:colOff>
                    <xdr:row>7</xdr:row>
                    <xdr:rowOff>9525</xdr:rowOff>
                  </to>
                </anchor>
              </controlPr>
            </control>
          </mc:Choice>
        </mc:AlternateContent>
      </controls>
    </mc:Choice>
  </mc:AlternateContent>
  <tableParts count="2">
    <tablePart r:id="rId6"/>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73E2-BF56-4341-A0B4-E87FE1E66077}">
  <sheetPr codeName="Sheet2"/>
  <dimension ref="A1:HB565"/>
  <sheetViews>
    <sheetView zoomScaleNormal="100" workbookViewId="0">
      <selection activeCell="E8" sqref="E8"/>
    </sheetView>
  </sheetViews>
  <sheetFormatPr defaultRowHeight="15" x14ac:dyDescent="0.25"/>
  <cols>
    <col min="2" max="2" width="21.7109375" customWidth="1"/>
    <col min="3" max="3" width="14.42578125" customWidth="1"/>
    <col min="4" max="4" width="11.85546875" customWidth="1"/>
    <col min="6" max="6" width="9.42578125" bestFit="1" customWidth="1"/>
    <col min="20" max="20" width="12.85546875" bestFit="1" customWidth="1"/>
    <col min="24" max="25" width="9.140625" customWidth="1"/>
    <col min="29" max="29" width="14.85546875" bestFit="1" customWidth="1"/>
    <col min="30" max="30" width="16.85546875" bestFit="1" customWidth="1"/>
    <col min="31" max="31" width="17.5703125" bestFit="1" customWidth="1"/>
    <col min="32" max="32" width="14.28515625" bestFit="1" customWidth="1"/>
    <col min="33" max="33" width="15.140625" bestFit="1" customWidth="1"/>
    <col min="34" max="34" width="15.7109375" bestFit="1" customWidth="1"/>
    <col min="35" max="35" width="15.5703125" bestFit="1" customWidth="1"/>
    <col min="36" max="36" width="12.42578125" bestFit="1" customWidth="1"/>
    <col min="37" max="37" width="11" customWidth="1"/>
    <col min="38" max="38" width="12" customWidth="1"/>
    <col min="39" max="39" width="16.140625" bestFit="1" customWidth="1"/>
    <col min="40" max="40" width="12.42578125" bestFit="1" customWidth="1"/>
    <col min="41" max="41" width="17.7109375" bestFit="1" customWidth="1"/>
    <col min="43" max="43" width="14.85546875" bestFit="1" customWidth="1"/>
    <col min="44" max="44" width="17.28515625" bestFit="1" customWidth="1"/>
    <col min="45" max="45" width="18" bestFit="1" customWidth="1"/>
    <col min="46" max="46" width="14.140625" bestFit="1" customWidth="1"/>
    <col min="47" max="47" width="15" bestFit="1" customWidth="1"/>
    <col min="48" max="48" width="21.28515625" bestFit="1" customWidth="1"/>
    <col min="49" max="49" width="13" bestFit="1" customWidth="1"/>
    <col min="50" max="50" width="11" bestFit="1" customWidth="1"/>
    <col min="51" max="51" width="20.5703125" bestFit="1" customWidth="1"/>
  </cols>
  <sheetData>
    <row r="1" spans="1:210" ht="47.25" customHeight="1" thickBot="1" x14ac:dyDescent="0.3">
      <c r="A1" s="16"/>
      <c r="B1" s="17"/>
      <c r="C1" s="17"/>
      <c r="D1" s="17"/>
      <c r="E1" s="17"/>
      <c r="F1" s="17"/>
      <c r="G1" s="18" t="s">
        <v>345</v>
      </c>
      <c r="H1" s="17"/>
      <c r="I1" s="17"/>
      <c r="J1" s="17"/>
      <c r="K1" s="17"/>
      <c r="L1" s="17"/>
      <c r="M1" s="17"/>
      <c r="N1" s="17"/>
      <c r="O1" s="17"/>
      <c r="P1" s="17"/>
      <c r="Q1" s="17"/>
      <c r="R1" s="17"/>
      <c r="S1" s="17"/>
      <c r="T1" s="17"/>
      <c r="U1" s="17"/>
      <c r="V1" s="17"/>
      <c r="W1" s="17"/>
      <c r="X1" s="17"/>
      <c r="Y1" s="19"/>
      <c r="Z1" s="20"/>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row>
    <row r="2" spans="1:210"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row>
    <row r="3" spans="1:210" x14ac:dyDescent="0.25">
      <c r="A3" s="20"/>
      <c r="B3" s="20"/>
      <c r="C3" s="20"/>
      <c r="D3" s="20"/>
      <c r="E3" s="64"/>
      <c r="F3" s="23" t="s">
        <v>39</v>
      </c>
      <c r="G3" s="20"/>
      <c r="H3" s="20"/>
      <c r="I3" s="20"/>
      <c r="J3" s="20"/>
      <c r="K3" s="20"/>
      <c r="L3" s="20"/>
      <c r="M3" s="20"/>
      <c r="N3" s="20"/>
      <c r="O3" s="20"/>
      <c r="P3" s="20"/>
      <c r="Q3" s="20"/>
      <c r="R3" s="20"/>
      <c r="S3" s="20"/>
      <c r="T3" s="20"/>
      <c r="U3" s="20"/>
      <c r="V3" s="20"/>
      <c r="W3" s="20"/>
      <c r="X3" s="20"/>
      <c r="Y3" s="20"/>
      <c r="Z3" s="20"/>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row>
    <row r="4" spans="1:210" ht="15.75" thickBot="1"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row>
    <row r="5" spans="1:210" ht="15.75" thickBot="1" x14ac:dyDescent="0.3">
      <c r="A5" s="257" t="s">
        <v>259</v>
      </c>
      <c r="B5" s="258"/>
      <c r="C5" s="258"/>
      <c r="D5" s="25"/>
      <c r="E5" s="25"/>
      <c r="F5" s="192"/>
      <c r="G5" s="193"/>
      <c r="H5" s="25"/>
      <c r="I5" s="25"/>
      <c r="J5" s="27"/>
      <c r="K5" s="27"/>
      <c r="L5" s="27"/>
      <c r="M5" s="27"/>
      <c r="N5" s="27"/>
      <c r="O5" s="27"/>
      <c r="P5" s="27"/>
      <c r="Q5" s="27"/>
      <c r="R5" s="27"/>
      <c r="S5" s="27"/>
      <c r="T5" s="27"/>
      <c r="U5" s="27"/>
      <c r="V5" s="27"/>
      <c r="W5" s="27"/>
      <c r="X5" s="27"/>
      <c r="Y5" s="28"/>
      <c r="Z5" s="20"/>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row>
    <row r="6" spans="1:210" ht="15.75" x14ac:dyDescent="0.25">
      <c r="A6" s="29"/>
      <c r="B6" s="25"/>
      <c r="C6" s="25"/>
      <c r="D6" s="30" t="s">
        <v>265</v>
      </c>
      <c r="E6" s="71">
        <v>-10</v>
      </c>
      <c r="F6" s="142" t="s">
        <v>325</v>
      </c>
      <c r="G6" s="171"/>
      <c r="H6" s="15">
        <v>-10</v>
      </c>
      <c r="I6" s="15">
        <v>-5</v>
      </c>
      <c r="J6" s="31">
        <v>0</v>
      </c>
      <c r="K6" s="31">
        <v>5</v>
      </c>
      <c r="L6" s="31">
        <v>0.77149999999999996</v>
      </c>
      <c r="M6" s="31">
        <v>0.75319999999999998</v>
      </c>
      <c r="N6" s="31">
        <v>0.73250000000000004</v>
      </c>
      <c r="O6" s="31">
        <v>0.71099999999999997</v>
      </c>
      <c r="P6" s="31"/>
      <c r="Q6" s="31">
        <f>IF(T1_S=T1_N10_TEMP,T1_N10_PERCENT,IF(T1_S=T1_N_TEMP,T1_N5_PERCENT,IF(T1_S=T1_0_TEMP,T1_0_PERCENT,IF(T1_S=T1_5_TEMP,T1_5_PERCENT,"ERROR"))))</f>
        <v>0.77149999999999996</v>
      </c>
      <c r="R6" s="31"/>
      <c r="S6" s="31"/>
      <c r="T6" s="198"/>
      <c r="U6" s="199" t="s">
        <v>261</v>
      </c>
      <c r="V6" s="199" t="s">
        <v>262</v>
      </c>
      <c r="W6" s="199" t="s">
        <v>263</v>
      </c>
      <c r="X6" s="200" t="s">
        <v>264</v>
      </c>
      <c r="Y6" s="32"/>
      <c r="Z6" s="20"/>
      <c r="AA6" s="21"/>
      <c r="AB6" s="21"/>
      <c r="AC6" s="194" t="s">
        <v>300</v>
      </c>
      <c r="AD6" s="194" t="s">
        <v>301</v>
      </c>
      <c r="AE6" s="194" t="s">
        <v>302</v>
      </c>
      <c r="AF6" s="194" t="s">
        <v>303</v>
      </c>
      <c r="AG6" s="194" t="s">
        <v>304</v>
      </c>
      <c r="AH6" s="194" t="s">
        <v>305</v>
      </c>
      <c r="AI6" s="194" t="s">
        <v>306</v>
      </c>
      <c r="AJ6" s="202" t="s">
        <v>307</v>
      </c>
      <c r="AK6" s="202" t="s">
        <v>308</v>
      </c>
      <c r="AL6" s="202" t="s">
        <v>309</v>
      </c>
      <c r="AM6" s="202" t="s">
        <v>310</v>
      </c>
      <c r="AN6" s="202" t="s">
        <v>311</v>
      </c>
      <c r="AO6" s="202" t="s">
        <v>312</v>
      </c>
      <c r="AP6" s="202" t="s">
        <v>313</v>
      </c>
      <c r="AQ6" s="194" t="s">
        <v>314</v>
      </c>
      <c r="AR6" s="194" t="s">
        <v>315</v>
      </c>
      <c r="AS6" s="194" t="s">
        <v>316</v>
      </c>
      <c r="AT6" s="194" t="s">
        <v>317</v>
      </c>
      <c r="AU6" s="194" t="s">
        <v>318</v>
      </c>
      <c r="AV6" s="194" t="s">
        <v>319</v>
      </c>
      <c r="AW6" s="194" t="s">
        <v>320</v>
      </c>
      <c r="AX6" s="224"/>
      <c r="AY6" s="206" t="s">
        <v>320</v>
      </c>
      <c r="AZ6" s="206" t="s">
        <v>261</v>
      </c>
      <c r="BA6" s="206" t="s">
        <v>262</v>
      </c>
      <c r="BB6" s="206" t="s">
        <v>263</v>
      </c>
      <c r="BC6" s="21"/>
      <c r="BD6" s="206" t="s">
        <v>334</v>
      </c>
      <c r="BE6" s="206" t="s">
        <v>328</v>
      </c>
      <c r="BF6" s="206" t="s">
        <v>329</v>
      </c>
      <c r="BG6" s="206" t="s">
        <v>330</v>
      </c>
      <c r="BH6" s="206" t="s">
        <v>331</v>
      </c>
      <c r="BI6" s="206" t="s">
        <v>332</v>
      </c>
      <c r="BJ6" s="206" t="s">
        <v>333</v>
      </c>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row>
    <row r="7" spans="1:210" ht="15.75" x14ac:dyDescent="0.25">
      <c r="A7" s="33"/>
      <c r="B7" s="15"/>
      <c r="C7" s="15"/>
      <c r="D7" s="34" t="s">
        <v>268</v>
      </c>
      <c r="E7" s="72">
        <v>10</v>
      </c>
      <c r="F7" s="138" t="s">
        <v>325</v>
      </c>
      <c r="G7" s="171"/>
      <c r="H7" s="15">
        <v>5</v>
      </c>
      <c r="I7" s="15">
        <v>10</v>
      </c>
      <c r="J7" s="31">
        <v>15</v>
      </c>
      <c r="K7" s="31">
        <v>20</v>
      </c>
      <c r="L7" s="31">
        <v>0.71099999999999997</v>
      </c>
      <c r="M7" s="31">
        <v>0.68400000000000005</v>
      </c>
      <c r="N7" s="31">
        <v>0.65500000000000003</v>
      </c>
      <c r="O7" s="31">
        <v>0.624</v>
      </c>
      <c r="P7" s="31"/>
      <c r="Q7" s="31"/>
      <c r="R7" s="31"/>
      <c r="S7" s="31"/>
      <c r="T7" s="198" t="s">
        <v>291</v>
      </c>
      <c r="U7" s="201">
        <f>Table10[[#This Row],[MIN Temp]]</f>
        <v>-10</v>
      </c>
      <c r="V7" s="201">
        <f>Table10[[#This Row],[TYP Temp]]</f>
        <v>-10</v>
      </c>
      <c r="W7" s="201">
        <f>Table10[[#This Row],[MAX Temp]]</f>
        <v>-10</v>
      </c>
      <c r="X7" s="199" t="s">
        <v>292</v>
      </c>
      <c r="Y7" s="32"/>
      <c r="Z7" s="20"/>
      <c r="AA7" s="21"/>
      <c r="AB7" s="21"/>
      <c r="AC7" s="194">
        <f>Table13[[#This Row],[Min]]</f>
        <v>77.037000000000006</v>
      </c>
      <c r="AD7" s="194">
        <f>INDEX(Table9[Vmin (%)], (MATCH(Table10[[#This Row],[Target (MIN)]], Table9[Vmin (%)],1)))</f>
        <v>77.022450472008032</v>
      </c>
      <c r="AE7" s="194">
        <f>INDEX(Table9[Vmin (%)], (MATCH(Table10[[#This Row],[Target (MIN)]], Table9[Vmin (%)],1)+1))</f>
        <v>77.352764659810276</v>
      </c>
      <c r="AF7" s="194">
        <f>ABS(Table10[[#This Row],[Target (MIN)]]-Table10[[#This Row],[1st VLOOK MIN]])</f>
        <v>1.4549527991974287E-2</v>
      </c>
      <c r="AG7" s="194">
        <f>ABS(Table10[[#This Row],[Target (MIN)]]-Table10[[#This Row],[2nd VLOOK MIN]])</f>
        <v>0.31576465981027013</v>
      </c>
      <c r="AH7" s="194">
        <f>IF(Table10[[#This Row],[1st Diff]]&lt;Table10[[#This Row],[2nd Diff]],Table10[[#This Row],[1st VLOOK MIN]],Table10[[#This Row],[2nd VLOOK MIN]])</f>
        <v>77.022450472008032</v>
      </c>
      <c r="AI7" s="194">
        <f>INDEX(Table9[Temperature], (MATCH(Table10[[#This Row],[Closest VLOOK MIN]], Table9[Vmin (%)],1)))</f>
        <v>-10</v>
      </c>
      <c r="AJ7" s="194">
        <f>Table13[[#This Row],[Typ]]</f>
        <v>77.150000000000006</v>
      </c>
      <c r="AK7" s="194">
        <f>INDEX(Table9[Vnom (%)], (MATCH(Table10[[#This Row],[Target (Typ)]], Table9[Vnom (%)],1)))</f>
        <v>76.891698747257919</v>
      </c>
      <c r="AL7" s="194">
        <f>INDEX(Table9[Vnom (%)], (MATCH(Table10[[#This Row],[Target (Typ)]], Table9[Vnom (%)],1)+1))</f>
        <v>77.234392765933919</v>
      </c>
      <c r="AM7" s="194">
        <f>ABS(Table10[[#This Row],[Target (Typ)]]-Table10[[#This Row],[1st VLOOK TYP]])</f>
        <v>0.25830125274208626</v>
      </c>
      <c r="AN7" s="194">
        <f>ABS(Table10[[#This Row],[Target (Typ)]]-Table10[[#This Row],[2nd VLOOK TYP]])</f>
        <v>8.4392765933912983E-2</v>
      </c>
      <c r="AO7" s="194">
        <f>IF(Table10[[#This Row],[1st Diff Typ]]&lt;Table10[[#This Row],[2nd Diff TYP]],Table10[[#This Row],[1st VLOOK TYP]],Table10[[#This Row],[2nd VLOOK TYP]])</f>
        <v>77.234392765933919</v>
      </c>
      <c r="AP7" s="194">
        <f>INDEX(Table9[Temperature], (MATCH(Table10[[#This Row],[Closest VLOOK TYP]], Table9[Vnom (%)],1)))</f>
        <v>-10</v>
      </c>
      <c r="AQ7" s="194">
        <f>Table13[[#This Row],[Max]]</f>
        <v>77.278000000000006</v>
      </c>
      <c r="AR7" s="194">
        <f>INDEX(Table9[Vmax (%)], (MATCH(Table10[[#This Row],[Target (MAX)]], Table9[Vmax (%)],1)))</f>
        <v>77.099841220279544</v>
      </c>
      <c r="AS7" s="194">
        <f>INDEX(Table9[Vmax (%)], (MATCH(Table10[[#This Row],[Target (Typ)]], Table9[Vmax (%)],1)+1))</f>
        <v>77.439889048360072</v>
      </c>
      <c r="AT7" s="194">
        <f>ABS(Table10[[#This Row],[Target (MAX)]]-Table10[[#This Row],[1st VLOOK MAX]])</f>
        <v>0.17815877972046223</v>
      </c>
      <c r="AU7" s="194">
        <f>ABS(Table10[[#This Row],[Target (MAX)]]-Table10[[#This Row],[2nd VLOOK MAX]])</f>
        <v>0.16188904836006657</v>
      </c>
      <c r="AV7" s="194">
        <f>IF(Table10[[#This Row],[1st Diff MAX]]&lt;Table10[[#This Row],[2nd Diff MAX]],Table10[[#This Row],[1st VLOOK MAX]],Table10[[#This Row],[2nd VLOOK MAX]])</f>
        <v>77.439889048360072</v>
      </c>
      <c r="AW7" s="194">
        <f>INDEX(Table9[Temperature], (MATCH(Table10[[#This Row],[Closest VLOOK MAX]], Table9[Vmax (%)],1)))</f>
        <v>-10</v>
      </c>
      <c r="AX7" s="224"/>
      <c r="AY7" s="207" t="s">
        <v>269</v>
      </c>
      <c r="AZ7" s="207">
        <f>IF(T1_S=T1_N10_TEMP,BE$7, IF(T1_S=T1_N_TEMP,BE$8, IF(T1_S=T1_0_TEMP,BE$9, IF(T1_S=BE$10,T1_5_PERCENT, "ERROR"))))</f>
        <v>77.037000000000006</v>
      </c>
      <c r="BA7" s="207">
        <f>IF(T1_S=T1_N10_TEMP,BF$7, IF(T1_S=T1_N_TEMP,BF$8, IF(T1_S=T1_0_TEMP,BF$9, IF(T1_S=BF$10,T1_5_PERCENT, "ERROR"))))</f>
        <v>77.150000000000006</v>
      </c>
      <c r="BB7" s="207">
        <f>IF(T1_S=T1_N10_TEMP,BG$7, IF(T1_S=T1_N_TEMP,BG$8, IF(T1_S=T1_0_TEMP,BG$9, IF(T1_S=BG$10,T1_5_PERCENT, "ERROR"))))</f>
        <v>77.278000000000006</v>
      </c>
      <c r="BC7" s="21"/>
      <c r="BD7" s="207">
        <v>-10</v>
      </c>
      <c r="BE7" s="207">
        <v>77.037000000000006</v>
      </c>
      <c r="BF7" s="207">
        <v>77.150000000000006</v>
      </c>
      <c r="BG7" s="210">
        <v>77.278000000000006</v>
      </c>
      <c r="BH7" s="210">
        <v>75.954999999999998</v>
      </c>
      <c r="BI7" s="210">
        <v>76.099999999999994</v>
      </c>
      <c r="BJ7" s="210">
        <v>76.195999999999998</v>
      </c>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row>
    <row r="8" spans="1:210" ht="15.75" x14ac:dyDescent="0.25">
      <c r="A8" s="33"/>
      <c r="B8" s="15"/>
      <c r="C8" s="15"/>
      <c r="D8" s="34" t="s">
        <v>267</v>
      </c>
      <c r="E8" s="72">
        <v>50</v>
      </c>
      <c r="F8" s="138" t="s">
        <v>325</v>
      </c>
      <c r="G8" s="171"/>
      <c r="H8" s="15">
        <v>40</v>
      </c>
      <c r="I8" s="15">
        <v>45</v>
      </c>
      <c r="J8" s="31">
        <v>50</v>
      </c>
      <c r="K8" s="31">
        <v>55</v>
      </c>
      <c r="L8" s="31">
        <v>0.48399999999999999</v>
      </c>
      <c r="M8" s="31">
        <v>0.44800000000000001</v>
      </c>
      <c r="N8" s="31">
        <v>0.41199999999999998</v>
      </c>
      <c r="O8" s="31">
        <v>0.377</v>
      </c>
      <c r="P8" s="31"/>
      <c r="Q8" s="31"/>
      <c r="R8" s="31"/>
      <c r="S8" s="31"/>
      <c r="T8" s="198" t="s">
        <v>293</v>
      </c>
      <c r="U8" s="201">
        <f>Table10[[#This Row],[MIN Temp]]</f>
        <v>-7</v>
      </c>
      <c r="V8" s="201">
        <f>Table10[[#This Row],[TYP Temp]]</f>
        <v>-7</v>
      </c>
      <c r="W8" s="201">
        <f>Table10[[#This Row],[MAX Temp]]</f>
        <v>-6</v>
      </c>
      <c r="X8" s="199" t="s">
        <v>292</v>
      </c>
      <c r="Y8" s="32"/>
      <c r="Z8" s="20"/>
      <c r="AA8" s="21"/>
      <c r="AB8" s="21"/>
      <c r="AC8" s="194">
        <f>Table13[[#This Row],[Min]]</f>
        <v>75.954999999999998</v>
      </c>
      <c r="AD8" s="194">
        <f>INDEX(Table9[Vmin (%)], (MATCH(Table10[[#This Row],[Target (MIN)]], Table9[Vmin (%)],1)))</f>
        <v>75.579725082914123</v>
      </c>
      <c r="AE8" s="194">
        <f>INDEX(Table9[Vmin (%)], (MATCH(Table10[[#This Row],[Target (MIN)]], Table9[Vmin (%)],1)+1))</f>
        <v>75.956121438491195</v>
      </c>
      <c r="AF8" s="194">
        <f>ABS(Table10[[#This Row],[Target (MIN)]]-Table10[[#This Row],[1st VLOOK MIN]])</f>
        <v>0.3752749170858749</v>
      </c>
      <c r="AG8" s="194">
        <f>ABS(Table10[[#This Row],[Target (MIN)]]-Table10[[#This Row],[2nd VLOOK MIN]])</f>
        <v>1.1214384911966135E-3</v>
      </c>
      <c r="AH8" s="194">
        <f>IF(Table10[[#This Row],[1st Diff]]&lt;Table10[[#This Row],[2nd Diff]],Table10[[#This Row],[1st VLOOK MIN]],Table10[[#This Row],[2nd VLOOK MIN]])</f>
        <v>75.956121438491195</v>
      </c>
      <c r="AI8" s="194">
        <f>INDEX(Table9[Temperature], (MATCH(Table10[[#This Row],[Closest VLOOK MIN]], Table9[Vmin (%)],1)))</f>
        <v>-7</v>
      </c>
      <c r="AJ8" s="194">
        <f>Table13[[#This Row],[Typ]]</f>
        <v>76.099999999999994</v>
      </c>
      <c r="AK8" s="194">
        <f>INDEX(Table9[Vnom (%)], (MATCH(Table10[[#This Row],[Target (Typ)]], Table9[Vnom (%)],1)))</f>
        <v>75.80342802394135</v>
      </c>
      <c r="AL8" s="194">
        <f>INDEX(Table9[Vnom (%)], (MATCH(Table10[[#This Row],[Target (Typ)]], Table9[Vnom (%)],1)+1))</f>
        <v>76.176140299088971</v>
      </c>
      <c r="AM8" s="194">
        <f>ABS(Table10[[#This Row],[Target (Typ)]]-Table10[[#This Row],[1st VLOOK TYP]])</f>
        <v>0.29657197605864383</v>
      </c>
      <c r="AN8" s="194">
        <f>ABS(Table10[[#This Row],[Target (Typ)]]-Table10[[#This Row],[2nd VLOOK TYP]])</f>
        <v>7.6140299088976349E-2</v>
      </c>
      <c r="AO8" s="194">
        <f>IF(Table10[[#This Row],[1st Diff Typ]]&lt;Table10[[#This Row],[2nd Diff TYP]],Table10[[#This Row],[1st VLOOK TYP]],Table10[[#This Row],[2nd VLOOK TYP]])</f>
        <v>76.176140299088971</v>
      </c>
      <c r="AP8" s="194">
        <f>INDEX(Table9[Temperature], (MATCH(Table10[[#This Row],[Closest VLOOK TYP]], Table9[Vnom (%)],1)))</f>
        <v>-7</v>
      </c>
      <c r="AQ8" s="194">
        <f>Table13[[#This Row],[Max]]</f>
        <v>76.195999999999998</v>
      </c>
      <c r="AR8" s="194">
        <f>INDEX(Table9[Vmax (%)], (MATCH(Table10[[#This Row],[Target (MAX)]], Table9[Vmax (%)],1)))</f>
        <v>76.021632123100744</v>
      </c>
      <c r="AS8" s="194">
        <f>INDEX(Table9[Vmax (%)], (MATCH(Table10[[#This Row],[Target (Typ)]], Table9[Vmax (%)],1)+1))</f>
        <v>76.390466994094481</v>
      </c>
      <c r="AT8" s="194">
        <f>ABS(Table10[[#This Row],[Target (MAX)]]-Table10[[#This Row],[1st VLOOK MAX]])</f>
        <v>0.17436787689925382</v>
      </c>
      <c r="AU8" s="194">
        <f>ABS(Table10[[#This Row],[Target (MAX)]]-Table10[[#This Row],[2nd VLOOK MAX]])</f>
        <v>0.19446699409448343</v>
      </c>
      <c r="AV8" s="194">
        <f>IF(Table10[[#This Row],[1st Diff MAX]]&lt;Table10[[#This Row],[2nd Diff MAX]],Table10[[#This Row],[1st VLOOK MAX]],Table10[[#This Row],[2nd VLOOK MAX]])</f>
        <v>76.021632123100744</v>
      </c>
      <c r="AW8" s="194">
        <f>INDEX(Table9[Temperature], (MATCH(Table10[[#This Row],[Closest VLOOK MAX]], Table9[Vmax (%)],1)))</f>
        <v>-6</v>
      </c>
      <c r="AX8" s="224"/>
      <c r="AY8" s="208" t="s">
        <v>270</v>
      </c>
      <c r="AZ8" s="208">
        <f>IF(T1_S=T1_N10_TEMP,BH$7, IF(T1_S=T1_N_TEMP,BH$8, IF(T1_S=T1_0_TEMP,BH$9, IF(T1_S=BH$10,T1_5_PERCENT, "ERROR"))))</f>
        <v>75.954999999999998</v>
      </c>
      <c r="BA8" s="208">
        <f>IF(T1_S=T1_N10_TEMP,BI$7, IF(T1_S=T1_N_TEMP,BI$8, IF(T1_S=T1_0_TEMP,BI$9, IF(T1_S=BI$10,T1_5_PERCENT, "ERROR"))))</f>
        <v>76.099999999999994</v>
      </c>
      <c r="BB8" s="208">
        <f>IF(T1_S=T1_N10_TEMP,BJ$7, IF(T1_S=T1_N_TEMP,BJ$8, IF(T1_S=T1_0_TEMP,BJ$9, IF(T1_S=BJ$10,T1_5_PERCENT, "ERROR"))))</f>
        <v>76.195999999999998</v>
      </c>
      <c r="BC8" s="21"/>
      <c r="BD8" s="208">
        <v>-5</v>
      </c>
      <c r="BE8" s="208">
        <v>74.819999999999993</v>
      </c>
      <c r="BF8" s="208">
        <v>75.319999999999993</v>
      </c>
      <c r="BG8" s="209">
        <v>75.819999999999993</v>
      </c>
      <c r="BH8" s="209">
        <v>73.569999999999993</v>
      </c>
      <c r="BI8" s="209">
        <v>74.069999999999993</v>
      </c>
      <c r="BJ8" s="209">
        <v>74.569999999999993</v>
      </c>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row>
    <row r="9" spans="1:210" ht="15.75" x14ac:dyDescent="0.25">
      <c r="A9" s="33"/>
      <c r="B9" s="15"/>
      <c r="C9" s="15"/>
      <c r="D9" s="34" t="s">
        <v>266</v>
      </c>
      <c r="E9" s="72">
        <v>60</v>
      </c>
      <c r="F9" s="138" t="s">
        <v>325</v>
      </c>
      <c r="G9" s="171"/>
      <c r="H9" s="15">
        <v>50</v>
      </c>
      <c r="I9" s="15">
        <v>55</v>
      </c>
      <c r="J9" s="31">
        <v>60</v>
      </c>
      <c r="K9" s="31">
        <v>65</v>
      </c>
      <c r="L9" s="31">
        <v>0.41199999999999998</v>
      </c>
      <c r="M9" s="31">
        <v>0.377</v>
      </c>
      <c r="N9" s="31">
        <v>0.34375</v>
      </c>
      <c r="O9" s="31">
        <v>0.3125</v>
      </c>
      <c r="P9" s="31"/>
      <c r="Q9" s="31">
        <f>IF(T5_S=T5_50_TEMP,T5_50_PERCENT, IF(T5_S=T5_55_TEMP,T5_55_PERCENT, IF(T5_S=T5_60_TEMP,T5_60_PERCENT,IF(T5_S=T5_65_TEMP,T5_65_PERCENT, "ERROR"))))</f>
        <v>0.34375</v>
      </c>
      <c r="R9" s="31"/>
      <c r="S9" s="31"/>
      <c r="T9" s="198" t="s">
        <v>294</v>
      </c>
      <c r="U9" s="201">
        <f>Table10[[#This Row],[MIN Temp]]</f>
        <v>10</v>
      </c>
      <c r="V9" s="201">
        <f>Table10[[#This Row],[TYP Temp]]</f>
        <v>10</v>
      </c>
      <c r="W9" s="201">
        <f>Table10[[#This Row],[MAX Temp]]</f>
        <v>10</v>
      </c>
      <c r="X9" s="199" t="s">
        <v>292</v>
      </c>
      <c r="Y9" s="32"/>
      <c r="Z9" s="20"/>
      <c r="AA9" s="21"/>
      <c r="AB9" s="21"/>
      <c r="AC9" s="194">
        <f>Table13[[#This Row],[Min]]</f>
        <v>68.152000000000001</v>
      </c>
      <c r="AD9" s="194">
        <f>INDEX(Table9[Vmin (%)], (MATCH(Table10[[#This Row],[Target (MIN)]], Table9[Vmin (%)],1)))</f>
        <v>68.104370807021056</v>
      </c>
      <c r="AE9" s="194">
        <f>INDEX(Table9[Vmin (%)], (MATCH(Table10[[#This Row],[Target (MIN)]], Table9[Vmin (%)],1)+1))</f>
        <v>68.646989531871</v>
      </c>
      <c r="AF9" s="194">
        <f>ABS(Table10[[#This Row],[Target (MIN)]]-Table10[[#This Row],[1st VLOOK MIN]])</f>
        <v>4.7629192978945412E-2</v>
      </c>
      <c r="AG9" s="194">
        <f>ABS(Table10[[#This Row],[Target (MIN)]]-Table10[[#This Row],[2nd VLOOK MIN]])</f>
        <v>0.49498953187099914</v>
      </c>
      <c r="AH9" s="194">
        <f>IF(Table10[[#This Row],[1st Diff]]&lt;Table10[[#This Row],[2nd Diff]],Table10[[#This Row],[1st VLOOK MIN]],Table10[[#This Row],[2nd VLOOK MIN]])</f>
        <v>68.104370807021056</v>
      </c>
      <c r="AI9" s="194">
        <f>INDEX(Table9[Temperature], (MATCH(Table10[[#This Row],[Closest VLOOK MIN]], Table9[Vmin (%)],1)))</f>
        <v>10</v>
      </c>
      <c r="AJ9" s="194">
        <f>Table13[[#This Row],[Typ]]</f>
        <v>68.25</v>
      </c>
      <c r="AK9" s="194">
        <f>INDEX(Table9[Vnom (%)], (MATCH(Table10[[#This Row],[Target (Typ)]], Table9[Vnom (%)],1)))</f>
        <v>67.792861607050597</v>
      </c>
      <c r="AL9" s="194">
        <f>INDEX(Table9[Vnom (%)], (MATCH(Table10[[#This Row],[Target (Typ)]], Table9[Vnom (%)],1)+1))</f>
        <v>68.356764558359401</v>
      </c>
      <c r="AM9" s="194">
        <f>ABS(Table10[[#This Row],[Target (Typ)]]-Table10[[#This Row],[1st VLOOK TYP]])</f>
        <v>0.45713839294940328</v>
      </c>
      <c r="AN9" s="194">
        <f>ABS(Table10[[#This Row],[Target (Typ)]]-Table10[[#This Row],[2nd VLOOK TYP]])</f>
        <v>0.10676455835940146</v>
      </c>
      <c r="AO9" s="194">
        <f>IF(Table10[[#This Row],[1st Diff Typ]]&lt;Table10[[#This Row],[2nd Diff TYP]],Table10[[#This Row],[1st VLOOK TYP]],Table10[[#This Row],[2nd VLOOK TYP]])</f>
        <v>68.356764558359401</v>
      </c>
      <c r="AP9" s="194">
        <f>INDEX(Table9[Temperature], (MATCH(Table10[[#This Row],[Closest VLOOK TYP]], Table9[Vnom (%)],1)))</f>
        <v>10</v>
      </c>
      <c r="AQ9" s="194">
        <f>Table13[[#This Row],[Max]]</f>
        <v>68.349999999999994</v>
      </c>
      <c r="AR9" s="194">
        <f>INDEX(Table9[Vmax (%)], (MATCH(Table10[[#This Row],[Target (MAX)]], Table9[Vmax (%)],1)))</f>
        <v>68.038343371418421</v>
      </c>
      <c r="AS9" s="194">
        <f>INDEX(Table9[Vmax (%)], (MATCH(Table10[[#This Row],[Target (Typ)]], Table9[Vmax (%)],1)+1))</f>
        <v>68.603407333288118</v>
      </c>
      <c r="AT9" s="194">
        <f>ABS(Table10[[#This Row],[Target (MAX)]]-Table10[[#This Row],[1st VLOOK MAX]])</f>
        <v>0.31165662858157361</v>
      </c>
      <c r="AU9" s="194">
        <f>ABS(Table10[[#This Row],[Target (MAX)]]-Table10[[#This Row],[2nd VLOOK MAX]])</f>
        <v>0.25340733328812348</v>
      </c>
      <c r="AV9" s="194">
        <f>IF(Table10[[#This Row],[1st Diff MAX]]&lt;Table10[[#This Row],[2nd Diff MAX]],Table10[[#This Row],[1st VLOOK MAX]],Table10[[#This Row],[2nd VLOOK MAX]])</f>
        <v>68.603407333288118</v>
      </c>
      <c r="AW9" s="194">
        <f>INDEX(Table9[Temperature], (MATCH(Table10[[#This Row],[Closest VLOOK MAX]], Table9[Vmax (%)],1)))</f>
        <v>10</v>
      </c>
      <c r="AX9" s="224"/>
      <c r="AY9" s="207" t="s">
        <v>271</v>
      </c>
      <c r="AZ9" s="207">
        <f>IF(T2_S=T2_5_TEMP,BE$10, IF(T2_S=T2_10_TEMP,BE$11, IF(T2_S=T2_15_TEMP,BE$12, IF(T2_S=T2_20_TEMP,BE$13, "ERROR"))) )</f>
        <v>68.152000000000001</v>
      </c>
      <c r="BA9" s="207">
        <f>IF(T2_S=T2_5_TEMP,BF$10, IF(T2_S=T2_10_TEMP,BF$11, IF(T2_S=T2_15_TEMP,BF$12, IF(T2_S=T2_20_TEMP,BF$13, "ERROR"))) )</f>
        <v>68.25</v>
      </c>
      <c r="BB9" s="207">
        <f>IF(T2_S=T2_5_TEMP,BG$10, IF(T2_S=T2_10_TEMP,BG$11, IF(T2_S=T2_15_TEMP,BG$12, IF(T2_S=T2_20_TEMP,BG$13, "ERROR"))) )</f>
        <v>68.349999999999994</v>
      </c>
      <c r="BC9" s="21"/>
      <c r="BD9" s="207">
        <f>V38</f>
        <v>0</v>
      </c>
      <c r="BE9" s="207">
        <v>73.302000000000007</v>
      </c>
      <c r="BF9" s="207">
        <v>73.25</v>
      </c>
      <c r="BG9" s="210">
        <v>73.543000000000006</v>
      </c>
      <c r="BH9" s="210">
        <v>72.096000000000004</v>
      </c>
      <c r="BI9" s="210">
        <v>72</v>
      </c>
      <c r="BJ9" s="210">
        <v>72.293999999999997</v>
      </c>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row>
    <row r="10" spans="1:210" ht="15.75" x14ac:dyDescent="0.25">
      <c r="A10" s="33"/>
      <c r="B10" s="15"/>
      <c r="C10" s="15"/>
      <c r="D10" s="34" t="s">
        <v>321</v>
      </c>
      <c r="E10" s="15">
        <f>IF(T1_S=T1_N10_TEMP,F140,IF(T1_S=T1_N_TEMP,F135, IF(T1_S=T1_0_TEMP,F130,IF(T1_S=T1_5_TEMP,F125, "ERROR"))))</f>
        <v>42.47</v>
      </c>
      <c r="F10" s="140" t="s">
        <v>30</v>
      </c>
      <c r="G10" s="172" t="str">
        <f>_xlfn.CONCAT(FIXED(E10,2), " ",F10)</f>
        <v>42.47 kΩ</v>
      </c>
      <c r="H10" s="15"/>
      <c r="I10" s="15"/>
      <c r="J10" s="31"/>
      <c r="K10" s="31"/>
      <c r="L10" s="31"/>
      <c r="M10" s="31"/>
      <c r="N10" s="31"/>
      <c r="O10" s="31"/>
      <c r="P10" s="31"/>
      <c r="Q10" s="31"/>
      <c r="R10" s="31"/>
      <c r="S10" s="31"/>
      <c r="T10" s="198" t="s">
        <v>295</v>
      </c>
      <c r="U10" s="201">
        <f>Table10[[#This Row],[MIN Temp]]</f>
        <v>12</v>
      </c>
      <c r="V10" s="201">
        <f>Table10[[#This Row],[TYP Temp]]</f>
        <v>12</v>
      </c>
      <c r="W10" s="201">
        <f>Table10[[#This Row],[MAX Temp]]</f>
        <v>13</v>
      </c>
      <c r="X10" s="199" t="s">
        <v>292</v>
      </c>
      <c r="Y10" s="32"/>
      <c r="Z10" s="20"/>
      <c r="AA10" s="21"/>
      <c r="AB10" s="21"/>
      <c r="AC10" s="194">
        <f>Table13[[#This Row],[Min]]</f>
        <v>66.983000000000004</v>
      </c>
      <c r="AD10" s="194">
        <f>INDEX(Table9[Vmin (%)], (MATCH(Table10[[#This Row],[Target (MIN)]], Table9[Vmin (%)],1)))</f>
        <v>66.967992959623416</v>
      </c>
      <c r="AE10" s="194">
        <f>INDEX(Table9[Vmin (%)], (MATCH(Table10[[#This Row],[Target (MIN)]], Table9[Vmin (%)],1)+1))</f>
        <v>67.541884590075711</v>
      </c>
      <c r="AF10" s="194">
        <f>ABS(Table10[[#This Row],[Target (MIN)]]-Table10[[#This Row],[1st VLOOK MIN]])</f>
        <v>1.5007040376588066E-2</v>
      </c>
      <c r="AG10" s="194">
        <f>ABS(Table10[[#This Row],[Target (MIN)]]-Table10[[#This Row],[2nd VLOOK MIN]])</f>
        <v>0.55888459007570646</v>
      </c>
      <c r="AH10" s="194">
        <f>IF(Table10[[#This Row],[1st Diff]]&lt;Table10[[#This Row],[2nd Diff]],Table10[[#This Row],[1st VLOOK MIN]],Table10[[#This Row],[2nd VLOOK MIN]])</f>
        <v>66.967992959623416</v>
      </c>
      <c r="AI10" s="194">
        <f>INDEX(Table9[Temperature], (MATCH(Table10[[#This Row],[Closest VLOOK MIN]], Table9[Vmin (%)],1)))</f>
        <v>12</v>
      </c>
      <c r="AJ10" s="194">
        <f>Table13[[#This Row],[Typ]]</f>
        <v>66.95</v>
      </c>
      <c r="AK10" s="194">
        <f>INDEX(Table9[Vnom (%)], (MATCH(Table10[[#This Row],[Target (Typ)]], Table9[Vnom (%)],1)))</f>
        <v>66.637225021877228</v>
      </c>
      <c r="AL10" s="194">
        <f>INDEX(Table9[Vnom (%)], (MATCH(Table10[[#This Row],[Target (Typ)]], Table9[Vnom (%)],1)+1))</f>
        <v>67.224826762926654</v>
      </c>
      <c r="AM10" s="194">
        <f>ABS(Table10[[#This Row],[Target (Typ)]]-Table10[[#This Row],[1st VLOOK TYP]])</f>
        <v>0.31277497812277488</v>
      </c>
      <c r="AN10" s="194">
        <f>ABS(Table10[[#This Row],[Target (Typ)]]-Table10[[#This Row],[2nd VLOOK TYP]])</f>
        <v>0.27482676292665076</v>
      </c>
      <c r="AO10" s="194">
        <f>IF(Table10[[#This Row],[1st Diff Typ]]&lt;Table10[[#This Row],[2nd Diff TYP]],Table10[[#This Row],[1st VLOOK TYP]],Table10[[#This Row],[2nd VLOOK TYP]])</f>
        <v>67.224826762926654</v>
      </c>
      <c r="AP10" s="194">
        <f>INDEX(Table9[Temperature], (MATCH(Table10[[#This Row],[Closest VLOOK TYP]], Table9[Vnom (%)],1)))</f>
        <v>12</v>
      </c>
      <c r="AQ10" s="194">
        <f>Table13[[#This Row],[Max]]</f>
        <v>67.144000000000005</v>
      </c>
      <c r="AR10" s="194">
        <f>INDEX(Table9[Vmax (%)], (MATCH(Table10[[#This Row],[Target (MAX)]], Table9[Vmax (%)],1)))</f>
        <v>66.885077750451885</v>
      </c>
      <c r="AS10" s="194">
        <f>INDEX(Table9[Vmax (%)], (MATCH(Table10[[#This Row],[Target (Typ)]], Table9[Vmax (%)],1)+1))</f>
        <v>67.467641980454459</v>
      </c>
      <c r="AT10" s="194">
        <f>ABS(Table10[[#This Row],[Target (MAX)]]-Table10[[#This Row],[1st VLOOK MAX]])</f>
        <v>0.25892224954812093</v>
      </c>
      <c r="AU10" s="194">
        <f>ABS(Table10[[#This Row],[Target (MAX)]]-Table10[[#This Row],[2nd VLOOK MAX]])</f>
        <v>0.32364198045445391</v>
      </c>
      <c r="AV10" s="194">
        <f>IF(Table10[[#This Row],[1st Diff MAX]]&lt;Table10[[#This Row],[2nd Diff MAX]],Table10[[#This Row],[1st VLOOK MAX]],Table10[[#This Row],[2nd VLOOK MAX]])</f>
        <v>66.885077750451885</v>
      </c>
      <c r="AW10" s="194">
        <f>INDEX(Table9[Temperature], (MATCH(Table10[[#This Row],[Closest VLOOK MAX]], Table9[Vmax (%)],1)))</f>
        <v>13</v>
      </c>
      <c r="AX10" s="224"/>
      <c r="AY10" s="208" t="s">
        <v>272</v>
      </c>
      <c r="AZ10" s="208">
        <f>IF(T2_S=T2_5_TEMP,BH$10, IF(T2_S=T2_10_TEMP,BH$11, IF(T2_S=T2_15_TEMP,BH$12, IF(T2_S=T2_20_TEMP,BH$13, "ERROR"))) )</f>
        <v>66.983000000000004</v>
      </c>
      <c r="BA10" s="208">
        <f>IF(T2_S=T2_5_TEMP,BI$10, IF(T2_S=T2_10_TEMP,BI$11, IF(T2_S=T2_15_TEMP,BI$12, IF(T2_S=T2_20_TEMP,BI$13, "ERROR"))) )</f>
        <v>66.95</v>
      </c>
      <c r="BB10" s="208">
        <f>IF(T2_S=T2_5_TEMP,BJ$10, IF(T2_S=T2_10_TEMP,BJ$11, IF(T2_S=T2_15_TEMP,BJ$12, IF(T2_S=T2_20_TEMP,BJ$13, "ERROR"))) )</f>
        <v>67.144000000000005</v>
      </c>
      <c r="BC10" s="21"/>
      <c r="BD10" s="208">
        <v>5</v>
      </c>
      <c r="BE10" s="208">
        <v>70.798000000000002</v>
      </c>
      <c r="BF10" s="208">
        <v>70.88</v>
      </c>
      <c r="BG10" s="209">
        <v>70.995999999999995</v>
      </c>
      <c r="BH10" s="209">
        <v>69.832999999999998</v>
      </c>
      <c r="BI10" s="209">
        <v>69.8</v>
      </c>
      <c r="BJ10" s="209">
        <v>70.037000000000006</v>
      </c>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row>
    <row r="11" spans="1:210" ht="15.75" x14ac:dyDescent="0.25">
      <c r="A11" s="33"/>
      <c r="B11" s="15"/>
      <c r="C11" s="15"/>
      <c r="D11" s="34" t="s">
        <v>322</v>
      </c>
      <c r="E11" s="15">
        <f>IF(T5_S=T5_50_TEMP,$F$80, IF(T5_S=T5_55_TEMP,$F$75, IF(T5_S=T5_60_TEMP,$F$70,IF(T5_S=T5_65_TEMP,$F$65, "ERROR"))))</f>
        <v>3.02</v>
      </c>
      <c r="F11" s="140" t="s">
        <v>30</v>
      </c>
      <c r="G11" s="172" t="str">
        <f>_xlfn.CONCAT(FIXED(E11,2), " ",F11)</f>
        <v>3.02 kΩ</v>
      </c>
      <c r="H11" s="15"/>
      <c r="I11" s="15"/>
      <c r="J11" s="31"/>
      <c r="K11" s="31"/>
      <c r="L11" s="31"/>
      <c r="M11" s="31"/>
      <c r="N11" s="31"/>
      <c r="O11" s="31"/>
      <c r="P11" s="31"/>
      <c r="Q11" s="31"/>
      <c r="R11" s="31"/>
      <c r="S11" s="31"/>
      <c r="T11" s="198" t="s">
        <v>296</v>
      </c>
      <c r="U11" s="201">
        <f>Table10[[#This Row],[MIN Temp]]</f>
        <v>48</v>
      </c>
      <c r="V11" s="201">
        <f>Table10[[#This Row],[TYP Temp]]</f>
        <v>48</v>
      </c>
      <c r="W11" s="201">
        <f>Table10[[#This Row],[MAX Temp]]</f>
        <v>49</v>
      </c>
      <c r="X11" s="199" t="s">
        <v>292</v>
      </c>
      <c r="Y11" s="32"/>
      <c r="Z11" s="20"/>
      <c r="AA11" s="21"/>
      <c r="AB11" s="21"/>
      <c r="AC11" s="194">
        <f>Table13[[#This Row],[Min]]</f>
        <v>42.338000000000001</v>
      </c>
      <c r="AD11" s="194">
        <f>INDEX(Table9[Vmin (%)], (MATCH(Table10[[#This Row],[Target (MIN)]], Table9[Vmin (%)],1)))</f>
        <v>42.14983242076066</v>
      </c>
      <c r="AE11" s="194">
        <f>INDEX(Table9[Vmin (%)], (MATCH(Table10[[#This Row],[Target (MIN)]], Table9[Vmin (%)],1)+1))</f>
        <v>42.861456325317214</v>
      </c>
      <c r="AF11" s="194">
        <f>ABS(Table10[[#This Row],[Target (MIN)]]-Table10[[#This Row],[1st VLOOK MIN]])</f>
        <v>0.18816757923934091</v>
      </c>
      <c r="AG11" s="194">
        <f>ABS(Table10[[#This Row],[Target (MIN)]]-Table10[[#This Row],[2nd VLOOK MIN]])</f>
        <v>0.52345632531721265</v>
      </c>
      <c r="AH11" s="194">
        <f>IF(Table10[[#This Row],[1st Diff]]&lt;Table10[[#This Row],[2nd Diff]],Table10[[#This Row],[1st VLOOK MIN]],Table10[[#This Row],[2nd VLOOK MIN]])</f>
        <v>42.14983242076066</v>
      </c>
      <c r="AI11" s="194">
        <f>INDEX(Table9[Temperature], (MATCH(Table10[[#This Row],[Closest VLOOK MIN]], Table9[Vmin (%)],1)))</f>
        <v>48</v>
      </c>
      <c r="AJ11" s="194">
        <f>Table13[[#This Row],[Typ]]</f>
        <v>42.5</v>
      </c>
      <c r="AK11" s="194">
        <f>INDEX(Table9[Vnom (%)], (MATCH(Table10[[#This Row],[Target (Typ)]], Table9[Vnom (%)],1)))</f>
        <v>41.861995467625505</v>
      </c>
      <c r="AL11" s="194">
        <f>INDEX(Table9[Vnom (%)], (MATCH(Table10[[#This Row],[Target (Typ)]], Table9[Vnom (%)],1)+1))</f>
        <v>42.564972304499207</v>
      </c>
      <c r="AM11" s="194">
        <f>ABS(Table10[[#This Row],[Target (Typ)]]-Table10[[#This Row],[1st VLOOK TYP]])</f>
        <v>0.63800453237449517</v>
      </c>
      <c r="AN11" s="194">
        <f>ABS(Table10[[#This Row],[Target (Typ)]]-Table10[[#This Row],[2nd VLOOK TYP]])</f>
        <v>6.4972304499207212E-2</v>
      </c>
      <c r="AO11" s="194">
        <f>IF(Table10[[#This Row],[1st Diff Typ]]&lt;Table10[[#This Row],[2nd Diff TYP]],Table10[[#This Row],[1st VLOOK TYP]],Table10[[#This Row],[2nd VLOOK TYP]])</f>
        <v>42.564972304499207</v>
      </c>
      <c r="AP11" s="194">
        <f>INDEX(Table9[Temperature], (MATCH(Table10[[#This Row],[Closest VLOOK TYP]], Table9[Vnom (%)],1)))</f>
        <v>48</v>
      </c>
      <c r="AQ11" s="194">
        <f>Table13[[#This Row],[Max]]</f>
        <v>42.622</v>
      </c>
      <c r="AR11" s="194">
        <f>INDEX(Table9[Vmax (%)], (MATCH(Table10[[#This Row],[Target (MAX)]], Table9[Vmax (%)],1)))</f>
        <v>42.282838656374608</v>
      </c>
      <c r="AS11" s="194">
        <f>INDEX(Table9[Vmax (%)], (MATCH(Table10[[#This Row],[Target (Typ)]], Table9[Vmax (%)],1)+1))</f>
        <v>42.978180086200872</v>
      </c>
      <c r="AT11" s="194">
        <f>ABS(Table10[[#This Row],[Target (MAX)]]-Table10[[#This Row],[1st VLOOK MAX]])</f>
        <v>0.33916134362539196</v>
      </c>
      <c r="AU11" s="194">
        <f>ABS(Table10[[#This Row],[Target (MAX)]]-Table10[[#This Row],[2nd VLOOK MAX]])</f>
        <v>0.35618008620087238</v>
      </c>
      <c r="AV11" s="194">
        <f>IF(Table10[[#This Row],[1st Diff MAX]]&lt;Table10[[#This Row],[2nd Diff MAX]],Table10[[#This Row],[1st VLOOK MAX]],Table10[[#This Row],[2nd VLOOK MAX]])</f>
        <v>42.282838656374608</v>
      </c>
      <c r="AW11" s="194">
        <f>INDEX(Table9[Temperature], (MATCH(Table10[[#This Row],[Closest VLOOK MAX]], Table9[Vmax (%)],1)))</f>
        <v>49</v>
      </c>
      <c r="AX11" s="224"/>
      <c r="AY11" s="207" t="s">
        <v>273</v>
      </c>
      <c r="AZ11" s="208">
        <f>IF(T3_S=T3_40_TEMP,BE$14, IF(T3_S=T3_45_TEMP,BE$15, IF(T3_S=T3_50_TEMP,BE$16, IF(T3_55_TEMP,BE$17, "ERROR"))))</f>
        <v>42.338000000000001</v>
      </c>
      <c r="BA11" s="208">
        <f>IF(T3_S=T3_40_TEMP,BF$14, IF(T3_S=T3_45_TEMP,BF$15, IF(T3_S=T3_50_TEMP,BF$16, IF(T3_55_TEMP,BF$17, "ERROR"))))</f>
        <v>42.5</v>
      </c>
      <c r="BB11" s="208">
        <f>IF(T3_S=T3_40_TEMP,BG$14, IF(T3_S=T3_45_TEMP,BG$15, IF(T3_S=T3_50_TEMP,BG$16, IF(T3_55_TEMP,BG$17, "ERROR"))))</f>
        <v>42.622</v>
      </c>
      <c r="BC11" s="21"/>
      <c r="BD11" s="207">
        <v>10</v>
      </c>
      <c r="BE11" s="207">
        <v>68.152000000000001</v>
      </c>
      <c r="BF11" s="207">
        <v>68.25</v>
      </c>
      <c r="BG11" s="210">
        <v>68.349999999999994</v>
      </c>
      <c r="BH11" s="210">
        <v>66.983000000000004</v>
      </c>
      <c r="BI11" s="210">
        <v>66.95</v>
      </c>
      <c r="BJ11" s="210">
        <v>67.144000000000005</v>
      </c>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row>
    <row r="12" spans="1:210" ht="15.75" x14ac:dyDescent="0.25">
      <c r="A12" s="33"/>
      <c r="B12" s="15"/>
      <c r="C12" s="15"/>
      <c r="D12" s="41" t="s">
        <v>257</v>
      </c>
      <c r="E12" s="43">
        <f>(1/$Q$6-1)/(1/(RT2_Ideal_TH*10^3)+1/(RTHCOLD_TH*10^3))/10^3</f>
        <v>5.243890052769264</v>
      </c>
      <c r="F12" s="138" t="s">
        <v>30</v>
      </c>
      <c r="G12" s="172" t="str">
        <f>_xlfn.CONCAT(FIXED(E12,2), " ",F12)</f>
        <v>5.24 kΩ</v>
      </c>
      <c r="H12" s="15"/>
      <c r="I12" s="15"/>
      <c r="J12" s="31"/>
      <c r="K12" s="31"/>
      <c r="L12" s="31"/>
      <c r="M12" s="31"/>
      <c r="N12" s="31"/>
      <c r="O12" s="31"/>
      <c r="P12" s="31"/>
      <c r="Q12" s="31"/>
      <c r="R12" s="31"/>
      <c r="S12" s="31"/>
      <c r="T12" s="198" t="s">
        <v>297</v>
      </c>
      <c r="U12" s="201">
        <f>Table10[[#This Row],[MIN Temp]]</f>
        <v>49</v>
      </c>
      <c r="V12" s="201">
        <f>Table10[[#This Row],[TYP Temp]]</f>
        <v>50</v>
      </c>
      <c r="W12" s="201">
        <f>Table10[[#This Row],[MAX Temp]]</f>
        <v>50</v>
      </c>
      <c r="X12" s="199" t="s">
        <v>292</v>
      </c>
      <c r="Y12" s="32"/>
      <c r="Z12" s="20"/>
      <c r="AA12" s="21"/>
      <c r="AB12" s="21"/>
      <c r="AC12" s="194">
        <f>Table13[[#This Row],[Min]]</f>
        <v>41.174999999999997</v>
      </c>
      <c r="AD12" s="194">
        <f>INDEX(Table9[Vmin (%)], (MATCH(Table10[[#This Row],[Target (MIN)]], Table9[Vmin (%)],1)))</f>
        <v>40.730930527210518</v>
      </c>
      <c r="AE12" s="194">
        <f>INDEX(Table9[Vmin (%)], (MATCH(Table10[[#This Row],[Target (MIN)]], Table9[Vmin (%)],1)+1))</f>
        <v>41.439224695246004</v>
      </c>
      <c r="AF12" s="194">
        <f>ABS(Table10[[#This Row],[Target (MIN)]]-Table10[[#This Row],[1st VLOOK MIN]])</f>
        <v>0.44406947278947939</v>
      </c>
      <c r="AG12" s="194">
        <f>ABS(Table10[[#This Row],[Target (MIN)]]-Table10[[#This Row],[2nd VLOOK MIN]])</f>
        <v>0.264224695246007</v>
      </c>
      <c r="AH12" s="194">
        <f>IF(Table10[[#This Row],[1st Diff]]&lt;Table10[[#This Row],[2nd Diff]],Table10[[#This Row],[1st VLOOK MIN]],Table10[[#This Row],[2nd VLOOK MIN]])</f>
        <v>41.439224695246004</v>
      </c>
      <c r="AI12" s="194">
        <f>INDEX(Table9[Temperature], (MATCH(Table10[[#This Row],[Closest VLOOK MIN]], Table9[Vmin (%)],1)))</f>
        <v>49</v>
      </c>
      <c r="AJ12" s="194">
        <f>Table13[[#This Row],[Typ]]</f>
        <v>41.2</v>
      </c>
      <c r="AK12" s="194">
        <f>INDEX(Table9[Vnom (%)], (MATCH(Table10[[#This Row],[Target (Typ)]], Table9[Vnom (%)],1)))</f>
        <v>41.161167165530948</v>
      </c>
      <c r="AL12" s="194">
        <f>INDEX(Table9[Vnom (%)], (MATCH(Table10[[#This Row],[Target (Typ)]], Table9[Vnom (%)],1)+1))</f>
        <v>41.861995467625505</v>
      </c>
      <c r="AM12" s="194">
        <f>ABS(Table10[[#This Row],[Target (Typ)]]-Table10[[#This Row],[1st VLOOK TYP]])</f>
        <v>3.8832834469054944E-2</v>
      </c>
      <c r="AN12" s="194">
        <f>ABS(Table10[[#This Row],[Target (Typ)]]-Table10[[#This Row],[2nd VLOOK TYP]])</f>
        <v>0.66199546762550199</v>
      </c>
      <c r="AO12" s="194">
        <f>IF(Table10[[#This Row],[1st Diff Typ]]&lt;Table10[[#This Row],[2nd Diff TYP]],Table10[[#This Row],[1st VLOOK TYP]],Table10[[#This Row],[2nd VLOOK TYP]])</f>
        <v>41.161167165530948</v>
      </c>
      <c r="AP12" s="194">
        <f>INDEX(Table9[Temperature], (MATCH(Table10[[#This Row],[Closest VLOOK TYP]], Table9[Vnom (%)],1)))</f>
        <v>50</v>
      </c>
      <c r="AQ12" s="194">
        <f>Table13[[#This Row],[Max]]</f>
        <v>41.415999999999997</v>
      </c>
      <c r="AR12" s="194">
        <f>INDEX(Table9[Vmax (%)], (MATCH(Table10[[#This Row],[Target (MAX)]], Table9[Vmax (%)],1)))</f>
        <v>40.894247282992708</v>
      </c>
      <c r="AS12" s="194">
        <f>INDEX(Table9[Vmax (%)], (MATCH(Table10[[#This Row],[Target (Typ)]], Table9[Vmax (%)],1)+1))</f>
        <v>41.589488092713708</v>
      </c>
      <c r="AT12" s="194">
        <f>ABS(Table10[[#This Row],[Target (MAX)]]-Table10[[#This Row],[1st VLOOK MAX]])</f>
        <v>0.52175271700728842</v>
      </c>
      <c r="AU12" s="194">
        <f>ABS(Table10[[#This Row],[Target (MAX)]]-Table10[[#This Row],[2nd VLOOK MAX]])</f>
        <v>0.17348809271371124</v>
      </c>
      <c r="AV12" s="194">
        <f>IF(Table10[[#This Row],[1st Diff MAX]]&lt;Table10[[#This Row],[2nd Diff MAX]],Table10[[#This Row],[1st VLOOK MAX]],Table10[[#This Row],[2nd VLOOK MAX]])</f>
        <v>41.589488092713708</v>
      </c>
      <c r="AW12" s="194">
        <f>INDEX(Table9[Temperature], (MATCH(Table10[[#This Row],[Closest VLOOK MAX]], Table9[Vmax (%)],1)))</f>
        <v>50</v>
      </c>
      <c r="AX12" s="224"/>
      <c r="AY12" s="208" t="s">
        <v>274</v>
      </c>
      <c r="AZ12" s="208">
        <f>IF(T3_S=T3_40_TEMP,BH$14, IF(T3_S=T3_45_TEMP,BH$15, IF(T3_S=T3_50_TEMP,BH$16, IF(T3_55_TEMP,BH$17, "ERROR"))))</f>
        <v>41.174999999999997</v>
      </c>
      <c r="BA12" s="208">
        <f>IF(T3_S=T3_40_TEMP,BI$14, IF(T3_S=T3_45_TEMP,BI$15, IF(T3_S=T3_50_TEMP,BI$16, IF(T3_55_TEMP,BI$17, "ERROR"))))</f>
        <v>41.2</v>
      </c>
      <c r="BB12" s="208">
        <f>IF(T3_S=T3_40_TEMP,BJ$14, IF(T3_S=T3_45_TEMP,BJ$15, IF(T3_S=T3_50_TEMP,BJ$16, IF(T3_55_TEMP,BJ$17, "ERROR"))))</f>
        <v>41.415999999999997</v>
      </c>
      <c r="BC12" s="21"/>
      <c r="BD12" s="208">
        <v>15</v>
      </c>
      <c r="BE12" s="208">
        <v>65.301000000000002</v>
      </c>
      <c r="BF12" s="208">
        <v>65.349999999999994</v>
      </c>
      <c r="BG12" s="209">
        <v>65.462000000000003</v>
      </c>
      <c r="BH12" s="209">
        <v>64.096000000000004</v>
      </c>
      <c r="BI12" s="209">
        <v>64.2</v>
      </c>
      <c r="BJ12" s="209">
        <v>64.256</v>
      </c>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row>
    <row r="13" spans="1:210" ht="16.5" thickBot="1" x14ac:dyDescent="0.3">
      <c r="A13" s="35"/>
      <c r="B13" s="36"/>
      <c r="C13" s="36"/>
      <c r="D13" s="45" t="s">
        <v>258</v>
      </c>
      <c r="E13" s="46">
        <f>(RTHCOLD_TH*10^3*RTHHOT_TH*10^3*(1/$Q$6-1/$Q$9))/(RTHHOT_TH*10^3*(1/$Q$9-1)-RTHCOLD_TH*10^3*(1/$Q$6-1))/10^3</f>
        <v>30.363546946665231</v>
      </c>
      <c r="F13" s="144" t="s">
        <v>30</v>
      </c>
      <c r="G13" s="172" t="str">
        <f>_xlfn.CONCAT(FIXED(E13,2), " ",F13)</f>
        <v>30.36 kΩ</v>
      </c>
      <c r="H13" s="15"/>
      <c r="I13" s="15"/>
      <c r="J13" s="31"/>
      <c r="K13" s="31"/>
      <c r="L13" s="31"/>
      <c r="M13" s="31"/>
      <c r="N13" s="31"/>
      <c r="O13" s="31"/>
      <c r="P13" s="31"/>
      <c r="Q13" s="31"/>
      <c r="R13" s="31"/>
      <c r="S13" s="31"/>
      <c r="T13" s="198" t="s">
        <v>298</v>
      </c>
      <c r="U13" s="201">
        <f>Table10[[#This Row],[MIN Temp]]</f>
        <v>58</v>
      </c>
      <c r="V13" s="201">
        <f>Table10[[#This Row],[TYP Temp]]</f>
        <v>58</v>
      </c>
      <c r="W13" s="201">
        <f>Table10[[#This Row],[MAX Temp]]</f>
        <v>59</v>
      </c>
      <c r="X13" s="199" t="s">
        <v>292</v>
      </c>
      <c r="Y13" s="32"/>
      <c r="Z13" s="20"/>
      <c r="AA13" s="21"/>
      <c r="AB13" s="21"/>
      <c r="AC13" s="194">
        <f>Table13[[#This Row],[Min]]</f>
        <v>35.393999999999998</v>
      </c>
      <c r="AD13" s="194">
        <f>INDEX(Table9[Vmin (%)], (MATCH(Table10[[#This Row],[Target (MIN)]], Table9[Vmin (%)],1)))</f>
        <v>35.24937344100195</v>
      </c>
      <c r="AE13" s="194">
        <f>INDEX(Table9[Vmin (%)], (MATCH(Table10[[#This Row],[Target (MIN)]], Table9[Vmin (%)],1)+1))</f>
        <v>35.911272411410891</v>
      </c>
      <c r="AF13" s="194">
        <f>ABS(Table10[[#This Row],[Target (MIN)]]-Table10[[#This Row],[1st VLOOK MIN]])</f>
        <v>0.14462655899804844</v>
      </c>
      <c r="AG13" s="194">
        <f>ABS(Table10[[#This Row],[Target (MIN)]]-Table10[[#This Row],[2nd VLOOK MIN]])</f>
        <v>0.51727241141089308</v>
      </c>
      <c r="AH13" s="194">
        <f>IF(Table10[[#This Row],[1st Diff]]&lt;Table10[[#This Row],[2nd Diff]],Table10[[#This Row],[1st VLOOK MIN]],Table10[[#This Row],[2nd VLOOK MIN]])</f>
        <v>35.24937344100195</v>
      </c>
      <c r="AI13" s="194">
        <f>INDEX(Table9[Temperature], (MATCH(Table10[[#This Row],[Closest VLOOK MIN]], Table9[Vmin (%)],1)))</f>
        <v>58</v>
      </c>
      <c r="AJ13" s="194">
        <f>Table13[[#This Row],[Typ]]</f>
        <v>35.5</v>
      </c>
      <c r="AK13" s="194">
        <f>INDEX(Table9[Vnom (%)], (MATCH(Table10[[#This Row],[Target (Typ)]], Table9[Vnom (%)],1)))</f>
        <v>35.076179717322717</v>
      </c>
      <c r="AL13" s="194">
        <f>INDEX(Table9[Vnom (%)], (MATCH(Table10[[#This Row],[Target (Typ)]], Table9[Vnom (%)],1)+1))</f>
        <v>35.724189313224691</v>
      </c>
      <c r="AM13" s="194">
        <f>ABS(Table10[[#This Row],[Target (Typ)]]-Table10[[#This Row],[1st VLOOK TYP]])</f>
        <v>0.42382028267728344</v>
      </c>
      <c r="AN13" s="194">
        <f>ABS(Table10[[#This Row],[Target (Typ)]]-Table10[[#This Row],[2nd VLOOK TYP]])</f>
        <v>0.22418931322469149</v>
      </c>
      <c r="AO13" s="194">
        <f>IF(Table10[[#This Row],[1st Diff Typ]]&lt;Table10[[#This Row],[2nd Diff TYP]],Table10[[#This Row],[1st VLOOK TYP]],Table10[[#This Row],[2nd VLOOK TYP]])</f>
        <v>35.724189313224691</v>
      </c>
      <c r="AP13" s="194">
        <f>INDEX(Table9[Temperature], (MATCH(Table10[[#This Row],[Closest VLOOK TYP]], Table9[Vnom (%)],1)))</f>
        <v>58</v>
      </c>
      <c r="AQ13" s="194">
        <f>Table13[[#This Row],[Max]]</f>
        <v>35.636000000000003</v>
      </c>
      <c r="AR13" s="194">
        <f>INDEX(Table9[Vmax (%)], (MATCH(Table10[[#This Row],[Target (MAX)]], Table9[Vmax (%)],1)))</f>
        <v>35.548162957558937</v>
      </c>
      <c r="AS13" s="194">
        <f>INDEX(Table9[Vmax (%)], (MATCH(Table10[[#This Row],[Target (Typ)]], Table9[Vmax (%)],1)+1))</f>
        <v>35.548162957558937</v>
      </c>
      <c r="AT13" s="194">
        <f>ABS(Table10[[#This Row],[Target (MAX)]]-Table10[[#This Row],[1st VLOOK MAX]])</f>
        <v>8.783704244106616E-2</v>
      </c>
      <c r="AU13" s="194">
        <f>ABS(Table10[[#This Row],[Target (MAX)]]-Table10[[#This Row],[2nd VLOOK MAX]])</f>
        <v>8.783704244106616E-2</v>
      </c>
      <c r="AV13" s="194">
        <f>IF(Table10[[#This Row],[1st Diff MAX]]&lt;Table10[[#This Row],[2nd Diff MAX]],Table10[[#This Row],[1st VLOOK MAX]],Table10[[#This Row],[2nd VLOOK MAX]])</f>
        <v>35.548162957558937</v>
      </c>
      <c r="AW13" s="194">
        <f>INDEX(Table9[Temperature], (MATCH(Table10[[#This Row],[Closest VLOOK MAX]], Table9[Vmax (%)],1)))</f>
        <v>59</v>
      </c>
      <c r="AX13" s="224"/>
      <c r="AY13" s="207" t="s">
        <v>275</v>
      </c>
      <c r="AZ13" s="208">
        <f>IF(T5_S=T5_50_TEMP,BE$16, IF(T5_S=T5_55_TEMP,BE$17,IF(T5_S=T5_60_TEMP,BE$18,IF(T5_S=T5_65_TEMP,BE$19, "ERROR"))))</f>
        <v>35.393999999999998</v>
      </c>
      <c r="BA13" s="208">
        <f>IF(T5_S=T5_50_TEMP,BF$16, IF(T5_S=T5_55_TEMP,BF$17,IF(T5_S=T5_60_TEMP,BF$18,IF(T5_S=T5_65_TEMP,BF$19, "ERROR"))))</f>
        <v>35.5</v>
      </c>
      <c r="BB13" s="208">
        <f>IF(T5_S=T5_50_TEMP,BG$16, IF(T5_S=T5_55_TEMP,BG$17,IF(T5_S=T5_60_TEMP,BG$18,IF(T5_S=T5_65_TEMP,BG$19, "ERROR"))))</f>
        <v>35.636000000000003</v>
      </c>
      <c r="BC13" s="21"/>
      <c r="BD13" s="207">
        <v>20</v>
      </c>
      <c r="BE13" s="207">
        <v>62.173000000000002</v>
      </c>
      <c r="BF13" s="207">
        <v>62.25</v>
      </c>
      <c r="BG13" s="210">
        <v>62.371000000000002</v>
      </c>
      <c r="BH13" s="210">
        <v>60.966999999999999</v>
      </c>
      <c r="BI13" s="210">
        <v>61.1</v>
      </c>
      <c r="BJ13" s="210">
        <v>61.170999999999999</v>
      </c>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row>
    <row r="14" spans="1:210" ht="16.5" thickBot="1" x14ac:dyDescent="0.3">
      <c r="A14" s="186"/>
      <c r="B14" s="179"/>
      <c r="C14" s="179"/>
      <c r="D14" s="179"/>
      <c r="E14" s="179"/>
      <c r="F14" s="179"/>
      <c r="G14" s="31"/>
      <c r="H14" s="31"/>
      <c r="I14" s="31"/>
      <c r="J14" s="31"/>
      <c r="K14" s="31"/>
      <c r="L14" s="31"/>
      <c r="M14" s="31"/>
      <c r="N14" s="31"/>
      <c r="O14" s="31"/>
      <c r="P14" s="31"/>
      <c r="Q14" s="31"/>
      <c r="R14" s="31"/>
      <c r="S14" s="31"/>
      <c r="T14" s="198" t="s">
        <v>299</v>
      </c>
      <c r="U14" s="201">
        <f>Table10[[#This Row],[MIN Temp]]</f>
        <v>59</v>
      </c>
      <c r="V14" s="201">
        <f>Table10[[#This Row],[TYP Temp]]</f>
        <v>60</v>
      </c>
      <c r="W14" s="201">
        <f>Table10[[#This Row],[MAX Temp]]</f>
        <v>61</v>
      </c>
      <c r="X14" s="199" t="s">
        <v>292</v>
      </c>
      <c r="Y14" s="32"/>
      <c r="Z14" s="20"/>
      <c r="AA14" s="21"/>
      <c r="AB14" s="21"/>
      <c r="AC14" s="203">
        <f>Table13[[#This Row],[Min]]</f>
        <v>34.305999999999997</v>
      </c>
      <c r="AD14" s="194">
        <f>INDEX(Table9[Vmin (%)], (MATCH(Table10[[#This Row],[Target (MIN)]], Table9[Vmin (%)],1)))</f>
        <v>33.954104994515497</v>
      </c>
      <c r="AE14" s="194">
        <f>INDEX(Table9[Vmin (%)], (MATCH(Table10[[#This Row],[Target (MIN)]], Table9[Vmin (%)],1)+1))</f>
        <v>34.59651322396364</v>
      </c>
      <c r="AF14" s="194">
        <f>ABS(Table10[[#This Row],[Target (MIN)]]-Table10[[#This Row],[1st VLOOK MIN]])</f>
        <v>0.3518950054845007</v>
      </c>
      <c r="AG14" s="194">
        <f>ABS(Table10[[#This Row],[Target (MIN)]]-Table10[[#This Row],[2nd VLOOK MIN]])</f>
        <v>0.29051322396364299</v>
      </c>
      <c r="AH14" s="194">
        <f>IF(Table10[[#This Row],[1st Diff]]&lt;Table10[[#This Row],[2nd Diff]],Table10[[#This Row],[1st VLOOK MIN]],Table10[[#This Row],[2nd VLOOK MIN]])</f>
        <v>34.59651322396364</v>
      </c>
      <c r="AI14" s="194">
        <f>INDEX(Table9[Temperature], (MATCH(Table10[[#This Row],[Closest VLOOK MIN]], Table9[Vmin (%)],1)))</f>
        <v>59</v>
      </c>
      <c r="AJ14" s="194">
        <f>Table13[[#This Row],[Typ]]</f>
        <v>34.375</v>
      </c>
      <c r="AK14" s="194">
        <f>INDEX(Table9[Vnom (%)], (MATCH(Table10[[#This Row],[Target (Typ)]], Table9[Vnom (%)],1)))</f>
        <v>33.790882824445816</v>
      </c>
      <c r="AL14" s="194">
        <f>INDEX(Table9[Vnom (%)], (MATCH(Table10[[#This Row],[Target (Typ)]], Table9[Vnom (%)],1)+1))</f>
        <v>34.431440161144813</v>
      </c>
      <c r="AM14" s="194">
        <f>ABS(Table10[[#This Row],[Target (Typ)]]-Table10[[#This Row],[1st VLOOK TYP]])</f>
        <v>0.58411717555418363</v>
      </c>
      <c r="AN14" s="194">
        <f>ABS(Table10[[#This Row],[Target (Typ)]]-Table10[[#This Row],[2nd VLOOK TYP]])</f>
        <v>5.6440161144813317E-2</v>
      </c>
      <c r="AO14" s="194">
        <f>IF(Table10[[#This Row],[1st Diff Typ]]&lt;Table10[[#This Row],[2nd Diff TYP]],Table10[[#This Row],[1st VLOOK TYP]],Table10[[#This Row],[2nd VLOOK TYP]])</f>
        <v>34.431440161144813</v>
      </c>
      <c r="AP14" s="194">
        <f>INDEX(Table9[Temperature], (MATCH(Table10[[#This Row],[Closest VLOOK TYP]], Table9[Vnom (%)],1)))</f>
        <v>60</v>
      </c>
      <c r="AQ14" s="194">
        <f>Table13[[#This Row],[Max]]</f>
        <v>34.546999999999997</v>
      </c>
      <c r="AR14" s="194">
        <f>INDEX(Table9[Vmax (%)], (MATCH(Table10[[#This Row],[Target (MAX)]], Table9[Vmax (%)],1)))</f>
        <v>34.271661254715148</v>
      </c>
      <c r="AS14" s="194">
        <f>INDEX(Table9[Vmax (%)], (MATCH(Table10[[#This Row],[Target (Typ)]], Table9[Vmax (%)],1)+1))</f>
        <v>34.907957843361622</v>
      </c>
      <c r="AT14" s="194">
        <f>ABS(Table10[[#This Row],[Target (MAX)]]-Table10[[#This Row],[1st VLOOK MAX]])</f>
        <v>0.27533874528484859</v>
      </c>
      <c r="AU14" s="194">
        <f>ABS(Table10[[#This Row],[Target (MAX)]]-Table10[[#This Row],[2nd VLOOK MAX]])</f>
        <v>0.36095784336162495</v>
      </c>
      <c r="AV14" s="194">
        <f>IF(Table10[[#This Row],[1st Diff MAX]]&lt;Table10[[#This Row],[2nd Diff MAX]],Table10[[#This Row],[1st VLOOK MAX]],Table10[[#This Row],[2nd VLOOK MAX]])</f>
        <v>34.271661254715148</v>
      </c>
      <c r="AW14" s="194">
        <f>INDEX(Table9[Temperature], (MATCH(Table10[[#This Row],[Closest VLOOK MAX]], Table9[Vmax (%)],1)))</f>
        <v>61</v>
      </c>
      <c r="AX14" s="224"/>
      <c r="AY14" s="208" t="s">
        <v>276</v>
      </c>
      <c r="AZ14" s="208">
        <f>IF(T5_S=T5_50_TEMP,BH$16, IF(T5_S=T5_55_TEMP,BH$17,IF(T5_S=T5_60_TEMP,BH$18,IF(T5_S=T5_65_TEMP,BH$19, "ERROR"))))</f>
        <v>34.305999999999997</v>
      </c>
      <c r="BA14" s="208">
        <f>IF(T5_S=T5_50_TEMP,BI$16, IF(T5_S=T5_55_TEMP,BI$17,IF(T5_S=T5_60_TEMP,BI$18,IF(T5_S=T5_65_TEMP,BI$19, "ERROR"))))</f>
        <v>34.375</v>
      </c>
      <c r="BB14" s="208">
        <f>IF(T5_S=T5_50_TEMP,BJ$16, IF(T5_S=T5_55_TEMP,BJ$17,IF(T5_S=T5_60_TEMP,BJ$18,IF(T5_S=T5_65_TEMP,BJ$19, "ERROR"))))</f>
        <v>34.546999999999997</v>
      </c>
      <c r="BC14" s="21"/>
      <c r="BD14" s="209">
        <v>40</v>
      </c>
      <c r="BE14" s="209">
        <v>49.634</v>
      </c>
      <c r="BF14" s="209">
        <v>49.7</v>
      </c>
      <c r="BG14" s="209">
        <v>49.838000000000001</v>
      </c>
      <c r="BH14" s="209">
        <v>48.390999999999998</v>
      </c>
      <c r="BI14" s="209">
        <v>48.4</v>
      </c>
      <c r="BJ14" s="209">
        <v>48.631999999999998</v>
      </c>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row>
    <row r="15" spans="1:210" ht="15.75" thickBot="1" x14ac:dyDescent="0.3">
      <c r="A15" s="259" t="s">
        <v>260</v>
      </c>
      <c r="B15" s="260"/>
      <c r="C15" s="260"/>
      <c r="D15" s="179"/>
      <c r="E15" s="183" t="s">
        <v>261</v>
      </c>
      <c r="F15" s="184" t="s">
        <v>262</v>
      </c>
      <c r="G15" s="185" t="s">
        <v>263</v>
      </c>
      <c r="H15" s="31"/>
      <c r="I15" s="31"/>
      <c r="J15" s="31"/>
      <c r="K15" s="31"/>
      <c r="L15" s="31"/>
      <c r="M15" s="31"/>
      <c r="N15" s="31"/>
      <c r="O15" s="31"/>
      <c r="P15" s="31"/>
      <c r="Q15" s="31"/>
      <c r="R15" s="31"/>
      <c r="S15" s="31"/>
      <c r="T15" s="31"/>
      <c r="U15" s="31"/>
      <c r="V15" s="31"/>
      <c r="W15" s="31"/>
      <c r="X15" s="31"/>
      <c r="Y15" s="32"/>
      <c r="Z15" s="20"/>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09">
        <v>45</v>
      </c>
      <c r="BE15" s="209">
        <v>45.868000000000002</v>
      </c>
      <c r="BF15" s="209">
        <v>46.05</v>
      </c>
      <c r="BG15" s="209">
        <v>46.109000000000002</v>
      </c>
      <c r="BH15" s="209">
        <v>44.662999999999997</v>
      </c>
      <c r="BI15" s="209">
        <v>44.75</v>
      </c>
      <c r="BJ15" s="209">
        <v>44.904000000000003</v>
      </c>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row>
    <row r="16" spans="1:210" x14ac:dyDescent="0.25">
      <c r="A16" s="175"/>
      <c r="B16" s="176"/>
      <c r="C16" s="176"/>
      <c r="D16" s="39" t="s">
        <v>326</v>
      </c>
      <c r="E16" s="211">
        <f>F16*0.999</f>
        <v>5.2277581556681332</v>
      </c>
      <c r="F16" s="212">
        <f>IF($L$16&lt;$M$16,$J$16,$K$16)</f>
        <v>5.2329911468149479</v>
      </c>
      <c r="G16" s="204">
        <f>F16*1.001</f>
        <v>5.2382241379617627</v>
      </c>
      <c r="H16" s="142" t="s">
        <v>30</v>
      </c>
      <c r="I16" s="31"/>
      <c r="J16" s="31">
        <f>INDEX(stdres_0p1pct[Resistance], (MATCH($E$12*10^3, stdres_0p1pct[Resistance],1)))/10^3</f>
        <v>5.2329911468149479</v>
      </c>
      <c r="K16" s="31">
        <f>INDEX(stdres_0p1pct[Resistance], (MATCH($E$12*10^3, stdres_0p1pct[Resistance],1)+1))/10^3</f>
        <v>5.2961262986468043</v>
      </c>
      <c r="L16" s="31">
        <f>ABS($E$12-$J$16)</f>
        <v>1.0898905954316085E-2</v>
      </c>
      <c r="M16" s="31">
        <f>ABS($E$12-$K$16)</f>
        <v>5.2236245877540277E-2</v>
      </c>
      <c r="N16" s="31"/>
      <c r="O16" s="31"/>
      <c r="P16" s="31"/>
      <c r="Q16" s="31"/>
      <c r="R16" s="31"/>
      <c r="S16" s="31"/>
      <c r="T16" s="31"/>
      <c r="U16" s="31"/>
      <c r="V16" s="31"/>
      <c r="W16" s="31"/>
      <c r="X16" s="31"/>
      <c r="Y16" s="32"/>
      <c r="Z16" s="20"/>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09">
        <v>50</v>
      </c>
      <c r="BE16" s="209">
        <v>42.338000000000001</v>
      </c>
      <c r="BF16" s="209">
        <v>42.5</v>
      </c>
      <c r="BG16" s="209">
        <v>42.622</v>
      </c>
      <c r="BH16" s="209">
        <v>41.174999999999997</v>
      </c>
      <c r="BI16" s="209">
        <v>41.2</v>
      </c>
      <c r="BJ16" s="209">
        <v>41.415999999999997</v>
      </c>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row>
    <row r="17" spans="1:210" ht="15.75" thickBot="1" x14ac:dyDescent="0.3">
      <c r="A17" s="177"/>
      <c r="B17" s="178"/>
      <c r="C17" s="178"/>
      <c r="D17" s="45" t="s">
        <v>327</v>
      </c>
      <c r="E17" s="213">
        <f>F17*0.999</f>
        <v>30.474773623767586</v>
      </c>
      <c r="F17" s="214">
        <f>IF($L$17&lt;$M$17,$J$17,$K$17)</f>
        <v>30.505278902670256</v>
      </c>
      <c r="G17" s="205">
        <f>F17*1.001</f>
        <v>30.535784181572922</v>
      </c>
      <c r="H17" s="120" t="s">
        <v>30</v>
      </c>
      <c r="I17" s="31"/>
      <c r="J17" s="31">
        <f>INDEX(stdres_0p1pct[Resistance], (MATCH($E$13*10^3, stdres_0p1pct[Resistance],1)))/10^3</f>
        <v>30.141625298773906</v>
      </c>
      <c r="K17" s="31">
        <f>INDEX(stdres_0p1pct[Resistance], (MATCH($E$13*10^3, stdres_0p1pct[Resistance],1)+1))/10^3</f>
        <v>30.505278902670256</v>
      </c>
      <c r="L17" s="31">
        <f>ABS($E$13-$J$17)</f>
        <v>0.22192164789132462</v>
      </c>
      <c r="M17" s="31">
        <f>ABS($E$13-$K$17)</f>
        <v>0.14173195600502453</v>
      </c>
      <c r="N17" s="31"/>
      <c r="O17" s="31"/>
      <c r="P17" s="31"/>
      <c r="Q17" s="31"/>
      <c r="R17" s="31"/>
      <c r="S17" s="31"/>
      <c r="T17" s="31"/>
      <c r="U17" s="31"/>
      <c r="V17" s="31"/>
      <c r="W17" s="31"/>
      <c r="X17" s="31"/>
      <c r="Y17" s="32"/>
      <c r="Z17" s="20"/>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09">
        <v>55</v>
      </c>
      <c r="BE17" s="209">
        <v>38.856999999999999</v>
      </c>
      <c r="BF17" s="209">
        <v>39</v>
      </c>
      <c r="BG17" s="209">
        <v>39.134999999999998</v>
      </c>
      <c r="BH17" s="209">
        <v>37.651000000000003</v>
      </c>
      <c r="BI17" s="209">
        <v>37.700000000000003</v>
      </c>
      <c r="BJ17" s="209">
        <v>37.892000000000003</v>
      </c>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row>
    <row r="18" spans="1:210" ht="15.75" thickBot="1" x14ac:dyDescent="0.3">
      <c r="A18" s="186"/>
      <c r="B18" s="179"/>
      <c r="C18" s="179"/>
      <c r="D18" s="179"/>
      <c r="E18" s="179"/>
      <c r="F18" s="179"/>
      <c r="G18" s="31"/>
      <c r="H18" s="31"/>
      <c r="I18" s="31"/>
      <c r="J18" s="31"/>
      <c r="K18" s="31"/>
      <c r="L18" s="31"/>
      <c r="M18" s="31"/>
      <c r="N18" s="31"/>
      <c r="O18" s="31"/>
      <c r="P18" s="31"/>
      <c r="Q18" s="31"/>
      <c r="R18" s="31"/>
      <c r="S18" s="31"/>
      <c r="T18" s="31"/>
      <c r="U18" s="31"/>
      <c r="V18" s="31"/>
      <c r="W18" s="31"/>
      <c r="X18" s="31"/>
      <c r="Y18" s="32"/>
      <c r="Z18" s="20"/>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09">
        <v>60</v>
      </c>
      <c r="BE18" s="209">
        <v>35.393999999999998</v>
      </c>
      <c r="BF18" s="209">
        <v>35.5</v>
      </c>
      <c r="BG18" s="209">
        <v>35.636000000000003</v>
      </c>
      <c r="BH18" s="209">
        <v>34.305999999999997</v>
      </c>
      <c r="BI18" s="209">
        <v>34.375</v>
      </c>
      <c r="BJ18" s="209">
        <v>34.546999999999997</v>
      </c>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row>
    <row r="19" spans="1:210" ht="18.75" thickBot="1" x14ac:dyDescent="0.4">
      <c r="A19" s="227" t="s">
        <v>277</v>
      </c>
      <c r="B19" s="228"/>
      <c r="C19" s="228"/>
      <c r="D19" s="191" t="s">
        <v>344</v>
      </c>
      <c r="E19" s="180" t="s">
        <v>261</v>
      </c>
      <c r="F19" s="181" t="s">
        <v>262</v>
      </c>
      <c r="G19" s="182" t="s">
        <v>263</v>
      </c>
      <c r="H19" s="119"/>
      <c r="I19" s="31"/>
      <c r="J19" s="31"/>
      <c r="K19" s="31"/>
      <c r="L19" s="31"/>
      <c r="M19" s="31"/>
      <c r="N19" s="31"/>
      <c r="O19" s="31"/>
      <c r="P19" s="31"/>
      <c r="Q19" s="31"/>
      <c r="R19" s="31"/>
      <c r="S19" s="31"/>
      <c r="T19" s="31"/>
      <c r="U19" s="31"/>
      <c r="V19" s="31"/>
      <c r="W19" s="31"/>
      <c r="X19" s="31"/>
      <c r="Y19" s="32"/>
      <c r="Z19" s="20"/>
      <c r="AA19" s="21"/>
      <c r="AB19" s="21"/>
      <c r="AC19" s="195" t="s">
        <v>290</v>
      </c>
      <c r="AD19" s="196" t="s">
        <v>287</v>
      </c>
      <c r="AE19" s="196" t="s">
        <v>288</v>
      </c>
      <c r="AF19" s="196" t="s">
        <v>289</v>
      </c>
      <c r="AG19" s="195" t="s">
        <v>279</v>
      </c>
      <c r="AH19" s="195" t="s">
        <v>280</v>
      </c>
      <c r="AI19" s="195" t="s">
        <v>281</v>
      </c>
      <c r="AJ19" s="196" t="s">
        <v>278</v>
      </c>
      <c r="AK19" s="196" t="s">
        <v>282</v>
      </c>
      <c r="AL19" s="196" t="s">
        <v>283</v>
      </c>
      <c r="AM19" s="195" t="s">
        <v>284</v>
      </c>
      <c r="AN19" s="195" t="s">
        <v>285</v>
      </c>
      <c r="AO19" s="195" t="s">
        <v>286</v>
      </c>
      <c r="AP19" s="21"/>
      <c r="AQ19" s="21"/>
      <c r="AR19" s="21"/>
      <c r="AS19" s="21"/>
      <c r="AT19" s="21"/>
      <c r="AU19" s="21"/>
      <c r="AV19" s="21"/>
      <c r="AW19" s="21"/>
      <c r="AX19" s="21"/>
      <c r="AY19" s="21"/>
      <c r="AZ19" s="21"/>
      <c r="BA19" s="21"/>
      <c r="BB19" s="21"/>
      <c r="BC19" s="21"/>
      <c r="BD19" s="209">
        <v>65</v>
      </c>
      <c r="BE19" s="209">
        <v>32.377000000000002</v>
      </c>
      <c r="BF19" s="209">
        <v>32.5</v>
      </c>
      <c r="BG19" s="209">
        <v>32.618000000000002</v>
      </c>
      <c r="BH19" s="209">
        <v>31.209</v>
      </c>
      <c r="BI19" s="209">
        <v>31.25</v>
      </c>
      <c r="BJ19" s="209">
        <v>31.405999999999999</v>
      </c>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row>
    <row r="20" spans="1:210" hidden="1" x14ac:dyDescent="0.25">
      <c r="A20" s="117">
        <v>110</v>
      </c>
      <c r="B20" s="176"/>
      <c r="C20" s="187" t="str">
        <f t="shared" ref="C20:C51" si="0">_xlfn.CONCAT("RTH at ",A20, " °C")</f>
        <v>RTH at 110 °C</v>
      </c>
      <c r="D20" s="215">
        <v>3.5</v>
      </c>
      <c r="E20" s="216">
        <v>0</v>
      </c>
      <c r="F20" s="217">
        <v>0</v>
      </c>
      <c r="G20" s="218">
        <v>0</v>
      </c>
      <c r="H20" s="142" t="s">
        <v>30</v>
      </c>
      <c r="I20" s="31"/>
      <c r="J20" s="31">
        <v>0.78510000000000002</v>
      </c>
      <c r="K20" s="31">
        <v>0.75760000000000005</v>
      </c>
      <c r="L20" s="31">
        <v>0.73080000000000001</v>
      </c>
      <c r="M20" s="31"/>
      <c r="N20" s="31"/>
      <c r="O20" s="31"/>
      <c r="P20" s="31"/>
      <c r="Q20" s="31"/>
      <c r="R20" s="31"/>
      <c r="S20" s="31"/>
      <c r="T20" s="31"/>
      <c r="U20" s="31"/>
      <c r="V20" s="31"/>
      <c r="W20" s="31"/>
      <c r="X20" s="31"/>
      <c r="Y20" s="32"/>
      <c r="Z20" s="20"/>
      <c r="AA20" s="21"/>
      <c r="AB20" s="21"/>
      <c r="AC20" s="195">
        <f t="shared" ref="AC20:AC51" si="1">A20</f>
        <v>110</v>
      </c>
      <c r="AD20" s="195">
        <f t="shared" ref="AD20:AD51" si="2">E20</f>
        <v>0</v>
      </c>
      <c r="AE20" s="195">
        <f t="shared" ref="AE20:AE51" si="3">F20</f>
        <v>0</v>
      </c>
      <c r="AF20" s="195">
        <f t="shared" ref="AF20:AF51" si="4">G20</f>
        <v>0</v>
      </c>
      <c r="AG20" s="195">
        <f>Table9[[#This Row],[RTH(min) (kΩ)]]*RT2_TH_MIN/(RT2_TH_MIN+Table9[[#This Row],[RTH(min) (kΩ)]])</f>
        <v>0</v>
      </c>
      <c r="AH20" s="195">
        <f>Table9[[#This Row],[RTH(nom) (kΩ)]]*RT2_TH_S/(RT2_TH_S+Table9[[#This Row],[RTH(nom) (kΩ)]])</f>
        <v>0</v>
      </c>
      <c r="AI20" s="195">
        <f>Table9[[#This Row],[RTH(max) (kΩ)]]*RT2_TH_S_MAX/(RT2_TH_S_MAX+Table9[[#This Row],[RTH(max) (kΩ)]])</f>
        <v>0</v>
      </c>
      <c r="AJ20" s="195">
        <f>Table9[[#This Row],[RLower(min) (kΩ)]]/(Table9[[#This Row],[RLower(min) (kΩ)]]+RT1_TH_S_MAX)*100</f>
        <v>0</v>
      </c>
      <c r="AK20" s="195">
        <f>Table9[[#This Row],[RLower(nom) (kΩ)]]/(Table9[[#This Row],[RLower(nom) (kΩ)]]+RT1_TH_S)*100</f>
        <v>0</v>
      </c>
      <c r="AL20" s="195">
        <f>Table9[[#This Row],[RLower(max) (kΩ)]]/(Table9[[#This Row],[RLower(max) (kΩ)]]+RT1_TH_S_MIN)*100</f>
        <v>0</v>
      </c>
      <c r="AM20" s="195">
        <f>IF(Table9[[#This Row],[Vmin (%)]]&lt;$BA$14, 0, IF(Table9[[#This Row],[Vmin (%)]]&lt;$BA$12, 4, IF(Table9[[#This Row],[Vmin (%)]]&lt;$BA$9, 3, IF(Table9[[#This Row],[Vmin (%)]]&lt;$BA$7, 2, 0))))</f>
        <v>0</v>
      </c>
      <c r="AN20" s="195">
        <f>IF(Table9[[#This Row],[Vmin (%)]]&lt;$BA$13, 0, IF(Table9[[#This Row],[Vmin (%)]]&lt;$BA$11, 4, IF(Table9[[#This Row],[Vmin (%)]]&lt;$BA$10, 3, IF(Table9[[#This Row],[Vmin (%)]]&lt;$BA$8, 2, 0))))</f>
        <v>0</v>
      </c>
      <c r="AO20" s="197" t="str">
        <f>IF(Table9[[#This Row],[Vmin (%)]]&lt;$BA$14, "Hot", IF(Table9[[#This Row],[Vmin (%)]]&lt;$BA$12, "Warm", IF(Table9[[#This Row],[Vmin (%)]]&lt;$BA$9, "Normal", IF(Table9[[#This Row],[Vmin (%)]]&lt;$BA$7, "Cool", "Cold"))))</f>
        <v>Hot</v>
      </c>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row>
    <row r="21" spans="1:210" hidden="1" x14ac:dyDescent="0.25">
      <c r="A21" s="118">
        <f>A20-1</f>
        <v>109</v>
      </c>
      <c r="B21" s="179"/>
      <c r="C21" s="188" t="str">
        <f t="shared" si="0"/>
        <v>RTH at 109 °C</v>
      </c>
      <c r="D21" s="219">
        <f>$D$20-(ROW(D21)-ROW($D$20))*($D$20-$D$105)/(ROW($D$105)-ROW($D$20))</f>
        <v>3.4705882352941178</v>
      </c>
      <c r="E21" s="220">
        <v>0</v>
      </c>
      <c r="F21" s="221">
        <v>0</v>
      </c>
      <c r="G21" s="222">
        <v>0</v>
      </c>
      <c r="H21" s="138" t="s">
        <v>30</v>
      </c>
      <c r="I21" s="31"/>
      <c r="J21" s="31">
        <v>0.8044</v>
      </c>
      <c r="K21" s="31">
        <v>0.77629999999999999</v>
      </c>
      <c r="L21" s="31">
        <v>0.74909999999999999</v>
      </c>
      <c r="M21" s="31"/>
      <c r="N21" s="31"/>
      <c r="O21" s="31"/>
      <c r="P21" s="31"/>
      <c r="Q21" s="31"/>
      <c r="R21" s="31"/>
      <c r="S21" s="31"/>
      <c r="T21" s="31"/>
      <c r="U21" s="31"/>
      <c r="V21" s="31"/>
      <c r="W21" s="31"/>
      <c r="X21" s="31"/>
      <c r="Y21" s="32"/>
      <c r="Z21" s="20"/>
      <c r="AA21" s="21"/>
      <c r="AB21" s="21"/>
      <c r="AC21" s="195">
        <f t="shared" si="1"/>
        <v>109</v>
      </c>
      <c r="AD21" s="195">
        <f t="shared" si="2"/>
        <v>0</v>
      </c>
      <c r="AE21" s="195">
        <f t="shared" si="3"/>
        <v>0</v>
      </c>
      <c r="AF21" s="195">
        <f t="shared" si="4"/>
        <v>0</v>
      </c>
      <c r="AG21" s="195">
        <f>Table9[[#This Row],[RTH(min) (kΩ)]]*RT2_TH_MIN/(RT2_TH_MIN+Table9[[#This Row],[RTH(min) (kΩ)]])</f>
        <v>0</v>
      </c>
      <c r="AH21" s="195">
        <f>Table9[[#This Row],[RTH(nom) (kΩ)]]*RT2_TH_S/(RT2_TH_S+Table9[[#This Row],[RTH(nom) (kΩ)]])</f>
        <v>0</v>
      </c>
      <c r="AI21" s="195">
        <f>Table9[[#This Row],[RTH(max) (kΩ)]]*RT2_TH_S_MAX/(RT2_TH_S_MAX+Table9[[#This Row],[RTH(max) (kΩ)]])</f>
        <v>0</v>
      </c>
      <c r="AJ21" s="195">
        <f>Table9[[#This Row],[RLower(min) (kΩ)]]/(Table9[[#This Row],[RLower(min) (kΩ)]]+RT1_TH_S_MAX)*100</f>
        <v>0</v>
      </c>
      <c r="AK21" s="195">
        <f>Table9[[#This Row],[RLower(nom) (kΩ)]]/(Table9[[#This Row],[RLower(nom) (kΩ)]]+RT1_TH_S)*100</f>
        <v>0</v>
      </c>
      <c r="AL21" s="195">
        <f>Table9[[#This Row],[RLower(max) (kΩ)]]/(Table9[[#This Row],[RLower(max) (kΩ)]]+RT1_TH_S_MIN)*100</f>
        <v>0</v>
      </c>
      <c r="AM21" s="195">
        <f>IF(Table9[[#This Row],[Vmin (%)]]&lt;$BA$14, 0, IF(Table9[[#This Row],[Vmin (%)]]&lt;$BA$12, 4, IF(Table9[[#This Row],[Vmin (%)]]&lt;$BA$9, 3, IF(Table9[[#This Row],[Vmin (%)]]&lt;$BA$7, 2, 0))))</f>
        <v>0</v>
      </c>
      <c r="AN21" s="195">
        <f>IF(Table9[[#This Row],[Vmin (%)]]&lt;$BA$13, 0, IF(Table9[[#This Row],[Vmin (%)]]&lt;$BA$11, 4, IF(Table9[[#This Row],[Vmin (%)]]&lt;$BA$10, 3, IF(Table9[[#This Row],[Vmin (%)]]&lt;$BA$8, 2, 0))))</f>
        <v>0</v>
      </c>
      <c r="AO21" s="197" t="str">
        <f>IF(Table9[[#This Row],[Vmin (%)]]&lt;$BA$14, "Hot", IF(Table9[[#This Row],[Vmin (%)]]&lt;$BA$12, "Warm", IF(Table9[[#This Row],[Vmin (%)]]&lt;$BA$9, "Normal", IF(Table9[[#This Row],[Vmin (%)]]&lt;$BA$7, "Cool", "Cold"))))</f>
        <v>Hot</v>
      </c>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row>
    <row r="22" spans="1:210" hidden="1" x14ac:dyDescent="0.25">
      <c r="A22" s="118">
        <f t="shared" ref="A22:A85" si="5">A21-1</f>
        <v>108</v>
      </c>
      <c r="B22" s="179"/>
      <c r="C22" s="188" t="str">
        <f t="shared" si="0"/>
        <v>RTH at 108 °C</v>
      </c>
      <c r="D22" s="219">
        <f>$D$20-(ROW(D22)-ROW($D$20))*($D$20-$D$105)/(ROW($D$105)-ROW($D$20))</f>
        <v>3.4411764705882355</v>
      </c>
      <c r="E22" s="220">
        <v>0</v>
      </c>
      <c r="F22" s="221">
        <v>0</v>
      </c>
      <c r="G22" s="222">
        <v>0</v>
      </c>
      <c r="H22" s="138" t="s">
        <v>30</v>
      </c>
      <c r="I22" s="31"/>
      <c r="J22" s="31">
        <v>0.82420000000000004</v>
      </c>
      <c r="K22" s="31">
        <v>0.79559999999999997</v>
      </c>
      <c r="L22" s="31">
        <v>0.76790000000000003</v>
      </c>
      <c r="M22" s="31"/>
      <c r="N22" s="31"/>
      <c r="O22" s="31"/>
      <c r="P22" s="31"/>
      <c r="Q22" s="31"/>
      <c r="R22" s="31"/>
      <c r="S22" s="31"/>
      <c r="T22" s="31"/>
      <c r="U22" s="31"/>
      <c r="V22" s="31"/>
      <c r="W22" s="31"/>
      <c r="X22" s="31"/>
      <c r="Y22" s="32"/>
      <c r="Z22" s="20"/>
      <c r="AA22" s="21"/>
      <c r="AB22" s="21"/>
      <c r="AC22" s="195">
        <f t="shared" si="1"/>
        <v>108</v>
      </c>
      <c r="AD22" s="195">
        <f t="shared" si="2"/>
        <v>0</v>
      </c>
      <c r="AE22" s="195">
        <f t="shared" si="3"/>
        <v>0</v>
      </c>
      <c r="AF22" s="195">
        <f t="shared" si="4"/>
        <v>0</v>
      </c>
      <c r="AG22" s="195">
        <f>Table9[[#This Row],[RTH(min) (kΩ)]]*RT2_TH_MIN/(RT2_TH_MIN+Table9[[#This Row],[RTH(min) (kΩ)]])</f>
        <v>0</v>
      </c>
      <c r="AH22" s="195">
        <f>Table9[[#This Row],[RTH(nom) (kΩ)]]*RT2_TH_S/(RT2_TH_S+Table9[[#This Row],[RTH(nom) (kΩ)]])</f>
        <v>0</v>
      </c>
      <c r="AI22" s="195">
        <f>Table9[[#This Row],[RTH(max) (kΩ)]]*RT2_TH_S_MAX/(RT2_TH_S_MAX+Table9[[#This Row],[RTH(max) (kΩ)]])</f>
        <v>0</v>
      </c>
      <c r="AJ22" s="195">
        <f>Table9[[#This Row],[RLower(min) (kΩ)]]/(Table9[[#This Row],[RLower(min) (kΩ)]]+RT1_TH_S_MAX)*100</f>
        <v>0</v>
      </c>
      <c r="AK22" s="195">
        <f>Table9[[#This Row],[RLower(nom) (kΩ)]]/(Table9[[#This Row],[RLower(nom) (kΩ)]]+RT1_TH_S)*100</f>
        <v>0</v>
      </c>
      <c r="AL22" s="195">
        <f>Table9[[#This Row],[RLower(max) (kΩ)]]/(Table9[[#This Row],[RLower(max) (kΩ)]]+RT1_TH_S_MIN)*100</f>
        <v>0</v>
      </c>
      <c r="AM22" s="195">
        <f>IF(Table9[[#This Row],[Vmin (%)]]&lt;$BA$14, 0, IF(Table9[[#This Row],[Vmin (%)]]&lt;$BA$12, 4, IF(Table9[[#This Row],[Vmin (%)]]&lt;$BA$9, 3, IF(Table9[[#This Row],[Vmin (%)]]&lt;$BA$7, 2, 0))))</f>
        <v>0</v>
      </c>
      <c r="AN22" s="195">
        <f>IF(Table9[[#This Row],[Vmin (%)]]&lt;$BA$13, 0, IF(Table9[[#This Row],[Vmin (%)]]&lt;$BA$11, 4, IF(Table9[[#This Row],[Vmin (%)]]&lt;$BA$10, 3, IF(Table9[[#This Row],[Vmin (%)]]&lt;$BA$8, 2, 0))))</f>
        <v>0</v>
      </c>
      <c r="AO22" s="197" t="str">
        <f>IF(Table9[[#This Row],[Vmin (%)]]&lt;$BA$14, "Hot", IF(Table9[[#This Row],[Vmin (%)]]&lt;$BA$12, "Warm", IF(Table9[[#This Row],[Vmin (%)]]&lt;$BA$9, "Normal", IF(Table9[[#This Row],[Vmin (%)]]&lt;$BA$7, "Cool", "Cold"))))</f>
        <v>Hot</v>
      </c>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row>
    <row r="23" spans="1:210" hidden="1" x14ac:dyDescent="0.25">
      <c r="A23" s="118">
        <f t="shared" si="5"/>
        <v>107</v>
      </c>
      <c r="B23" s="179"/>
      <c r="C23" s="188" t="str">
        <f t="shared" si="0"/>
        <v>RTH at 107 °C</v>
      </c>
      <c r="D23" s="219">
        <f t="shared" ref="D23:D85" si="6">$D$20-(ROW(D23)-ROW($D$20))*($D$20-$D$105)/(ROW($D$105)-ROW($D$20))</f>
        <v>3.4117647058823528</v>
      </c>
      <c r="E23" s="220">
        <v>0</v>
      </c>
      <c r="F23" s="221">
        <v>0</v>
      </c>
      <c r="G23" s="222">
        <v>0</v>
      </c>
      <c r="H23" s="138" t="s">
        <v>30</v>
      </c>
      <c r="I23" s="31"/>
      <c r="J23" s="31">
        <v>0.84460000000000002</v>
      </c>
      <c r="K23" s="31">
        <v>0.8155</v>
      </c>
      <c r="L23" s="31">
        <v>0.7873</v>
      </c>
      <c r="M23" s="31"/>
      <c r="N23" s="31"/>
      <c r="O23" s="31"/>
      <c r="P23" s="31"/>
      <c r="Q23" s="31"/>
      <c r="R23" s="31"/>
      <c r="S23" s="31"/>
      <c r="T23" s="31"/>
      <c r="U23" s="31"/>
      <c r="V23" s="31"/>
      <c r="W23" s="31"/>
      <c r="X23" s="31"/>
      <c r="Y23" s="32"/>
      <c r="Z23" s="20"/>
      <c r="AA23" s="21"/>
      <c r="AB23" s="21"/>
      <c r="AC23" s="195">
        <f t="shared" si="1"/>
        <v>107</v>
      </c>
      <c r="AD23" s="195">
        <f t="shared" si="2"/>
        <v>0</v>
      </c>
      <c r="AE23" s="195">
        <f t="shared" si="3"/>
        <v>0</v>
      </c>
      <c r="AF23" s="195">
        <f t="shared" si="4"/>
        <v>0</v>
      </c>
      <c r="AG23" s="195">
        <f>Table9[[#This Row],[RTH(min) (kΩ)]]*RT2_TH_MIN/(RT2_TH_MIN+Table9[[#This Row],[RTH(min) (kΩ)]])</f>
        <v>0</v>
      </c>
      <c r="AH23" s="195">
        <f>Table9[[#This Row],[RTH(nom) (kΩ)]]*RT2_TH_S/(RT2_TH_S+Table9[[#This Row],[RTH(nom) (kΩ)]])</f>
        <v>0</v>
      </c>
      <c r="AI23" s="195">
        <f>Table9[[#This Row],[RTH(max) (kΩ)]]*RT2_TH_S_MAX/(RT2_TH_S_MAX+Table9[[#This Row],[RTH(max) (kΩ)]])</f>
        <v>0</v>
      </c>
      <c r="AJ23" s="195">
        <f>Table9[[#This Row],[RLower(min) (kΩ)]]/(Table9[[#This Row],[RLower(min) (kΩ)]]+RT1_TH_S_MAX)*100</f>
        <v>0</v>
      </c>
      <c r="AK23" s="195">
        <f>Table9[[#This Row],[RLower(nom) (kΩ)]]/(Table9[[#This Row],[RLower(nom) (kΩ)]]+RT1_TH_S)*100</f>
        <v>0</v>
      </c>
      <c r="AL23" s="195">
        <f>Table9[[#This Row],[RLower(max) (kΩ)]]/(Table9[[#This Row],[RLower(max) (kΩ)]]+RT1_TH_S_MIN)*100</f>
        <v>0</v>
      </c>
      <c r="AM23" s="195">
        <f>IF(Table9[[#This Row],[Vmin (%)]]&lt;$BA$14, 0, IF(Table9[[#This Row],[Vmin (%)]]&lt;$BA$12, 4, IF(Table9[[#This Row],[Vmin (%)]]&lt;$BA$9, 3, IF(Table9[[#This Row],[Vmin (%)]]&lt;$BA$7, 2, 0))))</f>
        <v>0</v>
      </c>
      <c r="AN23" s="195">
        <f>IF(Table9[[#This Row],[Vmin (%)]]&lt;$BA$13, 0, IF(Table9[[#This Row],[Vmin (%)]]&lt;$BA$11, 4, IF(Table9[[#This Row],[Vmin (%)]]&lt;$BA$10, 3, IF(Table9[[#This Row],[Vmin (%)]]&lt;$BA$8, 2, 0))))</f>
        <v>0</v>
      </c>
      <c r="AO23" s="197" t="str">
        <f>IF(Table9[[#This Row],[Vmin (%)]]&lt;$BA$14, "Hot", IF(Table9[[#This Row],[Vmin (%)]]&lt;$BA$12, "Warm", IF(Table9[[#This Row],[Vmin (%)]]&lt;$BA$9, "Normal", IF(Table9[[#This Row],[Vmin (%)]]&lt;$BA$7, "Cool", "Cold"))))</f>
        <v>Hot</v>
      </c>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row>
    <row r="24" spans="1:210" hidden="1" x14ac:dyDescent="0.25">
      <c r="A24" s="118">
        <f t="shared" si="5"/>
        <v>106</v>
      </c>
      <c r="B24" s="179"/>
      <c r="C24" s="188" t="str">
        <f t="shared" si="0"/>
        <v>RTH at 106 °C</v>
      </c>
      <c r="D24" s="219">
        <f t="shared" si="6"/>
        <v>3.3823529411764706</v>
      </c>
      <c r="E24" s="220">
        <v>0</v>
      </c>
      <c r="F24" s="221">
        <v>0</v>
      </c>
      <c r="G24" s="222">
        <v>0</v>
      </c>
      <c r="H24" s="138" t="s">
        <v>30</v>
      </c>
      <c r="I24" s="31"/>
      <c r="J24" s="31">
        <v>0.86560000000000004</v>
      </c>
      <c r="K24" s="31">
        <v>0.83599999999999997</v>
      </c>
      <c r="L24" s="31">
        <v>0.80730000000000002</v>
      </c>
      <c r="M24" s="31"/>
      <c r="N24" s="31"/>
      <c r="O24" s="31"/>
      <c r="P24" s="31"/>
      <c r="Q24" s="31"/>
      <c r="R24" s="31"/>
      <c r="S24" s="31"/>
      <c r="T24" s="31"/>
      <c r="U24" s="31"/>
      <c r="V24" s="31"/>
      <c r="W24" s="31"/>
      <c r="X24" s="31"/>
      <c r="Y24" s="32"/>
      <c r="Z24" s="20"/>
      <c r="AA24" s="21"/>
      <c r="AB24" s="21"/>
      <c r="AC24" s="195">
        <f t="shared" si="1"/>
        <v>106</v>
      </c>
      <c r="AD24" s="195">
        <f t="shared" si="2"/>
        <v>0</v>
      </c>
      <c r="AE24" s="195">
        <f t="shared" si="3"/>
        <v>0</v>
      </c>
      <c r="AF24" s="195">
        <f t="shared" si="4"/>
        <v>0</v>
      </c>
      <c r="AG24" s="195">
        <f>Table9[[#This Row],[RTH(min) (kΩ)]]*RT2_TH_MIN/(RT2_TH_MIN+Table9[[#This Row],[RTH(min) (kΩ)]])</f>
        <v>0</v>
      </c>
      <c r="AH24" s="195">
        <f>Table9[[#This Row],[RTH(nom) (kΩ)]]*RT2_TH_S/(RT2_TH_S+Table9[[#This Row],[RTH(nom) (kΩ)]])</f>
        <v>0</v>
      </c>
      <c r="AI24" s="195">
        <f>Table9[[#This Row],[RTH(max) (kΩ)]]*RT2_TH_S_MAX/(RT2_TH_S_MAX+Table9[[#This Row],[RTH(max) (kΩ)]])</f>
        <v>0</v>
      </c>
      <c r="AJ24" s="195">
        <f>Table9[[#This Row],[RLower(min) (kΩ)]]/(Table9[[#This Row],[RLower(min) (kΩ)]]+RT1_TH_S_MAX)*100</f>
        <v>0</v>
      </c>
      <c r="AK24" s="195">
        <f>Table9[[#This Row],[RLower(nom) (kΩ)]]/(Table9[[#This Row],[RLower(nom) (kΩ)]]+RT1_TH_S)*100</f>
        <v>0</v>
      </c>
      <c r="AL24" s="195">
        <f>Table9[[#This Row],[RLower(max) (kΩ)]]/(Table9[[#This Row],[RLower(max) (kΩ)]]+RT1_TH_S_MIN)*100</f>
        <v>0</v>
      </c>
      <c r="AM24" s="195">
        <f>IF(Table9[[#This Row],[Vmin (%)]]&lt;$BA$14, 0, IF(Table9[[#This Row],[Vmin (%)]]&lt;$BA$12, 4, IF(Table9[[#This Row],[Vmin (%)]]&lt;$BA$9, 3, IF(Table9[[#This Row],[Vmin (%)]]&lt;$BA$7, 2, 0))))</f>
        <v>0</v>
      </c>
      <c r="AN24" s="195">
        <f>IF(Table9[[#This Row],[Vmin (%)]]&lt;$BA$13, 0, IF(Table9[[#This Row],[Vmin (%)]]&lt;$BA$11, 4, IF(Table9[[#This Row],[Vmin (%)]]&lt;$BA$10, 3, IF(Table9[[#This Row],[Vmin (%)]]&lt;$BA$8, 2, 0))))</f>
        <v>0</v>
      </c>
      <c r="AO24" s="197" t="str">
        <f>IF(Table9[[#This Row],[Vmin (%)]]&lt;$BA$14, "Hot", IF(Table9[[#This Row],[Vmin (%)]]&lt;$BA$12, "Warm", IF(Table9[[#This Row],[Vmin (%)]]&lt;$BA$9, "Normal", IF(Table9[[#This Row],[Vmin (%)]]&lt;$BA$7, "Cool", "Cold"))))</f>
        <v>Hot</v>
      </c>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row>
    <row r="25" spans="1:210" hidden="1" x14ac:dyDescent="0.25">
      <c r="A25" s="118">
        <f t="shared" si="5"/>
        <v>105</v>
      </c>
      <c r="B25" s="179"/>
      <c r="C25" s="188" t="str">
        <f t="shared" si="0"/>
        <v>RTH at 105 °C</v>
      </c>
      <c r="D25" s="219">
        <f t="shared" si="6"/>
        <v>3.3529411764705883</v>
      </c>
      <c r="E25" s="220">
        <v>0</v>
      </c>
      <c r="F25" s="221">
        <v>0</v>
      </c>
      <c r="G25" s="222">
        <v>0</v>
      </c>
      <c r="H25" s="138" t="s">
        <v>30</v>
      </c>
      <c r="I25" s="31"/>
      <c r="J25" s="31">
        <v>0.88729999999999998</v>
      </c>
      <c r="K25" s="31">
        <v>0.85719999999999996</v>
      </c>
      <c r="L25" s="31">
        <v>0.82789999999999997</v>
      </c>
      <c r="M25" s="31"/>
      <c r="N25" s="31"/>
      <c r="O25" s="31"/>
      <c r="P25" s="31"/>
      <c r="Q25" s="31"/>
      <c r="R25" s="31"/>
      <c r="S25" s="31"/>
      <c r="T25" s="31"/>
      <c r="U25" s="31"/>
      <c r="V25" s="31"/>
      <c r="W25" s="31"/>
      <c r="X25" s="31"/>
      <c r="Y25" s="32"/>
      <c r="Z25" s="20"/>
      <c r="AA25" s="21"/>
      <c r="AB25" s="21"/>
      <c r="AC25" s="195">
        <f t="shared" si="1"/>
        <v>105</v>
      </c>
      <c r="AD25" s="195">
        <f t="shared" si="2"/>
        <v>0</v>
      </c>
      <c r="AE25" s="195">
        <f t="shared" si="3"/>
        <v>0</v>
      </c>
      <c r="AF25" s="195">
        <f t="shared" si="4"/>
        <v>0</v>
      </c>
      <c r="AG25" s="195">
        <f>Table9[[#This Row],[RTH(min) (kΩ)]]*RT2_TH_MIN/(RT2_TH_MIN+Table9[[#This Row],[RTH(min) (kΩ)]])</f>
        <v>0</v>
      </c>
      <c r="AH25" s="195">
        <f>Table9[[#This Row],[RTH(nom) (kΩ)]]*RT2_TH_S/(RT2_TH_S+Table9[[#This Row],[RTH(nom) (kΩ)]])</f>
        <v>0</v>
      </c>
      <c r="AI25" s="195">
        <f>Table9[[#This Row],[RTH(max) (kΩ)]]*RT2_TH_S_MAX/(RT2_TH_S_MAX+Table9[[#This Row],[RTH(max) (kΩ)]])</f>
        <v>0</v>
      </c>
      <c r="AJ25" s="195">
        <f>Table9[[#This Row],[RLower(min) (kΩ)]]/(Table9[[#This Row],[RLower(min) (kΩ)]]+RT1_TH_S_MAX)*100</f>
        <v>0</v>
      </c>
      <c r="AK25" s="195">
        <f>Table9[[#This Row],[RLower(nom) (kΩ)]]/(Table9[[#This Row],[RLower(nom) (kΩ)]]+RT1_TH_S)*100</f>
        <v>0</v>
      </c>
      <c r="AL25" s="195">
        <f>Table9[[#This Row],[RLower(max) (kΩ)]]/(Table9[[#This Row],[RLower(max) (kΩ)]]+RT1_TH_S_MIN)*100</f>
        <v>0</v>
      </c>
      <c r="AM25" s="195">
        <f>IF(Table9[[#This Row],[Vmin (%)]]&lt;$BA$14, 0, IF(Table9[[#This Row],[Vmin (%)]]&lt;$BA$12, 4, IF(Table9[[#This Row],[Vmin (%)]]&lt;$BA$9, 3, IF(Table9[[#This Row],[Vmin (%)]]&lt;$BA$7, 2, 0))))</f>
        <v>0</v>
      </c>
      <c r="AN25" s="195">
        <f>IF(Table9[[#This Row],[Vmin (%)]]&lt;$BA$13, 0, IF(Table9[[#This Row],[Vmin (%)]]&lt;$BA$11, 4, IF(Table9[[#This Row],[Vmin (%)]]&lt;$BA$10, 3, IF(Table9[[#This Row],[Vmin (%)]]&lt;$BA$8, 2, 0))))</f>
        <v>0</v>
      </c>
      <c r="AO25" s="197" t="str">
        <f>IF(Table9[[#This Row],[Vmin (%)]]&lt;$BA$14, "Hot", IF(Table9[[#This Row],[Vmin (%)]]&lt;$BA$12, "Warm", IF(Table9[[#This Row],[Vmin (%)]]&lt;$BA$9, "Normal", IF(Table9[[#This Row],[Vmin (%)]]&lt;$BA$7, "Cool", "Cold"))))</f>
        <v>Hot</v>
      </c>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row>
    <row r="26" spans="1:210" hidden="1" x14ac:dyDescent="0.25">
      <c r="A26" s="118">
        <f t="shared" si="5"/>
        <v>104</v>
      </c>
      <c r="B26" s="179"/>
      <c r="C26" s="188" t="str">
        <f t="shared" si="0"/>
        <v>RTH at 104 °C</v>
      </c>
      <c r="D26" s="219">
        <f>$D$20-(ROW(D26)-ROW($D$20))*($D$20-$D$105)/(ROW($D$105)-ROW($D$20))</f>
        <v>3.3235294117647061</v>
      </c>
      <c r="E26" s="220">
        <v>0</v>
      </c>
      <c r="F26" s="221">
        <v>0</v>
      </c>
      <c r="G26" s="222">
        <v>0</v>
      </c>
      <c r="H26" s="138" t="s">
        <v>30</v>
      </c>
      <c r="I26" s="31"/>
      <c r="J26" s="31">
        <v>0.90959999999999996</v>
      </c>
      <c r="K26" s="31">
        <v>0.87890000000000001</v>
      </c>
      <c r="L26" s="31">
        <v>0.84919999999999995</v>
      </c>
      <c r="M26" s="31"/>
      <c r="N26" s="31"/>
      <c r="O26" s="31"/>
      <c r="P26" s="31"/>
      <c r="Q26" s="31"/>
      <c r="R26" s="31"/>
      <c r="S26" s="31"/>
      <c r="T26" s="31"/>
      <c r="U26" s="31"/>
      <c r="V26" s="31"/>
      <c r="W26" s="31"/>
      <c r="X26" s="31"/>
      <c r="Y26" s="32"/>
      <c r="Z26" s="20"/>
      <c r="AA26" s="21"/>
      <c r="AB26" s="21"/>
      <c r="AC26" s="195">
        <f t="shared" si="1"/>
        <v>104</v>
      </c>
      <c r="AD26" s="195">
        <f t="shared" si="2"/>
        <v>0</v>
      </c>
      <c r="AE26" s="195">
        <f t="shared" si="3"/>
        <v>0</v>
      </c>
      <c r="AF26" s="195">
        <f t="shared" si="4"/>
        <v>0</v>
      </c>
      <c r="AG26" s="195">
        <f>Table9[[#This Row],[RTH(min) (kΩ)]]*RT2_TH_MIN/(RT2_TH_MIN+Table9[[#This Row],[RTH(min) (kΩ)]])</f>
        <v>0</v>
      </c>
      <c r="AH26" s="195">
        <f>Table9[[#This Row],[RTH(nom) (kΩ)]]*RT2_TH_S/(RT2_TH_S+Table9[[#This Row],[RTH(nom) (kΩ)]])</f>
        <v>0</v>
      </c>
      <c r="AI26" s="195">
        <f>Table9[[#This Row],[RTH(max) (kΩ)]]*RT2_TH_S_MAX/(RT2_TH_S_MAX+Table9[[#This Row],[RTH(max) (kΩ)]])</f>
        <v>0</v>
      </c>
      <c r="AJ26" s="195">
        <f>Table9[[#This Row],[RLower(min) (kΩ)]]/(Table9[[#This Row],[RLower(min) (kΩ)]]+RT1_TH_S_MAX)*100</f>
        <v>0</v>
      </c>
      <c r="AK26" s="195">
        <f>Table9[[#This Row],[RLower(nom) (kΩ)]]/(Table9[[#This Row],[RLower(nom) (kΩ)]]+RT1_TH_S)*100</f>
        <v>0</v>
      </c>
      <c r="AL26" s="195">
        <f>Table9[[#This Row],[RLower(max) (kΩ)]]/(Table9[[#This Row],[RLower(max) (kΩ)]]+RT1_TH_S_MIN)*100</f>
        <v>0</v>
      </c>
      <c r="AM26" s="195">
        <f>IF(Table9[[#This Row],[Vmin (%)]]&lt;$BA$14, 0, IF(Table9[[#This Row],[Vmin (%)]]&lt;$BA$12, 4, IF(Table9[[#This Row],[Vmin (%)]]&lt;$BA$9, 3, IF(Table9[[#This Row],[Vmin (%)]]&lt;$BA$7, 2, 0))))</f>
        <v>0</v>
      </c>
      <c r="AN26" s="195">
        <f>IF(Table9[[#This Row],[Vmin (%)]]&lt;$BA$13, 0, IF(Table9[[#This Row],[Vmin (%)]]&lt;$BA$11, 4, IF(Table9[[#This Row],[Vmin (%)]]&lt;$BA$10, 3, IF(Table9[[#This Row],[Vmin (%)]]&lt;$BA$8, 2, 0))))</f>
        <v>0</v>
      </c>
      <c r="AO26" s="197" t="str">
        <f>IF(Table9[[#This Row],[Vmin (%)]]&lt;$BA$14, "Hot", IF(Table9[[#This Row],[Vmin (%)]]&lt;$BA$12, "Warm", IF(Table9[[#This Row],[Vmin (%)]]&lt;$BA$9, "Normal", IF(Table9[[#This Row],[Vmin (%)]]&lt;$BA$7, "Cool", "Cold"))))</f>
        <v>Hot</v>
      </c>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row>
    <row r="27" spans="1:210" hidden="1" x14ac:dyDescent="0.25">
      <c r="A27" s="118">
        <f t="shared" si="5"/>
        <v>103</v>
      </c>
      <c r="B27" s="179"/>
      <c r="C27" s="188" t="str">
        <f t="shared" si="0"/>
        <v>RTH at 103 °C</v>
      </c>
      <c r="D27" s="219">
        <f t="shared" si="6"/>
        <v>3.2941176470588234</v>
      </c>
      <c r="E27" s="220">
        <v>0</v>
      </c>
      <c r="F27" s="221">
        <v>0</v>
      </c>
      <c r="G27" s="222">
        <v>0</v>
      </c>
      <c r="H27" s="138" t="s">
        <v>30</v>
      </c>
      <c r="I27" s="31"/>
      <c r="J27" s="31">
        <v>0.93259999999999998</v>
      </c>
      <c r="K27" s="31">
        <v>0.90139999999999998</v>
      </c>
      <c r="L27" s="31">
        <v>0.87109999999999999</v>
      </c>
      <c r="M27" s="31"/>
      <c r="N27" s="31"/>
      <c r="O27" s="31"/>
      <c r="P27" s="31"/>
      <c r="Q27" s="31"/>
      <c r="R27" s="31"/>
      <c r="S27" s="31"/>
      <c r="T27" s="31"/>
      <c r="U27" s="31"/>
      <c r="V27" s="31"/>
      <c r="W27" s="31"/>
      <c r="X27" s="31"/>
      <c r="Y27" s="32"/>
      <c r="Z27" s="20"/>
      <c r="AA27" s="21"/>
      <c r="AB27" s="21"/>
      <c r="AC27" s="195">
        <f t="shared" si="1"/>
        <v>103</v>
      </c>
      <c r="AD27" s="195">
        <f t="shared" si="2"/>
        <v>0</v>
      </c>
      <c r="AE27" s="195">
        <f t="shared" si="3"/>
        <v>0</v>
      </c>
      <c r="AF27" s="195">
        <f t="shared" si="4"/>
        <v>0</v>
      </c>
      <c r="AG27" s="195">
        <f>Table9[[#This Row],[RTH(min) (kΩ)]]*RT2_TH_MIN/(RT2_TH_MIN+Table9[[#This Row],[RTH(min) (kΩ)]])</f>
        <v>0</v>
      </c>
      <c r="AH27" s="195">
        <f>Table9[[#This Row],[RTH(nom) (kΩ)]]*RT2_TH_S/(RT2_TH_S+Table9[[#This Row],[RTH(nom) (kΩ)]])</f>
        <v>0</v>
      </c>
      <c r="AI27" s="195">
        <f>Table9[[#This Row],[RTH(max) (kΩ)]]*RT2_TH_S_MAX/(RT2_TH_S_MAX+Table9[[#This Row],[RTH(max) (kΩ)]])</f>
        <v>0</v>
      </c>
      <c r="AJ27" s="195">
        <f>Table9[[#This Row],[RLower(min) (kΩ)]]/(Table9[[#This Row],[RLower(min) (kΩ)]]+RT1_TH_S_MAX)*100</f>
        <v>0</v>
      </c>
      <c r="AK27" s="195">
        <f>Table9[[#This Row],[RLower(nom) (kΩ)]]/(Table9[[#This Row],[RLower(nom) (kΩ)]]+RT1_TH_S)*100</f>
        <v>0</v>
      </c>
      <c r="AL27" s="195">
        <f>Table9[[#This Row],[RLower(max) (kΩ)]]/(Table9[[#This Row],[RLower(max) (kΩ)]]+RT1_TH_S_MIN)*100</f>
        <v>0</v>
      </c>
      <c r="AM27" s="195">
        <f>IF(Table9[[#This Row],[Vmin (%)]]&lt;$BA$14, 0, IF(Table9[[#This Row],[Vmin (%)]]&lt;$BA$12, 4, IF(Table9[[#This Row],[Vmin (%)]]&lt;$BA$9, 3, IF(Table9[[#This Row],[Vmin (%)]]&lt;$BA$7, 2, 0))))</f>
        <v>0</v>
      </c>
      <c r="AN27" s="195">
        <f>IF(Table9[[#This Row],[Vmin (%)]]&lt;$BA$13, 0, IF(Table9[[#This Row],[Vmin (%)]]&lt;$BA$11, 4, IF(Table9[[#This Row],[Vmin (%)]]&lt;$BA$10, 3, IF(Table9[[#This Row],[Vmin (%)]]&lt;$BA$8, 2, 0))))</f>
        <v>0</v>
      </c>
      <c r="AO27" s="197" t="str">
        <f>IF(Table9[[#This Row],[Vmin (%)]]&lt;$BA$14, "Hot", IF(Table9[[#This Row],[Vmin (%)]]&lt;$BA$12, "Warm", IF(Table9[[#This Row],[Vmin (%)]]&lt;$BA$9, "Normal", IF(Table9[[#This Row],[Vmin (%)]]&lt;$BA$7, "Cool", "Cold"))))</f>
        <v>Hot</v>
      </c>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row>
    <row r="28" spans="1:210" hidden="1" x14ac:dyDescent="0.25">
      <c r="A28" s="118">
        <f t="shared" si="5"/>
        <v>102</v>
      </c>
      <c r="B28" s="179"/>
      <c r="C28" s="188" t="str">
        <f t="shared" si="0"/>
        <v>RTH at 102 °C</v>
      </c>
      <c r="D28" s="219">
        <f t="shared" si="6"/>
        <v>3.2647058823529411</v>
      </c>
      <c r="E28" s="220">
        <v>0</v>
      </c>
      <c r="F28" s="221">
        <v>0</v>
      </c>
      <c r="G28" s="222">
        <v>0</v>
      </c>
      <c r="H28" s="138" t="s">
        <v>30</v>
      </c>
      <c r="I28" s="31"/>
      <c r="J28" s="31">
        <v>0.95630000000000004</v>
      </c>
      <c r="K28" s="31">
        <v>0.92459999999999998</v>
      </c>
      <c r="L28" s="31">
        <v>0.89370000000000005</v>
      </c>
      <c r="M28" s="31"/>
      <c r="N28" s="31"/>
      <c r="O28" s="31"/>
      <c r="P28" s="31"/>
      <c r="Q28" s="31"/>
      <c r="R28" s="31"/>
      <c r="S28" s="31"/>
      <c r="T28" s="31"/>
      <c r="U28" s="31"/>
      <c r="V28" s="31"/>
      <c r="W28" s="31"/>
      <c r="X28" s="31"/>
      <c r="Y28" s="32"/>
      <c r="Z28" s="20"/>
      <c r="AA28" s="21"/>
      <c r="AB28" s="21"/>
      <c r="AC28" s="195">
        <f t="shared" si="1"/>
        <v>102</v>
      </c>
      <c r="AD28" s="195">
        <f t="shared" si="2"/>
        <v>0</v>
      </c>
      <c r="AE28" s="195">
        <f t="shared" si="3"/>
        <v>0</v>
      </c>
      <c r="AF28" s="195">
        <f t="shared" si="4"/>
        <v>0</v>
      </c>
      <c r="AG28" s="195">
        <f>Table9[[#This Row],[RTH(min) (kΩ)]]*RT2_TH_MIN/(RT2_TH_MIN+Table9[[#This Row],[RTH(min) (kΩ)]])</f>
        <v>0</v>
      </c>
      <c r="AH28" s="195">
        <f>Table9[[#This Row],[RTH(nom) (kΩ)]]*RT2_TH_S/(RT2_TH_S+Table9[[#This Row],[RTH(nom) (kΩ)]])</f>
        <v>0</v>
      </c>
      <c r="AI28" s="195">
        <f>Table9[[#This Row],[RTH(max) (kΩ)]]*RT2_TH_S_MAX/(RT2_TH_S_MAX+Table9[[#This Row],[RTH(max) (kΩ)]])</f>
        <v>0</v>
      </c>
      <c r="AJ28" s="195">
        <f>Table9[[#This Row],[RLower(min) (kΩ)]]/(Table9[[#This Row],[RLower(min) (kΩ)]]+RT1_TH_S_MAX)*100</f>
        <v>0</v>
      </c>
      <c r="AK28" s="195">
        <f>Table9[[#This Row],[RLower(nom) (kΩ)]]/(Table9[[#This Row],[RLower(nom) (kΩ)]]+RT1_TH_S)*100</f>
        <v>0</v>
      </c>
      <c r="AL28" s="195">
        <f>Table9[[#This Row],[RLower(max) (kΩ)]]/(Table9[[#This Row],[RLower(max) (kΩ)]]+RT1_TH_S_MIN)*100</f>
        <v>0</v>
      </c>
      <c r="AM28" s="195">
        <f>IF(Table9[[#This Row],[Vmin (%)]]&lt;$BA$14, 0, IF(Table9[[#This Row],[Vmin (%)]]&lt;$BA$12, 4, IF(Table9[[#This Row],[Vmin (%)]]&lt;$BA$9, 3, IF(Table9[[#This Row],[Vmin (%)]]&lt;$BA$7, 2, 0))))</f>
        <v>0</v>
      </c>
      <c r="AN28" s="195">
        <f>IF(Table9[[#This Row],[Vmin (%)]]&lt;$BA$13, 0, IF(Table9[[#This Row],[Vmin (%)]]&lt;$BA$11, 4, IF(Table9[[#This Row],[Vmin (%)]]&lt;$BA$10, 3, IF(Table9[[#This Row],[Vmin (%)]]&lt;$BA$8, 2, 0))))</f>
        <v>0</v>
      </c>
      <c r="AO28" s="197" t="str">
        <f>IF(Table9[[#This Row],[Vmin (%)]]&lt;$BA$14, "Hot", IF(Table9[[#This Row],[Vmin (%)]]&lt;$BA$12, "Warm", IF(Table9[[#This Row],[Vmin (%)]]&lt;$BA$9, "Normal", IF(Table9[[#This Row],[Vmin (%)]]&lt;$BA$7, "Cool", "Cold"))))</f>
        <v>Hot</v>
      </c>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row>
    <row r="29" spans="1:210" hidden="1" x14ac:dyDescent="0.25">
      <c r="A29" s="118">
        <f t="shared" si="5"/>
        <v>101</v>
      </c>
      <c r="B29" s="179"/>
      <c r="C29" s="188" t="str">
        <f t="shared" si="0"/>
        <v>RTH at 101 °C</v>
      </c>
      <c r="D29" s="219">
        <f t="shared" si="6"/>
        <v>3.2352941176470589</v>
      </c>
      <c r="E29" s="220">
        <v>0</v>
      </c>
      <c r="F29" s="221">
        <v>0</v>
      </c>
      <c r="G29" s="222">
        <v>0</v>
      </c>
      <c r="H29" s="138" t="s">
        <v>30</v>
      </c>
      <c r="I29" s="31"/>
      <c r="J29" s="31">
        <v>0.98080000000000001</v>
      </c>
      <c r="K29" s="31">
        <v>0.94840000000000002</v>
      </c>
      <c r="L29" s="31">
        <v>0.91700000000000004</v>
      </c>
      <c r="M29" s="31"/>
      <c r="N29" s="31"/>
      <c r="O29" s="31"/>
      <c r="P29" s="31"/>
      <c r="Q29" s="31"/>
      <c r="R29" s="31"/>
      <c r="S29" s="31"/>
      <c r="T29" s="31"/>
      <c r="U29" s="31"/>
      <c r="V29" s="31"/>
      <c r="W29" s="31"/>
      <c r="X29" s="31"/>
      <c r="Y29" s="32"/>
      <c r="Z29" s="20"/>
      <c r="AA29" s="21"/>
      <c r="AB29" s="21"/>
      <c r="AC29" s="195">
        <f t="shared" si="1"/>
        <v>101</v>
      </c>
      <c r="AD29" s="195">
        <f t="shared" si="2"/>
        <v>0</v>
      </c>
      <c r="AE29" s="195">
        <f t="shared" si="3"/>
        <v>0</v>
      </c>
      <c r="AF29" s="195">
        <f t="shared" si="4"/>
        <v>0</v>
      </c>
      <c r="AG29" s="195">
        <f>Table9[[#This Row],[RTH(min) (kΩ)]]*RT2_TH_MIN/(RT2_TH_MIN+Table9[[#This Row],[RTH(min) (kΩ)]])</f>
        <v>0</v>
      </c>
      <c r="AH29" s="195">
        <f>Table9[[#This Row],[RTH(nom) (kΩ)]]*RT2_TH_S/(RT2_TH_S+Table9[[#This Row],[RTH(nom) (kΩ)]])</f>
        <v>0</v>
      </c>
      <c r="AI29" s="195">
        <f>Table9[[#This Row],[RTH(max) (kΩ)]]*RT2_TH_S_MAX/(RT2_TH_S_MAX+Table9[[#This Row],[RTH(max) (kΩ)]])</f>
        <v>0</v>
      </c>
      <c r="AJ29" s="195">
        <f>Table9[[#This Row],[RLower(min) (kΩ)]]/(Table9[[#This Row],[RLower(min) (kΩ)]]+RT1_TH_S_MAX)*100</f>
        <v>0</v>
      </c>
      <c r="AK29" s="195">
        <f>Table9[[#This Row],[RLower(nom) (kΩ)]]/(Table9[[#This Row],[RLower(nom) (kΩ)]]+RT1_TH_S)*100</f>
        <v>0</v>
      </c>
      <c r="AL29" s="195">
        <f>Table9[[#This Row],[RLower(max) (kΩ)]]/(Table9[[#This Row],[RLower(max) (kΩ)]]+RT1_TH_S_MIN)*100</f>
        <v>0</v>
      </c>
      <c r="AM29" s="195">
        <f>IF(Table9[[#This Row],[Vmin (%)]]&lt;$BA$14, 0, IF(Table9[[#This Row],[Vmin (%)]]&lt;$BA$12, 4, IF(Table9[[#This Row],[Vmin (%)]]&lt;$BA$9, 3, IF(Table9[[#This Row],[Vmin (%)]]&lt;$BA$7, 2, 0))))</f>
        <v>0</v>
      </c>
      <c r="AN29" s="195">
        <f>IF(Table9[[#This Row],[Vmin (%)]]&lt;$BA$13, 0, IF(Table9[[#This Row],[Vmin (%)]]&lt;$BA$11, 4, IF(Table9[[#This Row],[Vmin (%)]]&lt;$BA$10, 3, IF(Table9[[#This Row],[Vmin (%)]]&lt;$BA$8, 2, 0))))</f>
        <v>0</v>
      </c>
      <c r="AO29" s="197" t="str">
        <f>IF(Table9[[#This Row],[Vmin (%)]]&lt;$BA$14, "Hot", IF(Table9[[#This Row],[Vmin (%)]]&lt;$BA$12, "Warm", IF(Table9[[#This Row],[Vmin (%)]]&lt;$BA$9, "Normal", IF(Table9[[#This Row],[Vmin (%)]]&lt;$BA$7, "Cool", "Cold"))))</f>
        <v>Hot</v>
      </c>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row>
    <row r="30" spans="1:210" hidden="1" x14ac:dyDescent="0.25">
      <c r="A30" s="118">
        <f t="shared" si="5"/>
        <v>100</v>
      </c>
      <c r="B30" s="179"/>
      <c r="C30" s="188" t="str">
        <f t="shared" si="0"/>
        <v>RTH at 100 °C</v>
      </c>
      <c r="D30" s="219">
        <f t="shared" si="6"/>
        <v>3.2058823529411766</v>
      </c>
      <c r="E30" s="220">
        <v>0</v>
      </c>
      <c r="F30" s="221">
        <v>0</v>
      </c>
      <c r="G30" s="222">
        <v>0</v>
      </c>
      <c r="H30" s="138" t="s">
        <v>30</v>
      </c>
      <c r="I30" s="31"/>
      <c r="J30" s="31">
        <v>1.006</v>
      </c>
      <c r="K30" s="31">
        <v>0.97309999999999997</v>
      </c>
      <c r="L30" s="31">
        <v>0.94110000000000005</v>
      </c>
      <c r="M30" s="31"/>
      <c r="N30" s="31"/>
      <c r="O30" s="31"/>
      <c r="P30" s="31"/>
      <c r="Q30" s="31"/>
      <c r="R30" s="31"/>
      <c r="S30" s="31"/>
      <c r="T30" s="31"/>
      <c r="U30" s="31"/>
      <c r="V30" s="31"/>
      <c r="W30" s="31"/>
      <c r="X30" s="31"/>
      <c r="Y30" s="32"/>
      <c r="Z30" s="20"/>
      <c r="AA30" s="21"/>
      <c r="AB30" s="21"/>
      <c r="AC30" s="195">
        <f t="shared" si="1"/>
        <v>100</v>
      </c>
      <c r="AD30" s="195">
        <f t="shared" si="2"/>
        <v>0</v>
      </c>
      <c r="AE30" s="195">
        <f t="shared" si="3"/>
        <v>0</v>
      </c>
      <c r="AF30" s="195">
        <f t="shared" si="4"/>
        <v>0</v>
      </c>
      <c r="AG30" s="195">
        <f>Table9[[#This Row],[RTH(min) (kΩ)]]*RT2_TH_MIN/(RT2_TH_MIN+Table9[[#This Row],[RTH(min) (kΩ)]])</f>
        <v>0</v>
      </c>
      <c r="AH30" s="195">
        <f>Table9[[#This Row],[RTH(nom) (kΩ)]]*RT2_TH_S/(RT2_TH_S+Table9[[#This Row],[RTH(nom) (kΩ)]])</f>
        <v>0</v>
      </c>
      <c r="AI30" s="195">
        <f>Table9[[#This Row],[RTH(max) (kΩ)]]*RT2_TH_S_MAX/(RT2_TH_S_MAX+Table9[[#This Row],[RTH(max) (kΩ)]])</f>
        <v>0</v>
      </c>
      <c r="AJ30" s="195">
        <f>Table9[[#This Row],[RLower(min) (kΩ)]]/(Table9[[#This Row],[RLower(min) (kΩ)]]+RT1_TH_S_MAX)*100</f>
        <v>0</v>
      </c>
      <c r="AK30" s="195">
        <f>Table9[[#This Row],[RLower(nom) (kΩ)]]/(Table9[[#This Row],[RLower(nom) (kΩ)]]+RT1_TH_S)*100</f>
        <v>0</v>
      </c>
      <c r="AL30" s="195">
        <f>Table9[[#This Row],[RLower(max) (kΩ)]]/(Table9[[#This Row],[RLower(max) (kΩ)]]+RT1_TH_S_MIN)*100</f>
        <v>0</v>
      </c>
      <c r="AM30" s="195">
        <f>IF(Table9[[#This Row],[Vmin (%)]]&lt;$BA$14, 0, IF(Table9[[#This Row],[Vmin (%)]]&lt;$BA$12, 4, IF(Table9[[#This Row],[Vmin (%)]]&lt;$BA$9, 3, IF(Table9[[#This Row],[Vmin (%)]]&lt;$BA$7, 2, 0))))</f>
        <v>0</v>
      </c>
      <c r="AN30" s="195">
        <f>IF(Table9[[#This Row],[Vmin (%)]]&lt;$BA$13, 0, IF(Table9[[#This Row],[Vmin (%)]]&lt;$BA$11, 4, IF(Table9[[#This Row],[Vmin (%)]]&lt;$BA$10, 3, IF(Table9[[#This Row],[Vmin (%)]]&lt;$BA$8, 2, 0))))</f>
        <v>0</v>
      </c>
      <c r="AO30" s="197" t="str">
        <f>IF(Table9[[#This Row],[Vmin (%)]]&lt;$BA$14, "Hot", IF(Table9[[#This Row],[Vmin (%)]]&lt;$BA$12, "Warm", IF(Table9[[#This Row],[Vmin (%)]]&lt;$BA$9, "Normal", IF(Table9[[#This Row],[Vmin (%)]]&lt;$BA$7, "Cool", "Cold"))))</f>
        <v>Hot</v>
      </c>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row>
    <row r="31" spans="1:210" hidden="1" x14ac:dyDescent="0.25">
      <c r="A31" s="118">
        <f t="shared" si="5"/>
        <v>99</v>
      </c>
      <c r="B31" s="179"/>
      <c r="C31" s="188" t="str">
        <f t="shared" si="0"/>
        <v>RTH at 99 °C</v>
      </c>
      <c r="D31" s="219">
        <f t="shared" si="6"/>
        <v>3.1764705882352939</v>
      </c>
      <c r="E31" s="220">
        <v>0</v>
      </c>
      <c r="F31" s="221">
        <v>0</v>
      </c>
      <c r="G31" s="222">
        <v>0</v>
      </c>
      <c r="H31" s="138" t="s">
        <v>30</v>
      </c>
      <c r="I31" s="31"/>
      <c r="J31" s="31">
        <v>1.032</v>
      </c>
      <c r="K31" s="31">
        <v>0.99839999999999995</v>
      </c>
      <c r="L31" s="31">
        <v>0.96579999999999999</v>
      </c>
      <c r="M31" s="31"/>
      <c r="N31" s="31"/>
      <c r="O31" s="31"/>
      <c r="P31" s="31"/>
      <c r="Q31" s="31"/>
      <c r="R31" s="31"/>
      <c r="S31" s="31"/>
      <c r="T31" s="31"/>
      <c r="U31" s="31"/>
      <c r="V31" s="31"/>
      <c r="W31" s="31"/>
      <c r="X31" s="31"/>
      <c r="Y31" s="32"/>
      <c r="Z31" s="20"/>
      <c r="AA31" s="21"/>
      <c r="AB31" s="21"/>
      <c r="AC31" s="195">
        <f t="shared" si="1"/>
        <v>99</v>
      </c>
      <c r="AD31" s="195">
        <f t="shared" si="2"/>
        <v>0</v>
      </c>
      <c r="AE31" s="195">
        <f t="shared" si="3"/>
        <v>0</v>
      </c>
      <c r="AF31" s="195">
        <f t="shared" si="4"/>
        <v>0</v>
      </c>
      <c r="AG31" s="195">
        <f>Table9[[#This Row],[RTH(min) (kΩ)]]*RT2_TH_MIN/(RT2_TH_MIN+Table9[[#This Row],[RTH(min) (kΩ)]])</f>
        <v>0</v>
      </c>
      <c r="AH31" s="195">
        <f>Table9[[#This Row],[RTH(nom) (kΩ)]]*RT2_TH_S/(RT2_TH_S+Table9[[#This Row],[RTH(nom) (kΩ)]])</f>
        <v>0</v>
      </c>
      <c r="AI31" s="195">
        <f>Table9[[#This Row],[RTH(max) (kΩ)]]*RT2_TH_S_MAX/(RT2_TH_S_MAX+Table9[[#This Row],[RTH(max) (kΩ)]])</f>
        <v>0</v>
      </c>
      <c r="AJ31" s="195">
        <f>Table9[[#This Row],[RLower(min) (kΩ)]]/(Table9[[#This Row],[RLower(min) (kΩ)]]+RT1_TH_S_MAX)*100</f>
        <v>0</v>
      </c>
      <c r="AK31" s="195">
        <f>Table9[[#This Row],[RLower(nom) (kΩ)]]/(Table9[[#This Row],[RLower(nom) (kΩ)]]+RT1_TH_S)*100</f>
        <v>0</v>
      </c>
      <c r="AL31" s="195">
        <f>Table9[[#This Row],[RLower(max) (kΩ)]]/(Table9[[#This Row],[RLower(max) (kΩ)]]+RT1_TH_S_MIN)*100</f>
        <v>0</v>
      </c>
      <c r="AM31" s="195">
        <f>IF(Table9[[#This Row],[Vmin (%)]]&lt;$BA$14, 0, IF(Table9[[#This Row],[Vmin (%)]]&lt;$BA$12, 4, IF(Table9[[#This Row],[Vmin (%)]]&lt;$BA$9, 3, IF(Table9[[#This Row],[Vmin (%)]]&lt;$BA$7, 2, 0))))</f>
        <v>0</v>
      </c>
      <c r="AN31" s="195">
        <f>IF(Table9[[#This Row],[Vmin (%)]]&lt;$BA$13, 0, IF(Table9[[#This Row],[Vmin (%)]]&lt;$BA$11, 4, IF(Table9[[#This Row],[Vmin (%)]]&lt;$BA$10, 3, IF(Table9[[#This Row],[Vmin (%)]]&lt;$BA$8, 2, 0))))</f>
        <v>0</v>
      </c>
      <c r="AO31" s="197" t="str">
        <f>IF(Table9[[#This Row],[Vmin (%)]]&lt;$BA$14, "Hot", IF(Table9[[#This Row],[Vmin (%)]]&lt;$BA$12, "Warm", IF(Table9[[#This Row],[Vmin (%)]]&lt;$BA$9, "Normal", IF(Table9[[#This Row],[Vmin (%)]]&lt;$BA$7, "Cool", "Cold"))))</f>
        <v>Hot</v>
      </c>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row>
    <row r="32" spans="1:210" hidden="1" x14ac:dyDescent="0.25">
      <c r="A32" s="118">
        <f t="shared" si="5"/>
        <v>98</v>
      </c>
      <c r="B32" s="179"/>
      <c r="C32" s="188" t="str">
        <f t="shared" si="0"/>
        <v>RTH at 98 °C</v>
      </c>
      <c r="D32" s="219">
        <f t="shared" si="6"/>
        <v>3.1470588235294117</v>
      </c>
      <c r="E32" s="220">
        <v>0</v>
      </c>
      <c r="F32" s="221">
        <v>0</v>
      </c>
      <c r="G32" s="222">
        <v>0</v>
      </c>
      <c r="H32" s="138" t="s">
        <v>30</v>
      </c>
      <c r="I32" s="31"/>
      <c r="J32" s="31">
        <v>1.0589999999999999</v>
      </c>
      <c r="K32" s="31">
        <v>1.024</v>
      </c>
      <c r="L32" s="31">
        <v>0.99129999999999996</v>
      </c>
      <c r="M32" s="31"/>
      <c r="N32" s="31"/>
      <c r="O32" s="31"/>
      <c r="P32" s="31"/>
      <c r="Q32" s="31"/>
      <c r="R32" s="31"/>
      <c r="S32" s="31"/>
      <c r="T32" s="31"/>
      <c r="U32" s="31"/>
      <c r="V32" s="31"/>
      <c r="W32" s="31"/>
      <c r="X32" s="31"/>
      <c r="Y32" s="32"/>
      <c r="Z32" s="20"/>
      <c r="AA32" s="21"/>
      <c r="AB32" s="21"/>
      <c r="AC32" s="195">
        <f t="shared" si="1"/>
        <v>98</v>
      </c>
      <c r="AD32" s="195">
        <f t="shared" si="2"/>
        <v>0</v>
      </c>
      <c r="AE32" s="195">
        <f t="shared" si="3"/>
        <v>0</v>
      </c>
      <c r="AF32" s="195">
        <f t="shared" si="4"/>
        <v>0</v>
      </c>
      <c r="AG32" s="195">
        <f>Table9[[#This Row],[RTH(min) (kΩ)]]*RT2_TH_MIN/(RT2_TH_MIN+Table9[[#This Row],[RTH(min) (kΩ)]])</f>
        <v>0</v>
      </c>
      <c r="AH32" s="195">
        <f>Table9[[#This Row],[RTH(nom) (kΩ)]]*RT2_TH_S/(RT2_TH_S+Table9[[#This Row],[RTH(nom) (kΩ)]])</f>
        <v>0</v>
      </c>
      <c r="AI32" s="195">
        <f>Table9[[#This Row],[RTH(max) (kΩ)]]*RT2_TH_S_MAX/(RT2_TH_S_MAX+Table9[[#This Row],[RTH(max) (kΩ)]])</f>
        <v>0</v>
      </c>
      <c r="AJ32" s="195">
        <f>Table9[[#This Row],[RLower(min) (kΩ)]]/(Table9[[#This Row],[RLower(min) (kΩ)]]+RT1_TH_S_MAX)*100</f>
        <v>0</v>
      </c>
      <c r="AK32" s="195">
        <f>Table9[[#This Row],[RLower(nom) (kΩ)]]/(Table9[[#This Row],[RLower(nom) (kΩ)]]+RT1_TH_S)*100</f>
        <v>0</v>
      </c>
      <c r="AL32" s="195">
        <f>Table9[[#This Row],[RLower(max) (kΩ)]]/(Table9[[#This Row],[RLower(max) (kΩ)]]+RT1_TH_S_MIN)*100</f>
        <v>0</v>
      </c>
      <c r="AM32" s="195">
        <f>IF(Table9[[#This Row],[Vmin (%)]]&lt;$BA$14, 0, IF(Table9[[#This Row],[Vmin (%)]]&lt;$BA$12, 4, IF(Table9[[#This Row],[Vmin (%)]]&lt;$BA$9, 3, IF(Table9[[#This Row],[Vmin (%)]]&lt;$BA$7, 2, 0))))</f>
        <v>0</v>
      </c>
      <c r="AN32" s="195">
        <f>IF(Table9[[#This Row],[Vmin (%)]]&lt;$BA$13, 0, IF(Table9[[#This Row],[Vmin (%)]]&lt;$BA$11, 4, IF(Table9[[#This Row],[Vmin (%)]]&lt;$BA$10, 3, IF(Table9[[#This Row],[Vmin (%)]]&lt;$BA$8, 2, 0))))</f>
        <v>0</v>
      </c>
      <c r="AO32" s="197" t="str">
        <f>IF(Table9[[#This Row],[Vmin (%)]]&lt;$BA$14, "Hot", IF(Table9[[#This Row],[Vmin (%)]]&lt;$BA$12, "Warm", IF(Table9[[#This Row],[Vmin (%)]]&lt;$BA$9, "Normal", IF(Table9[[#This Row],[Vmin (%)]]&lt;$BA$7, "Cool", "Cold"))))</f>
        <v>Hot</v>
      </c>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row>
    <row r="33" spans="1:210" hidden="1" x14ac:dyDescent="0.25">
      <c r="A33" s="118">
        <f t="shared" si="5"/>
        <v>97</v>
      </c>
      <c r="B33" s="179"/>
      <c r="C33" s="188" t="str">
        <f t="shared" si="0"/>
        <v>RTH at 97 °C</v>
      </c>
      <c r="D33" s="219">
        <f t="shared" si="6"/>
        <v>3.1176470588235294</v>
      </c>
      <c r="E33" s="220">
        <v>0</v>
      </c>
      <c r="F33" s="221">
        <v>0</v>
      </c>
      <c r="G33" s="222">
        <v>0</v>
      </c>
      <c r="H33" s="138" t="s">
        <v>30</v>
      </c>
      <c r="I33" s="31"/>
      <c r="J33" s="31">
        <v>1.0860000000000001</v>
      </c>
      <c r="K33" s="31">
        <v>1.0509999999999999</v>
      </c>
      <c r="L33" s="31">
        <v>1.0169999999999999</v>
      </c>
      <c r="M33" s="31"/>
      <c r="N33" s="31"/>
      <c r="O33" s="31"/>
      <c r="P33" s="31"/>
      <c r="Q33" s="31"/>
      <c r="R33" s="31"/>
      <c r="S33" s="31"/>
      <c r="T33" s="31"/>
      <c r="U33" s="31"/>
      <c r="V33" s="31"/>
      <c r="W33" s="31"/>
      <c r="X33" s="31"/>
      <c r="Y33" s="32"/>
      <c r="Z33" s="20"/>
      <c r="AA33" s="21"/>
      <c r="AB33" s="21"/>
      <c r="AC33" s="195">
        <f t="shared" si="1"/>
        <v>97</v>
      </c>
      <c r="AD33" s="195">
        <f t="shared" si="2"/>
        <v>0</v>
      </c>
      <c r="AE33" s="195">
        <f t="shared" si="3"/>
        <v>0</v>
      </c>
      <c r="AF33" s="195">
        <f t="shared" si="4"/>
        <v>0</v>
      </c>
      <c r="AG33" s="195">
        <f>Table9[[#This Row],[RTH(min) (kΩ)]]*RT2_TH_MIN/(RT2_TH_MIN+Table9[[#This Row],[RTH(min) (kΩ)]])</f>
        <v>0</v>
      </c>
      <c r="AH33" s="195">
        <f>Table9[[#This Row],[RTH(nom) (kΩ)]]*RT2_TH_S/(RT2_TH_S+Table9[[#This Row],[RTH(nom) (kΩ)]])</f>
        <v>0</v>
      </c>
      <c r="AI33" s="195">
        <f>Table9[[#This Row],[RTH(max) (kΩ)]]*RT2_TH_S_MAX/(RT2_TH_S_MAX+Table9[[#This Row],[RTH(max) (kΩ)]])</f>
        <v>0</v>
      </c>
      <c r="AJ33" s="195">
        <f>Table9[[#This Row],[RLower(min) (kΩ)]]/(Table9[[#This Row],[RLower(min) (kΩ)]]+RT1_TH_S_MAX)*100</f>
        <v>0</v>
      </c>
      <c r="AK33" s="195">
        <f>Table9[[#This Row],[RLower(nom) (kΩ)]]/(Table9[[#This Row],[RLower(nom) (kΩ)]]+RT1_TH_S)*100</f>
        <v>0</v>
      </c>
      <c r="AL33" s="195">
        <f>Table9[[#This Row],[RLower(max) (kΩ)]]/(Table9[[#This Row],[RLower(max) (kΩ)]]+RT1_TH_S_MIN)*100</f>
        <v>0</v>
      </c>
      <c r="AM33" s="195">
        <f>IF(Table9[[#This Row],[Vmin (%)]]&lt;$BA$14, 0, IF(Table9[[#This Row],[Vmin (%)]]&lt;$BA$12, 4, IF(Table9[[#This Row],[Vmin (%)]]&lt;$BA$9, 3, IF(Table9[[#This Row],[Vmin (%)]]&lt;$BA$7, 2, 0))))</f>
        <v>0</v>
      </c>
      <c r="AN33" s="195">
        <f>IF(Table9[[#This Row],[Vmin (%)]]&lt;$BA$13, 0, IF(Table9[[#This Row],[Vmin (%)]]&lt;$BA$11, 4, IF(Table9[[#This Row],[Vmin (%)]]&lt;$BA$10, 3, IF(Table9[[#This Row],[Vmin (%)]]&lt;$BA$8, 2, 0))))</f>
        <v>0</v>
      </c>
      <c r="AO33" s="197" t="str">
        <f>IF(Table9[[#This Row],[Vmin (%)]]&lt;$BA$14, "Hot", IF(Table9[[#This Row],[Vmin (%)]]&lt;$BA$12, "Warm", IF(Table9[[#This Row],[Vmin (%)]]&lt;$BA$9, "Normal", IF(Table9[[#This Row],[Vmin (%)]]&lt;$BA$7, "Cool", "Cold"))))</f>
        <v>Hot</v>
      </c>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row>
    <row r="34" spans="1:210" hidden="1" x14ac:dyDescent="0.25">
      <c r="A34" s="118">
        <f t="shared" si="5"/>
        <v>96</v>
      </c>
      <c r="B34" s="179"/>
      <c r="C34" s="188" t="str">
        <f t="shared" si="0"/>
        <v>RTH at 96 °C</v>
      </c>
      <c r="D34" s="219">
        <f t="shared" si="6"/>
        <v>3.0882352941176472</v>
      </c>
      <c r="E34" s="220">
        <v>0</v>
      </c>
      <c r="F34" s="221">
        <v>0</v>
      </c>
      <c r="G34" s="222">
        <v>0</v>
      </c>
      <c r="H34" s="138" t="s">
        <v>30</v>
      </c>
      <c r="I34" s="31"/>
      <c r="J34" s="31">
        <v>1.115</v>
      </c>
      <c r="K34" s="31">
        <v>1.079</v>
      </c>
      <c r="L34" s="31">
        <v>1.044</v>
      </c>
      <c r="M34" s="31"/>
      <c r="N34" s="31"/>
      <c r="O34" s="31"/>
      <c r="P34" s="31"/>
      <c r="Q34" s="31"/>
      <c r="R34" s="31"/>
      <c r="S34" s="31"/>
      <c r="T34" s="31"/>
      <c r="U34" s="31"/>
      <c r="V34" s="31"/>
      <c r="W34" s="31"/>
      <c r="X34" s="31"/>
      <c r="Y34" s="32"/>
      <c r="Z34" s="20"/>
      <c r="AA34" s="21"/>
      <c r="AB34" s="21"/>
      <c r="AC34" s="195">
        <f t="shared" si="1"/>
        <v>96</v>
      </c>
      <c r="AD34" s="195">
        <f t="shared" si="2"/>
        <v>0</v>
      </c>
      <c r="AE34" s="195">
        <f t="shared" si="3"/>
        <v>0</v>
      </c>
      <c r="AF34" s="195">
        <f t="shared" si="4"/>
        <v>0</v>
      </c>
      <c r="AG34" s="195">
        <f>Table9[[#This Row],[RTH(min) (kΩ)]]*RT2_TH_MIN/(RT2_TH_MIN+Table9[[#This Row],[RTH(min) (kΩ)]])</f>
        <v>0</v>
      </c>
      <c r="AH34" s="195">
        <f>Table9[[#This Row],[RTH(nom) (kΩ)]]*RT2_TH_S/(RT2_TH_S+Table9[[#This Row],[RTH(nom) (kΩ)]])</f>
        <v>0</v>
      </c>
      <c r="AI34" s="195">
        <f>Table9[[#This Row],[RTH(max) (kΩ)]]*RT2_TH_S_MAX/(RT2_TH_S_MAX+Table9[[#This Row],[RTH(max) (kΩ)]])</f>
        <v>0</v>
      </c>
      <c r="AJ34" s="195">
        <f>Table9[[#This Row],[RLower(min) (kΩ)]]/(Table9[[#This Row],[RLower(min) (kΩ)]]+RT1_TH_S_MAX)*100</f>
        <v>0</v>
      </c>
      <c r="AK34" s="195">
        <f>Table9[[#This Row],[RLower(nom) (kΩ)]]/(Table9[[#This Row],[RLower(nom) (kΩ)]]+RT1_TH_S)*100</f>
        <v>0</v>
      </c>
      <c r="AL34" s="195">
        <f>Table9[[#This Row],[RLower(max) (kΩ)]]/(Table9[[#This Row],[RLower(max) (kΩ)]]+RT1_TH_S_MIN)*100</f>
        <v>0</v>
      </c>
      <c r="AM34" s="195">
        <f>IF(Table9[[#This Row],[Vmin (%)]]&lt;$BA$14, 0, IF(Table9[[#This Row],[Vmin (%)]]&lt;$BA$12, 4, IF(Table9[[#This Row],[Vmin (%)]]&lt;$BA$9, 3, IF(Table9[[#This Row],[Vmin (%)]]&lt;$BA$7, 2, 0))))</f>
        <v>0</v>
      </c>
      <c r="AN34" s="195">
        <f>IF(Table9[[#This Row],[Vmin (%)]]&lt;$BA$13, 0, IF(Table9[[#This Row],[Vmin (%)]]&lt;$BA$11, 4, IF(Table9[[#This Row],[Vmin (%)]]&lt;$BA$10, 3, IF(Table9[[#This Row],[Vmin (%)]]&lt;$BA$8, 2, 0))))</f>
        <v>0</v>
      </c>
      <c r="AO34" s="197" t="str">
        <f>IF(Table9[[#This Row],[Vmin (%)]]&lt;$BA$14, "Hot", IF(Table9[[#This Row],[Vmin (%)]]&lt;$BA$12, "Warm", IF(Table9[[#This Row],[Vmin (%)]]&lt;$BA$9, "Normal", IF(Table9[[#This Row],[Vmin (%)]]&lt;$BA$7, "Cool", "Cold"))))</f>
        <v>Hot</v>
      </c>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row>
    <row r="35" spans="1:210" hidden="1" x14ac:dyDescent="0.25">
      <c r="A35" s="118">
        <f t="shared" si="5"/>
        <v>95</v>
      </c>
      <c r="B35" s="179"/>
      <c r="C35" s="188" t="str">
        <f t="shared" si="0"/>
        <v>RTH at 95 °C</v>
      </c>
      <c r="D35" s="219">
        <f t="shared" si="6"/>
        <v>3.0588235294117645</v>
      </c>
      <c r="E35" s="220">
        <v>0</v>
      </c>
      <c r="F35" s="221">
        <v>0</v>
      </c>
      <c r="G35" s="222">
        <v>0</v>
      </c>
      <c r="H35" s="138" t="s">
        <v>30</v>
      </c>
      <c r="I35" s="31"/>
      <c r="J35" s="31">
        <v>1.1439999999999999</v>
      </c>
      <c r="K35" s="31">
        <v>1.1080000000000001</v>
      </c>
      <c r="L35" s="31">
        <v>1.0720000000000001</v>
      </c>
      <c r="M35" s="31"/>
      <c r="N35" s="31"/>
      <c r="O35" s="31"/>
      <c r="P35" s="31"/>
      <c r="Q35" s="31"/>
      <c r="R35" s="31"/>
      <c r="S35" s="31"/>
      <c r="T35" s="31"/>
      <c r="U35" s="31"/>
      <c r="V35" s="31"/>
      <c r="W35" s="31"/>
      <c r="X35" s="31"/>
      <c r="Y35" s="32"/>
      <c r="Z35" s="20"/>
      <c r="AA35" s="21"/>
      <c r="AB35" s="21"/>
      <c r="AC35" s="195">
        <f t="shared" si="1"/>
        <v>95</v>
      </c>
      <c r="AD35" s="195">
        <f t="shared" si="2"/>
        <v>0</v>
      </c>
      <c r="AE35" s="195">
        <f t="shared" si="3"/>
        <v>0</v>
      </c>
      <c r="AF35" s="195">
        <f t="shared" si="4"/>
        <v>0</v>
      </c>
      <c r="AG35" s="195">
        <f>Table9[[#This Row],[RTH(min) (kΩ)]]*RT2_TH_MIN/(RT2_TH_MIN+Table9[[#This Row],[RTH(min) (kΩ)]])</f>
        <v>0</v>
      </c>
      <c r="AH35" s="195">
        <f>Table9[[#This Row],[RTH(nom) (kΩ)]]*RT2_TH_S/(RT2_TH_S+Table9[[#This Row],[RTH(nom) (kΩ)]])</f>
        <v>0</v>
      </c>
      <c r="AI35" s="195">
        <f>Table9[[#This Row],[RTH(max) (kΩ)]]*RT2_TH_S_MAX/(RT2_TH_S_MAX+Table9[[#This Row],[RTH(max) (kΩ)]])</f>
        <v>0</v>
      </c>
      <c r="AJ35" s="195">
        <f>Table9[[#This Row],[RLower(min) (kΩ)]]/(Table9[[#This Row],[RLower(min) (kΩ)]]+RT1_TH_S_MAX)*100</f>
        <v>0</v>
      </c>
      <c r="AK35" s="195">
        <f>Table9[[#This Row],[RLower(nom) (kΩ)]]/(Table9[[#This Row],[RLower(nom) (kΩ)]]+RT1_TH_S)*100</f>
        <v>0</v>
      </c>
      <c r="AL35" s="195">
        <f>Table9[[#This Row],[RLower(max) (kΩ)]]/(Table9[[#This Row],[RLower(max) (kΩ)]]+RT1_TH_S_MIN)*100</f>
        <v>0</v>
      </c>
      <c r="AM35" s="195">
        <f>IF(Table9[[#This Row],[Vmin (%)]]&lt;$BA$14, 0, IF(Table9[[#This Row],[Vmin (%)]]&lt;$BA$12, 4, IF(Table9[[#This Row],[Vmin (%)]]&lt;$BA$9, 3, IF(Table9[[#This Row],[Vmin (%)]]&lt;$BA$7, 2, 0))))</f>
        <v>0</v>
      </c>
      <c r="AN35" s="195">
        <f>IF(Table9[[#This Row],[Vmin (%)]]&lt;$BA$13, 0, IF(Table9[[#This Row],[Vmin (%)]]&lt;$BA$11, 4, IF(Table9[[#This Row],[Vmin (%)]]&lt;$BA$10, 3, IF(Table9[[#This Row],[Vmin (%)]]&lt;$BA$8, 2, 0))))</f>
        <v>0</v>
      </c>
      <c r="AO35" s="197" t="str">
        <f>IF(Table9[[#This Row],[Vmin (%)]]&lt;$BA$14, "Hot", IF(Table9[[#This Row],[Vmin (%)]]&lt;$BA$12, "Warm", IF(Table9[[#This Row],[Vmin (%)]]&lt;$BA$9, "Normal", IF(Table9[[#This Row],[Vmin (%)]]&lt;$BA$7, "Cool", "Cold"))))</f>
        <v>Hot</v>
      </c>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row>
    <row r="36" spans="1:210" hidden="1" x14ac:dyDescent="0.25">
      <c r="A36" s="118">
        <f t="shared" si="5"/>
        <v>94</v>
      </c>
      <c r="B36" s="179"/>
      <c r="C36" s="188" t="str">
        <f t="shared" si="0"/>
        <v>RTH at 94 °C</v>
      </c>
      <c r="D36" s="219">
        <f t="shared" si="6"/>
        <v>3.0294117647058822</v>
      </c>
      <c r="E36" s="220">
        <v>0</v>
      </c>
      <c r="F36" s="221">
        <v>0</v>
      </c>
      <c r="G36" s="222">
        <v>0</v>
      </c>
      <c r="H36" s="138" t="s">
        <v>30</v>
      </c>
      <c r="I36" s="31"/>
      <c r="J36" s="31">
        <v>1.1739999999999999</v>
      </c>
      <c r="K36" s="31">
        <v>1.137</v>
      </c>
      <c r="L36" s="31">
        <v>1.101</v>
      </c>
      <c r="M36" s="31"/>
      <c r="N36" s="31"/>
      <c r="O36" s="31"/>
      <c r="P36" s="31"/>
      <c r="Q36" s="31"/>
      <c r="R36" s="31"/>
      <c r="S36" s="31"/>
      <c r="T36" s="31"/>
      <c r="U36" s="31"/>
      <c r="V36" s="31"/>
      <c r="W36" s="31"/>
      <c r="X36" s="31"/>
      <c r="Y36" s="32"/>
      <c r="Z36" s="20"/>
      <c r="AA36" s="21"/>
      <c r="AB36" s="21"/>
      <c r="AC36" s="195">
        <f t="shared" si="1"/>
        <v>94</v>
      </c>
      <c r="AD36" s="195">
        <f t="shared" si="2"/>
        <v>0</v>
      </c>
      <c r="AE36" s="195">
        <f t="shared" si="3"/>
        <v>0</v>
      </c>
      <c r="AF36" s="195">
        <f t="shared" si="4"/>
        <v>0</v>
      </c>
      <c r="AG36" s="195">
        <f>Table9[[#This Row],[RTH(min) (kΩ)]]*RT2_TH_MIN/(RT2_TH_MIN+Table9[[#This Row],[RTH(min) (kΩ)]])</f>
        <v>0</v>
      </c>
      <c r="AH36" s="195">
        <f>Table9[[#This Row],[RTH(nom) (kΩ)]]*RT2_TH_S/(RT2_TH_S+Table9[[#This Row],[RTH(nom) (kΩ)]])</f>
        <v>0</v>
      </c>
      <c r="AI36" s="195">
        <f>Table9[[#This Row],[RTH(max) (kΩ)]]*RT2_TH_S_MAX/(RT2_TH_S_MAX+Table9[[#This Row],[RTH(max) (kΩ)]])</f>
        <v>0</v>
      </c>
      <c r="AJ36" s="195">
        <f>Table9[[#This Row],[RLower(min) (kΩ)]]/(Table9[[#This Row],[RLower(min) (kΩ)]]+RT1_TH_S_MAX)*100</f>
        <v>0</v>
      </c>
      <c r="AK36" s="195">
        <f>Table9[[#This Row],[RLower(nom) (kΩ)]]/(Table9[[#This Row],[RLower(nom) (kΩ)]]+RT1_TH_S)*100</f>
        <v>0</v>
      </c>
      <c r="AL36" s="195">
        <f>Table9[[#This Row],[RLower(max) (kΩ)]]/(Table9[[#This Row],[RLower(max) (kΩ)]]+RT1_TH_S_MIN)*100</f>
        <v>0</v>
      </c>
      <c r="AM36" s="195">
        <f>IF(Table9[[#This Row],[Vmin (%)]]&lt;$BA$14, 0, IF(Table9[[#This Row],[Vmin (%)]]&lt;$BA$12, 4, IF(Table9[[#This Row],[Vmin (%)]]&lt;$BA$9, 3, IF(Table9[[#This Row],[Vmin (%)]]&lt;$BA$7, 2, 0))))</f>
        <v>0</v>
      </c>
      <c r="AN36" s="195">
        <f>IF(Table9[[#This Row],[Vmin (%)]]&lt;$BA$13, 0, IF(Table9[[#This Row],[Vmin (%)]]&lt;$BA$11, 4, IF(Table9[[#This Row],[Vmin (%)]]&lt;$BA$10, 3, IF(Table9[[#This Row],[Vmin (%)]]&lt;$BA$8, 2, 0))))</f>
        <v>0</v>
      </c>
      <c r="AO36" s="197" t="str">
        <f>IF(Table9[[#This Row],[Vmin (%)]]&lt;$BA$14, "Hot", IF(Table9[[#This Row],[Vmin (%)]]&lt;$BA$12, "Warm", IF(Table9[[#This Row],[Vmin (%)]]&lt;$BA$9, "Normal", IF(Table9[[#This Row],[Vmin (%)]]&lt;$BA$7, "Cool", "Cold"))))</f>
        <v>Hot</v>
      </c>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row>
    <row r="37" spans="1:210" hidden="1" x14ac:dyDescent="0.25">
      <c r="A37" s="118">
        <f t="shared" si="5"/>
        <v>93</v>
      </c>
      <c r="B37" s="179"/>
      <c r="C37" s="188" t="str">
        <f t="shared" si="0"/>
        <v>RTH at 93 °C</v>
      </c>
      <c r="D37" s="219">
        <f t="shared" si="6"/>
        <v>3</v>
      </c>
      <c r="E37" s="220">
        <v>0</v>
      </c>
      <c r="F37" s="221">
        <v>0</v>
      </c>
      <c r="G37" s="222">
        <v>0</v>
      </c>
      <c r="H37" s="138" t="s">
        <v>30</v>
      </c>
      <c r="I37" s="31"/>
      <c r="J37" s="31">
        <v>1.2050000000000001</v>
      </c>
      <c r="K37" s="31">
        <v>1.1679999999999999</v>
      </c>
      <c r="L37" s="31">
        <v>1.131</v>
      </c>
      <c r="M37" s="31"/>
      <c r="N37" s="31"/>
      <c r="O37" s="31"/>
      <c r="P37" s="31"/>
      <c r="Q37" s="31"/>
      <c r="R37" s="31"/>
      <c r="S37" s="31"/>
      <c r="T37" s="31"/>
      <c r="U37" s="31"/>
      <c r="V37" s="31"/>
      <c r="W37" s="31"/>
      <c r="X37" s="31"/>
      <c r="Y37" s="32"/>
      <c r="Z37" s="20"/>
      <c r="AA37" s="21"/>
      <c r="AB37" s="21"/>
      <c r="AC37" s="195">
        <f t="shared" si="1"/>
        <v>93</v>
      </c>
      <c r="AD37" s="195">
        <f t="shared" si="2"/>
        <v>0</v>
      </c>
      <c r="AE37" s="195">
        <f t="shared" si="3"/>
        <v>0</v>
      </c>
      <c r="AF37" s="195">
        <f t="shared" si="4"/>
        <v>0</v>
      </c>
      <c r="AG37" s="195">
        <f>Table9[[#This Row],[RTH(min) (kΩ)]]*RT2_TH_MIN/(RT2_TH_MIN+Table9[[#This Row],[RTH(min) (kΩ)]])</f>
        <v>0</v>
      </c>
      <c r="AH37" s="195">
        <f>Table9[[#This Row],[RTH(nom) (kΩ)]]*RT2_TH_S/(RT2_TH_S+Table9[[#This Row],[RTH(nom) (kΩ)]])</f>
        <v>0</v>
      </c>
      <c r="AI37" s="195">
        <f>Table9[[#This Row],[RTH(max) (kΩ)]]*RT2_TH_S_MAX/(RT2_TH_S_MAX+Table9[[#This Row],[RTH(max) (kΩ)]])</f>
        <v>0</v>
      </c>
      <c r="AJ37" s="195">
        <f>Table9[[#This Row],[RLower(min) (kΩ)]]/(Table9[[#This Row],[RLower(min) (kΩ)]]+RT1_TH_S_MAX)*100</f>
        <v>0</v>
      </c>
      <c r="AK37" s="195">
        <f>Table9[[#This Row],[RLower(nom) (kΩ)]]/(Table9[[#This Row],[RLower(nom) (kΩ)]]+RT1_TH_S)*100</f>
        <v>0</v>
      </c>
      <c r="AL37" s="195">
        <f>Table9[[#This Row],[RLower(max) (kΩ)]]/(Table9[[#This Row],[RLower(max) (kΩ)]]+RT1_TH_S_MIN)*100</f>
        <v>0</v>
      </c>
      <c r="AM37" s="195">
        <f>IF(Table9[[#This Row],[Vmin (%)]]&lt;$BA$14, 0, IF(Table9[[#This Row],[Vmin (%)]]&lt;$BA$12, 4, IF(Table9[[#This Row],[Vmin (%)]]&lt;$BA$9, 3, IF(Table9[[#This Row],[Vmin (%)]]&lt;$BA$7, 2, 0))))</f>
        <v>0</v>
      </c>
      <c r="AN37" s="195">
        <f>IF(Table9[[#This Row],[Vmin (%)]]&lt;$BA$13, 0, IF(Table9[[#This Row],[Vmin (%)]]&lt;$BA$11, 4, IF(Table9[[#This Row],[Vmin (%)]]&lt;$BA$10, 3, IF(Table9[[#This Row],[Vmin (%)]]&lt;$BA$8, 2, 0))))</f>
        <v>0</v>
      </c>
      <c r="AO37" s="197" t="str">
        <f>IF(Table9[[#This Row],[Vmin (%)]]&lt;$BA$14, "Hot", IF(Table9[[#This Row],[Vmin (%)]]&lt;$BA$12, "Warm", IF(Table9[[#This Row],[Vmin (%)]]&lt;$BA$9, "Normal", IF(Table9[[#This Row],[Vmin (%)]]&lt;$BA$7, "Cool", "Cold"))))</f>
        <v>Hot</v>
      </c>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row>
    <row r="38" spans="1:210" hidden="1" x14ac:dyDescent="0.25">
      <c r="A38" s="118">
        <f t="shared" si="5"/>
        <v>92</v>
      </c>
      <c r="B38" s="179"/>
      <c r="C38" s="188" t="str">
        <f t="shared" si="0"/>
        <v>RTH at 92 °C</v>
      </c>
      <c r="D38" s="219">
        <f t="shared" si="6"/>
        <v>2.9705882352941178</v>
      </c>
      <c r="E38" s="220">
        <v>0</v>
      </c>
      <c r="F38" s="221">
        <v>0</v>
      </c>
      <c r="G38" s="222">
        <v>0</v>
      </c>
      <c r="H38" s="138" t="s">
        <v>30</v>
      </c>
      <c r="I38" s="31"/>
      <c r="J38" s="31">
        <v>1.238</v>
      </c>
      <c r="K38" s="31">
        <v>1.2</v>
      </c>
      <c r="L38" s="31">
        <v>1.1619999999999999</v>
      </c>
      <c r="M38" s="31"/>
      <c r="N38" s="31"/>
      <c r="O38" s="31"/>
      <c r="P38" s="31"/>
      <c r="Q38" s="31"/>
      <c r="R38" s="31"/>
      <c r="S38" s="31"/>
      <c r="T38" s="31"/>
      <c r="U38" s="31"/>
      <c r="V38" s="31"/>
      <c r="W38" s="31"/>
      <c r="X38" s="31"/>
      <c r="Y38" s="32"/>
      <c r="Z38" s="20"/>
      <c r="AA38" s="21"/>
      <c r="AB38" s="21"/>
      <c r="AC38" s="195">
        <f t="shared" si="1"/>
        <v>92</v>
      </c>
      <c r="AD38" s="195">
        <f t="shared" si="2"/>
        <v>0</v>
      </c>
      <c r="AE38" s="195">
        <f t="shared" si="3"/>
        <v>0</v>
      </c>
      <c r="AF38" s="195">
        <f t="shared" si="4"/>
        <v>0</v>
      </c>
      <c r="AG38" s="195">
        <f>Table9[[#This Row],[RTH(min) (kΩ)]]*RT2_TH_MIN/(RT2_TH_MIN+Table9[[#This Row],[RTH(min) (kΩ)]])</f>
        <v>0</v>
      </c>
      <c r="AH38" s="195">
        <f>Table9[[#This Row],[RTH(nom) (kΩ)]]*RT2_TH_S/(RT2_TH_S+Table9[[#This Row],[RTH(nom) (kΩ)]])</f>
        <v>0</v>
      </c>
      <c r="AI38" s="195">
        <f>Table9[[#This Row],[RTH(max) (kΩ)]]*RT2_TH_S_MAX/(RT2_TH_S_MAX+Table9[[#This Row],[RTH(max) (kΩ)]])</f>
        <v>0</v>
      </c>
      <c r="AJ38" s="195">
        <f>Table9[[#This Row],[RLower(min) (kΩ)]]/(Table9[[#This Row],[RLower(min) (kΩ)]]+RT1_TH_S_MAX)*100</f>
        <v>0</v>
      </c>
      <c r="AK38" s="195">
        <f>Table9[[#This Row],[RLower(nom) (kΩ)]]/(Table9[[#This Row],[RLower(nom) (kΩ)]]+RT1_TH_S)*100</f>
        <v>0</v>
      </c>
      <c r="AL38" s="195">
        <f>Table9[[#This Row],[RLower(max) (kΩ)]]/(Table9[[#This Row],[RLower(max) (kΩ)]]+RT1_TH_S_MIN)*100</f>
        <v>0</v>
      </c>
      <c r="AM38" s="195">
        <f>IF(Table9[[#This Row],[Vmin (%)]]&lt;$BA$14, 0, IF(Table9[[#This Row],[Vmin (%)]]&lt;$BA$12, 4, IF(Table9[[#This Row],[Vmin (%)]]&lt;$BA$9, 3, IF(Table9[[#This Row],[Vmin (%)]]&lt;$BA$7, 2, 0))))</f>
        <v>0</v>
      </c>
      <c r="AN38" s="195">
        <f>IF(Table9[[#This Row],[Vmin (%)]]&lt;$BA$13, 0, IF(Table9[[#This Row],[Vmin (%)]]&lt;$BA$11, 4, IF(Table9[[#This Row],[Vmin (%)]]&lt;$BA$10, 3, IF(Table9[[#This Row],[Vmin (%)]]&lt;$BA$8, 2, 0))))</f>
        <v>0</v>
      </c>
      <c r="AO38" s="197" t="str">
        <f>IF(Table9[[#This Row],[Vmin (%)]]&lt;$BA$14, "Hot", IF(Table9[[#This Row],[Vmin (%)]]&lt;$BA$12, "Warm", IF(Table9[[#This Row],[Vmin (%)]]&lt;$BA$9, "Normal", IF(Table9[[#This Row],[Vmin (%)]]&lt;$BA$7, "Cool", "Cold"))))</f>
        <v>Hot</v>
      </c>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row>
    <row r="39" spans="1:210" hidden="1" x14ac:dyDescent="0.25">
      <c r="A39" s="118">
        <f t="shared" si="5"/>
        <v>91</v>
      </c>
      <c r="B39" s="179"/>
      <c r="C39" s="188" t="str">
        <f t="shared" si="0"/>
        <v>RTH at 91 °C</v>
      </c>
      <c r="D39" s="219">
        <f t="shared" si="6"/>
        <v>2.9411764705882355</v>
      </c>
      <c r="E39" s="220">
        <v>0</v>
      </c>
      <c r="F39" s="221">
        <v>0</v>
      </c>
      <c r="G39" s="222">
        <v>0</v>
      </c>
      <c r="H39" s="138" t="s">
        <v>30</v>
      </c>
      <c r="I39" s="31"/>
      <c r="J39" s="31">
        <v>1.2709999999999999</v>
      </c>
      <c r="K39" s="31">
        <v>1.232</v>
      </c>
      <c r="L39" s="31">
        <v>1.194</v>
      </c>
      <c r="M39" s="31"/>
      <c r="N39" s="31"/>
      <c r="O39" s="31"/>
      <c r="P39" s="31"/>
      <c r="Q39" s="31"/>
      <c r="R39" s="31"/>
      <c r="S39" s="31"/>
      <c r="T39" s="31"/>
      <c r="U39" s="31"/>
      <c r="V39" s="31"/>
      <c r="W39" s="31"/>
      <c r="X39" s="31"/>
      <c r="Y39" s="32"/>
      <c r="Z39" s="20"/>
      <c r="AA39" s="21"/>
      <c r="AB39" s="21"/>
      <c r="AC39" s="195">
        <f t="shared" si="1"/>
        <v>91</v>
      </c>
      <c r="AD39" s="195">
        <f t="shared" si="2"/>
        <v>0</v>
      </c>
      <c r="AE39" s="195">
        <f t="shared" si="3"/>
        <v>0</v>
      </c>
      <c r="AF39" s="195">
        <f t="shared" si="4"/>
        <v>0</v>
      </c>
      <c r="AG39" s="195">
        <f>Table9[[#This Row],[RTH(min) (kΩ)]]*RT2_TH_MIN/(RT2_TH_MIN+Table9[[#This Row],[RTH(min) (kΩ)]])</f>
        <v>0</v>
      </c>
      <c r="AH39" s="195">
        <f>Table9[[#This Row],[RTH(nom) (kΩ)]]*RT2_TH_S/(RT2_TH_S+Table9[[#This Row],[RTH(nom) (kΩ)]])</f>
        <v>0</v>
      </c>
      <c r="AI39" s="195">
        <f>Table9[[#This Row],[RTH(max) (kΩ)]]*RT2_TH_S_MAX/(RT2_TH_S_MAX+Table9[[#This Row],[RTH(max) (kΩ)]])</f>
        <v>0</v>
      </c>
      <c r="AJ39" s="195">
        <f>Table9[[#This Row],[RLower(min) (kΩ)]]/(Table9[[#This Row],[RLower(min) (kΩ)]]+RT1_TH_S_MAX)*100</f>
        <v>0</v>
      </c>
      <c r="AK39" s="195">
        <f>Table9[[#This Row],[RLower(nom) (kΩ)]]/(Table9[[#This Row],[RLower(nom) (kΩ)]]+RT1_TH_S)*100</f>
        <v>0</v>
      </c>
      <c r="AL39" s="195">
        <f>Table9[[#This Row],[RLower(max) (kΩ)]]/(Table9[[#This Row],[RLower(max) (kΩ)]]+RT1_TH_S_MIN)*100</f>
        <v>0</v>
      </c>
      <c r="AM39" s="195">
        <f>IF(Table9[[#This Row],[Vmin (%)]]&lt;$BA$14, 0, IF(Table9[[#This Row],[Vmin (%)]]&lt;$BA$12, 4, IF(Table9[[#This Row],[Vmin (%)]]&lt;$BA$9, 3, IF(Table9[[#This Row],[Vmin (%)]]&lt;$BA$7, 2, 0))))</f>
        <v>0</v>
      </c>
      <c r="AN39" s="195">
        <f>IF(Table9[[#This Row],[Vmin (%)]]&lt;$BA$13, 0, IF(Table9[[#This Row],[Vmin (%)]]&lt;$BA$11, 4, IF(Table9[[#This Row],[Vmin (%)]]&lt;$BA$10, 3, IF(Table9[[#This Row],[Vmin (%)]]&lt;$BA$8, 2, 0))))</f>
        <v>0</v>
      </c>
      <c r="AO39" s="197" t="str">
        <f>IF(Table9[[#This Row],[Vmin (%)]]&lt;$BA$14, "Hot", IF(Table9[[#This Row],[Vmin (%)]]&lt;$BA$12, "Warm", IF(Table9[[#This Row],[Vmin (%)]]&lt;$BA$9, "Normal", IF(Table9[[#This Row],[Vmin (%)]]&lt;$BA$7, "Cool", "Cold"))))</f>
        <v>Hot</v>
      </c>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row>
    <row r="40" spans="1:210" hidden="1" x14ac:dyDescent="0.25">
      <c r="A40" s="118">
        <f t="shared" si="5"/>
        <v>90</v>
      </c>
      <c r="B40" s="179"/>
      <c r="C40" s="188" t="str">
        <f t="shared" si="0"/>
        <v>RTH at 90 °C</v>
      </c>
      <c r="D40" s="219">
        <f t="shared" si="6"/>
        <v>2.9117647058823528</v>
      </c>
      <c r="E40" s="220">
        <v>0</v>
      </c>
      <c r="F40" s="221">
        <v>0</v>
      </c>
      <c r="G40" s="222">
        <v>0</v>
      </c>
      <c r="H40" s="138" t="s">
        <v>30</v>
      </c>
      <c r="I40" s="31"/>
      <c r="J40" s="31">
        <v>1.3049999999999999</v>
      </c>
      <c r="K40" s="31">
        <v>1.266</v>
      </c>
      <c r="L40" s="31">
        <v>1.2270000000000001</v>
      </c>
      <c r="M40" s="31"/>
      <c r="N40" s="31"/>
      <c r="O40" s="31"/>
      <c r="P40" s="31"/>
      <c r="Q40" s="31"/>
      <c r="R40" s="31"/>
      <c r="S40" s="31"/>
      <c r="T40" s="31"/>
      <c r="U40" s="31"/>
      <c r="V40" s="31"/>
      <c r="W40" s="31"/>
      <c r="X40" s="31"/>
      <c r="Y40" s="32"/>
      <c r="Z40" s="20"/>
      <c r="AA40" s="21"/>
      <c r="AB40" s="21"/>
      <c r="AC40" s="195">
        <f t="shared" si="1"/>
        <v>90</v>
      </c>
      <c r="AD40" s="195">
        <f t="shared" si="2"/>
        <v>0</v>
      </c>
      <c r="AE40" s="195">
        <f t="shared" si="3"/>
        <v>0</v>
      </c>
      <c r="AF40" s="195">
        <f t="shared" si="4"/>
        <v>0</v>
      </c>
      <c r="AG40" s="195">
        <f>Table9[[#This Row],[RTH(min) (kΩ)]]*RT2_TH_MIN/(RT2_TH_MIN+Table9[[#This Row],[RTH(min) (kΩ)]])</f>
        <v>0</v>
      </c>
      <c r="AH40" s="195">
        <f>Table9[[#This Row],[RTH(nom) (kΩ)]]*RT2_TH_S/(RT2_TH_S+Table9[[#This Row],[RTH(nom) (kΩ)]])</f>
        <v>0</v>
      </c>
      <c r="AI40" s="195">
        <f>Table9[[#This Row],[RTH(max) (kΩ)]]*RT2_TH_S_MAX/(RT2_TH_S_MAX+Table9[[#This Row],[RTH(max) (kΩ)]])</f>
        <v>0</v>
      </c>
      <c r="AJ40" s="195">
        <f>Table9[[#This Row],[RLower(min) (kΩ)]]/(Table9[[#This Row],[RLower(min) (kΩ)]]+RT1_TH_S_MAX)*100</f>
        <v>0</v>
      </c>
      <c r="AK40" s="195">
        <f>Table9[[#This Row],[RLower(nom) (kΩ)]]/(Table9[[#This Row],[RLower(nom) (kΩ)]]+RT1_TH_S)*100</f>
        <v>0</v>
      </c>
      <c r="AL40" s="195">
        <f>Table9[[#This Row],[RLower(max) (kΩ)]]/(Table9[[#This Row],[RLower(max) (kΩ)]]+RT1_TH_S_MIN)*100</f>
        <v>0</v>
      </c>
      <c r="AM40" s="195">
        <f>IF(Table9[[#This Row],[Vmin (%)]]&lt;$BA$14, 0, IF(Table9[[#This Row],[Vmin (%)]]&lt;$BA$12, 4, IF(Table9[[#This Row],[Vmin (%)]]&lt;$BA$9, 3, IF(Table9[[#This Row],[Vmin (%)]]&lt;$BA$7, 2, 0))))</f>
        <v>0</v>
      </c>
      <c r="AN40" s="195">
        <f>IF(Table9[[#This Row],[Vmin (%)]]&lt;$BA$13, 0, IF(Table9[[#This Row],[Vmin (%)]]&lt;$BA$11, 4, IF(Table9[[#This Row],[Vmin (%)]]&lt;$BA$10, 3, IF(Table9[[#This Row],[Vmin (%)]]&lt;$BA$8, 2, 0))))</f>
        <v>0</v>
      </c>
      <c r="AO40" s="197" t="str">
        <f>IF(Table9[[#This Row],[Vmin (%)]]&lt;$BA$14, "Hot", IF(Table9[[#This Row],[Vmin (%)]]&lt;$BA$12, "Warm", IF(Table9[[#This Row],[Vmin (%)]]&lt;$BA$9, "Normal", IF(Table9[[#This Row],[Vmin (%)]]&lt;$BA$7, "Cool", "Cold"))))</f>
        <v>Hot</v>
      </c>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row>
    <row r="41" spans="1:210" hidden="1" x14ac:dyDescent="0.25">
      <c r="A41" s="118">
        <f t="shared" si="5"/>
        <v>89</v>
      </c>
      <c r="B41" s="179"/>
      <c r="C41" s="188" t="str">
        <f t="shared" si="0"/>
        <v>RTH at 89 °C</v>
      </c>
      <c r="D41" s="219">
        <f t="shared" si="6"/>
        <v>2.8823529411764706</v>
      </c>
      <c r="E41" s="220">
        <v>0</v>
      </c>
      <c r="F41" s="221">
        <v>0</v>
      </c>
      <c r="G41" s="222">
        <v>0</v>
      </c>
      <c r="H41" s="138" t="s">
        <v>30</v>
      </c>
      <c r="I41" s="31"/>
      <c r="J41" s="31">
        <v>1.341</v>
      </c>
      <c r="K41" s="31">
        <v>1.3009999999999999</v>
      </c>
      <c r="L41" s="31">
        <v>1.2609999999999999</v>
      </c>
      <c r="M41" s="31"/>
      <c r="N41" s="31"/>
      <c r="O41" s="31"/>
      <c r="P41" s="31"/>
      <c r="Q41" s="31"/>
      <c r="R41" s="31"/>
      <c r="S41" s="31"/>
      <c r="T41" s="31"/>
      <c r="U41" s="31"/>
      <c r="V41" s="31"/>
      <c r="W41" s="31"/>
      <c r="X41" s="31"/>
      <c r="Y41" s="32"/>
      <c r="Z41" s="20"/>
      <c r="AA41" s="21"/>
      <c r="AB41" s="21"/>
      <c r="AC41" s="195">
        <f t="shared" si="1"/>
        <v>89</v>
      </c>
      <c r="AD41" s="195">
        <f t="shared" si="2"/>
        <v>0</v>
      </c>
      <c r="AE41" s="195">
        <f t="shared" si="3"/>
        <v>0</v>
      </c>
      <c r="AF41" s="195">
        <f t="shared" si="4"/>
        <v>0</v>
      </c>
      <c r="AG41" s="195">
        <f>Table9[[#This Row],[RTH(min) (kΩ)]]*RT2_TH_MIN/(RT2_TH_MIN+Table9[[#This Row],[RTH(min) (kΩ)]])</f>
        <v>0</v>
      </c>
      <c r="AH41" s="195">
        <f>Table9[[#This Row],[RTH(nom) (kΩ)]]*RT2_TH_S/(RT2_TH_S+Table9[[#This Row],[RTH(nom) (kΩ)]])</f>
        <v>0</v>
      </c>
      <c r="AI41" s="195">
        <f>Table9[[#This Row],[RTH(max) (kΩ)]]*RT2_TH_S_MAX/(RT2_TH_S_MAX+Table9[[#This Row],[RTH(max) (kΩ)]])</f>
        <v>0</v>
      </c>
      <c r="AJ41" s="195">
        <f>Table9[[#This Row],[RLower(min) (kΩ)]]/(Table9[[#This Row],[RLower(min) (kΩ)]]+RT1_TH_S_MAX)*100</f>
        <v>0</v>
      </c>
      <c r="AK41" s="195">
        <f>Table9[[#This Row],[RLower(nom) (kΩ)]]/(Table9[[#This Row],[RLower(nom) (kΩ)]]+RT1_TH_S)*100</f>
        <v>0</v>
      </c>
      <c r="AL41" s="195">
        <f>Table9[[#This Row],[RLower(max) (kΩ)]]/(Table9[[#This Row],[RLower(max) (kΩ)]]+RT1_TH_S_MIN)*100</f>
        <v>0</v>
      </c>
      <c r="AM41" s="195">
        <f>IF(Table9[[#This Row],[Vmin (%)]]&lt;$BA$14, 0, IF(Table9[[#This Row],[Vmin (%)]]&lt;$BA$12, 4, IF(Table9[[#This Row],[Vmin (%)]]&lt;$BA$9, 3, IF(Table9[[#This Row],[Vmin (%)]]&lt;$BA$7, 2, 0))))</f>
        <v>0</v>
      </c>
      <c r="AN41" s="195">
        <f>IF(Table9[[#This Row],[Vmin (%)]]&lt;$BA$13, 0, IF(Table9[[#This Row],[Vmin (%)]]&lt;$BA$11, 4, IF(Table9[[#This Row],[Vmin (%)]]&lt;$BA$10, 3, IF(Table9[[#This Row],[Vmin (%)]]&lt;$BA$8, 2, 0))))</f>
        <v>0</v>
      </c>
      <c r="AO41" s="197" t="str">
        <f>IF(Table9[[#This Row],[Vmin (%)]]&lt;$BA$14, "Hot", IF(Table9[[#This Row],[Vmin (%)]]&lt;$BA$12, "Warm", IF(Table9[[#This Row],[Vmin (%)]]&lt;$BA$9, "Normal", IF(Table9[[#This Row],[Vmin (%)]]&lt;$BA$7, "Cool", "Cold"))))</f>
        <v>Hot</v>
      </c>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row>
    <row r="42" spans="1:210" hidden="1" x14ac:dyDescent="0.25">
      <c r="A42" s="118">
        <f t="shared" si="5"/>
        <v>88</v>
      </c>
      <c r="B42" s="179"/>
      <c r="C42" s="188" t="str">
        <f t="shared" si="0"/>
        <v>RTH at 88 °C</v>
      </c>
      <c r="D42" s="219">
        <f t="shared" si="6"/>
        <v>2.8529411764705883</v>
      </c>
      <c r="E42" s="220">
        <v>0</v>
      </c>
      <c r="F42" s="221">
        <v>0</v>
      </c>
      <c r="G42" s="222">
        <v>0</v>
      </c>
      <c r="H42" s="138" t="s">
        <v>30</v>
      </c>
      <c r="I42" s="31"/>
      <c r="J42" s="31">
        <v>1.377</v>
      </c>
      <c r="K42" s="31">
        <v>1.3360000000000001</v>
      </c>
      <c r="L42" s="31">
        <v>1.296</v>
      </c>
      <c r="M42" s="31"/>
      <c r="N42" s="31"/>
      <c r="O42" s="31"/>
      <c r="P42" s="31"/>
      <c r="Q42" s="31"/>
      <c r="R42" s="31"/>
      <c r="S42" s="31"/>
      <c r="T42" s="31"/>
      <c r="U42" s="31"/>
      <c r="V42" s="31"/>
      <c r="W42" s="31"/>
      <c r="X42" s="31"/>
      <c r="Y42" s="32"/>
      <c r="Z42" s="20"/>
      <c r="AA42" s="21"/>
      <c r="AB42" s="21"/>
      <c r="AC42" s="195">
        <f t="shared" si="1"/>
        <v>88</v>
      </c>
      <c r="AD42" s="195">
        <f t="shared" si="2"/>
        <v>0</v>
      </c>
      <c r="AE42" s="195">
        <f t="shared" si="3"/>
        <v>0</v>
      </c>
      <c r="AF42" s="195">
        <f t="shared" si="4"/>
        <v>0</v>
      </c>
      <c r="AG42" s="195">
        <f>Table9[[#This Row],[RTH(min) (kΩ)]]*RT2_TH_MIN/(RT2_TH_MIN+Table9[[#This Row],[RTH(min) (kΩ)]])</f>
        <v>0</v>
      </c>
      <c r="AH42" s="195">
        <f>Table9[[#This Row],[RTH(nom) (kΩ)]]*RT2_TH_S/(RT2_TH_S+Table9[[#This Row],[RTH(nom) (kΩ)]])</f>
        <v>0</v>
      </c>
      <c r="AI42" s="195">
        <f>Table9[[#This Row],[RTH(max) (kΩ)]]*RT2_TH_S_MAX/(RT2_TH_S_MAX+Table9[[#This Row],[RTH(max) (kΩ)]])</f>
        <v>0</v>
      </c>
      <c r="AJ42" s="195">
        <f>Table9[[#This Row],[RLower(min) (kΩ)]]/(Table9[[#This Row],[RLower(min) (kΩ)]]+RT1_TH_S_MAX)*100</f>
        <v>0</v>
      </c>
      <c r="AK42" s="195">
        <f>Table9[[#This Row],[RLower(nom) (kΩ)]]/(Table9[[#This Row],[RLower(nom) (kΩ)]]+RT1_TH_S)*100</f>
        <v>0</v>
      </c>
      <c r="AL42" s="195">
        <f>Table9[[#This Row],[RLower(max) (kΩ)]]/(Table9[[#This Row],[RLower(max) (kΩ)]]+RT1_TH_S_MIN)*100</f>
        <v>0</v>
      </c>
      <c r="AM42" s="195">
        <f>IF(Table9[[#This Row],[Vmin (%)]]&lt;$BA$14, 0, IF(Table9[[#This Row],[Vmin (%)]]&lt;$BA$12, 4, IF(Table9[[#This Row],[Vmin (%)]]&lt;$BA$9, 3, IF(Table9[[#This Row],[Vmin (%)]]&lt;$BA$7, 2, 0))))</f>
        <v>0</v>
      </c>
      <c r="AN42" s="195">
        <f>IF(Table9[[#This Row],[Vmin (%)]]&lt;$BA$13, 0, IF(Table9[[#This Row],[Vmin (%)]]&lt;$BA$11, 4, IF(Table9[[#This Row],[Vmin (%)]]&lt;$BA$10, 3, IF(Table9[[#This Row],[Vmin (%)]]&lt;$BA$8, 2, 0))))</f>
        <v>0</v>
      </c>
      <c r="AO42" s="197" t="str">
        <f>IF(Table9[[#This Row],[Vmin (%)]]&lt;$BA$14, "Hot", IF(Table9[[#This Row],[Vmin (%)]]&lt;$BA$12, "Warm", IF(Table9[[#This Row],[Vmin (%)]]&lt;$BA$9, "Normal", IF(Table9[[#This Row],[Vmin (%)]]&lt;$BA$7, "Cool", "Cold"))))</f>
        <v>Hot</v>
      </c>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row>
    <row r="43" spans="1:210" hidden="1" x14ac:dyDescent="0.25">
      <c r="A43" s="118">
        <f t="shared" si="5"/>
        <v>87</v>
      </c>
      <c r="B43" s="179"/>
      <c r="C43" s="188" t="str">
        <f t="shared" si="0"/>
        <v>RTH at 87 °C</v>
      </c>
      <c r="D43" s="219">
        <f t="shared" si="6"/>
        <v>2.8235294117647056</v>
      </c>
      <c r="E43" s="220">
        <v>0</v>
      </c>
      <c r="F43" s="221">
        <v>0</v>
      </c>
      <c r="G43" s="222">
        <v>0</v>
      </c>
      <c r="H43" s="138" t="s">
        <v>30</v>
      </c>
      <c r="I43" s="31"/>
      <c r="J43" s="31">
        <v>1.415</v>
      </c>
      <c r="K43" s="31">
        <v>1.373</v>
      </c>
      <c r="L43" s="31">
        <v>1.3320000000000001</v>
      </c>
      <c r="M43" s="31"/>
      <c r="N43" s="31"/>
      <c r="O43" s="31"/>
      <c r="P43" s="31"/>
      <c r="Q43" s="31"/>
      <c r="R43" s="31"/>
      <c r="S43" s="31"/>
      <c r="T43" s="31"/>
      <c r="U43" s="31"/>
      <c r="V43" s="31"/>
      <c r="W43" s="31"/>
      <c r="X43" s="31"/>
      <c r="Y43" s="32"/>
      <c r="Z43" s="20"/>
      <c r="AA43" s="21"/>
      <c r="AB43" s="21"/>
      <c r="AC43" s="195">
        <f t="shared" si="1"/>
        <v>87</v>
      </c>
      <c r="AD43" s="195">
        <f t="shared" si="2"/>
        <v>0</v>
      </c>
      <c r="AE43" s="195">
        <f t="shared" si="3"/>
        <v>0</v>
      </c>
      <c r="AF43" s="195">
        <f t="shared" si="4"/>
        <v>0</v>
      </c>
      <c r="AG43" s="195">
        <f>Table9[[#This Row],[RTH(min) (kΩ)]]*RT2_TH_MIN/(RT2_TH_MIN+Table9[[#This Row],[RTH(min) (kΩ)]])</f>
        <v>0</v>
      </c>
      <c r="AH43" s="195">
        <f>Table9[[#This Row],[RTH(nom) (kΩ)]]*RT2_TH_S/(RT2_TH_S+Table9[[#This Row],[RTH(nom) (kΩ)]])</f>
        <v>0</v>
      </c>
      <c r="AI43" s="195">
        <f>Table9[[#This Row],[RTH(max) (kΩ)]]*RT2_TH_S_MAX/(RT2_TH_S_MAX+Table9[[#This Row],[RTH(max) (kΩ)]])</f>
        <v>0</v>
      </c>
      <c r="AJ43" s="195">
        <f>Table9[[#This Row],[RLower(min) (kΩ)]]/(Table9[[#This Row],[RLower(min) (kΩ)]]+RT1_TH_S_MAX)*100</f>
        <v>0</v>
      </c>
      <c r="AK43" s="195">
        <f>Table9[[#This Row],[RLower(nom) (kΩ)]]/(Table9[[#This Row],[RLower(nom) (kΩ)]]+RT1_TH_S)*100</f>
        <v>0</v>
      </c>
      <c r="AL43" s="195">
        <f>Table9[[#This Row],[RLower(max) (kΩ)]]/(Table9[[#This Row],[RLower(max) (kΩ)]]+RT1_TH_S_MIN)*100</f>
        <v>0</v>
      </c>
      <c r="AM43" s="195">
        <f>IF(Table9[[#This Row],[Vmin (%)]]&lt;$BA$14, 0, IF(Table9[[#This Row],[Vmin (%)]]&lt;$BA$12, 4, IF(Table9[[#This Row],[Vmin (%)]]&lt;$BA$9, 3, IF(Table9[[#This Row],[Vmin (%)]]&lt;$BA$7, 2, 0))))</f>
        <v>0</v>
      </c>
      <c r="AN43" s="195">
        <f>IF(Table9[[#This Row],[Vmin (%)]]&lt;$BA$13, 0, IF(Table9[[#This Row],[Vmin (%)]]&lt;$BA$11, 4, IF(Table9[[#This Row],[Vmin (%)]]&lt;$BA$10, 3, IF(Table9[[#This Row],[Vmin (%)]]&lt;$BA$8, 2, 0))))</f>
        <v>0</v>
      </c>
      <c r="AO43" s="197" t="str">
        <f>IF(Table9[[#This Row],[Vmin (%)]]&lt;$BA$14, "Hot", IF(Table9[[#This Row],[Vmin (%)]]&lt;$BA$12, "Warm", IF(Table9[[#This Row],[Vmin (%)]]&lt;$BA$9, "Normal", IF(Table9[[#This Row],[Vmin (%)]]&lt;$BA$7, "Cool", "Cold"))))</f>
        <v>Hot</v>
      </c>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row>
    <row r="44" spans="1:210" hidden="1" x14ac:dyDescent="0.25">
      <c r="A44" s="118">
        <f t="shared" si="5"/>
        <v>86</v>
      </c>
      <c r="B44" s="179"/>
      <c r="C44" s="188" t="str">
        <f t="shared" si="0"/>
        <v>RTH at 86 °C</v>
      </c>
      <c r="D44" s="219">
        <f t="shared" si="6"/>
        <v>2.7941176470588234</v>
      </c>
      <c r="E44" s="220">
        <v>0</v>
      </c>
      <c r="F44" s="221">
        <v>0</v>
      </c>
      <c r="G44" s="222">
        <v>0</v>
      </c>
      <c r="H44" s="138" t="s">
        <v>30</v>
      </c>
      <c r="I44" s="31"/>
      <c r="J44" s="31">
        <v>1.454</v>
      </c>
      <c r="K44" s="31">
        <v>1.4119999999999999</v>
      </c>
      <c r="L44" s="31">
        <v>1.37</v>
      </c>
      <c r="M44" s="31"/>
      <c r="N44" s="31"/>
      <c r="O44" s="31"/>
      <c r="P44" s="31"/>
      <c r="Q44" s="31"/>
      <c r="R44" s="31"/>
      <c r="S44" s="31"/>
      <c r="T44" s="31"/>
      <c r="U44" s="31"/>
      <c r="V44" s="31"/>
      <c r="W44" s="31"/>
      <c r="X44" s="31"/>
      <c r="Y44" s="32"/>
      <c r="Z44" s="20"/>
      <c r="AA44" s="21"/>
      <c r="AB44" s="21"/>
      <c r="AC44" s="195">
        <f t="shared" si="1"/>
        <v>86</v>
      </c>
      <c r="AD44" s="195">
        <f t="shared" si="2"/>
        <v>0</v>
      </c>
      <c r="AE44" s="195">
        <f t="shared" si="3"/>
        <v>0</v>
      </c>
      <c r="AF44" s="195">
        <f t="shared" si="4"/>
        <v>0</v>
      </c>
      <c r="AG44" s="195">
        <f>Table9[[#This Row],[RTH(min) (kΩ)]]*RT2_TH_MIN/(RT2_TH_MIN+Table9[[#This Row],[RTH(min) (kΩ)]])</f>
        <v>0</v>
      </c>
      <c r="AH44" s="195">
        <f>Table9[[#This Row],[RTH(nom) (kΩ)]]*RT2_TH_S/(RT2_TH_S+Table9[[#This Row],[RTH(nom) (kΩ)]])</f>
        <v>0</v>
      </c>
      <c r="AI44" s="195">
        <f>Table9[[#This Row],[RTH(max) (kΩ)]]*RT2_TH_S_MAX/(RT2_TH_S_MAX+Table9[[#This Row],[RTH(max) (kΩ)]])</f>
        <v>0</v>
      </c>
      <c r="AJ44" s="195">
        <f>Table9[[#This Row],[RLower(min) (kΩ)]]/(Table9[[#This Row],[RLower(min) (kΩ)]]+RT1_TH_S_MAX)*100</f>
        <v>0</v>
      </c>
      <c r="AK44" s="195">
        <f>Table9[[#This Row],[RLower(nom) (kΩ)]]/(Table9[[#This Row],[RLower(nom) (kΩ)]]+RT1_TH_S)*100</f>
        <v>0</v>
      </c>
      <c r="AL44" s="195">
        <f>Table9[[#This Row],[RLower(max) (kΩ)]]/(Table9[[#This Row],[RLower(max) (kΩ)]]+RT1_TH_S_MIN)*100</f>
        <v>0</v>
      </c>
      <c r="AM44" s="195">
        <f>IF(Table9[[#This Row],[Vmin (%)]]&lt;$BA$14, 0, IF(Table9[[#This Row],[Vmin (%)]]&lt;$BA$12, 4, IF(Table9[[#This Row],[Vmin (%)]]&lt;$BA$9, 3, IF(Table9[[#This Row],[Vmin (%)]]&lt;$BA$7, 2, 0))))</f>
        <v>0</v>
      </c>
      <c r="AN44" s="195">
        <f>IF(Table9[[#This Row],[Vmin (%)]]&lt;$BA$13, 0, IF(Table9[[#This Row],[Vmin (%)]]&lt;$BA$11, 4, IF(Table9[[#This Row],[Vmin (%)]]&lt;$BA$10, 3, IF(Table9[[#This Row],[Vmin (%)]]&lt;$BA$8, 2, 0))))</f>
        <v>0</v>
      </c>
      <c r="AO44" s="197" t="str">
        <f>IF(Table9[[#This Row],[Vmin (%)]]&lt;$BA$14, "Hot", IF(Table9[[#This Row],[Vmin (%)]]&lt;$BA$12, "Warm", IF(Table9[[#This Row],[Vmin (%)]]&lt;$BA$9, "Normal", IF(Table9[[#This Row],[Vmin (%)]]&lt;$BA$7, "Cool", "Cold"))))</f>
        <v>Hot</v>
      </c>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row>
    <row r="45" spans="1:210" x14ac:dyDescent="0.25">
      <c r="A45" s="118">
        <f t="shared" si="5"/>
        <v>85</v>
      </c>
      <c r="B45" s="179"/>
      <c r="C45" s="188" t="str">
        <f t="shared" si="0"/>
        <v>RTH at 85 °C</v>
      </c>
      <c r="D45" s="219">
        <f t="shared" si="6"/>
        <v>2.7647058823529411</v>
      </c>
      <c r="E45" s="220">
        <v>1.409</v>
      </c>
      <c r="F45" s="221">
        <v>1.4510000000000001</v>
      </c>
      <c r="G45" s="222">
        <v>1.494</v>
      </c>
      <c r="H45" s="138" t="s">
        <v>30</v>
      </c>
      <c r="I45" s="31"/>
      <c r="J45" s="31">
        <v>1.494</v>
      </c>
      <c r="K45" s="31">
        <v>1.4510000000000001</v>
      </c>
      <c r="L45" s="31">
        <v>1.409</v>
      </c>
      <c r="M45" s="31"/>
      <c r="N45" s="31"/>
      <c r="O45" s="31"/>
      <c r="P45" s="31"/>
      <c r="Q45" s="31"/>
      <c r="R45" s="31"/>
      <c r="S45" s="31"/>
      <c r="T45" s="31"/>
      <c r="U45" s="31"/>
      <c r="V45" s="31"/>
      <c r="W45" s="31"/>
      <c r="X45" s="31"/>
      <c r="Y45" s="32"/>
      <c r="Z45" s="20"/>
      <c r="AA45" s="21"/>
      <c r="AB45" s="21"/>
      <c r="AC45" s="195">
        <f t="shared" si="1"/>
        <v>85</v>
      </c>
      <c r="AD45" s="195">
        <f t="shared" si="2"/>
        <v>1.409</v>
      </c>
      <c r="AE45" s="195">
        <f t="shared" si="3"/>
        <v>1.4510000000000001</v>
      </c>
      <c r="AF45" s="195">
        <f t="shared" si="4"/>
        <v>1.494</v>
      </c>
      <c r="AG45" s="195">
        <f>Table9[[#This Row],[RTH(min) (kΩ)]]*RT2_TH_MIN/(RT2_TH_MIN+Table9[[#This Row],[RTH(min) (kΩ)]])</f>
        <v>1.3467338133363211</v>
      </c>
      <c r="AH45" s="195">
        <f>Table9[[#This Row],[RTH(nom) (kΩ)]]*RT2_TH_S/(RT2_TH_S+Table9[[#This Row],[RTH(nom) (kΩ)]])</f>
        <v>1.385116202752753</v>
      </c>
      <c r="AI45" s="195">
        <f>Table9[[#This Row],[RTH(max) (kΩ)]]*RT2_TH_S_MAX/(RT2_TH_S_MAX+Table9[[#This Row],[RTH(max) (kΩ)]])</f>
        <v>1.424313735885735</v>
      </c>
      <c r="AJ45" s="195">
        <f>Table9[[#This Row],[RLower(min) (kΩ)]]/(Table9[[#This Row],[RLower(min) (kΩ)]]+RT1_TH_S_MAX)*100</f>
        <v>20.451669141954675</v>
      </c>
      <c r="AK45" s="195">
        <f>Table9[[#This Row],[RLower(nom) (kΩ)]]/(Table9[[#This Row],[RLower(nom) (kΩ)]]+RT1_TH_S)*100</f>
        <v>20.929189110890288</v>
      </c>
      <c r="AL45" s="195">
        <f>Table9[[#This Row],[RLower(max) (kΩ)]]/(Table9[[#This Row],[RLower(max) (kΩ)]]+RT1_TH_S_MIN)*100</f>
        <v>21.411580618877334</v>
      </c>
      <c r="AM45" s="195">
        <f>IF(Table9[[#This Row],[Vmin (%)]]&lt;$BA$14, 0, IF(Table9[[#This Row],[Vmin (%)]]&lt;$BA$12, 4, IF(Table9[[#This Row],[Vmin (%)]]&lt;$BA$9, 3, IF(Table9[[#This Row],[Vmin (%)]]&lt;$BA$7, 2, 0))))</f>
        <v>0</v>
      </c>
      <c r="AN45" s="195">
        <f>IF(Table9[[#This Row],[Vmin (%)]]&lt;$BA$13, 0, IF(Table9[[#This Row],[Vmin (%)]]&lt;$BA$11, 4, IF(Table9[[#This Row],[Vmin (%)]]&lt;$BA$10, 3, IF(Table9[[#This Row],[Vmin (%)]]&lt;$BA$8, 2, 0))))</f>
        <v>0</v>
      </c>
      <c r="AO45" s="197" t="str">
        <f>IF(Table9[[#This Row],[Vmin (%)]]&lt;$BA$14, "Hot", IF(Table9[[#This Row],[Vmin (%)]]&lt;$BA$12, "Warm", IF(Table9[[#This Row],[Vmin (%)]]&lt;$BA$9, "Normal", IF(Table9[[#This Row],[Vmin (%)]]&lt;$BA$7, "Cool", "Cold"))))</f>
        <v>Hot</v>
      </c>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row>
    <row r="46" spans="1:210" x14ac:dyDescent="0.25">
      <c r="A46" s="118">
        <f t="shared" si="5"/>
        <v>84</v>
      </c>
      <c r="B46" s="179"/>
      <c r="C46" s="188" t="str">
        <f t="shared" si="0"/>
        <v>RTH at 84 °C</v>
      </c>
      <c r="D46" s="219">
        <f t="shared" si="6"/>
        <v>2.7352941176470589</v>
      </c>
      <c r="E46" s="220">
        <v>1.448</v>
      </c>
      <c r="F46" s="221">
        <v>1.492</v>
      </c>
      <c r="G46" s="222">
        <v>1.5349999999999999</v>
      </c>
      <c r="H46" s="138" t="s">
        <v>30</v>
      </c>
      <c r="I46" s="31"/>
      <c r="J46" s="31">
        <v>1.5349999999999999</v>
      </c>
      <c r="K46" s="31">
        <v>1.492</v>
      </c>
      <c r="L46" s="31">
        <v>1.448</v>
      </c>
      <c r="M46" s="31"/>
      <c r="N46" s="31"/>
      <c r="O46" s="31"/>
      <c r="P46" s="31"/>
      <c r="Q46" s="31"/>
      <c r="R46" s="31"/>
      <c r="S46" s="31"/>
      <c r="T46" s="31"/>
      <c r="U46" s="31"/>
      <c r="V46" s="31"/>
      <c r="W46" s="31"/>
      <c r="X46" s="31"/>
      <c r="Y46" s="32"/>
      <c r="Z46" s="20"/>
      <c r="AA46" s="21"/>
      <c r="AB46" s="21"/>
      <c r="AC46" s="195">
        <f t="shared" si="1"/>
        <v>84</v>
      </c>
      <c r="AD46" s="195">
        <f t="shared" si="2"/>
        <v>1.448</v>
      </c>
      <c r="AE46" s="195">
        <f t="shared" si="3"/>
        <v>1.492</v>
      </c>
      <c r="AF46" s="195">
        <f t="shared" si="4"/>
        <v>1.5349999999999999</v>
      </c>
      <c r="AG46" s="195">
        <f>Table9[[#This Row],[RTH(min) (kΩ)]]*RT2_TH_MIN/(RT2_TH_MIN+Table9[[#This Row],[RTH(min) (kΩ)]])</f>
        <v>1.3823194916359356</v>
      </c>
      <c r="AH46" s="195">
        <f>Table9[[#This Row],[RTH(nom) (kΩ)]]*RT2_TH_S/(RT2_TH_S+Table9[[#This Row],[RTH(nom) (kΩ)]])</f>
        <v>1.4224295841289731</v>
      </c>
      <c r="AI46" s="195">
        <f>Table9[[#This Row],[RTH(max) (kΩ)]]*RT2_TH_S_MAX/(RT2_TH_S_MAX+Table9[[#This Row],[RTH(max) (kΩ)]])</f>
        <v>1.4615304837368515</v>
      </c>
      <c r="AJ46" s="195">
        <f>Table9[[#This Row],[RLower(min) (kΩ)]]/(Table9[[#This Row],[RLower(min) (kΩ)]]+RT1_TH_S_MAX)*100</f>
        <v>20.879244499744097</v>
      </c>
      <c r="AK46" s="195">
        <f>Table9[[#This Row],[RLower(nom) (kΩ)]]/(Table9[[#This Row],[RLower(nom) (kΩ)]]+RT1_TH_S)*100</f>
        <v>21.372496820756719</v>
      </c>
      <c r="AL46" s="195">
        <f>Table9[[#This Row],[RLower(max) (kΩ)]]/(Table9[[#This Row],[RLower(max) (kΩ)]]+RT1_TH_S_MIN)*100</f>
        <v>21.848817752119835</v>
      </c>
      <c r="AM46" s="195">
        <f>IF(Table9[[#This Row],[Vmin (%)]]&lt;$BA$14, 0, IF(Table9[[#This Row],[Vmin (%)]]&lt;$BA$12, 4, IF(Table9[[#This Row],[Vmin (%)]]&lt;$BA$9, 3, IF(Table9[[#This Row],[Vmin (%)]]&lt;$BA$7, 2, 0))))</f>
        <v>0</v>
      </c>
      <c r="AN46" s="195">
        <f>IF(Table9[[#This Row],[Vmin (%)]]&lt;$BA$13, 0, IF(Table9[[#This Row],[Vmin (%)]]&lt;$BA$11, 4, IF(Table9[[#This Row],[Vmin (%)]]&lt;$BA$10, 3, IF(Table9[[#This Row],[Vmin (%)]]&lt;$BA$8, 2, 0))))</f>
        <v>0</v>
      </c>
      <c r="AO46" s="197" t="str">
        <f>IF(Table9[[#This Row],[Vmin (%)]]&lt;$BA$14, "Hot", IF(Table9[[#This Row],[Vmin (%)]]&lt;$BA$12, "Warm", IF(Table9[[#This Row],[Vmin (%)]]&lt;$BA$9, "Normal", IF(Table9[[#This Row],[Vmin (%)]]&lt;$BA$7, "Cool", "Cold"))))</f>
        <v>Hot</v>
      </c>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row>
    <row r="47" spans="1:210" x14ac:dyDescent="0.25">
      <c r="A47" s="118">
        <f t="shared" si="5"/>
        <v>83</v>
      </c>
      <c r="B47" s="179"/>
      <c r="C47" s="188" t="str">
        <f t="shared" si="0"/>
        <v>RTH at 83 °C</v>
      </c>
      <c r="D47" s="219">
        <f t="shared" si="6"/>
        <v>2.7058823529411766</v>
      </c>
      <c r="E47" s="220">
        <v>1.4890000000000001</v>
      </c>
      <c r="F47" s="221">
        <v>1.5329999999999999</v>
      </c>
      <c r="G47" s="222">
        <v>1.5780000000000001</v>
      </c>
      <c r="H47" s="138" t="s">
        <v>30</v>
      </c>
      <c r="I47" s="31"/>
      <c r="J47" s="31">
        <v>1.5780000000000001</v>
      </c>
      <c r="K47" s="31">
        <v>1.5329999999999999</v>
      </c>
      <c r="L47" s="31">
        <v>1.4890000000000001</v>
      </c>
      <c r="M47" s="31"/>
      <c r="N47" s="31"/>
      <c r="O47" s="31"/>
      <c r="P47" s="31"/>
      <c r="Q47" s="31"/>
      <c r="R47" s="31"/>
      <c r="S47" s="31"/>
      <c r="T47" s="31"/>
      <c r="U47" s="31"/>
      <c r="V47" s="31"/>
      <c r="W47" s="31"/>
      <c r="X47" s="31"/>
      <c r="Y47" s="32"/>
      <c r="Z47" s="20"/>
      <c r="AA47" s="21"/>
      <c r="AB47" s="21"/>
      <c r="AC47" s="195">
        <f t="shared" si="1"/>
        <v>83</v>
      </c>
      <c r="AD47" s="195">
        <f t="shared" si="2"/>
        <v>1.4890000000000001</v>
      </c>
      <c r="AE47" s="195">
        <f t="shared" si="3"/>
        <v>1.5329999999999999</v>
      </c>
      <c r="AF47" s="195">
        <f t="shared" si="4"/>
        <v>1.5780000000000001</v>
      </c>
      <c r="AG47" s="195">
        <f>Table9[[#This Row],[RTH(min) (kΩ)]]*RT2_TH_MIN/(RT2_TH_MIN+Table9[[#This Row],[RTH(min) (kΩ)]])</f>
        <v>1.4196364440539213</v>
      </c>
      <c r="AH47" s="195">
        <f>Table9[[#This Row],[RTH(nom) (kΩ)]]*RT2_TH_S/(RT2_TH_S+Table9[[#This Row],[RTH(nom) (kΩ)]])</f>
        <v>1.4596474642055715</v>
      </c>
      <c r="AI47" s="195">
        <f>Table9[[#This Row],[RTH(max) (kΩ)]]*RT2_TH_S_MAX/(RT2_TH_S_MAX+Table9[[#This Row],[RTH(max) (kΩ)]])</f>
        <v>1.5004605862105524</v>
      </c>
      <c r="AJ47" s="195">
        <f>Table9[[#This Row],[RLower(min) (kΩ)]]/(Table9[[#This Row],[RLower(min) (kΩ)]]+RT1_TH_S_MAX)*100</f>
        <v>21.322712101972595</v>
      </c>
      <c r="AK47" s="195">
        <f>Table9[[#This Row],[RLower(nom) (kΩ)]]/(Table9[[#This Row],[RLower(nom) (kΩ)]]+RT1_TH_S)*100</f>
        <v>21.809745737682956</v>
      </c>
      <c r="AL47" s="195">
        <f>Table9[[#This Row],[RLower(max) (kΩ)]]/(Table9[[#This Row],[RLower(max) (kΩ)]]+RT1_TH_S_MIN)*100</f>
        <v>22.301007796776634</v>
      </c>
      <c r="AM47" s="195">
        <f>IF(Table9[[#This Row],[Vmin (%)]]&lt;$BA$14, 0, IF(Table9[[#This Row],[Vmin (%)]]&lt;$BA$12, 4, IF(Table9[[#This Row],[Vmin (%)]]&lt;$BA$9, 3, IF(Table9[[#This Row],[Vmin (%)]]&lt;$BA$7, 2, 0))))</f>
        <v>0</v>
      </c>
      <c r="AN47" s="195">
        <f>IF(Table9[[#This Row],[Vmin (%)]]&lt;$BA$13, 0, IF(Table9[[#This Row],[Vmin (%)]]&lt;$BA$11, 4, IF(Table9[[#This Row],[Vmin (%)]]&lt;$BA$10, 3, IF(Table9[[#This Row],[Vmin (%)]]&lt;$BA$8, 2, 0))))</f>
        <v>0</v>
      </c>
      <c r="AO47" s="197" t="str">
        <f>IF(Table9[[#This Row],[Vmin (%)]]&lt;$BA$14, "Hot", IF(Table9[[#This Row],[Vmin (%)]]&lt;$BA$12, "Warm", IF(Table9[[#This Row],[Vmin (%)]]&lt;$BA$9, "Normal", IF(Table9[[#This Row],[Vmin (%)]]&lt;$BA$7, "Cool", "Cold"))))</f>
        <v>Hot</v>
      </c>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row>
    <row r="48" spans="1:210" x14ac:dyDescent="0.25">
      <c r="A48" s="118">
        <f t="shared" si="5"/>
        <v>82</v>
      </c>
      <c r="B48" s="179"/>
      <c r="C48" s="188" t="str">
        <f t="shared" si="0"/>
        <v>RTH at 82 °C</v>
      </c>
      <c r="D48" s="219">
        <f t="shared" si="6"/>
        <v>2.6764705882352944</v>
      </c>
      <c r="E48" s="220">
        <v>1.532</v>
      </c>
      <c r="F48" s="221">
        <v>1.577</v>
      </c>
      <c r="G48" s="222">
        <v>1.6220000000000001</v>
      </c>
      <c r="H48" s="138" t="s">
        <v>30</v>
      </c>
      <c r="I48" s="31"/>
      <c r="J48" s="31">
        <v>1.6220000000000001</v>
      </c>
      <c r="K48" s="31">
        <v>1.577</v>
      </c>
      <c r="L48" s="31">
        <v>1.532</v>
      </c>
      <c r="M48" s="31"/>
      <c r="N48" s="31"/>
      <c r="O48" s="31"/>
      <c r="P48" s="31"/>
      <c r="Q48" s="31"/>
      <c r="R48" s="31"/>
      <c r="S48" s="31"/>
      <c r="T48" s="31"/>
      <c r="U48" s="31"/>
      <c r="V48" s="31"/>
      <c r="W48" s="31"/>
      <c r="X48" s="31"/>
      <c r="Y48" s="32"/>
      <c r="Z48" s="20"/>
      <c r="AA48" s="21"/>
      <c r="AB48" s="21"/>
      <c r="AC48" s="195">
        <f t="shared" si="1"/>
        <v>82</v>
      </c>
      <c r="AD48" s="195">
        <f t="shared" si="2"/>
        <v>1.532</v>
      </c>
      <c r="AE48" s="195">
        <f t="shared" si="3"/>
        <v>1.577</v>
      </c>
      <c r="AF48" s="195">
        <f t="shared" si="4"/>
        <v>1.6220000000000001</v>
      </c>
      <c r="AG48" s="195">
        <f>Table9[[#This Row],[RTH(min) (kΩ)]]*RT2_TH_MIN/(RT2_TH_MIN+Table9[[#This Row],[RTH(min) (kΩ)]])</f>
        <v>1.4586710219658894</v>
      </c>
      <c r="AH48" s="195">
        <f>Table9[[#This Row],[RTH(nom) (kΩ)]]*RT2_TH_S/(RT2_TH_S+Table9[[#This Row],[RTH(nom) (kΩ)]])</f>
        <v>1.4994827822379848</v>
      </c>
      <c r="AI48" s="195">
        <f>Table9[[#This Row],[RTH(max) (kΩ)]]*RT2_TH_S_MAX/(RT2_TH_S_MAX+Table9[[#This Row],[RTH(max) (kΩ)]])</f>
        <v>1.5401882686585244</v>
      </c>
      <c r="AJ48" s="195">
        <f>Table9[[#This Row],[RLower(min) (kΩ)]]/(Table9[[#This Row],[RLower(min) (kΩ)]]+RT1_TH_S_MAX)*100</f>
        <v>21.7813029341443</v>
      </c>
      <c r="AK48" s="195">
        <f>Table9[[#This Row],[RLower(nom) (kΩ)]]/(Table9[[#This Row],[RLower(nom) (kΩ)]]+RT1_TH_S)*100</f>
        <v>22.272388991618705</v>
      </c>
      <c r="AL48" s="195">
        <f>Table9[[#This Row],[RLower(max) (kΩ)]]/(Table9[[#This Row],[RLower(max) (kΩ)]]+RT1_TH_S_MIN)*100</f>
        <v>22.757099008976827</v>
      </c>
      <c r="AM48" s="195">
        <f>IF(Table9[[#This Row],[Vmin (%)]]&lt;$BA$14, 0, IF(Table9[[#This Row],[Vmin (%)]]&lt;$BA$12, 4, IF(Table9[[#This Row],[Vmin (%)]]&lt;$BA$9, 3, IF(Table9[[#This Row],[Vmin (%)]]&lt;$BA$7, 2, 0))))</f>
        <v>0</v>
      </c>
      <c r="AN48" s="195">
        <f>IF(Table9[[#This Row],[Vmin (%)]]&lt;$BA$13, 0, IF(Table9[[#This Row],[Vmin (%)]]&lt;$BA$11, 4, IF(Table9[[#This Row],[Vmin (%)]]&lt;$BA$10, 3, IF(Table9[[#This Row],[Vmin (%)]]&lt;$BA$8, 2, 0))))</f>
        <v>0</v>
      </c>
      <c r="AO48" s="197" t="str">
        <f>IF(Table9[[#This Row],[Vmin (%)]]&lt;$BA$14, "Hot", IF(Table9[[#This Row],[Vmin (%)]]&lt;$BA$12, "Warm", IF(Table9[[#This Row],[Vmin (%)]]&lt;$BA$9, "Normal", IF(Table9[[#This Row],[Vmin (%)]]&lt;$BA$7, "Cool", "Cold"))))</f>
        <v>Hot</v>
      </c>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row>
    <row r="49" spans="1:210" x14ac:dyDescent="0.25">
      <c r="A49" s="118">
        <f t="shared" si="5"/>
        <v>81</v>
      </c>
      <c r="B49" s="179"/>
      <c r="C49" s="188" t="str">
        <f t="shared" si="0"/>
        <v>RTH at 81 °C</v>
      </c>
      <c r="D49" s="219">
        <f t="shared" si="6"/>
        <v>2.6470588235294117</v>
      </c>
      <c r="E49" s="220">
        <v>1.5760000000000001</v>
      </c>
      <c r="F49" s="221">
        <v>1.6220000000000001</v>
      </c>
      <c r="G49" s="222">
        <v>1.6679999999999999</v>
      </c>
      <c r="H49" s="138" t="s">
        <v>30</v>
      </c>
      <c r="I49" s="31"/>
      <c r="J49" s="31">
        <v>1.6679999999999999</v>
      </c>
      <c r="K49" s="31">
        <v>1.6220000000000001</v>
      </c>
      <c r="L49" s="31">
        <v>1.5760000000000001</v>
      </c>
      <c r="M49" s="31"/>
      <c r="N49" s="31"/>
      <c r="O49" s="31"/>
      <c r="P49" s="31"/>
      <c r="Q49" s="31"/>
      <c r="R49" s="31"/>
      <c r="S49" s="31"/>
      <c r="T49" s="31"/>
      <c r="U49" s="31"/>
      <c r="V49" s="31"/>
      <c r="W49" s="31"/>
      <c r="X49" s="31"/>
      <c r="Y49" s="32"/>
      <c r="Z49" s="20"/>
      <c r="AA49" s="21"/>
      <c r="AB49" s="21"/>
      <c r="AC49" s="195">
        <f t="shared" si="1"/>
        <v>81</v>
      </c>
      <c r="AD49" s="195">
        <f t="shared" si="2"/>
        <v>1.5760000000000001</v>
      </c>
      <c r="AE49" s="195">
        <f t="shared" si="3"/>
        <v>1.6220000000000001</v>
      </c>
      <c r="AF49" s="195">
        <f t="shared" si="4"/>
        <v>1.6679999999999999</v>
      </c>
      <c r="AG49" s="195">
        <f>Table9[[#This Row],[RTH(min) (kΩ)]]*RT2_TH_MIN/(RT2_TH_MIN+Table9[[#This Row],[RTH(min) (kΩ)]])</f>
        <v>1.4985049595009423</v>
      </c>
      <c r="AH49" s="195">
        <f>Table9[[#This Row],[RTH(nom) (kΩ)]]*RT2_TH_S/(RT2_TH_S+Table9[[#This Row],[RTH(nom) (kΩ)]])</f>
        <v>1.5401105873307765</v>
      </c>
      <c r="AI49" s="195">
        <f>Table9[[#This Row],[RTH(max) (kΩ)]]*RT2_TH_S_MAX/(RT2_TH_S_MAX+Table9[[#This Row],[RTH(max) (kΩ)]])</f>
        <v>1.5816056811114765</v>
      </c>
      <c r="AJ49" s="195">
        <f>Table9[[#This Row],[RLower(min) (kΩ)]]/(Table9[[#This Row],[RLower(min) (kΩ)]]+RT1_TH_S_MAX)*100</f>
        <v>22.243806123439537</v>
      </c>
      <c r="AK49" s="195">
        <f>Table9[[#This Row],[RLower(nom) (kΩ)]]/(Table9[[#This Row],[RLower(nom) (kΩ)]]+RT1_TH_S)*100</f>
        <v>22.738630656712367</v>
      </c>
      <c r="AL49" s="195">
        <f>Table9[[#This Row],[RLower(max) (kΩ)]]/(Table9[[#This Row],[RLower(max) (kΩ)]]+RT1_TH_S_MIN)*100</f>
        <v>23.226922793708056</v>
      </c>
      <c r="AM49" s="195">
        <f>IF(Table9[[#This Row],[Vmin (%)]]&lt;$BA$14, 0, IF(Table9[[#This Row],[Vmin (%)]]&lt;$BA$12, 4, IF(Table9[[#This Row],[Vmin (%)]]&lt;$BA$9, 3, IF(Table9[[#This Row],[Vmin (%)]]&lt;$BA$7, 2, 0))))</f>
        <v>0</v>
      </c>
      <c r="AN49" s="195">
        <f>IF(Table9[[#This Row],[Vmin (%)]]&lt;$BA$13, 0, IF(Table9[[#This Row],[Vmin (%)]]&lt;$BA$11, 4, IF(Table9[[#This Row],[Vmin (%)]]&lt;$BA$10, 3, IF(Table9[[#This Row],[Vmin (%)]]&lt;$BA$8, 2, 0))))</f>
        <v>0</v>
      </c>
      <c r="AO49" s="197" t="str">
        <f>IF(Table9[[#This Row],[Vmin (%)]]&lt;$BA$14, "Hot", IF(Table9[[#This Row],[Vmin (%)]]&lt;$BA$12, "Warm", IF(Table9[[#This Row],[Vmin (%)]]&lt;$BA$9, "Normal", IF(Table9[[#This Row],[Vmin (%)]]&lt;$BA$7, "Cool", "Cold"))))</f>
        <v>Hot</v>
      </c>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row>
    <row r="50" spans="1:210" x14ac:dyDescent="0.25">
      <c r="A50" s="118">
        <f t="shared" si="5"/>
        <v>80</v>
      </c>
      <c r="B50" s="179"/>
      <c r="C50" s="188" t="str">
        <f t="shared" si="0"/>
        <v>RTH at 80 °C</v>
      </c>
      <c r="D50" s="219">
        <f t="shared" si="6"/>
        <v>2.6176470588235294</v>
      </c>
      <c r="E50" s="220">
        <v>1.621</v>
      </c>
      <c r="F50" s="221">
        <v>1.6679999999999999</v>
      </c>
      <c r="G50" s="222">
        <v>1.7150000000000001</v>
      </c>
      <c r="H50" s="138" t="s">
        <v>30</v>
      </c>
      <c r="I50" s="31"/>
      <c r="J50" s="31">
        <v>1.7150000000000001</v>
      </c>
      <c r="K50" s="31">
        <v>1.6679999999999999</v>
      </c>
      <c r="L50" s="31">
        <v>1.621</v>
      </c>
      <c r="M50" s="31"/>
      <c r="N50" s="31"/>
      <c r="O50" s="31"/>
      <c r="P50" s="31"/>
      <c r="Q50" s="31"/>
      <c r="R50" s="31"/>
      <c r="S50" s="31"/>
      <c r="T50" s="31"/>
      <c r="U50" s="31"/>
      <c r="V50" s="31"/>
      <c r="W50" s="31"/>
      <c r="X50" s="31"/>
      <c r="Y50" s="32"/>
      <c r="Z50" s="20"/>
      <c r="AA50" s="21"/>
      <c r="AB50" s="21"/>
      <c r="AC50" s="195">
        <f t="shared" si="1"/>
        <v>80</v>
      </c>
      <c r="AD50" s="195">
        <f t="shared" si="2"/>
        <v>1.621</v>
      </c>
      <c r="AE50" s="195">
        <f t="shared" si="3"/>
        <v>1.6679999999999999</v>
      </c>
      <c r="AF50" s="195">
        <f t="shared" si="4"/>
        <v>1.7150000000000001</v>
      </c>
      <c r="AG50" s="195">
        <f>Table9[[#This Row],[RTH(min) (kΩ)]]*RT2_TH_MIN/(RT2_TH_MIN+Table9[[#This Row],[RTH(min) (kΩ)]])</f>
        <v>1.5391312458518158</v>
      </c>
      <c r="AH50" s="195">
        <f>Table9[[#This Row],[RTH(nom) (kΩ)]]*RT2_TH_S/(RT2_TH_S+Table9[[#This Row],[RTH(nom) (kΩ)]])</f>
        <v>1.5815237658425578</v>
      </c>
      <c r="AI50" s="195">
        <f>Table9[[#This Row],[RTH(max) (kΩ)]]*RT2_TH_S_MAX/(RT2_TH_S_MAX+Table9[[#This Row],[RTH(max) (kΩ)]])</f>
        <v>1.6238014423636704</v>
      </c>
      <c r="AJ50" s="195">
        <f>Table9[[#This Row],[RLower(min) (kΩ)]]/(Table9[[#This Row],[RLower(min) (kΩ)]]+RT1_TH_S_MAX)*100</f>
        <v>22.709909082349991</v>
      </c>
      <c r="AK50" s="195">
        <f>Table9[[#This Row],[RLower(nom) (kΩ)]]/(Table9[[#This Row],[RLower(nom) (kΩ)]]+RT1_TH_S)*100</f>
        <v>23.208163546681558</v>
      </c>
      <c r="AL50" s="195">
        <f>Table9[[#This Row],[RLower(max) (kΩ)]]/(Table9[[#This Row],[RLower(max) (kΩ)]]+RT1_TH_S_MIN)*100</f>
        <v>23.699734624363884</v>
      </c>
      <c r="AM50" s="195">
        <f>IF(Table9[[#This Row],[Vmin (%)]]&lt;$BA$14, 0, IF(Table9[[#This Row],[Vmin (%)]]&lt;$BA$12, 4, IF(Table9[[#This Row],[Vmin (%)]]&lt;$BA$9, 3, IF(Table9[[#This Row],[Vmin (%)]]&lt;$BA$7, 2, 0))))</f>
        <v>0</v>
      </c>
      <c r="AN50" s="195">
        <f>IF(Table9[[#This Row],[Vmin (%)]]&lt;$BA$13, 0, IF(Table9[[#This Row],[Vmin (%)]]&lt;$BA$11, 4, IF(Table9[[#This Row],[Vmin (%)]]&lt;$BA$10, 3, IF(Table9[[#This Row],[Vmin (%)]]&lt;$BA$8, 2, 0))))</f>
        <v>0</v>
      </c>
      <c r="AO50" s="197" t="str">
        <f>IF(Table9[[#This Row],[Vmin (%)]]&lt;$BA$14, "Hot", IF(Table9[[#This Row],[Vmin (%)]]&lt;$BA$12, "Warm", IF(Table9[[#This Row],[Vmin (%)]]&lt;$BA$9, "Normal", IF(Table9[[#This Row],[Vmin (%)]]&lt;$BA$7, "Cool", "Cold"))))</f>
        <v>Hot</v>
      </c>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row>
    <row r="51" spans="1:210" x14ac:dyDescent="0.25">
      <c r="A51" s="118">
        <f t="shared" si="5"/>
        <v>79</v>
      </c>
      <c r="B51" s="179"/>
      <c r="C51" s="188" t="str">
        <f t="shared" si="0"/>
        <v>RTH at 79 °C</v>
      </c>
      <c r="D51" s="219">
        <f t="shared" si="6"/>
        <v>2.5882352941176472</v>
      </c>
      <c r="E51" s="220">
        <v>1.6679999999999999</v>
      </c>
      <c r="F51" s="221">
        <v>1.716</v>
      </c>
      <c r="G51" s="222">
        <v>1.764</v>
      </c>
      <c r="H51" s="138" t="s">
        <v>30</v>
      </c>
      <c r="I51" s="31"/>
      <c r="J51" s="31">
        <v>1.764</v>
      </c>
      <c r="K51" s="31">
        <v>1.716</v>
      </c>
      <c r="L51" s="31">
        <v>1.6679999999999999</v>
      </c>
      <c r="M51" s="31"/>
      <c r="N51" s="31"/>
      <c r="O51" s="31"/>
      <c r="P51" s="31"/>
      <c r="Q51" s="31"/>
      <c r="R51" s="31"/>
      <c r="S51" s="31"/>
      <c r="T51" s="31"/>
      <c r="U51" s="31"/>
      <c r="V51" s="31"/>
      <c r="W51" s="31"/>
      <c r="X51" s="31"/>
      <c r="Y51" s="32"/>
      <c r="Z51" s="20"/>
      <c r="AA51" s="21"/>
      <c r="AB51" s="21"/>
      <c r="AC51" s="195">
        <f t="shared" si="1"/>
        <v>79</v>
      </c>
      <c r="AD51" s="195">
        <f t="shared" si="2"/>
        <v>1.6679999999999999</v>
      </c>
      <c r="AE51" s="195">
        <f t="shared" si="3"/>
        <v>1.716</v>
      </c>
      <c r="AF51" s="195">
        <f t="shared" si="4"/>
        <v>1.764</v>
      </c>
      <c r="AG51" s="195">
        <f>Table9[[#This Row],[RTH(min) (kΩ)]]*RT2_TH_MIN/(RT2_TH_MIN+Table9[[#This Row],[RTH(min) (kΩ)]])</f>
        <v>1.5814416950893522</v>
      </c>
      <c r="AH51" s="195">
        <f>Table9[[#This Row],[RTH(nom) (kΩ)]]*RT2_TH_S/(RT2_TH_S+Table9[[#This Row],[RTH(nom) (kΩ)]])</f>
        <v>1.6246114486983951</v>
      </c>
      <c r="AI51" s="195">
        <f>Table9[[#This Row],[RTH(max) (kΩ)]]*RT2_TH_S_MAX/(RT2_TH_S_MAX+Table9[[#This Row],[RTH(max) (kΩ)]])</f>
        <v>1.6676620188386513</v>
      </c>
      <c r="AJ51" s="195">
        <f>Table9[[#This Row],[RLower(min) (kΩ)]]/(Table9[[#This Row],[RLower(min) (kΩ)]]+RT1_TH_S_MAX)*100</f>
        <v>23.189430887140933</v>
      </c>
      <c r="AK51" s="195">
        <f>Table9[[#This Row],[RLower(nom) (kΩ)]]/(Table9[[#This Row],[RLower(nom) (kΩ)]]+RT1_TH_S)*100</f>
        <v>23.690661948846582</v>
      </c>
      <c r="AL51" s="195">
        <f>Table9[[#This Row],[RLower(max) (kΩ)]]/(Table9[[#This Row],[RLower(max) (kΩ)]]+RT1_TH_S_MIN)*100</f>
        <v>24.185067430759368</v>
      </c>
      <c r="AM51" s="195">
        <f>IF(Table9[[#This Row],[Vmin (%)]]&lt;$BA$14, 0, IF(Table9[[#This Row],[Vmin (%)]]&lt;$BA$12, 4, IF(Table9[[#This Row],[Vmin (%)]]&lt;$BA$9, 3, IF(Table9[[#This Row],[Vmin (%)]]&lt;$BA$7, 2, 0))))</f>
        <v>0</v>
      </c>
      <c r="AN51" s="195">
        <f>IF(Table9[[#This Row],[Vmin (%)]]&lt;$BA$13, 0, IF(Table9[[#This Row],[Vmin (%)]]&lt;$BA$11, 4, IF(Table9[[#This Row],[Vmin (%)]]&lt;$BA$10, 3, IF(Table9[[#This Row],[Vmin (%)]]&lt;$BA$8, 2, 0))))</f>
        <v>0</v>
      </c>
      <c r="AO51" s="197" t="str">
        <f>IF(Table9[[#This Row],[Vmin (%)]]&lt;$BA$14, "Hot", IF(Table9[[#This Row],[Vmin (%)]]&lt;$BA$12, "Warm", IF(Table9[[#This Row],[Vmin (%)]]&lt;$BA$9, "Normal", IF(Table9[[#This Row],[Vmin (%)]]&lt;$BA$7, "Cool", "Cold"))))</f>
        <v>Hot</v>
      </c>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row>
    <row r="52" spans="1:210" x14ac:dyDescent="0.25">
      <c r="A52" s="118">
        <f t="shared" si="5"/>
        <v>78</v>
      </c>
      <c r="B52" s="179"/>
      <c r="C52" s="188" t="str">
        <f t="shared" ref="C52:C83" si="7">_xlfn.CONCAT("RTH at ",A52, " °C")</f>
        <v>RTH at 78 °C</v>
      </c>
      <c r="D52" s="219">
        <f t="shared" si="6"/>
        <v>2.5588235294117645</v>
      </c>
      <c r="E52" s="220">
        <v>1.7170000000000001</v>
      </c>
      <c r="F52" s="221">
        <v>1.7649999999999999</v>
      </c>
      <c r="G52" s="222">
        <v>1.8140000000000001</v>
      </c>
      <c r="H52" s="138" t="s">
        <v>30</v>
      </c>
      <c r="I52" s="31"/>
      <c r="J52" s="31">
        <v>1.8140000000000001</v>
      </c>
      <c r="K52" s="31">
        <v>1.7649999999999999</v>
      </c>
      <c r="L52" s="31">
        <v>1.7170000000000001</v>
      </c>
      <c r="M52" s="31"/>
      <c r="N52" s="31"/>
      <c r="O52" s="31"/>
      <c r="P52" s="31"/>
      <c r="Q52" s="31"/>
      <c r="R52" s="31"/>
      <c r="S52" s="31"/>
      <c r="T52" s="31"/>
      <c r="U52" s="31"/>
      <c r="V52" s="31"/>
      <c r="W52" s="31"/>
      <c r="X52" s="31"/>
      <c r="Y52" s="32"/>
      <c r="Z52" s="20"/>
      <c r="AA52" s="21"/>
      <c r="AB52" s="21"/>
      <c r="AC52" s="195">
        <f t="shared" ref="AC52:AC83" si="8">A52</f>
        <v>78</v>
      </c>
      <c r="AD52" s="195">
        <f t="shared" ref="AD52:AD83" si="9">E52</f>
        <v>1.7170000000000001</v>
      </c>
      <c r="AE52" s="195">
        <f t="shared" ref="AE52:AE83" si="10">F52</f>
        <v>1.7649999999999999</v>
      </c>
      <c r="AF52" s="195">
        <f t="shared" ref="AF52:AF83" si="11">G52</f>
        <v>1.8140000000000001</v>
      </c>
      <c r="AG52" s="195">
        <f>Table9[[#This Row],[RTH(min) (kΩ)]]*RT2_TH_MIN/(RT2_TH_MIN+Table9[[#This Row],[RTH(min) (kΩ)]])</f>
        <v>1.6254210446291348</v>
      </c>
      <c r="AH52" s="195">
        <f>Table9[[#This Row],[RTH(nom) (kΩ)]]*RT2_TH_S/(RT2_TH_S+Table9[[#This Row],[RTH(nom) (kΩ)]])</f>
        <v>1.6684645777498306</v>
      </c>
      <c r="AI52" s="195">
        <f>Table9[[#This Row],[RTH(max) (kΩ)]]*RT2_TH_S_MAX/(RT2_TH_S_MAX+Table9[[#This Row],[RTH(max) (kΩ)]])</f>
        <v>1.7122807433418865</v>
      </c>
      <c r="AJ52" s="195">
        <f>Table9[[#This Row],[RLower(min) (kΩ)]]/(Table9[[#This Row],[RLower(min) (kΩ)]]+RT1_TH_S_MAX)*100</f>
        <v>23.681600685768096</v>
      </c>
      <c r="AK52" s="195">
        <f>Table9[[#This Row],[RLower(nom) (kΩ)]]/(Table9[[#This Row],[RLower(nom) (kΩ)]]+RT1_TH_S)*100</f>
        <v>24.175545628890458</v>
      </c>
      <c r="AL52" s="195">
        <f>Table9[[#This Row],[RLower(max) (kΩ)]]/(Table9[[#This Row],[RLower(max) (kΩ)]]+RT1_TH_S_MIN)*100</f>
        <v>24.672494898928296</v>
      </c>
      <c r="AM52" s="195">
        <f>IF(Table9[[#This Row],[Vmin (%)]]&lt;$BA$14, 0, IF(Table9[[#This Row],[Vmin (%)]]&lt;$BA$12, 4, IF(Table9[[#This Row],[Vmin (%)]]&lt;$BA$9, 3, IF(Table9[[#This Row],[Vmin (%)]]&lt;$BA$7, 2, 0))))</f>
        <v>0</v>
      </c>
      <c r="AN52" s="195">
        <f>IF(Table9[[#This Row],[Vmin (%)]]&lt;$BA$13, 0, IF(Table9[[#This Row],[Vmin (%)]]&lt;$BA$11, 4, IF(Table9[[#This Row],[Vmin (%)]]&lt;$BA$10, 3, IF(Table9[[#This Row],[Vmin (%)]]&lt;$BA$8, 2, 0))))</f>
        <v>0</v>
      </c>
      <c r="AO52" s="197" t="str">
        <f>IF(Table9[[#This Row],[Vmin (%)]]&lt;$BA$14, "Hot", IF(Table9[[#This Row],[Vmin (%)]]&lt;$BA$12, "Warm", IF(Table9[[#This Row],[Vmin (%)]]&lt;$BA$9, "Normal", IF(Table9[[#This Row],[Vmin (%)]]&lt;$BA$7, "Cool", "Cold"))))</f>
        <v>Hot</v>
      </c>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row>
    <row r="53" spans="1:210" x14ac:dyDescent="0.25">
      <c r="A53" s="118">
        <f t="shared" si="5"/>
        <v>77</v>
      </c>
      <c r="B53" s="179"/>
      <c r="C53" s="188" t="str">
        <f t="shared" si="7"/>
        <v>RTH at 77 °C</v>
      </c>
      <c r="D53" s="219">
        <f t="shared" si="6"/>
        <v>2.5294117647058822</v>
      </c>
      <c r="E53" s="220">
        <v>1.7669999999999999</v>
      </c>
      <c r="F53" s="221">
        <v>1.8160000000000001</v>
      </c>
      <c r="G53" s="222">
        <v>1.8660000000000001</v>
      </c>
      <c r="H53" s="138" t="s">
        <v>30</v>
      </c>
      <c r="I53" s="31"/>
      <c r="J53" s="31">
        <v>1.8660000000000001</v>
      </c>
      <c r="K53" s="31">
        <v>1.8160000000000001</v>
      </c>
      <c r="L53" s="31">
        <v>1.7669999999999999</v>
      </c>
      <c r="M53" s="31"/>
      <c r="N53" s="31"/>
      <c r="O53" s="31"/>
      <c r="P53" s="31"/>
      <c r="Q53" s="31"/>
      <c r="R53" s="31"/>
      <c r="S53" s="31"/>
      <c r="T53" s="31"/>
      <c r="U53" s="31"/>
      <c r="V53" s="31"/>
      <c r="W53" s="31"/>
      <c r="X53" s="31"/>
      <c r="Y53" s="32"/>
      <c r="Z53" s="20"/>
      <c r="AA53" s="21"/>
      <c r="AB53" s="21"/>
      <c r="AC53" s="195">
        <f t="shared" si="8"/>
        <v>77</v>
      </c>
      <c r="AD53" s="195">
        <f t="shared" si="9"/>
        <v>1.7669999999999999</v>
      </c>
      <c r="AE53" s="195">
        <f t="shared" si="10"/>
        <v>1.8160000000000001</v>
      </c>
      <c r="AF53" s="195">
        <f t="shared" si="11"/>
        <v>1.8660000000000001</v>
      </c>
      <c r="AG53" s="195">
        <f>Table9[[#This Row],[RTH(min) (kΩ)]]*RT2_TH_MIN/(RT2_TH_MIN+Table9[[#This Row],[RTH(min) (kΩ)]])</f>
        <v>1.6701601351577522</v>
      </c>
      <c r="AH53" s="195">
        <f>Table9[[#This Row],[RTH(nom) (kΩ)]]*RT2_TH_S/(RT2_TH_S+Table9[[#This Row],[RTH(nom) (kΩ)]])</f>
        <v>1.7139664137074864</v>
      </c>
      <c r="AI53" s="195">
        <f>Table9[[#This Row],[RTH(max) (kΩ)]]*RT2_TH_S_MAX/(RT2_TH_S_MAX+Table9[[#This Row],[RTH(max) (kΩ)]])</f>
        <v>1.7585381398602054</v>
      </c>
      <c r="AJ53" s="195">
        <f>Table9[[#This Row],[RLower(min) (kΩ)]]/(Table9[[#This Row],[RLower(min) (kΩ)]]+RT1_TH_S_MAX)*100</f>
        <v>24.175842992063082</v>
      </c>
      <c r="AK53" s="195">
        <f>Table9[[#This Row],[RLower(nom) (kΩ)]]/(Table9[[#This Row],[RLower(nom) (kΩ)]]+RT1_TH_S)*100</f>
        <v>24.672187771053412</v>
      </c>
      <c r="AL53" s="195">
        <f>Table9[[#This Row],[RLower(max) (kΩ)]]/(Table9[[#This Row],[RLower(max) (kΩ)]]+RT1_TH_S_MIN)*100</f>
        <v>25.171250480541147</v>
      </c>
      <c r="AM53" s="195">
        <f>IF(Table9[[#This Row],[Vmin (%)]]&lt;$BA$14, 0, IF(Table9[[#This Row],[Vmin (%)]]&lt;$BA$12, 4, IF(Table9[[#This Row],[Vmin (%)]]&lt;$BA$9, 3, IF(Table9[[#This Row],[Vmin (%)]]&lt;$BA$7, 2, 0))))</f>
        <v>0</v>
      </c>
      <c r="AN53" s="195">
        <f>IF(Table9[[#This Row],[Vmin (%)]]&lt;$BA$13, 0, IF(Table9[[#This Row],[Vmin (%)]]&lt;$BA$11, 4, IF(Table9[[#This Row],[Vmin (%)]]&lt;$BA$10, 3, IF(Table9[[#This Row],[Vmin (%)]]&lt;$BA$8, 2, 0))))</f>
        <v>0</v>
      </c>
      <c r="AO53" s="197" t="str">
        <f>IF(Table9[[#This Row],[Vmin (%)]]&lt;$BA$14, "Hot", IF(Table9[[#This Row],[Vmin (%)]]&lt;$BA$12, "Warm", IF(Table9[[#This Row],[Vmin (%)]]&lt;$BA$9, "Normal", IF(Table9[[#This Row],[Vmin (%)]]&lt;$BA$7, "Cool", "Cold"))))</f>
        <v>Hot</v>
      </c>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row>
    <row r="54" spans="1:210" x14ac:dyDescent="0.25">
      <c r="A54" s="118">
        <f t="shared" si="5"/>
        <v>76</v>
      </c>
      <c r="B54" s="179"/>
      <c r="C54" s="188" t="str">
        <f t="shared" si="7"/>
        <v>RTH at 76 °C</v>
      </c>
      <c r="D54" s="219">
        <f t="shared" si="6"/>
        <v>2.5</v>
      </c>
      <c r="E54" s="220">
        <v>1.819</v>
      </c>
      <c r="F54" s="221">
        <v>1.869</v>
      </c>
      <c r="G54" s="222">
        <v>1.92</v>
      </c>
      <c r="H54" s="138" t="s">
        <v>30</v>
      </c>
      <c r="I54" s="31"/>
      <c r="J54" s="31">
        <v>1.92</v>
      </c>
      <c r="K54" s="31">
        <v>1.869</v>
      </c>
      <c r="L54" s="31">
        <v>1.819</v>
      </c>
      <c r="M54" s="31"/>
      <c r="N54" s="31"/>
      <c r="O54" s="31"/>
      <c r="P54" s="31"/>
      <c r="Q54" s="31"/>
      <c r="R54" s="31"/>
      <c r="S54" s="31"/>
      <c r="T54" s="31"/>
      <c r="U54" s="31"/>
      <c r="V54" s="31"/>
      <c r="W54" s="31"/>
      <c r="X54" s="31"/>
      <c r="Y54" s="32"/>
      <c r="Z54" s="20"/>
      <c r="AA54" s="21"/>
      <c r="AB54" s="21"/>
      <c r="AC54" s="195">
        <f t="shared" si="8"/>
        <v>76</v>
      </c>
      <c r="AD54" s="195">
        <f t="shared" si="9"/>
        <v>1.819</v>
      </c>
      <c r="AE54" s="195">
        <f t="shared" si="10"/>
        <v>1.869</v>
      </c>
      <c r="AF54" s="195">
        <f t="shared" si="11"/>
        <v>1.92</v>
      </c>
      <c r="AG54" s="195">
        <f>Table9[[#This Row],[RTH(min) (kΩ)]]*RT2_TH_MIN/(RT2_TH_MIN+Table9[[#This Row],[RTH(min) (kΩ)]])</f>
        <v>1.7165418283862368</v>
      </c>
      <c r="AH54" s="195">
        <f>Table9[[#This Row],[RTH(nom) (kΩ)]]*RT2_TH_S/(RT2_TH_S+Table9[[#This Row],[RTH(nom) (kΩ)]])</f>
        <v>1.7611007318648917</v>
      </c>
      <c r="AI54" s="195">
        <f>Table9[[#This Row],[RTH(max) (kΩ)]]*RT2_TH_S_MAX/(RT2_TH_S_MAX+Table9[[#This Row],[RTH(max) (kΩ)]])</f>
        <v>1.8064177805910788</v>
      </c>
      <c r="AJ54" s="195">
        <f>Table9[[#This Row],[RLower(min) (kΩ)]]/(Table9[[#This Row],[RLower(min) (kΩ)]]+RT1_TH_S_MAX)*100</f>
        <v>24.681518209125393</v>
      </c>
      <c r="AK54" s="195">
        <f>Table9[[#This Row],[RLower(nom) (kΩ)]]/(Table9[[#This Row],[RLower(nom) (kΩ)]]+RT1_TH_S)*100</f>
        <v>25.179834100167781</v>
      </c>
      <c r="AL54" s="195">
        <f>Table9[[#This Row],[RLower(max) (kΩ)]]/(Table9[[#This Row],[RLower(max) (kΩ)]]+RT1_TH_S_MIN)*100</f>
        <v>25.680588557353246</v>
      </c>
      <c r="AM54" s="195">
        <f>IF(Table9[[#This Row],[Vmin (%)]]&lt;$BA$14, 0, IF(Table9[[#This Row],[Vmin (%)]]&lt;$BA$12, 4, IF(Table9[[#This Row],[Vmin (%)]]&lt;$BA$9, 3, IF(Table9[[#This Row],[Vmin (%)]]&lt;$BA$7, 2, 0))))</f>
        <v>0</v>
      </c>
      <c r="AN54" s="195">
        <f>IF(Table9[[#This Row],[Vmin (%)]]&lt;$BA$13, 0, IF(Table9[[#This Row],[Vmin (%)]]&lt;$BA$11, 4, IF(Table9[[#This Row],[Vmin (%)]]&lt;$BA$10, 3, IF(Table9[[#This Row],[Vmin (%)]]&lt;$BA$8, 2, 0))))</f>
        <v>0</v>
      </c>
      <c r="AO54" s="197" t="str">
        <f>IF(Table9[[#This Row],[Vmin (%)]]&lt;$BA$14, "Hot", IF(Table9[[#This Row],[Vmin (%)]]&lt;$BA$12, "Warm", IF(Table9[[#This Row],[Vmin (%)]]&lt;$BA$9, "Normal", IF(Table9[[#This Row],[Vmin (%)]]&lt;$BA$7, "Cool", "Cold"))))</f>
        <v>Hot</v>
      </c>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row>
    <row r="55" spans="1:210" x14ac:dyDescent="0.25">
      <c r="A55" s="118">
        <f t="shared" si="5"/>
        <v>75</v>
      </c>
      <c r="B55" s="179"/>
      <c r="C55" s="188" t="str">
        <f t="shared" si="7"/>
        <v>RTH at 75 °C</v>
      </c>
      <c r="D55" s="219">
        <f t="shared" si="6"/>
        <v>2.4705882352941178</v>
      </c>
      <c r="E55" s="220">
        <v>1.873</v>
      </c>
      <c r="F55" s="221">
        <v>1.9239999999999999</v>
      </c>
      <c r="G55" s="222">
        <v>1.9750000000000001</v>
      </c>
      <c r="H55" s="138" t="s">
        <v>30</v>
      </c>
      <c r="I55" s="31"/>
      <c r="J55" s="31">
        <v>1.9750000000000001</v>
      </c>
      <c r="K55" s="31">
        <v>1.9239999999999999</v>
      </c>
      <c r="L55" s="31">
        <v>1.873</v>
      </c>
      <c r="M55" s="31"/>
      <c r="N55" s="31"/>
      <c r="O55" s="31"/>
      <c r="P55" s="31"/>
      <c r="Q55" s="31"/>
      <c r="R55" s="31"/>
      <c r="S55" s="31"/>
      <c r="T55" s="31"/>
      <c r="U55" s="31"/>
      <c r="V55" s="31"/>
      <c r="W55" s="31"/>
      <c r="X55" s="31"/>
      <c r="Y55" s="32"/>
      <c r="Z55" s="20"/>
      <c r="AA55" s="21"/>
      <c r="AB55" s="21"/>
      <c r="AC55" s="195">
        <f t="shared" si="8"/>
        <v>75</v>
      </c>
      <c r="AD55" s="195">
        <f t="shared" si="9"/>
        <v>1.873</v>
      </c>
      <c r="AE55" s="195">
        <f t="shared" si="10"/>
        <v>1.9239999999999999</v>
      </c>
      <c r="AF55" s="195">
        <f t="shared" si="11"/>
        <v>1.9750000000000001</v>
      </c>
      <c r="AG55" s="195">
        <f>Table9[[#This Row],[RTH(min) (kΩ)]]*RT2_TH_MIN/(RT2_TH_MIN+Table9[[#This Row],[RTH(min) (kΩ)]])</f>
        <v>1.7645495996477978</v>
      </c>
      <c r="AH55" s="195">
        <f>Table9[[#This Row],[RTH(nom) (kΩ)]]*RT2_TH_S/(RT2_TH_S+Table9[[#This Row],[RTH(nom) (kΩ)]])</f>
        <v>1.809850807502994</v>
      </c>
      <c r="AI55" s="195">
        <f>Table9[[#This Row],[RTH(max) (kΩ)]]*RT2_TH_S_MAX/(RT2_TH_S_MAX+Table9[[#This Row],[RTH(max) (kΩ)]])</f>
        <v>1.8550205809181659</v>
      </c>
      <c r="AJ55" s="195">
        <f>Table9[[#This Row],[RLower(min) (kΩ)]]/(Table9[[#This Row],[RLower(min) (kΩ)]]+RT1_TH_S_MAX)*100</f>
        <v>25.197866813416958</v>
      </c>
      <c r="AK55" s="195">
        <f>Table9[[#This Row],[RLower(nom) (kΩ)]]/(Table9[[#This Row],[RLower(nom) (kΩ)]]+RT1_TH_S)*100</f>
        <v>25.697734227776909</v>
      </c>
      <c r="AL55" s="195">
        <f>Table9[[#This Row],[RLower(max) (kΩ)]]/(Table9[[#This Row],[RLower(max) (kΩ)]]+RT1_TH_S_MIN)*100</f>
        <v>26.190576465928594</v>
      </c>
      <c r="AM55" s="195">
        <f>IF(Table9[[#This Row],[Vmin (%)]]&lt;$BA$14, 0, IF(Table9[[#This Row],[Vmin (%)]]&lt;$BA$12, 4, IF(Table9[[#This Row],[Vmin (%)]]&lt;$BA$9, 3, IF(Table9[[#This Row],[Vmin (%)]]&lt;$BA$7, 2, 0))))</f>
        <v>0</v>
      </c>
      <c r="AN55" s="195">
        <f>IF(Table9[[#This Row],[Vmin (%)]]&lt;$BA$13, 0, IF(Table9[[#This Row],[Vmin (%)]]&lt;$BA$11, 4, IF(Table9[[#This Row],[Vmin (%)]]&lt;$BA$10, 3, IF(Table9[[#This Row],[Vmin (%)]]&lt;$BA$8, 2, 0))))</f>
        <v>0</v>
      </c>
      <c r="AO55" s="197" t="str">
        <f>IF(Table9[[#This Row],[Vmin (%)]]&lt;$BA$14, "Hot", IF(Table9[[#This Row],[Vmin (%)]]&lt;$BA$12, "Warm", IF(Table9[[#This Row],[Vmin (%)]]&lt;$BA$9, "Normal", IF(Table9[[#This Row],[Vmin (%)]]&lt;$BA$7, "Cool", "Cold"))))</f>
        <v>Hot</v>
      </c>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row>
    <row r="56" spans="1:210" x14ac:dyDescent="0.25">
      <c r="A56" s="118">
        <f t="shared" si="5"/>
        <v>74</v>
      </c>
      <c r="B56" s="179"/>
      <c r="C56" s="188" t="str">
        <f t="shared" si="7"/>
        <v>RTH at 74 °C</v>
      </c>
      <c r="D56" s="219">
        <f t="shared" si="6"/>
        <v>2.4411764705882355</v>
      </c>
      <c r="E56" s="220">
        <v>1.929</v>
      </c>
      <c r="F56" s="221">
        <v>1.98</v>
      </c>
      <c r="G56" s="222">
        <v>2.0329999999999999</v>
      </c>
      <c r="H56" s="138" t="s">
        <v>30</v>
      </c>
      <c r="I56" s="31"/>
      <c r="J56" s="31">
        <v>2.0329999999999999</v>
      </c>
      <c r="K56" s="31">
        <v>1.98</v>
      </c>
      <c r="L56" s="31">
        <v>1.929</v>
      </c>
      <c r="M56" s="31"/>
      <c r="N56" s="31"/>
      <c r="O56" s="31"/>
      <c r="P56" s="31"/>
      <c r="Q56" s="31"/>
      <c r="R56" s="31"/>
      <c r="S56" s="31"/>
      <c r="T56" s="31"/>
      <c r="U56" s="31"/>
      <c r="V56" s="31"/>
      <c r="W56" s="31"/>
      <c r="X56" s="31"/>
      <c r="Y56" s="32"/>
      <c r="Z56" s="20"/>
      <c r="AA56" s="21"/>
      <c r="AB56" s="21"/>
      <c r="AC56" s="195">
        <f t="shared" si="8"/>
        <v>74</v>
      </c>
      <c r="AD56" s="195">
        <f t="shared" si="9"/>
        <v>1.929</v>
      </c>
      <c r="AE56" s="195">
        <f t="shared" si="10"/>
        <v>1.98</v>
      </c>
      <c r="AF56" s="195">
        <f t="shared" si="11"/>
        <v>2.0329999999999999</v>
      </c>
      <c r="AG56" s="195">
        <f>Table9[[#This Row],[RTH(min) (kΩ)]]*RT2_TH_MIN/(RT2_TH_MIN+Table9[[#This Row],[RTH(min) (kΩ)]])</f>
        <v>1.8141664302064289</v>
      </c>
      <c r="AH56" s="195">
        <f>Table9[[#This Row],[RTH(nom) (kΩ)]]*RT2_TH_S/(RT2_TH_S+Table9[[#This Row],[RTH(nom) (kΩ)]])</f>
        <v>1.8593176437934864</v>
      </c>
      <c r="AI56" s="195">
        <f>Table9[[#This Row],[RTH(max) (kΩ)]]*RT2_TH_S_MAX/(RT2_TH_S_MAX+Table9[[#This Row],[RTH(max) (kΩ)]])</f>
        <v>1.9060966137096862</v>
      </c>
      <c r="AJ56" s="195">
        <f>Table9[[#This Row],[RLower(min) (kΩ)]]/(Table9[[#This Row],[RLower(min) (kΩ)]]+RT1_TH_S_MAX)*100</f>
        <v>25.724134428896861</v>
      </c>
      <c r="AK56" s="195">
        <f>Table9[[#This Row],[RLower(nom) (kΩ)]]/(Table9[[#This Row],[RLower(nom) (kΩ)]]+RT1_TH_S)*100</f>
        <v>26.215971395035371</v>
      </c>
      <c r="AL56" s="195">
        <f>Table9[[#This Row],[RLower(max) (kΩ)]]/(Table9[[#This Row],[RLower(max) (kΩ)]]+RT1_TH_S_MIN)*100</f>
        <v>26.719027444904469</v>
      </c>
      <c r="AM56" s="195">
        <f>IF(Table9[[#This Row],[Vmin (%)]]&lt;$BA$14, 0, IF(Table9[[#This Row],[Vmin (%)]]&lt;$BA$12, 4, IF(Table9[[#This Row],[Vmin (%)]]&lt;$BA$9, 3, IF(Table9[[#This Row],[Vmin (%)]]&lt;$BA$7, 2, 0))))</f>
        <v>0</v>
      </c>
      <c r="AN56" s="195">
        <f>IF(Table9[[#This Row],[Vmin (%)]]&lt;$BA$13, 0, IF(Table9[[#This Row],[Vmin (%)]]&lt;$BA$11, 4, IF(Table9[[#This Row],[Vmin (%)]]&lt;$BA$10, 3, IF(Table9[[#This Row],[Vmin (%)]]&lt;$BA$8, 2, 0))))</f>
        <v>0</v>
      </c>
      <c r="AO56" s="197" t="str">
        <f>IF(Table9[[#This Row],[Vmin (%)]]&lt;$BA$14, "Hot", IF(Table9[[#This Row],[Vmin (%)]]&lt;$BA$12, "Warm", IF(Table9[[#This Row],[Vmin (%)]]&lt;$BA$9, "Normal", IF(Table9[[#This Row],[Vmin (%)]]&lt;$BA$7, "Cool", "Cold"))))</f>
        <v>Hot</v>
      </c>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row>
    <row r="57" spans="1:210" x14ac:dyDescent="0.25">
      <c r="A57" s="118">
        <f t="shared" si="5"/>
        <v>73</v>
      </c>
      <c r="B57" s="179"/>
      <c r="C57" s="188" t="str">
        <f t="shared" si="7"/>
        <v>RTH at 73 °C</v>
      </c>
      <c r="D57" s="219">
        <f t="shared" si="6"/>
        <v>2.4117647058823533</v>
      </c>
      <c r="E57" s="220">
        <v>1.986</v>
      </c>
      <c r="F57" s="221">
        <v>2.0390000000000001</v>
      </c>
      <c r="G57" s="222">
        <v>2.0920000000000001</v>
      </c>
      <c r="H57" s="138" t="s">
        <v>30</v>
      </c>
      <c r="I57" s="31"/>
      <c r="J57" s="31">
        <v>2.0920000000000001</v>
      </c>
      <c r="K57" s="31">
        <v>2.0390000000000001</v>
      </c>
      <c r="L57" s="31">
        <v>1.986</v>
      </c>
      <c r="M57" s="31"/>
      <c r="N57" s="31"/>
      <c r="O57" s="31"/>
      <c r="P57" s="31"/>
      <c r="Q57" s="31"/>
      <c r="R57" s="31"/>
      <c r="S57" s="31"/>
      <c r="T57" s="31"/>
      <c r="U57" s="31"/>
      <c r="V57" s="31"/>
      <c r="W57" s="31"/>
      <c r="X57" s="31"/>
      <c r="Y57" s="32"/>
      <c r="Z57" s="20"/>
      <c r="AA57" s="21"/>
      <c r="AB57" s="21"/>
      <c r="AC57" s="195">
        <f t="shared" si="8"/>
        <v>73</v>
      </c>
      <c r="AD57" s="195">
        <f t="shared" si="9"/>
        <v>1.986</v>
      </c>
      <c r="AE57" s="195">
        <f t="shared" si="10"/>
        <v>2.0390000000000001</v>
      </c>
      <c r="AF57" s="195">
        <f t="shared" si="11"/>
        <v>2.0920000000000001</v>
      </c>
      <c r="AG57" s="195">
        <f>Table9[[#This Row],[RTH(min) (kΩ)]]*RT2_TH_MIN/(RT2_TH_MIN+Table9[[#This Row],[RTH(min) (kΩ)]])</f>
        <v>1.8644934688952672</v>
      </c>
      <c r="AH57" s="195">
        <f>Table9[[#This Row],[RTH(nom) (kΩ)]]*RT2_TH_S/(RT2_TH_S+Table9[[#This Row],[RTH(nom) (kΩ)]])</f>
        <v>1.9112503266262608</v>
      </c>
      <c r="AI57" s="195">
        <f>Table9[[#This Row],[RTH(max) (kΩ)]]*RT2_TH_S_MAX/(RT2_TH_S_MAX+Table9[[#This Row],[RTH(max) (kΩ)]])</f>
        <v>1.9578669563447808</v>
      </c>
      <c r="AJ57" s="195">
        <f>Table9[[#This Row],[RLower(min) (kΩ)]]/(Table9[[#This Row],[RLower(min) (kΩ)]]+RT1_TH_S_MAX)*100</f>
        <v>26.250423740559075</v>
      </c>
      <c r="AK57" s="195">
        <f>Table9[[#This Row],[RLower(nom) (kΩ)]]/(Table9[[#This Row],[RLower(nom) (kΩ)]]+RT1_TH_S)*100</f>
        <v>26.752319805137514</v>
      </c>
      <c r="AL57" s="195">
        <f>Table9[[#This Row],[RLower(max) (kΩ)]]/(Table9[[#This Row],[RLower(max) (kΩ)]]+RT1_TH_S_MIN)*100</f>
        <v>27.246995575536253</v>
      </c>
      <c r="AM57" s="195">
        <f>IF(Table9[[#This Row],[Vmin (%)]]&lt;$BA$14, 0, IF(Table9[[#This Row],[Vmin (%)]]&lt;$BA$12, 4, IF(Table9[[#This Row],[Vmin (%)]]&lt;$BA$9, 3, IF(Table9[[#This Row],[Vmin (%)]]&lt;$BA$7, 2, 0))))</f>
        <v>0</v>
      </c>
      <c r="AN57" s="195">
        <f>IF(Table9[[#This Row],[Vmin (%)]]&lt;$BA$13, 0, IF(Table9[[#This Row],[Vmin (%)]]&lt;$BA$11, 4, IF(Table9[[#This Row],[Vmin (%)]]&lt;$BA$10, 3, IF(Table9[[#This Row],[Vmin (%)]]&lt;$BA$8, 2, 0))))</f>
        <v>0</v>
      </c>
      <c r="AO57" s="197" t="str">
        <f>IF(Table9[[#This Row],[Vmin (%)]]&lt;$BA$14, "Hot", IF(Table9[[#This Row],[Vmin (%)]]&lt;$BA$12, "Warm", IF(Table9[[#This Row],[Vmin (%)]]&lt;$BA$9, "Normal", IF(Table9[[#This Row],[Vmin (%)]]&lt;$BA$7, "Cool", "Cold"))))</f>
        <v>Hot</v>
      </c>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row>
    <row r="58" spans="1:210" x14ac:dyDescent="0.25">
      <c r="A58" s="118">
        <f t="shared" si="5"/>
        <v>72</v>
      </c>
      <c r="B58" s="179"/>
      <c r="C58" s="188" t="str">
        <f t="shared" si="7"/>
        <v>RTH at 72 °C</v>
      </c>
      <c r="D58" s="219">
        <f t="shared" si="6"/>
        <v>2.3823529411764706</v>
      </c>
      <c r="E58" s="220">
        <v>2.0459999999999998</v>
      </c>
      <c r="F58" s="221">
        <v>2.1</v>
      </c>
      <c r="G58" s="222">
        <v>2.1539999999999999</v>
      </c>
      <c r="H58" s="138" t="s">
        <v>30</v>
      </c>
      <c r="I58" s="31"/>
      <c r="J58" s="31">
        <v>2.1539999999999999</v>
      </c>
      <c r="K58" s="31">
        <v>2.1</v>
      </c>
      <c r="L58" s="31">
        <v>2.0459999999999998</v>
      </c>
      <c r="M58" s="31"/>
      <c r="N58" s="31"/>
      <c r="O58" s="31"/>
      <c r="P58" s="31"/>
      <c r="Q58" s="31"/>
      <c r="R58" s="31"/>
      <c r="S58" s="31"/>
      <c r="T58" s="31"/>
      <c r="U58" s="31"/>
      <c r="V58" s="31"/>
      <c r="W58" s="31"/>
      <c r="X58" s="31"/>
      <c r="Y58" s="32"/>
      <c r="Z58" s="20"/>
      <c r="AA58" s="21"/>
      <c r="AB58" s="21"/>
      <c r="AC58" s="195">
        <f t="shared" si="8"/>
        <v>72</v>
      </c>
      <c r="AD58" s="195">
        <f t="shared" si="9"/>
        <v>2.0459999999999998</v>
      </c>
      <c r="AE58" s="195">
        <f t="shared" si="10"/>
        <v>2.1</v>
      </c>
      <c r="AF58" s="195">
        <f t="shared" si="11"/>
        <v>2.1539999999999999</v>
      </c>
      <c r="AG58" s="195">
        <f>Table9[[#This Row],[RTH(min) (kΩ)]]*RT2_TH_MIN/(RT2_TH_MIN+Table9[[#This Row],[RTH(min) (kΩ)]])</f>
        <v>1.9172787079289955</v>
      </c>
      <c r="AH58" s="195">
        <f>Table9[[#This Row],[RTH(nom) (kΩ)]]*RT2_TH_S/(RT2_TH_S+Table9[[#This Row],[RTH(nom) (kΩ)]])</f>
        <v>1.9647458280248347</v>
      </c>
      <c r="AI58" s="195">
        <f>Table9[[#This Row],[RTH(max) (kΩ)]]*RT2_TH_S_MAX/(RT2_TH_S_MAX+Table9[[#This Row],[RTH(max) (kΩ)]])</f>
        <v>2.0120683196245945</v>
      </c>
      <c r="AJ58" s="195">
        <f>Table9[[#This Row],[RLower(min) (kΩ)]]/(Table9[[#This Row],[RLower(min) (kΩ)]]+RT1_TH_S_MAX)*100</f>
        <v>26.794465032321867</v>
      </c>
      <c r="AK58" s="195">
        <f>Table9[[#This Row],[RLower(nom) (kΩ)]]/(Table9[[#This Row],[RLower(nom) (kΩ)]]+RT1_TH_S)*100</f>
        <v>27.296716105252912</v>
      </c>
      <c r="AL58" s="195">
        <f>Table9[[#This Row],[RLower(max) (kΩ)]]/(Table9[[#This Row],[RLower(max) (kΩ)]]+RT1_TH_S_MIN)*100</f>
        <v>27.791664986600949</v>
      </c>
      <c r="AM58" s="195">
        <f>IF(Table9[[#This Row],[Vmin (%)]]&lt;$BA$14, 0, IF(Table9[[#This Row],[Vmin (%)]]&lt;$BA$12, 4, IF(Table9[[#This Row],[Vmin (%)]]&lt;$BA$9, 3, IF(Table9[[#This Row],[Vmin (%)]]&lt;$BA$7, 2, 0))))</f>
        <v>0</v>
      </c>
      <c r="AN58" s="195">
        <f>IF(Table9[[#This Row],[Vmin (%)]]&lt;$BA$13, 0, IF(Table9[[#This Row],[Vmin (%)]]&lt;$BA$11, 4, IF(Table9[[#This Row],[Vmin (%)]]&lt;$BA$10, 3, IF(Table9[[#This Row],[Vmin (%)]]&lt;$BA$8, 2, 0))))</f>
        <v>0</v>
      </c>
      <c r="AO58" s="197" t="str">
        <f>IF(Table9[[#This Row],[Vmin (%)]]&lt;$BA$14, "Hot", IF(Table9[[#This Row],[Vmin (%)]]&lt;$BA$12, "Warm", IF(Table9[[#This Row],[Vmin (%)]]&lt;$BA$9, "Normal", IF(Table9[[#This Row],[Vmin (%)]]&lt;$BA$7, "Cool", "Cold"))))</f>
        <v>Hot</v>
      </c>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row>
    <row r="59" spans="1:210" x14ac:dyDescent="0.25">
      <c r="A59" s="118">
        <f t="shared" si="5"/>
        <v>71</v>
      </c>
      <c r="B59" s="179"/>
      <c r="C59" s="188" t="str">
        <f t="shared" si="7"/>
        <v>RTH at 71 °C</v>
      </c>
      <c r="D59" s="219">
        <f t="shared" si="6"/>
        <v>2.3529411764705883</v>
      </c>
      <c r="E59" s="220">
        <v>2.1080000000000001</v>
      </c>
      <c r="F59" s="221">
        <v>2.1629999999999998</v>
      </c>
      <c r="G59" s="222">
        <v>2.218</v>
      </c>
      <c r="H59" s="138" t="s">
        <v>30</v>
      </c>
      <c r="I59" s="31"/>
      <c r="J59" s="31">
        <v>2.218</v>
      </c>
      <c r="K59" s="31">
        <v>2.1629999999999998</v>
      </c>
      <c r="L59" s="31">
        <v>2.1080000000000001</v>
      </c>
      <c r="M59" s="31"/>
      <c r="N59" s="31"/>
      <c r="O59" s="31"/>
      <c r="P59" s="31"/>
      <c r="Q59" s="31"/>
      <c r="R59" s="31"/>
      <c r="S59" s="31"/>
      <c r="T59" s="31"/>
      <c r="U59" s="31"/>
      <c r="V59" s="31"/>
      <c r="W59" s="31"/>
      <c r="X59" s="31"/>
      <c r="Y59" s="32"/>
      <c r="Z59" s="20"/>
      <c r="AA59" s="21"/>
      <c r="AB59" s="21"/>
      <c r="AC59" s="195">
        <f t="shared" si="8"/>
        <v>71</v>
      </c>
      <c r="AD59" s="195">
        <f t="shared" si="9"/>
        <v>2.1080000000000001</v>
      </c>
      <c r="AE59" s="195">
        <f t="shared" si="10"/>
        <v>2.1629999999999998</v>
      </c>
      <c r="AF59" s="195">
        <f t="shared" si="11"/>
        <v>2.218</v>
      </c>
      <c r="AG59" s="195">
        <f>Table9[[#This Row],[RTH(min) (kΩ)]]*RT2_TH_MIN/(RT2_TH_MIN+Table9[[#This Row],[RTH(min) (kΩ)]])</f>
        <v>1.9716192224974194</v>
      </c>
      <c r="AH59" s="195">
        <f>Table9[[#This Row],[RTH(nom) (kΩ)]]*RT2_TH_S/(RT2_TH_S+Table9[[#This Row],[RTH(nom) (kΩ)]])</f>
        <v>2.0197855682284636</v>
      </c>
      <c r="AI59" s="195">
        <f>Table9[[#This Row],[RTH(max) (kΩ)]]*RT2_TH_S_MAX/(RT2_TH_S_MAX+Table9[[#This Row],[RTH(max) (kΩ)]])</f>
        <v>2.0678028816234399</v>
      </c>
      <c r="AJ59" s="195">
        <f>Table9[[#This Row],[RLower(min) (kΩ)]]/(Table9[[#This Row],[RLower(min) (kΩ)]]+RT1_TH_S_MAX)*100</f>
        <v>27.346214389487798</v>
      </c>
      <c r="AK59" s="195">
        <f>Table9[[#This Row],[RLower(nom) (kΩ)]]/(Table9[[#This Row],[RLower(nom) (kΩ)]]+RT1_TH_S)*100</f>
        <v>27.848445465570549</v>
      </c>
      <c r="AL59" s="195">
        <f>Table9[[#This Row],[RLower(max) (kΩ)]]/(Table9[[#This Row],[RLower(max) (kΩ)]]+RT1_TH_S_MIN)*100</f>
        <v>28.343301783835084</v>
      </c>
      <c r="AM59" s="195">
        <f>IF(Table9[[#This Row],[Vmin (%)]]&lt;$BA$14, 0, IF(Table9[[#This Row],[Vmin (%)]]&lt;$BA$12, 4, IF(Table9[[#This Row],[Vmin (%)]]&lt;$BA$9, 3, IF(Table9[[#This Row],[Vmin (%)]]&lt;$BA$7, 2, 0))))</f>
        <v>0</v>
      </c>
      <c r="AN59" s="195">
        <f>IF(Table9[[#This Row],[Vmin (%)]]&lt;$BA$13, 0, IF(Table9[[#This Row],[Vmin (%)]]&lt;$BA$11, 4, IF(Table9[[#This Row],[Vmin (%)]]&lt;$BA$10, 3, IF(Table9[[#This Row],[Vmin (%)]]&lt;$BA$8, 2, 0))))</f>
        <v>0</v>
      </c>
      <c r="AO59" s="197" t="str">
        <f>IF(Table9[[#This Row],[Vmin (%)]]&lt;$BA$14, "Hot", IF(Table9[[#This Row],[Vmin (%)]]&lt;$BA$12, "Warm", IF(Table9[[#This Row],[Vmin (%)]]&lt;$BA$9, "Normal", IF(Table9[[#This Row],[Vmin (%)]]&lt;$BA$7, "Cool", "Cold"))))</f>
        <v>Hot</v>
      </c>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row>
    <row r="60" spans="1:210" x14ac:dyDescent="0.25">
      <c r="A60" s="118">
        <f t="shared" si="5"/>
        <v>70</v>
      </c>
      <c r="B60" s="179"/>
      <c r="C60" s="188" t="str">
        <f t="shared" si="7"/>
        <v>RTH at 70 °C</v>
      </c>
      <c r="D60" s="219">
        <f t="shared" si="6"/>
        <v>2.3235294117647056</v>
      </c>
      <c r="E60" s="220">
        <v>2.1720000000000002</v>
      </c>
      <c r="F60" s="221">
        <v>2.2280000000000002</v>
      </c>
      <c r="G60" s="222">
        <v>2.2839999999999998</v>
      </c>
      <c r="H60" s="138" t="s">
        <v>30</v>
      </c>
      <c r="I60" s="31"/>
      <c r="J60" s="31">
        <v>2.2839999999999998</v>
      </c>
      <c r="K60" s="31">
        <v>2.2280000000000002</v>
      </c>
      <c r="L60" s="31">
        <v>2.1720000000000002</v>
      </c>
      <c r="M60" s="31"/>
      <c r="N60" s="31"/>
      <c r="O60" s="31"/>
      <c r="P60" s="31"/>
      <c r="Q60" s="31"/>
      <c r="R60" s="31"/>
      <c r="S60" s="31"/>
      <c r="T60" s="31"/>
      <c r="U60" s="31"/>
      <c r="V60" s="31"/>
      <c r="W60" s="31"/>
      <c r="X60" s="31"/>
      <c r="Y60" s="32"/>
      <c r="Z60" s="20"/>
      <c r="AA60" s="21"/>
      <c r="AB60" s="21"/>
      <c r="AC60" s="195">
        <f t="shared" si="8"/>
        <v>70</v>
      </c>
      <c r="AD60" s="195">
        <f t="shared" si="9"/>
        <v>2.1720000000000002</v>
      </c>
      <c r="AE60" s="195">
        <f t="shared" si="10"/>
        <v>2.2280000000000002</v>
      </c>
      <c r="AF60" s="195">
        <f t="shared" si="11"/>
        <v>2.2839999999999998</v>
      </c>
      <c r="AG60" s="195">
        <f>Table9[[#This Row],[RTH(min) (kΩ)]]*RT2_TH_MIN/(RT2_TH_MIN+Table9[[#This Row],[RTH(min) (kΩ)]])</f>
        <v>2.0274961646634053</v>
      </c>
      <c r="AH60" s="195">
        <f>Table9[[#This Row],[RTH(nom) (kΩ)]]*RT2_TH_S/(RT2_TH_S+Table9[[#This Row],[RTH(nom) (kΩ)]])</f>
        <v>2.0763505421268671</v>
      </c>
      <c r="AI60" s="195">
        <f>Table9[[#This Row],[RTH(max) (kΩ)]]*RT2_TH_S_MAX/(RT2_TH_S_MAX+Table9[[#This Row],[RTH(max) (kΩ)]])</f>
        <v>2.125051483728861</v>
      </c>
      <c r="AJ60" s="195">
        <f>Table9[[#This Row],[RLower(min) (kΩ)]]/(Table9[[#This Row],[RLower(min) (kΩ)]]+RT1_TH_S_MAX)*100</f>
        <v>27.904957529549456</v>
      </c>
      <c r="AK60" s="195">
        <f>Table9[[#This Row],[RLower(nom) (kΩ)]]/(Table9[[#This Row],[RLower(nom) (kΩ)]]+RT1_TH_S)*100</f>
        <v>28.406806392265725</v>
      </c>
      <c r="AL60" s="195">
        <f>Table9[[#This Row],[RLower(max) (kΩ)]]/(Table9[[#This Row],[RLower(max) (kΩ)]]+RT1_TH_S_MIN)*100</f>
        <v>28.901217193800992</v>
      </c>
      <c r="AM60" s="195">
        <f>IF(Table9[[#This Row],[Vmin (%)]]&lt;$BA$14, 0, IF(Table9[[#This Row],[Vmin (%)]]&lt;$BA$12, 4, IF(Table9[[#This Row],[Vmin (%)]]&lt;$BA$9, 3, IF(Table9[[#This Row],[Vmin (%)]]&lt;$BA$7, 2, 0))))</f>
        <v>0</v>
      </c>
      <c r="AN60" s="195">
        <f>IF(Table9[[#This Row],[Vmin (%)]]&lt;$BA$13, 0, IF(Table9[[#This Row],[Vmin (%)]]&lt;$BA$11, 4, IF(Table9[[#This Row],[Vmin (%)]]&lt;$BA$10, 3, IF(Table9[[#This Row],[Vmin (%)]]&lt;$BA$8, 2, 0))))</f>
        <v>0</v>
      </c>
      <c r="AO60" s="197" t="str">
        <f>IF(Table9[[#This Row],[Vmin (%)]]&lt;$BA$14, "Hot", IF(Table9[[#This Row],[Vmin (%)]]&lt;$BA$12, "Warm", IF(Table9[[#This Row],[Vmin (%)]]&lt;$BA$9, "Normal", IF(Table9[[#This Row],[Vmin (%)]]&lt;$BA$7, "Cool", "Cold"))))</f>
        <v>Hot</v>
      </c>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row>
    <row r="61" spans="1:210" x14ac:dyDescent="0.25">
      <c r="A61" s="118">
        <f t="shared" si="5"/>
        <v>69</v>
      </c>
      <c r="B61" s="179"/>
      <c r="C61" s="188" t="str">
        <f t="shared" si="7"/>
        <v>RTH at 69 °C</v>
      </c>
      <c r="D61" s="219">
        <f t="shared" si="6"/>
        <v>2.2941176470588234</v>
      </c>
      <c r="E61" s="220">
        <v>2.238</v>
      </c>
      <c r="F61" s="221">
        <v>2.2949999999999999</v>
      </c>
      <c r="G61" s="222">
        <v>2.3519999999999999</v>
      </c>
      <c r="H61" s="138" t="s">
        <v>30</v>
      </c>
      <c r="I61" s="31"/>
      <c r="J61" s="31">
        <v>2.3519999999999999</v>
      </c>
      <c r="K61" s="31">
        <v>2.2949999999999999</v>
      </c>
      <c r="L61" s="31">
        <v>2.238</v>
      </c>
      <c r="M61" s="31"/>
      <c r="N61" s="31"/>
      <c r="O61" s="31"/>
      <c r="P61" s="31"/>
      <c r="Q61" s="31"/>
      <c r="R61" s="31"/>
      <c r="S61" s="31"/>
      <c r="T61" s="31"/>
      <c r="U61" s="31"/>
      <c r="V61" s="31"/>
      <c r="W61" s="31"/>
      <c r="X61" s="31"/>
      <c r="Y61" s="32"/>
      <c r="Z61" s="20"/>
      <c r="AA61" s="21"/>
      <c r="AB61" s="21"/>
      <c r="AC61" s="195">
        <f t="shared" si="8"/>
        <v>69</v>
      </c>
      <c r="AD61" s="195">
        <f t="shared" si="9"/>
        <v>2.238</v>
      </c>
      <c r="AE61" s="195">
        <f t="shared" si="10"/>
        <v>2.2949999999999999</v>
      </c>
      <c r="AF61" s="195">
        <f t="shared" si="11"/>
        <v>2.3519999999999999</v>
      </c>
      <c r="AG61" s="195">
        <f>Table9[[#This Row],[RTH(min) (kΩ)]]*RT2_TH_MIN/(RT2_TH_MIN+Table9[[#This Row],[RTH(min) (kΩ)]])</f>
        <v>2.0848902680767809</v>
      </c>
      <c r="AH61" s="195">
        <f>Table9[[#This Row],[RTH(nom) (kΩ)]]*RT2_TH_S/(RT2_TH_S+Table9[[#This Row],[RTH(nom) (kΩ)]])</f>
        <v>2.13442133493349</v>
      </c>
      <c r="AI61" s="195">
        <f>Table9[[#This Row],[RTH(max) (kΩ)]]*RT2_TH_S_MAX/(RT2_TH_S_MAX+Table9[[#This Row],[RTH(max) (kΩ)]])</f>
        <v>2.1837945663514926</v>
      </c>
      <c r="AJ61" s="195">
        <f>Table9[[#This Row],[RLower(min) (kΩ)]]/(Table9[[#This Row],[RLower(min) (kΩ)]]+RT1_TH_S_MAX)*100</f>
        <v>28.469994492474509</v>
      </c>
      <c r="AK61" s="195">
        <f>Table9[[#This Row],[RLower(nom) (kΩ)]]/(Table9[[#This Row],[RLower(nom) (kΩ)]]+RT1_TH_S)*100</f>
        <v>28.971112181124248</v>
      </c>
      <c r="AL61" s="195">
        <f>Table9[[#This Row],[RLower(max) (kΩ)]]/(Table9[[#This Row],[RLower(max) (kΩ)]]+RT1_TH_S_MIN)*100</f>
        <v>29.464737663721497</v>
      </c>
      <c r="AM61" s="195">
        <f>IF(Table9[[#This Row],[Vmin (%)]]&lt;$BA$14, 0, IF(Table9[[#This Row],[Vmin (%)]]&lt;$BA$12, 4, IF(Table9[[#This Row],[Vmin (%)]]&lt;$BA$9, 3, IF(Table9[[#This Row],[Vmin (%)]]&lt;$BA$7, 2, 0))))</f>
        <v>0</v>
      </c>
      <c r="AN61" s="195">
        <f>IF(Table9[[#This Row],[Vmin (%)]]&lt;$BA$13, 0, IF(Table9[[#This Row],[Vmin (%)]]&lt;$BA$11, 4, IF(Table9[[#This Row],[Vmin (%)]]&lt;$BA$10, 3, IF(Table9[[#This Row],[Vmin (%)]]&lt;$BA$8, 2, 0))))</f>
        <v>0</v>
      </c>
      <c r="AO61" s="197" t="str">
        <f>IF(Table9[[#This Row],[Vmin (%)]]&lt;$BA$14, "Hot", IF(Table9[[#This Row],[Vmin (%)]]&lt;$BA$12, "Warm", IF(Table9[[#This Row],[Vmin (%)]]&lt;$BA$9, "Normal", IF(Table9[[#This Row],[Vmin (%)]]&lt;$BA$7, "Cool", "Cold"))))</f>
        <v>Hot</v>
      </c>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row>
    <row r="62" spans="1:210" x14ac:dyDescent="0.25">
      <c r="A62" s="118">
        <f t="shared" si="5"/>
        <v>68</v>
      </c>
      <c r="B62" s="179"/>
      <c r="C62" s="188" t="str">
        <f t="shared" si="7"/>
        <v>RTH at 68 °C</v>
      </c>
      <c r="D62" s="219">
        <f t="shared" si="6"/>
        <v>2.2647058823529411</v>
      </c>
      <c r="E62" s="220">
        <v>2.3069999999999999</v>
      </c>
      <c r="F62" s="221">
        <v>2.3639999999999999</v>
      </c>
      <c r="G62" s="222">
        <v>2.423</v>
      </c>
      <c r="H62" s="138" t="s">
        <v>30</v>
      </c>
      <c r="I62" s="31"/>
      <c r="J62" s="31">
        <v>2.423</v>
      </c>
      <c r="K62" s="31">
        <v>2.3639999999999999</v>
      </c>
      <c r="L62" s="31">
        <v>2.3069999999999999</v>
      </c>
      <c r="M62" s="31"/>
      <c r="N62" s="31"/>
      <c r="O62" s="31"/>
      <c r="P62" s="31"/>
      <c r="Q62" s="31"/>
      <c r="R62" s="31"/>
      <c r="S62" s="31"/>
      <c r="T62" s="31"/>
      <c r="U62" s="31"/>
      <c r="V62" s="31"/>
      <c r="W62" s="31"/>
      <c r="X62" s="31"/>
      <c r="Y62" s="32"/>
      <c r="Z62" s="20"/>
      <c r="AA62" s="21"/>
      <c r="AB62" s="21"/>
      <c r="AC62" s="195">
        <f t="shared" si="8"/>
        <v>68</v>
      </c>
      <c r="AD62" s="195">
        <f t="shared" si="9"/>
        <v>2.3069999999999999</v>
      </c>
      <c r="AE62" s="195">
        <f t="shared" si="10"/>
        <v>2.3639999999999999</v>
      </c>
      <c r="AF62" s="195">
        <f t="shared" si="11"/>
        <v>2.423</v>
      </c>
      <c r="AG62" s="195">
        <f>Table9[[#This Row],[RTH(min) (kΩ)]]*RT2_TH_MIN/(RT2_TH_MIN+Table9[[#This Row],[RTH(min) (kΩ)]])</f>
        <v>2.1446460937994751</v>
      </c>
      <c r="AH62" s="195">
        <f>Table9[[#This Row],[RTH(nom) (kΩ)]]*RT2_TH_S/(RT2_TH_S+Table9[[#This Row],[RTH(nom) (kΩ)]])</f>
        <v>2.1939781380495695</v>
      </c>
      <c r="AI62" s="195">
        <f>Table9[[#This Row],[RTH(max) (kΩ)]]*RT2_TH_S_MAX/(RT2_TH_S_MAX+Table9[[#This Row],[RTH(max) (kΩ)]])</f>
        <v>2.2448705833426219</v>
      </c>
      <c r="AJ62" s="195">
        <f>Table9[[#This Row],[RLower(min) (kΩ)]]/(Table9[[#This Row],[RLower(min) (kΩ)]]+RT1_TH_S_MAX)*100</f>
        <v>29.048947448286029</v>
      </c>
      <c r="AK62" s="195">
        <f>Table9[[#This Row],[RLower(nom) (kΩ)]]/(Table9[[#This Row],[RLower(nom) (kΩ)]]+RT1_TH_S)*100</f>
        <v>29.540692224494531</v>
      </c>
      <c r="AL62" s="195">
        <f>Table9[[#This Row],[RLower(max) (kΩ)]]/(Table9[[#This Row],[RLower(max) (kΩ)]]+RT1_TH_S_MIN)*100</f>
        <v>30.041243339486488</v>
      </c>
      <c r="AM62" s="195">
        <f>IF(Table9[[#This Row],[Vmin (%)]]&lt;$BA$14, 0, IF(Table9[[#This Row],[Vmin (%)]]&lt;$BA$12, 4, IF(Table9[[#This Row],[Vmin (%)]]&lt;$BA$9, 3, IF(Table9[[#This Row],[Vmin (%)]]&lt;$BA$7, 2, 0))))</f>
        <v>0</v>
      </c>
      <c r="AN62" s="195">
        <f>IF(Table9[[#This Row],[Vmin (%)]]&lt;$BA$13, 0, IF(Table9[[#This Row],[Vmin (%)]]&lt;$BA$11, 4, IF(Table9[[#This Row],[Vmin (%)]]&lt;$BA$10, 3, IF(Table9[[#This Row],[Vmin (%)]]&lt;$BA$8, 2, 0))))</f>
        <v>0</v>
      </c>
      <c r="AO62" s="197" t="str">
        <f>IF(Table9[[#This Row],[Vmin (%)]]&lt;$BA$14, "Hot", IF(Table9[[#This Row],[Vmin (%)]]&lt;$BA$12, "Warm", IF(Table9[[#This Row],[Vmin (%)]]&lt;$BA$9, "Normal", IF(Table9[[#This Row],[Vmin (%)]]&lt;$BA$7, "Cool", "Cold"))))</f>
        <v>Hot</v>
      </c>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row>
    <row r="63" spans="1:210" x14ac:dyDescent="0.25">
      <c r="A63" s="118">
        <f t="shared" si="5"/>
        <v>67</v>
      </c>
      <c r="B63" s="179"/>
      <c r="C63" s="188" t="str">
        <f t="shared" si="7"/>
        <v>RTH at 67 °C</v>
      </c>
      <c r="D63" s="219">
        <f t="shared" si="6"/>
        <v>2.2352941176470589</v>
      </c>
      <c r="E63" s="220">
        <v>2.3780000000000001</v>
      </c>
      <c r="F63" s="221">
        <v>2.4359999999999999</v>
      </c>
      <c r="G63" s="222">
        <v>2.496</v>
      </c>
      <c r="H63" s="138" t="s">
        <v>30</v>
      </c>
      <c r="I63" s="31"/>
      <c r="J63" s="31">
        <v>2.496</v>
      </c>
      <c r="K63" s="31">
        <v>2.4359999999999999</v>
      </c>
      <c r="L63" s="31">
        <v>2.3780000000000001</v>
      </c>
      <c r="M63" s="31"/>
      <c r="N63" s="31"/>
      <c r="O63" s="31"/>
      <c r="P63" s="31"/>
      <c r="Q63" s="31"/>
      <c r="R63" s="31"/>
      <c r="S63" s="31"/>
      <c r="T63" s="31"/>
      <c r="U63" s="31"/>
      <c r="V63" s="31"/>
      <c r="W63" s="31"/>
      <c r="X63" s="31"/>
      <c r="Y63" s="32"/>
      <c r="Z63" s="20"/>
      <c r="AA63" s="21"/>
      <c r="AB63" s="21"/>
      <c r="AC63" s="195">
        <f t="shared" si="8"/>
        <v>67</v>
      </c>
      <c r="AD63" s="195">
        <f t="shared" si="9"/>
        <v>2.3780000000000001</v>
      </c>
      <c r="AE63" s="195">
        <f t="shared" si="10"/>
        <v>2.4359999999999999</v>
      </c>
      <c r="AF63" s="195">
        <f t="shared" si="11"/>
        <v>2.496</v>
      </c>
      <c r="AG63" s="195">
        <f>Table9[[#This Row],[RTH(min) (kΩ)]]*RT2_TH_MIN/(RT2_TH_MIN+Table9[[#This Row],[RTH(min) (kΩ)]])</f>
        <v>2.2058719457674973</v>
      </c>
      <c r="AH63" s="195">
        <f>Table9[[#This Row],[RTH(nom) (kΩ)]]*RT2_TH_S/(RT2_TH_S+Table9[[#This Row],[RTH(nom) (kΩ)]])</f>
        <v>2.255858360158598</v>
      </c>
      <c r="AI63" s="195">
        <f>Table9[[#This Row],[RTH(max) (kΩ)]]*RT2_TH_S_MAX/(RT2_TH_S_MAX+Table9[[#This Row],[RTH(max) (kΩ)]])</f>
        <v>2.3073932942358142</v>
      </c>
      <c r="AJ63" s="195">
        <f>Table9[[#This Row],[RLower(min) (kΩ)]]/(Table9[[#This Row],[RLower(min) (kΩ)]]+RT1_TH_S_MAX)*100</f>
        <v>29.632502334150747</v>
      </c>
      <c r="AK63" s="195">
        <f>Table9[[#This Row],[RLower(nom) (kΩ)]]/(Table9[[#This Row],[RLower(nom) (kΩ)]]+RT1_TH_S)*100</f>
        <v>30.122896154582406</v>
      </c>
      <c r="AL63" s="195">
        <f>Table9[[#This Row],[RLower(max) (kΩ)]]/(Table9[[#This Row],[RLower(max) (kΩ)]]+RT1_TH_S_MIN)*100</f>
        <v>30.621724189302483</v>
      </c>
      <c r="AM63" s="195">
        <f>IF(Table9[[#This Row],[Vmin (%)]]&lt;$BA$14, 0, IF(Table9[[#This Row],[Vmin (%)]]&lt;$BA$12, 4, IF(Table9[[#This Row],[Vmin (%)]]&lt;$BA$9, 3, IF(Table9[[#This Row],[Vmin (%)]]&lt;$BA$7, 2, 0))))</f>
        <v>0</v>
      </c>
      <c r="AN63" s="195">
        <f>IF(Table9[[#This Row],[Vmin (%)]]&lt;$BA$13, 0, IF(Table9[[#This Row],[Vmin (%)]]&lt;$BA$11, 4, IF(Table9[[#This Row],[Vmin (%)]]&lt;$BA$10, 3, IF(Table9[[#This Row],[Vmin (%)]]&lt;$BA$8, 2, 0))))</f>
        <v>0</v>
      </c>
      <c r="AO63" s="197" t="str">
        <f>IF(Table9[[#This Row],[Vmin (%)]]&lt;$BA$14, "Hot", IF(Table9[[#This Row],[Vmin (%)]]&lt;$BA$12, "Warm", IF(Table9[[#This Row],[Vmin (%)]]&lt;$BA$9, "Normal", IF(Table9[[#This Row],[Vmin (%)]]&lt;$BA$7, "Cool", "Cold"))))</f>
        <v>Hot</v>
      </c>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row>
    <row r="64" spans="1:210" x14ac:dyDescent="0.25">
      <c r="A64" s="118">
        <f t="shared" si="5"/>
        <v>66</v>
      </c>
      <c r="B64" s="179"/>
      <c r="C64" s="188" t="str">
        <f t="shared" si="7"/>
        <v>RTH at 66 °C</v>
      </c>
      <c r="D64" s="219">
        <f t="shared" si="6"/>
        <v>2.2058823529411766</v>
      </c>
      <c r="E64" s="220">
        <v>2.4510000000000001</v>
      </c>
      <c r="F64" s="221">
        <v>2.5110000000000001</v>
      </c>
      <c r="G64" s="222">
        <v>2.5710000000000002</v>
      </c>
      <c r="H64" s="138" t="s">
        <v>30</v>
      </c>
      <c r="I64" s="31"/>
      <c r="J64" s="31">
        <v>2.5710000000000002</v>
      </c>
      <c r="K64" s="31">
        <v>2.5110000000000001</v>
      </c>
      <c r="L64" s="31">
        <v>2.4510000000000001</v>
      </c>
      <c r="M64" s="31"/>
      <c r="N64" s="31"/>
      <c r="O64" s="31"/>
      <c r="P64" s="31"/>
      <c r="Q64" s="31"/>
      <c r="R64" s="31"/>
      <c r="S64" s="31"/>
      <c r="T64" s="31"/>
      <c r="U64" s="31"/>
      <c r="V64" s="31"/>
      <c r="W64" s="31"/>
      <c r="X64" s="31"/>
      <c r="Y64" s="32"/>
      <c r="Z64" s="20"/>
      <c r="AA64" s="21"/>
      <c r="AB64" s="21"/>
      <c r="AC64" s="195">
        <f t="shared" si="8"/>
        <v>66</v>
      </c>
      <c r="AD64" s="195">
        <f t="shared" si="9"/>
        <v>2.4510000000000001</v>
      </c>
      <c r="AE64" s="195">
        <f t="shared" si="10"/>
        <v>2.5110000000000001</v>
      </c>
      <c r="AF64" s="195">
        <f t="shared" si="11"/>
        <v>2.5710000000000002</v>
      </c>
      <c r="AG64" s="195">
        <f>Table9[[#This Row],[RTH(min) (kΩ)]]*RT2_TH_MIN/(RT2_TH_MIN+Table9[[#This Row],[RTH(min) (kΩ)]])</f>
        <v>2.2685471571710152</v>
      </c>
      <c r="AH64" s="195">
        <f>Table9[[#This Row],[RTH(nom) (kΩ)]]*RT2_TH_S/(RT2_TH_S+Table9[[#This Row],[RTH(nom) (kΩ)]])</f>
        <v>2.3200299328223184</v>
      </c>
      <c r="AI64" s="195">
        <f>Table9[[#This Row],[RTH(max) (kΩ)]]*RT2_TH_S_MAX/(RT2_TH_S_MAX+Table9[[#This Row],[RTH(max) (kΩ)]])</f>
        <v>2.3713417981116054</v>
      </c>
      <c r="AJ64" s="195">
        <f>Table9[[#This Row],[RLower(min) (kΩ)]]/(Table9[[#This Row],[RLower(min) (kΩ)]]+RT1_TH_S_MAX)*100</f>
        <v>30.220011613273613</v>
      </c>
      <c r="AK64" s="195">
        <f>Table9[[#This Row],[RLower(nom) (kΩ)]]/(Table9[[#This Row],[RLower(nom) (kΩ)]]+RT1_TH_S)*100</f>
        <v>30.716582257092519</v>
      </c>
      <c r="AL64" s="195">
        <f>Table9[[#This Row],[RLower(max) (kΩ)]]/(Table9[[#This Row],[RLower(max) (kΩ)]]+RT1_TH_S_MIN)*100</f>
        <v>31.205561349829551</v>
      </c>
      <c r="AM64" s="195">
        <f>IF(Table9[[#This Row],[Vmin (%)]]&lt;$BA$14, 0, IF(Table9[[#This Row],[Vmin (%)]]&lt;$BA$12, 4, IF(Table9[[#This Row],[Vmin (%)]]&lt;$BA$9, 3, IF(Table9[[#This Row],[Vmin (%)]]&lt;$BA$7, 2, 0))))</f>
        <v>0</v>
      </c>
      <c r="AN64" s="195">
        <f>IF(Table9[[#This Row],[Vmin (%)]]&lt;$BA$13, 0, IF(Table9[[#This Row],[Vmin (%)]]&lt;$BA$11, 4, IF(Table9[[#This Row],[Vmin (%)]]&lt;$BA$10, 3, IF(Table9[[#This Row],[Vmin (%)]]&lt;$BA$8, 2, 0))))</f>
        <v>0</v>
      </c>
      <c r="AO64" s="197" t="str">
        <f>IF(Table9[[#This Row],[Vmin (%)]]&lt;$BA$14, "Hot", IF(Table9[[#This Row],[Vmin (%)]]&lt;$BA$12, "Warm", IF(Table9[[#This Row],[Vmin (%)]]&lt;$BA$9, "Normal", IF(Table9[[#This Row],[Vmin (%)]]&lt;$BA$7, "Cool", "Cold"))))</f>
        <v>Hot</v>
      </c>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row>
    <row r="65" spans="1:210" x14ac:dyDescent="0.25">
      <c r="A65" s="118">
        <f t="shared" si="5"/>
        <v>65</v>
      </c>
      <c r="B65" s="179"/>
      <c r="C65" s="188" t="str">
        <f t="shared" si="7"/>
        <v>RTH at 65 °C</v>
      </c>
      <c r="D65" s="219">
        <f t="shared" si="6"/>
        <v>2.1764705882352944</v>
      </c>
      <c r="E65" s="220">
        <v>2.5270000000000001</v>
      </c>
      <c r="F65" s="221">
        <v>2.5880000000000001</v>
      </c>
      <c r="G65" s="222">
        <v>2.65</v>
      </c>
      <c r="H65" s="138" t="s">
        <v>30</v>
      </c>
      <c r="I65" s="31"/>
      <c r="J65" s="31">
        <v>2.65</v>
      </c>
      <c r="K65" s="31">
        <v>2.5880000000000001</v>
      </c>
      <c r="L65" s="31">
        <v>2.5270000000000001</v>
      </c>
      <c r="M65" s="31"/>
      <c r="N65" s="31"/>
      <c r="O65" s="31"/>
      <c r="P65" s="31"/>
      <c r="Q65" s="31"/>
      <c r="R65" s="31"/>
      <c r="S65" s="31"/>
      <c r="T65" s="31"/>
      <c r="U65" s="31"/>
      <c r="V65" s="31"/>
      <c r="W65" s="31"/>
      <c r="X65" s="31"/>
      <c r="Y65" s="32"/>
      <c r="Z65" s="20"/>
      <c r="AA65" s="21"/>
      <c r="AB65" s="21"/>
      <c r="AC65" s="195">
        <f t="shared" si="8"/>
        <v>65</v>
      </c>
      <c r="AD65" s="195">
        <f t="shared" si="9"/>
        <v>2.5270000000000001</v>
      </c>
      <c r="AE65" s="195">
        <f t="shared" si="10"/>
        <v>2.5880000000000001</v>
      </c>
      <c r="AF65" s="195">
        <f t="shared" si="11"/>
        <v>2.65</v>
      </c>
      <c r="AG65" s="195">
        <f>Table9[[#This Row],[RTH(min) (kΩ)]]*RT2_TH_MIN/(RT2_TH_MIN+Table9[[#This Row],[RTH(min) (kΩ)]])</f>
        <v>2.3335034603049016</v>
      </c>
      <c r="AH65" s="195">
        <f>Table9[[#This Row],[RTH(nom) (kΩ)]]*RT2_TH_S/(RT2_TH_S+Table9[[#This Row],[RTH(nom) (kΩ)]])</f>
        <v>2.3856101425398628</v>
      </c>
      <c r="AI65" s="195">
        <f>Table9[[#This Row],[RTH(max) (kΩ)]]*RT2_TH_S_MAX/(RT2_TH_S_MAX+Table9[[#This Row],[RTH(max) (kΩ)]])</f>
        <v>2.4383883062224156</v>
      </c>
      <c r="AJ65" s="195">
        <f>Table9[[#This Row],[RLower(min) (kΩ)]]/(Table9[[#This Row],[RLower(min) (kΩ)]]+RT1_TH_S_MAX)*100</f>
        <v>30.818639868120616</v>
      </c>
      <c r="AK65" s="195">
        <f>Table9[[#This Row],[RLower(nom) (kΩ)]]/(Table9[[#This Row],[RLower(nom) (kΩ)]]+RT1_TH_S)*100</f>
        <v>31.312967458648711</v>
      </c>
      <c r="AL65" s="195">
        <f>Table9[[#This Row],[RLower(max) (kΩ)]]/(Table9[[#This Row],[RLower(max) (kΩ)]]+RT1_TH_S_MIN)*100</f>
        <v>31.807223072817276</v>
      </c>
      <c r="AM65" s="195">
        <f>IF(Table9[[#This Row],[Vmin (%)]]&lt;$BA$14, 0, IF(Table9[[#This Row],[Vmin (%)]]&lt;$BA$12, 4, IF(Table9[[#This Row],[Vmin (%)]]&lt;$BA$9, 3, IF(Table9[[#This Row],[Vmin (%)]]&lt;$BA$7, 2, 0))))</f>
        <v>0</v>
      </c>
      <c r="AN65" s="195">
        <f>IF(Table9[[#This Row],[Vmin (%)]]&lt;$BA$13, 0, IF(Table9[[#This Row],[Vmin (%)]]&lt;$BA$11, 4, IF(Table9[[#This Row],[Vmin (%)]]&lt;$BA$10, 3, IF(Table9[[#This Row],[Vmin (%)]]&lt;$BA$8, 2, 0))))</f>
        <v>0</v>
      </c>
      <c r="AO65" s="197" t="str">
        <f>IF(Table9[[#This Row],[Vmin (%)]]&lt;$BA$14, "Hot", IF(Table9[[#This Row],[Vmin (%)]]&lt;$BA$12, "Warm", IF(Table9[[#This Row],[Vmin (%)]]&lt;$BA$9, "Normal", IF(Table9[[#This Row],[Vmin (%)]]&lt;$BA$7, "Cool", "Cold"))))</f>
        <v>Hot</v>
      </c>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row>
    <row r="66" spans="1:210" x14ac:dyDescent="0.25">
      <c r="A66" s="118">
        <f t="shared" si="5"/>
        <v>64</v>
      </c>
      <c r="B66" s="179"/>
      <c r="C66" s="188" t="str">
        <f t="shared" si="7"/>
        <v>RTH at 64 °C</v>
      </c>
      <c r="D66" s="219">
        <f t="shared" si="6"/>
        <v>2.1470588235294117</v>
      </c>
      <c r="E66" s="220">
        <v>2.6059999999999999</v>
      </c>
      <c r="F66" s="221">
        <v>2.6680000000000001</v>
      </c>
      <c r="G66" s="222">
        <v>2.7309999999999999</v>
      </c>
      <c r="H66" s="138" t="s">
        <v>30</v>
      </c>
      <c r="I66" s="31"/>
      <c r="J66" s="31">
        <v>2.7309999999999999</v>
      </c>
      <c r="K66" s="31">
        <v>2.6680000000000001</v>
      </c>
      <c r="L66" s="31">
        <v>2.6059999999999999</v>
      </c>
      <c r="M66" s="31"/>
      <c r="N66" s="31"/>
      <c r="O66" s="31"/>
      <c r="P66" s="31"/>
      <c r="Q66" s="31"/>
      <c r="R66" s="31"/>
      <c r="S66" s="31"/>
      <c r="T66" s="31"/>
      <c r="U66" s="31"/>
      <c r="V66" s="31"/>
      <c r="W66" s="31"/>
      <c r="X66" s="31"/>
      <c r="Y66" s="32"/>
      <c r="Z66" s="20"/>
      <c r="AA66" s="21"/>
      <c r="AB66" s="21"/>
      <c r="AC66" s="195">
        <f t="shared" si="8"/>
        <v>64</v>
      </c>
      <c r="AD66" s="195">
        <f t="shared" si="9"/>
        <v>2.6059999999999999</v>
      </c>
      <c r="AE66" s="195">
        <f t="shared" si="10"/>
        <v>2.6680000000000001</v>
      </c>
      <c r="AF66" s="195">
        <f t="shared" si="11"/>
        <v>2.7309999999999999</v>
      </c>
      <c r="AG66" s="195">
        <f>Table9[[#This Row],[RTH(min) (kΩ)]]*RT2_TH_MIN/(RT2_TH_MIN+Table9[[#This Row],[RTH(min) (kΩ)]])</f>
        <v>2.4007074612813559</v>
      </c>
      <c r="AH66" s="195">
        <f>Table9[[#This Row],[RTH(nom) (kΩ)]]*RT2_TH_S/(RT2_TH_S+Table9[[#This Row],[RTH(nom) (kΩ)]])</f>
        <v>2.4534229598200192</v>
      </c>
      <c r="AI66" s="195">
        <f>Table9[[#This Row],[RTH(max) (kΩ)]]*RT2_TH_S_MAX/(RT2_TH_S_MAX+Table9[[#This Row],[RTH(max) (kΩ)]])</f>
        <v>2.5068015635268006</v>
      </c>
      <c r="AJ66" s="195">
        <f>Table9[[#This Row],[RLower(min) (kΩ)]]/(Table9[[#This Row],[RLower(min) (kΩ)]]+RT1_TH_S_MAX)*100</f>
        <v>31.427267414192102</v>
      </c>
      <c r="AK66" s="195">
        <f>Table9[[#This Row],[RLower(nom) (kΩ)]]/(Table9[[#This Row],[RLower(nom) (kΩ)]]+RT1_TH_S)*100</f>
        <v>31.918953699127496</v>
      </c>
      <c r="AL66" s="195">
        <f>Table9[[#This Row],[RLower(max) (kΩ)]]/(Table9[[#This Row],[RLower(max) (kΩ)]]+RT1_TH_S_MIN)*100</f>
        <v>32.410397676620768</v>
      </c>
      <c r="AM66" s="195">
        <f>IF(Table9[[#This Row],[Vmin (%)]]&lt;$BA$14, 0, IF(Table9[[#This Row],[Vmin (%)]]&lt;$BA$12, 4, IF(Table9[[#This Row],[Vmin (%)]]&lt;$BA$9, 3, IF(Table9[[#This Row],[Vmin (%)]]&lt;$BA$7, 2, 0))))</f>
        <v>0</v>
      </c>
      <c r="AN66" s="195">
        <f>IF(Table9[[#This Row],[Vmin (%)]]&lt;$BA$13, 0, IF(Table9[[#This Row],[Vmin (%)]]&lt;$BA$11, 4, IF(Table9[[#This Row],[Vmin (%)]]&lt;$BA$10, 3, IF(Table9[[#This Row],[Vmin (%)]]&lt;$BA$8, 2, 0))))</f>
        <v>0</v>
      </c>
      <c r="AO66" s="197" t="str">
        <f>IF(Table9[[#This Row],[Vmin (%)]]&lt;$BA$14, "Hot", IF(Table9[[#This Row],[Vmin (%)]]&lt;$BA$12, "Warm", IF(Table9[[#This Row],[Vmin (%)]]&lt;$BA$9, "Normal", IF(Table9[[#This Row],[Vmin (%)]]&lt;$BA$7, "Cool", "Cold"))))</f>
        <v>Hot</v>
      </c>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row>
    <row r="67" spans="1:210" x14ac:dyDescent="0.25">
      <c r="A67" s="118">
        <f t="shared" si="5"/>
        <v>63</v>
      </c>
      <c r="B67" s="179"/>
      <c r="C67" s="188" t="str">
        <f t="shared" si="7"/>
        <v>RTH at 63 °C</v>
      </c>
      <c r="D67" s="219">
        <f t="shared" si="6"/>
        <v>2.1176470588235294</v>
      </c>
      <c r="E67" s="220">
        <v>2.6880000000000002</v>
      </c>
      <c r="F67" s="221">
        <v>2.7509999999999999</v>
      </c>
      <c r="G67" s="222">
        <v>2.8149999999999999</v>
      </c>
      <c r="H67" s="138" t="s">
        <v>30</v>
      </c>
      <c r="I67" s="31"/>
      <c r="J67" s="31">
        <v>2.8149999999999999</v>
      </c>
      <c r="K67" s="31">
        <v>2.7509999999999999</v>
      </c>
      <c r="L67" s="31">
        <v>2.6880000000000002</v>
      </c>
      <c r="M67" s="31"/>
      <c r="N67" s="31"/>
      <c r="O67" s="31"/>
      <c r="P67" s="31"/>
      <c r="Q67" s="31"/>
      <c r="R67" s="31"/>
      <c r="S67" s="31"/>
      <c r="T67" s="31"/>
      <c r="U67" s="31"/>
      <c r="V67" s="31"/>
      <c r="W67" s="31"/>
      <c r="X67" s="31"/>
      <c r="Y67" s="32"/>
      <c r="Z67" s="20"/>
      <c r="AA67" s="21"/>
      <c r="AB67" s="21"/>
      <c r="AC67" s="195">
        <f t="shared" si="8"/>
        <v>63</v>
      </c>
      <c r="AD67" s="195">
        <f t="shared" si="9"/>
        <v>2.6880000000000002</v>
      </c>
      <c r="AE67" s="195">
        <f t="shared" si="10"/>
        <v>2.7509999999999999</v>
      </c>
      <c r="AF67" s="195">
        <f t="shared" si="11"/>
        <v>2.8149999999999999</v>
      </c>
      <c r="AG67" s="195">
        <f>Table9[[#This Row],[RTH(min) (kΩ)]]*RT2_TH_MIN/(RT2_TH_MIN+Table9[[#This Row],[RTH(min) (kΩ)]])</f>
        <v>2.470124858373679</v>
      </c>
      <c r="AH67" s="195">
        <f>Table9[[#This Row],[RTH(nom) (kΩ)]]*RT2_TH_S/(RT2_TH_S+Table9[[#This Row],[RTH(nom) (kΩ)]])</f>
        <v>2.5234339207597776</v>
      </c>
      <c r="AI67" s="195">
        <f>Table9[[#This Row],[RTH(max) (kΩ)]]*RT2_TH_S_MAX/(RT2_TH_S_MAX+Table9[[#This Row],[RTH(max) (kΩ)]])</f>
        <v>2.5773976408813106</v>
      </c>
      <c r="AJ67" s="195">
        <f>Table9[[#This Row],[RLower(min) (kΩ)]]/(Table9[[#This Row],[RLower(min) (kΩ)]]+RT1_TH_S_MAX)*100</f>
        <v>32.044797913898023</v>
      </c>
      <c r="AK67" s="195">
        <f>Table9[[#This Row],[RLower(nom) (kΩ)]]/(Table9[[#This Row],[RLower(nom) (kΩ)]]+RT1_TH_S)*100</f>
        <v>32.533466110680855</v>
      </c>
      <c r="AL67" s="195">
        <f>Table9[[#This Row],[RLower(max) (kΩ)]]/(Table9[[#This Row],[RLower(max) (kΩ)]]+RT1_TH_S_MIN)*100</f>
        <v>33.021732148136543</v>
      </c>
      <c r="AM67" s="195">
        <f>IF(Table9[[#This Row],[Vmin (%)]]&lt;$BA$14, 0, IF(Table9[[#This Row],[Vmin (%)]]&lt;$BA$12, 4, IF(Table9[[#This Row],[Vmin (%)]]&lt;$BA$9, 3, IF(Table9[[#This Row],[Vmin (%)]]&lt;$BA$7, 2, 0))))</f>
        <v>0</v>
      </c>
      <c r="AN67" s="195">
        <f>IF(Table9[[#This Row],[Vmin (%)]]&lt;$BA$13, 0, IF(Table9[[#This Row],[Vmin (%)]]&lt;$BA$11, 4, IF(Table9[[#This Row],[Vmin (%)]]&lt;$BA$10, 3, IF(Table9[[#This Row],[Vmin (%)]]&lt;$BA$8, 2, 0))))</f>
        <v>0</v>
      </c>
      <c r="AO67" s="197" t="str">
        <f>IF(Table9[[#This Row],[Vmin (%)]]&lt;$BA$14, "Hot", IF(Table9[[#This Row],[Vmin (%)]]&lt;$BA$12, "Warm", IF(Table9[[#This Row],[Vmin (%)]]&lt;$BA$9, "Normal", IF(Table9[[#This Row],[Vmin (%)]]&lt;$BA$7, "Cool", "Cold"))))</f>
        <v>Hot</v>
      </c>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row>
    <row r="68" spans="1:210" x14ac:dyDescent="0.25">
      <c r="A68" s="118">
        <f t="shared" si="5"/>
        <v>62</v>
      </c>
      <c r="B68" s="179"/>
      <c r="C68" s="188" t="str">
        <f t="shared" si="7"/>
        <v>RTH at 62 °C</v>
      </c>
      <c r="D68" s="219">
        <f t="shared" si="6"/>
        <v>2.0882352941176467</v>
      </c>
      <c r="E68" s="220">
        <v>2.774</v>
      </c>
      <c r="F68" s="221">
        <v>2.8380000000000001</v>
      </c>
      <c r="G68" s="222">
        <v>2.9020000000000001</v>
      </c>
      <c r="H68" s="138" t="s">
        <v>30</v>
      </c>
      <c r="I68" s="31"/>
      <c r="J68" s="31">
        <v>2.9020000000000001</v>
      </c>
      <c r="K68" s="31">
        <v>2.8380000000000001</v>
      </c>
      <c r="L68" s="31">
        <v>2.774</v>
      </c>
      <c r="M68" s="31"/>
      <c r="N68" s="31"/>
      <c r="O68" s="31"/>
      <c r="P68" s="31"/>
      <c r="Q68" s="31"/>
      <c r="R68" s="31"/>
      <c r="S68" s="31"/>
      <c r="T68" s="31"/>
      <c r="U68" s="31"/>
      <c r="V68" s="31"/>
      <c r="W68" s="31"/>
      <c r="X68" s="31"/>
      <c r="Y68" s="32"/>
      <c r="Z68" s="20"/>
      <c r="AA68" s="21"/>
      <c r="AB68" s="21"/>
      <c r="AC68" s="195">
        <f t="shared" si="8"/>
        <v>62</v>
      </c>
      <c r="AD68" s="195">
        <f t="shared" si="9"/>
        <v>2.774</v>
      </c>
      <c r="AE68" s="195">
        <f t="shared" si="10"/>
        <v>2.8380000000000001</v>
      </c>
      <c r="AF68" s="195">
        <f t="shared" si="11"/>
        <v>2.9020000000000001</v>
      </c>
      <c r="AG68" s="195">
        <f>Table9[[#This Row],[RTH(min) (kΩ)]]*RT2_TH_MIN/(RT2_TH_MIN+Table9[[#This Row],[RTH(min) (kΩ)]])</f>
        <v>2.5425606065632675</v>
      </c>
      <c r="AH68" s="195">
        <f>Table9[[#This Row],[RTH(nom) (kΩ)]]*RT2_TH_S/(RT2_TH_S+Table9[[#This Row],[RTH(nom) (kΩ)]])</f>
        <v>2.5964447521339906</v>
      </c>
      <c r="AI68" s="195">
        <f>Table9[[#This Row],[RTH(max) (kΩ)]]*RT2_TH_S_MAX/(RT2_TH_S_MAX+Table9[[#This Row],[RTH(max) (kΩ)]])</f>
        <v>2.6501410863151329</v>
      </c>
      <c r="AJ68" s="195">
        <f>Table9[[#This Row],[RLower(min) (kΩ)]]/(Table9[[#This Row],[RLower(min) (kΩ)]]+RT1_TH_S_MAX)*100</f>
        <v>32.677431519389437</v>
      </c>
      <c r="AK68" s="195">
        <f>Table9[[#This Row],[RLower(nom) (kΩ)]]/(Table9[[#This Row],[RLower(nom) (kΩ)]]+RT1_TH_S)*100</f>
        <v>33.162603099957053</v>
      </c>
      <c r="AL68" s="195">
        <f>Table9[[#This Row],[RLower(max) (kΩ)]]/(Table9[[#This Row],[RLower(max) (kΩ)]]+RT1_TH_S_MIN)*100</f>
        <v>33.640200323861443</v>
      </c>
      <c r="AM68" s="195">
        <f>IF(Table9[[#This Row],[Vmin (%)]]&lt;$BA$14, 0, IF(Table9[[#This Row],[Vmin (%)]]&lt;$BA$12, 4, IF(Table9[[#This Row],[Vmin (%)]]&lt;$BA$9, 3, IF(Table9[[#This Row],[Vmin (%)]]&lt;$BA$7, 2, 0))))</f>
        <v>0</v>
      </c>
      <c r="AN68" s="195">
        <f>IF(Table9[[#This Row],[Vmin (%)]]&lt;$BA$13, 0, IF(Table9[[#This Row],[Vmin (%)]]&lt;$BA$11, 4, IF(Table9[[#This Row],[Vmin (%)]]&lt;$BA$10, 3, IF(Table9[[#This Row],[Vmin (%)]]&lt;$BA$8, 2, 0))))</f>
        <v>0</v>
      </c>
      <c r="AO68" s="197" t="str">
        <f>IF(Table9[[#This Row],[Vmin (%)]]&lt;$BA$14, "Hot", IF(Table9[[#This Row],[Vmin (%)]]&lt;$BA$12, "Warm", IF(Table9[[#This Row],[Vmin (%)]]&lt;$BA$9, "Normal", IF(Table9[[#This Row],[Vmin (%)]]&lt;$BA$7, "Cool", "Cold"))))</f>
        <v>Hot</v>
      </c>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row>
    <row r="69" spans="1:210" x14ac:dyDescent="0.25">
      <c r="A69" s="118">
        <f t="shared" si="5"/>
        <v>61</v>
      </c>
      <c r="B69" s="179"/>
      <c r="C69" s="188" t="str">
        <f t="shared" si="7"/>
        <v>RTH at 61 °C</v>
      </c>
      <c r="D69" s="219">
        <f t="shared" si="6"/>
        <v>2.0588235294117645</v>
      </c>
      <c r="E69" s="220">
        <v>2.8620000000000001</v>
      </c>
      <c r="F69" s="221">
        <v>2.927</v>
      </c>
      <c r="G69" s="222">
        <v>2.9929999999999999</v>
      </c>
      <c r="H69" s="138" t="s">
        <v>30</v>
      </c>
      <c r="I69" s="31"/>
      <c r="J69" s="31">
        <v>2.9929999999999999</v>
      </c>
      <c r="K69" s="31">
        <v>2.927</v>
      </c>
      <c r="L69" s="31">
        <v>2.8620000000000001</v>
      </c>
      <c r="M69" s="31"/>
      <c r="N69" s="31"/>
      <c r="O69" s="31"/>
      <c r="P69" s="31"/>
      <c r="Q69" s="31"/>
      <c r="R69" s="31"/>
      <c r="S69" s="31"/>
      <c r="T69" s="31"/>
      <c r="U69" s="31"/>
      <c r="V69" s="31"/>
      <c r="W69" s="31"/>
      <c r="X69" s="31"/>
      <c r="Y69" s="32"/>
      <c r="Z69" s="20"/>
      <c r="AA69" s="21"/>
      <c r="AB69" s="21"/>
      <c r="AC69" s="195">
        <f t="shared" si="8"/>
        <v>61</v>
      </c>
      <c r="AD69" s="195">
        <f t="shared" si="9"/>
        <v>2.8620000000000001</v>
      </c>
      <c r="AE69" s="195">
        <f t="shared" si="10"/>
        <v>2.927</v>
      </c>
      <c r="AF69" s="195">
        <f t="shared" si="11"/>
        <v>2.9929999999999999</v>
      </c>
      <c r="AG69" s="195">
        <f>Table9[[#This Row],[RTH(min) (kΩ)]]*RT2_TH_MIN/(RT2_TH_MIN+Table9[[#This Row],[RTH(min) (kΩ)]])</f>
        <v>2.6162940389960183</v>
      </c>
      <c r="AH69" s="195">
        <f>Table9[[#This Row],[RTH(nom) (kΩ)]]*RT2_TH_S/(RT2_TH_S+Table9[[#This Row],[RTH(nom) (kΩ)]])</f>
        <v>2.6707408013691909</v>
      </c>
      <c r="AI69" s="195">
        <f>Table9[[#This Row],[RTH(max) (kΩ)]]*RT2_TH_S_MAX/(RT2_TH_S_MAX+Table9[[#This Row],[RTH(max) (kΩ)]])</f>
        <v>2.725825116726921</v>
      </c>
      <c r="AJ69" s="195">
        <f>Table9[[#This Row],[RLower(min) (kΩ)]]/(Table9[[#This Row],[RLower(min) (kΩ)]]+RT1_TH_S_MAX)*100</f>
        <v>33.309414785890326</v>
      </c>
      <c r="AK69" s="195">
        <f>Table9[[#This Row],[RLower(nom) (kΩ)]]/(Table9[[#This Row],[RLower(nom) (kΩ)]]+RT1_TH_S)*100</f>
        <v>33.790882824445816</v>
      </c>
      <c r="AL69" s="195">
        <f>Table9[[#This Row],[RLower(max) (kΩ)]]/(Table9[[#This Row],[RLower(max) (kΩ)]]+RT1_TH_S_MIN)*100</f>
        <v>34.271661254715148</v>
      </c>
      <c r="AM69" s="195">
        <f>IF(Table9[[#This Row],[Vmin (%)]]&lt;$BA$14, 0, IF(Table9[[#This Row],[Vmin (%)]]&lt;$BA$12, 4, IF(Table9[[#This Row],[Vmin (%)]]&lt;$BA$9, 3, IF(Table9[[#This Row],[Vmin (%)]]&lt;$BA$7, 2, 0))))</f>
        <v>0</v>
      </c>
      <c r="AN69" s="195">
        <f>IF(Table9[[#This Row],[Vmin (%)]]&lt;$BA$13, 0, IF(Table9[[#This Row],[Vmin (%)]]&lt;$BA$11, 4, IF(Table9[[#This Row],[Vmin (%)]]&lt;$BA$10, 3, IF(Table9[[#This Row],[Vmin (%)]]&lt;$BA$8, 2, 0))))</f>
        <v>0</v>
      </c>
      <c r="AO69" s="197" t="str">
        <f>IF(Table9[[#This Row],[Vmin (%)]]&lt;$BA$14, "Hot", IF(Table9[[#This Row],[Vmin (%)]]&lt;$BA$12, "Warm", IF(Table9[[#This Row],[Vmin (%)]]&lt;$BA$9, "Normal", IF(Table9[[#This Row],[Vmin (%)]]&lt;$BA$7, "Cool", "Cold"))))</f>
        <v>Hot</v>
      </c>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row>
    <row r="70" spans="1:210" x14ac:dyDescent="0.25">
      <c r="A70" s="118">
        <f t="shared" si="5"/>
        <v>60</v>
      </c>
      <c r="B70" s="179"/>
      <c r="C70" s="188" t="str">
        <f t="shared" si="7"/>
        <v>RTH at 60 °C</v>
      </c>
      <c r="D70" s="219">
        <f t="shared" si="6"/>
        <v>2.0294117647058822</v>
      </c>
      <c r="E70" s="220">
        <v>2.9540000000000002</v>
      </c>
      <c r="F70" s="221">
        <v>3.02</v>
      </c>
      <c r="G70" s="222">
        <v>3.0870000000000002</v>
      </c>
      <c r="H70" s="138" t="s">
        <v>30</v>
      </c>
      <c r="I70" s="31"/>
      <c r="J70" s="31">
        <v>3.0870000000000002</v>
      </c>
      <c r="K70" s="31">
        <v>3.02</v>
      </c>
      <c r="L70" s="31">
        <v>2.9540000000000002</v>
      </c>
      <c r="M70" s="31"/>
      <c r="N70" s="31"/>
      <c r="O70" s="31"/>
      <c r="P70" s="31"/>
      <c r="Q70" s="31"/>
      <c r="R70" s="31"/>
      <c r="S70" s="31"/>
      <c r="T70" s="31"/>
      <c r="U70" s="31"/>
      <c r="V70" s="31"/>
      <c r="W70" s="31"/>
      <c r="X70" s="31"/>
      <c r="Y70" s="32"/>
      <c r="Z70" s="20"/>
      <c r="AA70" s="21"/>
      <c r="AB70" s="21"/>
      <c r="AC70" s="195">
        <f t="shared" si="8"/>
        <v>60</v>
      </c>
      <c r="AD70" s="195">
        <f t="shared" si="9"/>
        <v>2.9540000000000002</v>
      </c>
      <c r="AE70" s="195">
        <f t="shared" si="10"/>
        <v>3.02</v>
      </c>
      <c r="AF70" s="195">
        <f t="shared" si="11"/>
        <v>3.0870000000000002</v>
      </c>
      <c r="AG70" s="195">
        <f>Table9[[#This Row],[RTH(min) (kΩ)]]*RT2_TH_MIN/(RT2_TH_MIN+Table9[[#This Row],[RTH(min) (kΩ)]])</f>
        <v>2.6929639207764478</v>
      </c>
      <c r="AH70" s="195">
        <f>Table9[[#This Row],[RTH(nom) (kΩ)]]*RT2_TH_S/(RT2_TH_S+Table9[[#This Row],[RTH(nom) (kΩ)]])</f>
        <v>2.7479545376347763</v>
      </c>
      <c r="AI70" s="195">
        <f>Table9[[#This Row],[RTH(max) (kΩ)]]*RT2_TH_S_MAX/(RT2_TH_S_MAX+Table9[[#This Row],[RTH(max) (kΩ)]])</f>
        <v>2.8035740663076107</v>
      </c>
      <c r="AJ70" s="195">
        <f>Table9[[#This Row],[RLower(min) (kΩ)]]/(Table9[[#This Row],[RLower(min) (kΩ)]]+RT1_TH_S_MAX)*100</f>
        <v>33.954104994515497</v>
      </c>
      <c r="AK70" s="195">
        <f>Table9[[#This Row],[RLower(nom) (kΩ)]]/(Table9[[#This Row],[RLower(nom) (kΩ)]]+RT1_TH_S)*100</f>
        <v>34.431440161144813</v>
      </c>
      <c r="AL70" s="195">
        <f>Table9[[#This Row],[RLower(max) (kΩ)]]/(Table9[[#This Row],[RLower(max) (kΩ)]]+RT1_TH_S_MIN)*100</f>
        <v>34.907957843361622</v>
      </c>
      <c r="AM70" s="195">
        <f>IF(Table9[[#This Row],[Vmin (%)]]&lt;$BA$14, 0, IF(Table9[[#This Row],[Vmin (%)]]&lt;$BA$12, 4, IF(Table9[[#This Row],[Vmin (%)]]&lt;$BA$9, 3, IF(Table9[[#This Row],[Vmin (%)]]&lt;$BA$7, 2, 0))))</f>
        <v>0</v>
      </c>
      <c r="AN70" s="195">
        <f>IF(Table9[[#This Row],[Vmin (%)]]&lt;$BA$13, 0, IF(Table9[[#This Row],[Vmin (%)]]&lt;$BA$11, 4, IF(Table9[[#This Row],[Vmin (%)]]&lt;$BA$10, 3, IF(Table9[[#This Row],[Vmin (%)]]&lt;$BA$8, 2, 0))))</f>
        <v>0</v>
      </c>
      <c r="AO70" s="197" t="str">
        <f>IF(Table9[[#This Row],[Vmin (%)]]&lt;$BA$14, "Hot", IF(Table9[[#This Row],[Vmin (%)]]&lt;$BA$12, "Warm", IF(Table9[[#This Row],[Vmin (%)]]&lt;$BA$9, "Normal", IF(Table9[[#This Row],[Vmin (%)]]&lt;$BA$7, "Cool", "Cold"))))</f>
        <v>Hot</v>
      </c>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row>
    <row r="71" spans="1:210" x14ac:dyDescent="0.25">
      <c r="A71" s="118">
        <f t="shared" si="5"/>
        <v>59</v>
      </c>
      <c r="B71" s="179"/>
      <c r="C71" s="188" t="str">
        <f t="shared" si="7"/>
        <v>RTH at 59 °C</v>
      </c>
      <c r="D71" s="219">
        <f t="shared" si="6"/>
        <v>2</v>
      </c>
      <c r="E71" s="220">
        <v>3.048</v>
      </c>
      <c r="F71" s="221">
        <v>3.1160000000000001</v>
      </c>
      <c r="G71" s="222">
        <v>3.1840000000000002</v>
      </c>
      <c r="H71" s="138" t="s">
        <v>30</v>
      </c>
      <c r="I71" s="31"/>
      <c r="J71" s="31">
        <v>3.1840000000000002</v>
      </c>
      <c r="K71" s="31">
        <v>3.1160000000000001</v>
      </c>
      <c r="L71" s="31">
        <v>3.048</v>
      </c>
      <c r="M71" s="31"/>
      <c r="N71" s="31"/>
      <c r="O71" s="31"/>
      <c r="P71" s="31"/>
      <c r="Q71" s="31"/>
      <c r="R71" s="31"/>
      <c r="S71" s="31"/>
      <c r="T71" s="31"/>
      <c r="U71" s="31"/>
      <c r="V71" s="31"/>
      <c r="W71" s="31"/>
      <c r="X71" s="31"/>
      <c r="Y71" s="32"/>
      <c r="Z71" s="20"/>
      <c r="AA71" s="21"/>
      <c r="AB71" s="21"/>
      <c r="AC71" s="195">
        <f t="shared" si="8"/>
        <v>59</v>
      </c>
      <c r="AD71" s="195">
        <f t="shared" si="9"/>
        <v>3.048</v>
      </c>
      <c r="AE71" s="195">
        <f t="shared" si="10"/>
        <v>3.1160000000000001</v>
      </c>
      <c r="AF71" s="195">
        <f t="shared" si="11"/>
        <v>3.1840000000000002</v>
      </c>
      <c r="AG71" s="195">
        <f>Table9[[#This Row],[RTH(min) (kΩ)]]*RT2_TH_MIN/(RT2_TH_MIN+Table9[[#This Row],[RTH(min) (kΩ)]])</f>
        <v>2.7708658909830426</v>
      </c>
      <c r="AH71" s="195">
        <f>Table9[[#This Row],[RTH(nom) (kΩ)]]*RT2_TH_S/(RT2_TH_S+Table9[[#This Row],[RTH(nom) (kΩ)]])</f>
        <v>2.827210985515817</v>
      </c>
      <c r="AI71" s="195">
        <f>Table9[[#This Row],[RTH(max) (kΩ)]]*RT2_TH_S_MAX/(RT2_TH_S_MAX+Table9[[#This Row],[RTH(max) (kΩ)]])</f>
        <v>2.8833499144178956</v>
      </c>
      <c r="AJ71" s="195">
        <f>Table9[[#This Row],[RLower(min) (kΩ)]]/(Table9[[#This Row],[RLower(min) (kΩ)]]+RT1_TH_S_MAX)*100</f>
        <v>34.59651322396364</v>
      </c>
      <c r="AK71" s="195">
        <f>Table9[[#This Row],[RLower(nom) (kΩ)]]/(Table9[[#This Row],[RLower(nom) (kΩ)]]+RT1_TH_S)*100</f>
        <v>35.076179717322717</v>
      </c>
      <c r="AL71" s="195">
        <f>Table9[[#This Row],[RLower(max) (kΩ)]]/(Table9[[#This Row],[RLower(max) (kΩ)]]+RT1_TH_S_MIN)*100</f>
        <v>35.548162957558937</v>
      </c>
      <c r="AM71" s="195">
        <f>IF(Table9[[#This Row],[Vmin (%)]]&lt;$BA$14, 0, IF(Table9[[#This Row],[Vmin (%)]]&lt;$BA$12, 4, IF(Table9[[#This Row],[Vmin (%)]]&lt;$BA$9, 3, IF(Table9[[#This Row],[Vmin (%)]]&lt;$BA$7, 2, 0))))</f>
        <v>4</v>
      </c>
      <c r="AN71" s="195">
        <f>IF(Table9[[#This Row],[Vmin (%)]]&lt;$BA$13, 0, IF(Table9[[#This Row],[Vmin (%)]]&lt;$BA$11, 4, IF(Table9[[#This Row],[Vmin (%)]]&lt;$BA$10, 3, IF(Table9[[#This Row],[Vmin (%)]]&lt;$BA$8, 2, 0))))</f>
        <v>0</v>
      </c>
      <c r="AO71" s="197" t="str">
        <f>IF(Table9[[#This Row],[Vmin (%)]]&lt;$BA$14, "Hot", IF(Table9[[#This Row],[Vmin (%)]]&lt;$BA$12, "Warm", IF(Table9[[#This Row],[Vmin (%)]]&lt;$BA$9, "Normal", IF(Table9[[#This Row],[Vmin (%)]]&lt;$BA$7, "Cool", "Cold"))))</f>
        <v>Warm</v>
      </c>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row>
    <row r="72" spans="1:210" x14ac:dyDescent="0.25">
      <c r="A72" s="118">
        <f t="shared" si="5"/>
        <v>58</v>
      </c>
      <c r="B72" s="179"/>
      <c r="C72" s="188" t="str">
        <f t="shared" si="7"/>
        <v>RTH at 58 °C</v>
      </c>
      <c r="D72" s="219">
        <f t="shared" si="6"/>
        <v>1.9705882352941178</v>
      </c>
      <c r="E72" s="220">
        <v>3.1459999999999999</v>
      </c>
      <c r="F72" s="221">
        <v>3.2149999999999999</v>
      </c>
      <c r="G72" s="222">
        <v>3.2839999999999998</v>
      </c>
      <c r="H72" s="138" t="s">
        <v>30</v>
      </c>
      <c r="I72" s="31"/>
      <c r="J72" s="31">
        <v>3.2839999999999998</v>
      </c>
      <c r="K72" s="31">
        <v>3.2149999999999999</v>
      </c>
      <c r="L72" s="31">
        <v>3.1459999999999999</v>
      </c>
      <c r="M72" s="31"/>
      <c r="N72" s="31"/>
      <c r="O72" s="31"/>
      <c r="P72" s="31"/>
      <c r="Q72" s="31"/>
      <c r="R72" s="31"/>
      <c r="S72" s="31"/>
      <c r="T72" s="31"/>
      <c r="U72" s="31"/>
      <c r="V72" s="31"/>
      <c r="W72" s="31"/>
      <c r="X72" s="31"/>
      <c r="Y72" s="32"/>
      <c r="Z72" s="20"/>
      <c r="AA72" s="21"/>
      <c r="AB72" s="21"/>
      <c r="AC72" s="195">
        <f t="shared" si="8"/>
        <v>58</v>
      </c>
      <c r="AD72" s="195">
        <f t="shared" si="9"/>
        <v>3.1459999999999999</v>
      </c>
      <c r="AE72" s="195">
        <f t="shared" si="10"/>
        <v>3.2149999999999999</v>
      </c>
      <c r="AF72" s="195">
        <f t="shared" si="11"/>
        <v>3.2839999999999998</v>
      </c>
      <c r="AG72" s="195">
        <f>Table9[[#This Row],[RTH(min) (kΩ)]]*RT2_TH_MIN/(RT2_TH_MIN+Table9[[#This Row],[RTH(min) (kΩ)]])</f>
        <v>2.8516190285578893</v>
      </c>
      <c r="AH72" s="195">
        <f>Table9[[#This Row],[RTH(nom) (kΩ)]]*RT2_TH_S/(RT2_TH_S+Table9[[#This Row],[RTH(nom) (kΩ)]])</f>
        <v>2.9084715448281329</v>
      </c>
      <c r="AI72" s="195">
        <f>Table9[[#This Row],[RTH(max) (kΩ)]]*RT2_TH_S_MAX/(RT2_TH_S_MAX+Table9[[#This Row],[RTH(max) (kΩ)]])</f>
        <v>2.9651139910858406</v>
      </c>
      <c r="AJ72" s="195">
        <f>Table9[[#This Row],[RLower(min) (kΩ)]]/(Table9[[#This Row],[RLower(min) (kΩ)]]+RT1_TH_S_MAX)*100</f>
        <v>35.24937344100195</v>
      </c>
      <c r="AK72" s="195">
        <f>Table9[[#This Row],[RLower(nom) (kΩ)]]/(Table9[[#This Row],[RLower(nom) (kΩ)]]+RT1_TH_S)*100</f>
        <v>35.724189313224691</v>
      </c>
      <c r="AL72" s="195">
        <f>Table9[[#This Row],[RLower(max) (kΩ)]]/(Table9[[#This Row],[RLower(max) (kΩ)]]+RT1_TH_S_MIN)*100</f>
        <v>36.191386097250678</v>
      </c>
      <c r="AM72" s="195">
        <f>IF(Table9[[#This Row],[Vmin (%)]]&lt;$BA$14, 0, IF(Table9[[#This Row],[Vmin (%)]]&lt;$BA$12, 4, IF(Table9[[#This Row],[Vmin (%)]]&lt;$BA$9, 3, IF(Table9[[#This Row],[Vmin (%)]]&lt;$BA$7, 2, 0))))</f>
        <v>4</v>
      </c>
      <c r="AN72" s="195">
        <f>IF(Table9[[#This Row],[Vmin (%)]]&lt;$BA$13, 0, IF(Table9[[#This Row],[Vmin (%)]]&lt;$BA$11, 4, IF(Table9[[#This Row],[Vmin (%)]]&lt;$BA$10, 3, IF(Table9[[#This Row],[Vmin (%)]]&lt;$BA$8, 2, 0))))</f>
        <v>0</v>
      </c>
      <c r="AO72" s="197" t="str">
        <f>IF(Table9[[#This Row],[Vmin (%)]]&lt;$BA$14, "Hot", IF(Table9[[#This Row],[Vmin (%)]]&lt;$BA$12, "Warm", IF(Table9[[#This Row],[Vmin (%)]]&lt;$BA$9, "Normal", IF(Table9[[#This Row],[Vmin (%)]]&lt;$BA$7, "Cool", "Cold"))))</f>
        <v>Warm</v>
      </c>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row>
    <row r="73" spans="1:210" x14ac:dyDescent="0.25">
      <c r="A73" s="118">
        <f t="shared" si="5"/>
        <v>57</v>
      </c>
      <c r="B73" s="179"/>
      <c r="C73" s="188" t="str">
        <f t="shared" si="7"/>
        <v>RTH at 57 °C</v>
      </c>
      <c r="D73" s="219">
        <f t="shared" si="6"/>
        <v>1.9411764705882353</v>
      </c>
      <c r="E73" s="220">
        <v>3.2480000000000002</v>
      </c>
      <c r="F73" s="221">
        <v>3.3180000000000001</v>
      </c>
      <c r="G73" s="222">
        <v>3.3879999999999999</v>
      </c>
      <c r="H73" s="138" t="s">
        <v>30</v>
      </c>
      <c r="I73" s="31"/>
      <c r="J73" s="31">
        <v>3.3879999999999999</v>
      </c>
      <c r="K73" s="31">
        <v>3.3180000000000001</v>
      </c>
      <c r="L73" s="31">
        <v>3.2480000000000002</v>
      </c>
      <c r="M73" s="31"/>
      <c r="N73" s="31"/>
      <c r="O73" s="31"/>
      <c r="P73" s="31"/>
      <c r="Q73" s="31"/>
      <c r="R73" s="31"/>
      <c r="S73" s="31"/>
      <c r="T73" s="31"/>
      <c r="U73" s="31"/>
      <c r="V73" s="31"/>
      <c r="W73" s="31"/>
      <c r="X73" s="31"/>
      <c r="Y73" s="32"/>
      <c r="Z73" s="20"/>
      <c r="AA73" s="21"/>
      <c r="AB73" s="21"/>
      <c r="AC73" s="195">
        <f t="shared" si="8"/>
        <v>57</v>
      </c>
      <c r="AD73" s="195">
        <f t="shared" si="9"/>
        <v>3.2480000000000002</v>
      </c>
      <c r="AE73" s="195">
        <f t="shared" si="10"/>
        <v>3.3180000000000001</v>
      </c>
      <c r="AF73" s="195">
        <f t="shared" si="11"/>
        <v>3.3879999999999999</v>
      </c>
      <c r="AG73" s="195">
        <f>Table9[[#This Row],[RTH(min) (kΩ)]]*RT2_TH_MIN/(RT2_TH_MIN+Table9[[#This Row],[RTH(min) (kΩ)]])</f>
        <v>2.9351697412052493</v>
      </c>
      <c r="AH73" s="195">
        <f>Table9[[#This Row],[RTH(nom) (kΩ)]]*RT2_TH_S/(RT2_TH_S+Table9[[#This Row],[RTH(nom) (kΩ)]])</f>
        <v>2.9925104449607089</v>
      </c>
      <c r="AI73" s="195">
        <f>Table9[[#This Row],[RTH(max) (kΩ)]]*RT2_TH_S_MAX/(RT2_TH_S_MAX+Table9[[#This Row],[RTH(max) (kΩ)]])</f>
        <v>3.049637276709388</v>
      </c>
      <c r="AJ73" s="195">
        <f>Table9[[#This Row],[RLower(min) (kΩ)]]/(Table9[[#This Row],[RLower(min) (kΩ)]]+RT1_TH_S_MAX)*100</f>
        <v>35.911272411410891</v>
      </c>
      <c r="AK73" s="195">
        <f>Table9[[#This Row],[RLower(nom) (kΩ)]]/(Table9[[#This Row],[RLower(nom) (kΩ)]]+RT1_TH_S)*100</f>
        <v>36.380887068975802</v>
      </c>
      <c r="AL73" s="195">
        <f>Table9[[#This Row],[RLower(max) (kΩ)]]/(Table9[[#This Row],[RLower(max) (kΩ)]]+RT1_TH_S_MIN)*100</f>
        <v>36.84295744505031</v>
      </c>
      <c r="AM73" s="195">
        <f>IF(Table9[[#This Row],[Vmin (%)]]&lt;$BA$14, 0, IF(Table9[[#This Row],[Vmin (%)]]&lt;$BA$12, 4, IF(Table9[[#This Row],[Vmin (%)]]&lt;$BA$9, 3, IF(Table9[[#This Row],[Vmin (%)]]&lt;$BA$7, 2, 0))))</f>
        <v>4</v>
      </c>
      <c r="AN73" s="195">
        <f>IF(Table9[[#This Row],[Vmin (%)]]&lt;$BA$13, 0, IF(Table9[[#This Row],[Vmin (%)]]&lt;$BA$11, 4, IF(Table9[[#This Row],[Vmin (%)]]&lt;$BA$10, 3, IF(Table9[[#This Row],[Vmin (%)]]&lt;$BA$8, 2, 0))))</f>
        <v>4</v>
      </c>
      <c r="AO73" s="197" t="str">
        <f>IF(Table9[[#This Row],[Vmin (%)]]&lt;$BA$14, "Hot", IF(Table9[[#This Row],[Vmin (%)]]&lt;$BA$12, "Warm", IF(Table9[[#This Row],[Vmin (%)]]&lt;$BA$9, "Normal", IF(Table9[[#This Row],[Vmin (%)]]&lt;$BA$7, "Cool", "Cold"))))</f>
        <v>Warm</v>
      </c>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row>
    <row r="74" spans="1:210" x14ac:dyDescent="0.25">
      <c r="A74" s="118">
        <f t="shared" si="5"/>
        <v>56</v>
      </c>
      <c r="B74" s="179"/>
      <c r="C74" s="188" t="str">
        <f t="shared" si="7"/>
        <v>RTH at 56 °C</v>
      </c>
      <c r="D74" s="219">
        <f t="shared" si="6"/>
        <v>1.911764705882353</v>
      </c>
      <c r="E74" s="220">
        <v>3.3540000000000001</v>
      </c>
      <c r="F74" s="221">
        <v>3.4249999999999998</v>
      </c>
      <c r="G74" s="222">
        <v>3.496</v>
      </c>
      <c r="H74" s="138" t="s">
        <v>30</v>
      </c>
      <c r="I74" s="31"/>
      <c r="J74" s="31">
        <v>3.496</v>
      </c>
      <c r="K74" s="31">
        <v>3.4249999999999998</v>
      </c>
      <c r="L74" s="31">
        <v>3.3540000000000001</v>
      </c>
      <c r="M74" s="31"/>
      <c r="N74" s="31"/>
      <c r="O74" s="31"/>
      <c r="P74" s="31"/>
      <c r="Q74" s="31"/>
      <c r="R74" s="31"/>
      <c r="S74" s="31"/>
      <c r="T74" s="31"/>
      <c r="U74" s="31"/>
      <c r="V74" s="31"/>
      <c r="W74" s="31"/>
      <c r="X74" s="31"/>
      <c r="Y74" s="32"/>
      <c r="Z74" s="20"/>
      <c r="AA74" s="21"/>
      <c r="AB74" s="21"/>
      <c r="AC74" s="195">
        <f t="shared" si="8"/>
        <v>56</v>
      </c>
      <c r="AD74" s="195">
        <f t="shared" si="9"/>
        <v>3.3540000000000001</v>
      </c>
      <c r="AE74" s="195">
        <f t="shared" si="10"/>
        <v>3.4249999999999998</v>
      </c>
      <c r="AF74" s="195">
        <f t="shared" si="11"/>
        <v>3.496</v>
      </c>
      <c r="AG74" s="195">
        <f>Table9[[#This Row],[RTH(min) (kΩ)]]*RT2_TH_MIN/(RT2_TH_MIN+Table9[[#This Row],[RTH(min) (kΩ)]])</f>
        <v>3.0214630855640476</v>
      </c>
      <c r="AH74" s="195">
        <f>Table9[[#This Row],[RTH(nom) (kΩ)]]*RT2_TH_S/(RT2_TH_S+Table9[[#This Row],[RTH(nom) (kΩ)]])</f>
        <v>3.0792726620771509</v>
      </c>
      <c r="AI74" s="195">
        <f>Table9[[#This Row],[RTH(max) (kΩ)]]*RT2_TH_S_MAX/(RT2_TH_S_MAX+Table9[[#This Row],[RTH(max) (kΩ)]])</f>
        <v>3.1368646712499482</v>
      </c>
      <c r="AJ74" s="195">
        <f>Table9[[#This Row],[RLower(min) (kΩ)]]/(Table9[[#This Row],[RLower(min) (kΩ)]]+RT1_TH_S_MAX)*100</f>
        <v>36.580841426514411</v>
      </c>
      <c r="AK74" s="195">
        <f>Table9[[#This Row],[RLower(nom) (kΩ)]]/(Table9[[#This Row],[RLower(nom) (kΩ)]]+RT1_TH_S)*100</f>
        <v>37.044934242619668</v>
      </c>
      <c r="AL74" s="195">
        <f>Table9[[#This Row],[RLower(max) (kΩ)]]/(Table9[[#This Row],[RLower(max) (kΩ)]]+RT1_TH_S_MIN)*100</f>
        <v>37.501567448507615</v>
      </c>
      <c r="AM74" s="195">
        <f>IF(Table9[[#This Row],[Vmin (%)]]&lt;$BA$14, 0, IF(Table9[[#This Row],[Vmin (%)]]&lt;$BA$12, 4, IF(Table9[[#This Row],[Vmin (%)]]&lt;$BA$9, 3, IF(Table9[[#This Row],[Vmin (%)]]&lt;$BA$7, 2, 0))))</f>
        <v>4</v>
      </c>
      <c r="AN74" s="195">
        <f>IF(Table9[[#This Row],[Vmin (%)]]&lt;$BA$13, 0, IF(Table9[[#This Row],[Vmin (%)]]&lt;$BA$11, 4, IF(Table9[[#This Row],[Vmin (%)]]&lt;$BA$10, 3, IF(Table9[[#This Row],[Vmin (%)]]&lt;$BA$8, 2, 0))))</f>
        <v>4</v>
      </c>
      <c r="AO74" s="197" t="str">
        <f>IF(Table9[[#This Row],[Vmin (%)]]&lt;$BA$14, "Hot", IF(Table9[[#This Row],[Vmin (%)]]&lt;$BA$12, "Warm", IF(Table9[[#This Row],[Vmin (%)]]&lt;$BA$9, "Normal", IF(Table9[[#This Row],[Vmin (%)]]&lt;$BA$7, "Cool", "Cold"))))</f>
        <v>Warm</v>
      </c>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row>
    <row r="75" spans="1:210" x14ac:dyDescent="0.25">
      <c r="A75" s="118">
        <f t="shared" si="5"/>
        <v>55</v>
      </c>
      <c r="B75" s="179"/>
      <c r="C75" s="188" t="str">
        <f t="shared" si="7"/>
        <v>RTH at 55 °C</v>
      </c>
      <c r="D75" s="219">
        <f t="shared" si="6"/>
        <v>1.8823529411764706</v>
      </c>
      <c r="E75" s="220">
        <v>3.464</v>
      </c>
      <c r="F75" s="221">
        <v>3.536</v>
      </c>
      <c r="G75" s="222">
        <v>3.609</v>
      </c>
      <c r="H75" s="138" t="s">
        <v>30</v>
      </c>
      <c r="I75" s="31"/>
      <c r="J75" s="31">
        <v>3.609</v>
      </c>
      <c r="K75" s="31">
        <v>3.536</v>
      </c>
      <c r="L75" s="31">
        <v>3.464</v>
      </c>
      <c r="M75" s="31"/>
      <c r="N75" s="31"/>
      <c r="O75" s="31"/>
      <c r="P75" s="31"/>
      <c r="Q75" s="31"/>
      <c r="R75" s="31"/>
      <c r="S75" s="31"/>
      <c r="T75" s="31"/>
      <c r="U75" s="31"/>
      <c r="V75" s="31"/>
      <c r="W75" s="31"/>
      <c r="X75" s="31"/>
      <c r="Y75" s="32"/>
      <c r="Z75" s="20"/>
      <c r="AA75" s="21"/>
      <c r="AB75" s="21"/>
      <c r="AC75" s="195">
        <f t="shared" si="8"/>
        <v>55</v>
      </c>
      <c r="AD75" s="195">
        <f t="shared" si="9"/>
        <v>3.464</v>
      </c>
      <c r="AE75" s="195">
        <f t="shared" si="10"/>
        <v>3.536</v>
      </c>
      <c r="AF75" s="195">
        <f t="shared" si="11"/>
        <v>3.609</v>
      </c>
      <c r="AG75" s="195">
        <f>Table9[[#This Row],[RTH(min) (kΩ)]]*RT2_TH_MIN/(RT2_TH_MIN+Table9[[#This Row],[RTH(min) (kΩ)]])</f>
        <v>3.1104428522662704</v>
      </c>
      <c r="AH75" s="195">
        <f>Table9[[#This Row],[RTH(nom) (kΩ)]]*RT2_TH_S/(RT2_TH_S+Table9[[#This Row],[RTH(nom) (kΩ)]])</f>
        <v>3.1687019312127189</v>
      </c>
      <c r="AI75" s="195">
        <f>Table9[[#This Row],[RTH(max) (kΩ)]]*RT2_TH_S_MAX/(RT2_TH_S_MAX+Table9[[#This Row],[RTH(max) (kΩ)]])</f>
        <v>3.2275396595059109</v>
      </c>
      <c r="AJ75" s="195">
        <f>Table9[[#This Row],[RLower(min) (kΩ)]]/(Table9[[#This Row],[RLower(min) (kΩ)]]+RT1_TH_S_MAX)*100</f>
        <v>37.256760341584936</v>
      </c>
      <c r="AK75" s="195">
        <f>Table9[[#This Row],[RLower(nom) (kΩ)]]/(Table9[[#This Row],[RLower(nom) (kΩ)]]+RT1_TH_S)*100</f>
        <v>37.715040311334313</v>
      </c>
      <c r="AL75" s="195">
        <f>Table9[[#This Row],[RLower(max) (kΩ)]]/(Table9[[#This Row],[RLower(max) (kΩ)]]+RT1_TH_S_MIN)*100</f>
        <v>38.171803407252014</v>
      </c>
      <c r="AM75" s="195">
        <f>IF(Table9[[#This Row],[Vmin (%)]]&lt;$BA$14, 0, IF(Table9[[#This Row],[Vmin (%)]]&lt;$BA$12, 4, IF(Table9[[#This Row],[Vmin (%)]]&lt;$BA$9, 3, IF(Table9[[#This Row],[Vmin (%)]]&lt;$BA$7, 2, 0))))</f>
        <v>4</v>
      </c>
      <c r="AN75" s="195">
        <f>IF(Table9[[#This Row],[Vmin (%)]]&lt;$BA$13, 0, IF(Table9[[#This Row],[Vmin (%)]]&lt;$BA$11, 4, IF(Table9[[#This Row],[Vmin (%)]]&lt;$BA$10, 3, IF(Table9[[#This Row],[Vmin (%)]]&lt;$BA$8, 2, 0))))</f>
        <v>4</v>
      </c>
      <c r="AO75" s="197" t="str">
        <f>IF(Table9[[#This Row],[Vmin (%)]]&lt;$BA$14, "Hot", IF(Table9[[#This Row],[Vmin (%)]]&lt;$BA$12, "Warm", IF(Table9[[#This Row],[Vmin (%)]]&lt;$BA$9, "Normal", IF(Table9[[#This Row],[Vmin (%)]]&lt;$BA$7, "Cool", "Cold"))))</f>
        <v>Warm</v>
      </c>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row>
    <row r="76" spans="1:210" x14ac:dyDescent="0.25">
      <c r="A76" s="118">
        <f t="shared" si="5"/>
        <v>54</v>
      </c>
      <c r="B76" s="179"/>
      <c r="C76" s="188" t="str">
        <f t="shared" si="7"/>
        <v>RTH at 54 °C</v>
      </c>
      <c r="D76" s="219">
        <f t="shared" si="6"/>
        <v>1.8529411764705883</v>
      </c>
      <c r="E76" s="220">
        <v>3.5779999999999998</v>
      </c>
      <c r="F76" s="221">
        <v>3.6509999999999998</v>
      </c>
      <c r="G76" s="222">
        <v>3.7250000000000001</v>
      </c>
      <c r="H76" s="138" t="s">
        <v>30</v>
      </c>
      <c r="I76" s="31"/>
      <c r="J76" s="31">
        <v>3.7250000000000001</v>
      </c>
      <c r="K76" s="31">
        <v>3.6509999999999998</v>
      </c>
      <c r="L76" s="31">
        <v>3.5779999999999998</v>
      </c>
      <c r="M76" s="31"/>
      <c r="N76" s="31"/>
      <c r="O76" s="31"/>
      <c r="P76" s="31"/>
      <c r="Q76" s="31"/>
      <c r="R76" s="31"/>
      <c r="S76" s="31"/>
      <c r="T76" s="31"/>
      <c r="U76" s="31"/>
      <c r="V76" s="31"/>
      <c r="W76" s="31"/>
      <c r="X76" s="31"/>
      <c r="Y76" s="32"/>
      <c r="Z76" s="20"/>
      <c r="AA76" s="21"/>
      <c r="AB76" s="21"/>
      <c r="AC76" s="195">
        <f t="shared" si="8"/>
        <v>54</v>
      </c>
      <c r="AD76" s="195">
        <f t="shared" si="9"/>
        <v>3.5779999999999998</v>
      </c>
      <c r="AE76" s="195">
        <f t="shared" si="10"/>
        <v>3.6509999999999998</v>
      </c>
      <c r="AF76" s="195">
        <f t="shared" si="11"/>
        <v>3.7250000000000001</v>
      </c>
      <c r="AG76" s="195">
        <f>Table9[[#This Row],[RTH(min) (kΩ)]]*RT2_TH_MIN/(RT2_TH_MIN+Table9[[#This Row],[RTH(min) (kΩ)]])</f>
        <v>3.2020516516673805</v>
      </c>
      <c r="AH76" s="195">
        <f>Table9[[#This Row],[RTH(nom) (kΩ)]]*RT2_TH_S/(RT2_TH_S+Table9[[#This Row],[RTH(nom) (kΩ)]])</f>
        <v>3.2607408316056965</v>
      </c>
      <c r="AI76" s="195">
        <f>Table9[[#This Row],[RTH(max) (kΩ)]]*RT2_TH_S_MAX/(RT2_TH_S_MAX+Table9[[#This Row],[RTH(max) (kΩ)]])</f>
        <v>3.3199997838209736</v>
      </c>
      <c r="AJ76" s="195">
        <f>Table9[[#This Row],[RLower(min) (kΩ)]]/(Table9[[#This Row],[RLower(min) (kΩ)]]+RT1_TH_S_MAX)*100</f>
        <v>37.937760939066131</v>
      </c>
      <c r="AK76" s="195">
        <f>Table9[[#This Row],[RLower(nom) (kΩ)]]/(Table9[[#This Row],[RLower(nom) (kΩ)]]+RT1_TH_S)*100</f>
        <v>38.389966152569968</v>
      </c>
      <c r="AL76" s="195">
        <f>Table9[[#This Row],[RLower(max) (kΩ)]]/(Table9[[#This Row],[RLower(max) (kΩ)]]+RT1_TH_S_MIN)*100</f>
        <v>38.84059196954059</v>
      </c>
      <c r="AM76" s="195">
        <f>IF(Table9[[#This Row],[Vmin (%)]]&lt;$BA$14, 0, IF(Table9[[#This Row],[Vmin (%)]]&lt;$BA$12, 4, IF(Table9[[#This Row],[Vmin (%)]]&lt;$BA$9, 3, IF(Table9[[#This Row],[Vmin (%)]]&lt;$BA$7, 2, 0))))</f>
        <v>4</v>
      </c>
      <c r="AN76" s="195">
        <f>IF(Table9[[#This Row],[Vmin (%)]]&lt;$BA$13, 0, IF(Table9[[#This Row],[Vmin (%)]]&lt;$BA$11, 4, IF(Table9[[#This Row],[Vmin (%)]]&lt;$BA$10, 3, IF(Table9[[#This Row],[Vmin (%)]]&lt;$BA$8, 2, 0))))</f>
        <v>4</v>
      </c>
      <c r="AO76" s="197" t="str">
        <f>IF(Table9[[#This Row],[Vmin (%)]]&lt;$BA$14, "Hot", IF(Table9[[#This Row],[Vmin (%)]]&lt;$BA$12, "Warm", IF(Table9[[#This Row],[Vmin (%)]]&lt;$BA$9, "Normal", IF(Table9[[#This Row],[Vmin (%)]]&lt;$BA$7, "Cool", "Cold"))))</f>
        <v>Warm</v>
      </c>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row>
    <row r="77" spans="1:210" x14ac:dyDescent="0.25">
      <c r="A77" s="118">
        <f t="shared" si="5"/>
        <v>53</v>
      </c>
      <c r="B77" s="179"/>
      <c r="C77" s="188" t="str">
        <f t="shared" si="7"/>
        <v>RTH at 53 °C</v>
      </c>
      <c r="D77" s="219">
        <f t="shared" si="6"/>
        <v>1.8235294117647058</v>
      </c>
      <c r="E77" s="220">
        <v>3.6970000000000001</v>
      </c>
      <c r="F77" s="221">
        <v>3.7709999999999999</v>
      </c>
      <c r="G77" s="222">
        <v>3.8460000000000001</v>
      </c>
      <c r="H77" s="138" t="s">
        <v>30</v>
      </c>
      <c r="I77" s="31"/>
      <c r="J77" s="31">
        <v>3.8460000000000001</v>
      </c>
      <c r="K77" s="31">
        <v>3.7709999999999999</v>
      </c>
      <c r="L77" s="31">
        <v>3.6970000000000001</v>
      </c>
      <c r="M77" s="31"/>
      <c r="N77" s="31"/>
      <c r="O77" s="31"/>
      <c r="P77" s="31"/>
      <c r="Q77" s="31"/>
      <c r="R77" s="31"/>
      <c r="S77" s="31"/>
      <c r="T77" s="31"/>
      <c r="U77" s="31"/>
      <c r="V77" s="31"/>
      <c r="W77" s="31"/>
      <c r="X77" s="31"/>
      <c r="Y77" s="32"/>
      <c r="Z77" s="20"/>
      <c r="AA77" s="21"/>
      <c r="AB77" s="21"/>
      <c r="AC77" s="195">
        <f t="shared" si="8"/>
        <v>53</v>
      </c>
      <c r="AD77" s="195">
        <f t="shared" si="9"/>
        <v>3.6970000000000001</v>
      </c>
      <c r="AE77" s="195">
        <f t="shared" si="10"/>
        <v>3.7709999999999999</v>
      </c>
      <c r="AF77" s="195">
        <f t="shared" si="11"/>
        <v>3.8460000000000001</v>
      </c>
      <c r="AG77" s="195">
        <f>Table9[[#This Row],[RTH(min) (kΩ)]]*RT2_TH_MIN/(RT2_TH_MIN+Table9[[#This Row],[RTH(min) (kΩ)]])</f>
        <v>3.2970263506810316</v>
      </c>
      <c r="AH77" s="195">
        <f>Table9[[#This Row],[RTH(nom) (kΩ)]]*RT2_TH_S/(RT2_TH_S+Table9[[#This Row],[RTH(nom) (kΩ)]])</f>
        <v>3.3561229638905701</v>
      </c>
      <c r="AI77" s="195">
        <f>Table9[[#This Row],[RTH(max) (kΩ)]]*RT2_TH_S_MAX/(RT2_TH_S_MAX+Table9[[#This Row],[RTH(max) (kΩ)]])</f>
        <v>3.4157804418210591</v>
      </c>
      <c r="AJ77" s="195">
        <f>Table9[[#This Row],[RLower(min) (kΩ)]]/(Table9[[#This Row],[RLower(min) (kΩ)]]+RT1_TH_S_MAX)*100</f>
        <v>38.628349045738403</v>
      </c>
      <c r="AK77" s="195">
        <f>Table9[[#This Row],[RLower(nom) (kΩ)]]/(Table9[[#This Row],[RLower(nom) (kΩ)]]+RT1_TH_S)*100</f>
        <v>39.074145722519631</v>
      </c>
      <c r="AL77" s="195">
        <f>Table9[[#This Row],[RLower(max) (kΩ)]]/(Table9[[#This Row],[RLower(max) (kΩ)]]+RT1_TH_S_MIN)*100</f>
        <v>39.518310739229975</v>
      </c>
      <c r="AM77" s="195">
        <f>IF(Table9[[#This Row],[Vmin (%)]]&lt;$BA$14, 0, IF(Table9[[#This Row],[Vmin (%)]]&lt;$BA$12, 4, IF(Table9[[#This Row],[Vmin (%)]]&lt;$BA$9, 3, IF(Table9[[#This Row],[Vmin (%)]]&lt;$BA$7, 2, 0))))</f>
        <v>4</v>
      </c>
      <c r="AN77" s="195">
        <f>IF(Table9[[#This Row],[Vmin (%)]]&lt;$BA$13, 0, IF(Table9[[#This Row],[Vmin (%)]]&lt;$BA$11, 4, IF(Table9[[#This Row],[Vmin (%)]]&lt;$BA$10, 3, IF(Table9[[#This Row],[Vmin (%)]]&lt;$BA$8, 2, 0))))</f>
        <v>4</v>
      </c>
      <c r="AO77" s="197" t="str">
        <f>IF(Table9[[#This Row],[Vmin (%)]]&lt;$BA$14, "Hot", IF(Table9[[#This Row],[Vmin (%)]]&lt;$BA$12, "Warm", IF(Table9[[#This Row],[Vmin (%)]]&lt;$BA$9, "Normal", IF(Table9[[#This Row],[Vmin (%)]]&lt;$BA$7, "Cool", "Cold"))))</f>
        <v>Warm</v>
      </c>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row>
    <row r="78" spans="1:210" x14ac:dyDescent="0.25">
      <c r="A78" s="118">
        <f t="shared" si="5"/>
        <v>52</v>
      </c>
      <c r="B78" s="179"/>
      <c r="C78" s="188" t="str">
        <f t="shared" si="7"/>
        <v>RTH at 52 °C</v>
      </c>
      <c r="D78" s="219">
        <f t="shared" si="6"/>
        <v>1.7941176470588236</v>
      </c>
      <c r="E78" s="220">
        <v>3.82</v>
      </c>
      <c r="F78" s="221">
        <v>3.8959999999999999</v>
      </c>
      <c r="G78" s="222">
        <v>3.972</v>
      </c>
      <c r="H78" s="138" t="s">
        <v>30</v>
      </c>
      <c r="I78" s="31"/>
      <c r="J78" s="31">
        <v>3.972</v>
      </c>
      <c r="K78" s="31">
        <v>3.8959999999999999</v>
      </c>
      <c r="L78" s="31">
        <v>3.82</v>
      </c>
      <c r="M78" s="31"/>
      <c r="N78" s="31"/>
      <c r="O78" s="31"/>
      <c r="P78" s="31"/>
      <c r="Q78" s="31"/>
      <c r="R78" s="31"/>
      <c r="S78" s="31"/>
      <c r="T78" s="31"/>
      <c r="U78" s="31"/>
      <c r="V78" s="31"/>
      <c r="W78" s="31"/>
      <c r="X78" s="31"/>
      <c r="Y78" s="32"/>
      <c r="Z78" s="20"/>
      <c r="AA78" s="21"/>
      <c r="AB78" s="21"/>
      <c r="AC78" s="195">
        <f t="shared" si="8"/>
        <v>52</v>
      </c>
      <c r="AD78" s="195">
        <f t="shared" si="9"/>
        <v>3.82</v>
      </c>
      <c r="AE78" s="195">
        <f t="shared" si="10"/>
        <v>3.8959999999999999</v>
      </c>
      <c r="AF78" s="195">
        <f t="shared" si="11"/>
        <v>3.972</v>
      </c>
      <c r="AG78" s="195">
        <f>Table9[[#This Row],[RTH(min) (kΩ)]]*RT2_TH_MIN/(RT2_TH_MIN+Table9[[#This Row],[RTH(min) (kΩ)]])</f>
        <v>3.3945007632916138</v>
      </c>
      <c r="AH78" s="195">
        <f>Table9[[#This Row],[RTH(nom) (kΩ)]]*RT2_TH_S/(RT2_TH_S+Table9[[#This Row],[RTH(nom) (kΩ)]])</f>
        <v>3.4547717525576696</v>
      </c>
      <c r="AI78" s="195">
        <f>Table9[[#This Row],[RTH(max) (kΩ)]]*RT2_TH_S_MAX/(RT2_TH_S_MAX+Table9[[#This Row],[RTH(max) (kΩ)]])</f>
        <v>3.5148050692276911</v>
      </c>
      <c r="AJ78" s="195">
        <f>Table9[[#This Row],[RLower(min) (kΩ)]]/(Table9[[#This Row],[RLower(min) (kΩ)]]+RT1_TH_S_MAX)*100</f>
        <v>39.321312819765289</v>
      </c>
      <c r="AK78" s="195">
        <f>Table9[[#This Row],[RLower(nom) (kΩ)]]/(Table9[[#This Row],[RLower(nom) (kΩ)]]+RT1_TH_S)*100</f>
        <v>39.765953474710429</v>
      </c>
      <c r="AL78" s="195">
        <f>Table9[[#This Row],[RLower(max) (kΩ)]]/(Table9[[#This Row],[RLower(max) (kΩ)]]+RT1_TH_S_MIN)*100</f>
        <v>40.203370325292362</v>
      </c>
      <c r="AM78" s="195">
        <f>IF(Table9[[#This Row],[Vmin (%)]]&lt;$BA$14, 0, IF(Table9[[#This Row],[Vmin (%)]]&lt;$BA$12, 4, IF(Table9[[#This Row],[Vmin (%)]]&lt;$BA$9, 3, IF(Table9[[#This Row],[Vmin (%)]]&lt;$BA$7, 2, 0))))</f>
        <v>4</v>
      </c>
      <c r="AN78" s="195">
        <f>IF(Table9[[#This Row],[Vmin (%)]]&lt;$BA$13, 0, IF(Table9[[#This Row],[Vmin (%)]]&lt;$BA$11, 4, IF(Table9[[#This Row],[Vmin (%)]]&lt;$BA$10, 3, IF(Table9[[#This Row],[Vmin (%)]]&lt;$BA$8, 2, 0))))</f>
        <v>4</v>
      </c>
      <c r="AO78" s="197" t="str">
        <f>IF(Table9[[#This Row],[Vmin (%)]]&lt;$BA$14, "Hot", IF(Table9[[#This Row],[Vmin (%)]]&lt;$BA$12, "Warm", IF(Table9[[#This Row],[Vmin (%)]]&lt;$BA$9, "Normal", IF(Table9[[#This Row],[Vmin (%)]]&lt;$BA$7, "Cool", "Cold"))))</f>
        <v>Warm</v>
      </c>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row>
    <row r="79" spans="1:210" x14ac:dyDescent="0.25">
      <c r="A79" s="118">
        <f t="shared" si="5"/>
        <v>51</v>
      </c>
      <c r="B79" s="179"/>
      <c r="C79" s="188" t="str">
        <f t="shared" si="7"/>
        <v>RTH at 51 °C</v>
      </c>
      <c r="D79" s="219">
        <f t="shared" si="6"/>
        <v>1.7647058823529411</v>
      </c>
      <c r="E79" s="220">
        <v>3.9489999999999998</v>
      </c>
      <c r="F79" s="221">
        <v>4.0259999999999998</v>
      </c>
      <c r="G79" s="222">
        <v>4.1029999999999998</v>
      </c>
      <c r="H79" s="138" t="s">
        <v>30</v>
      </c>
      <c r="I79" s="31"/>
      <c r="J79" s="31">
        <v>4.1029999999999998</v>
      </c>
      <c r="K79" s="31">
        <v>4.0259999999999998</v>
      </c>
      <c r="L79" s="31">
        <v>3.9489999999999998</v>
      </c>
      <c r="M79" s="31"/>
      <c r="N79" s="31"/>
      <c r="O79" s="31"/>
      <c r="P79" s="31"/>
      <c r="Q79" s="31"/>
      <c r="R79" s="31"/>
      <c r="S79" s="31"/>
      <c r="T79" s="31"/>
      <c r="U79" s="31"/>
      <c r="V79" s="31"/>
      <c r="W79" s="31"/>
      <c r="X79" s="31"/>
      <c r="Y79" s="32"/>
      <c r="Z79" s="20"/>
      <c r="AA79" s="21"/>
      <c r="AB79" s="21"/>
      <c r="AC79" s="195">
        <f t="shared" si="8"/>
        <v>51</v>
      </c>
      <c r="AD79" s="195">
        <f t="shared" si="9"/>
        <v>3.9489999999999998</v>
      </c>
      <c r="AE79" s="195">
        <f t="shared" si="10"/>
        <v>4.0259999999999998</v>
      </c>
      <c r="AF79" s="195">
        <f t="shared" si="11"/>
        <v>4.1029999999999998</v>
      </c>
      <c r="AG79" s="195">
        <f>Table9[[#This Row],[RTH(min) (kΩ)]]*RT2_TH_MIN/(RT2_TH_MIN+Table9[[#This Row],[RTH(min) (kΩ)]])</f>
        <v>3.4959816537129194</v>
      </c>
      <c r="AH79" s="195">
        <f>Table9[[#This Row],[RTH(nom) (kΩ)]]*RT2_TH_S/(RT2_TH_S+Table9[[#This Row],[RTH(nom) (kΩ)]])</f>
        <v>3.5566088707086201</v>
      </c>
      <c r="AI79" s="195">
        <f>Table9[[#This Row],[RTH(max) (kΩ)]]*RT2_TH_S_MAX/(RT2_TH_S_MAX+Table9[[#This Row],[RTH(max) (kΩ)]])</f>
        <v>3.6169953841406577</v>
      </c>
      <c r="AJ79" s="195">
        <f>Table9[[#This Row],[RLower(min) (kΩ)]]/(Table9[[#This Row],[RLower(min) (kΩ)]]+RT1_TH_S_MAX)*100</f>
        <v>40.026325656824326</v>
      </c>
      <c r="AK79" s="195">
        <f>Table9[[#This Row],[RLower(nom) (kΩ)]]/(Table9[[#This Row],[RLower(nom) (kΩ)]]+RT1_TH_S)*100</f>
        <v>40.463830704672716</v>
      </c>
      <c r="AL79" s="195">
        <f>Table9[[#This Row],[RLower(max) (kΩ)]]/(Table9[[#This Row],[RLower(max) (kΩ)]]+RT1_TH_S_MIN)*100</f>
        <v>40.894247282992708</v>
      </c>
      <c r="AM79" s="195">
        <f>IF(Table9[[#This Row],[Vmin (%)]]&lt;$BA$14, 0, IF(Table9[[#This Row],[Vmin (%)]]&lt;$BA$12, 4, IF(Table9[[#This Row],[Vmin (%)]]&lt;$BA$9, 3, IF(Table9[[#This Row],[Vmin (%)]]&lt;$BA$7, 2, 0))))</f>
        <v>4</v>
      </c>
      <c r="AN79" s="195">
        <f>IF(Table9[[#This Row],[Vmin (%)]]&lt;$BA$13, 0, IF(Table9[[#This Row],[Vmin (%)]]&lt;$BA$11, 4, IF(Table9[[#This Row],[Vmin (%)]]&lt;$BA$10, 3, IF(Table9[[#This Row],[Vmin (%)]]&lt;$BA$8, 2, 0))))</f>
        <v>4</v>
      </c>
      <c r="AO79" s="197" t="str">
        <f>IF(Table9[[#This Row],[Vmin (%)]]&lt;$BA$14, "Hot", IF(Table9[[#This Row],[Vmin (%)]]&lt;$BA$12, "Warm", IF(Table9[[#This Row],[Vmin (%)]]&lt;$BA$9, "Normal", IF(Table9[[#This Row],[Vmin (%)]]&lt;$BA$7, "Cool", "Cold"))))</f>
        <v>Warm</v>
      </c>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row>
    <row r="80" spans="1:210" x14ac:dyDescent="0.25">
      <c r="A80" s="118">
        <f t="shared" si="5"/>
        <v>50</v>
      </c>
      <c r="B80" s="179"/>
      <c r="C80" s="188" t="str">
        <f t="shared" si="7"/>
        <v>RTH at 50 °C</v>
      </c>
      <c r="D80" s="219">
        <f t="shared" si="6"/>
        <v>1.7352941176470589</v>
      </c>
      <c r="E80" s="220">
        <v>4.0819999999999999</v>
      </c>
      <c r="F80" s="221">
        <v>4.16</v>
      </c>
      <c r="G80" s="222">
        <v>4.2389999999999999</v>
      </c>
      <c r="H80" s="138" t="s">
        <v>30</v>
      </c>
      <c r="I80" s="31"/>
      <c r="J80" s="31">
        <v>4.2389999999999999</v>
      </c>
      <c r="K80" s="31">
        <v>4.16</v>
      </c>
      <c r="L80" s="31">
        <v>4.0819999999999999</v>
      </c>
      <c r="M80" s="31"/>
      <c r="N80" s="31"/>
      <c r="O80" s="31"/>
      <c r="P80" s="31"/>
      <c r="Q80" s="31"/>
      <c r="R80" s="31"/>
      <c r="S80" s="31"/>
      <c r="T80" s="31"/>
      <c r="U80" s="31"/>
      <c r="V80" s="31"/>
      <c r="W80" s="31"/>
      <c r="X80" s="31"/>
      <c r="Y80" s="32"/>
      <c r="Z80" s="20"/>
      <c r="AA80" s="21"/>
      <c r="AB80" s="21"/>
      <c r="AC80" s="195">
        <f t="shared" si="8"/>
        <v>50</v>
      </c>
      <c r="AD80" s="195">
        <f t="shared" si="9"/>
        <v>4.0819999999999999</v>
      </c>
      <c r="AE80" s="195">
        <f t="shared" si="10"/>
        <v>4.16</v>
      </c>
      <c r="AF80" s="195">
        <f t="shared" si="11"/>
        <v>4.2389999999999999</v>
      </c>
      <c r="AG80" s="195">
        <f>Table9[[#This Row],[RTH(min) (kΩ)]]*RT2_TH_MIN/(RT2_TH_MIN+Table9[[#This Row],[RTH(min) (kΩ)]])</f>
        <v>3.5998159806985095</v>
      </c>
      <c r="AH80" s="195">
        <f>Table9[[#This Row],[RTH(nom) (kΩ)]]*RT2_TH_S/(RT2_TH_S+Table9[[#This Row],[RTH(nom) (kΩ)]])</f>
        <v>3.6607800153984353</v>
      </c>
      <c r="AI80" s="195">
        <f>Table9[[#This Row],[RTH(max) (kΩ)]]*RT2_TH_S_MAX/(RT2_TH_S_MAX+Table9[[#This Row],[RTH(max) (kΩ)]])</f>
        <v>3.7222715307109859</v>
      </c>
      <c r="AJ80" s="195">
        <f>Table9[[#This Row],[RLower(min) (kΩ)]]/(Table9[[#This Row],[RLower(min) (kΩ)]]+RT1_TH_S_MAX)*100</f>
        <v>40.730930527210518</v>
      </c>
      <c r="AK80" s="195">
        <f>Table9[[#This Row],[RLower(nom) (kΩ)]]/(Table9[[#This Row],[RLower(nom) (kΩ)]]+RT1_TH_S)*100</f>
        <v>41.161167165530948</v>
      </c>
      <c r="AL80" s="195">
        <f>Table9[[#This Row],[RLower(max) (kΩ)]]/(Table9[[#This Row],[RLower(max) (kΩ)]]+RT1_TH_S_MIN)*100</f>
        <v>41.589488092713708</v>
      </c>
      <c r="AM80" s="195">
        <f>IF(Table9[[#This Row],[Vmin (%)]]&lt;$BA$14, 0, IF(Table9[[#This Row],[Vmin (%)]]&lt;$BA$12, 4, IF(Table9[[#This Row],[Vmin (%)]]&lt;$BA$9, 3, IF(Table9[[#This Row],[Vmin (%)]]&lt;$BA$7, 2, 0))))</f>
        <v>4</v>
      </c>
      <c r="AN80" s="195">
        <f>IF(Table9[[#This Row],[Vmin (%)]]&lt;$BA$13, 0, IF(Table9[[#This Row],[Vmin (%)]]&lt;$BA$11, 4, IF(Table9[[#This Row],[Vmin (%)]]&lt;$BA$10, 3, IF(Table9[[#This Row],[Vmin (%)]]&lt;$BA$8, 2, 0))))</f>
        <v>4</v>
      </c>
      <c r="AO80" s="197" t="str">
        <f>IF(Table9[[#This Row],[Vmin (%)]]&lt;$BA$14, "Hot", IF(Table9[[#This Row],[Vmin (%)]]&lt;$BA$12, "Warm", IF(Table9[[#This Row],[Vmin (%)]]&lt;$BA$9, "Normal", IF(Table9[[#This Row],[Vmin (%)]]&lt;$BA$7, "Cool", "Cold"))))</f>
        <v>Warm</v>
      </c>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row>
    <row r="81" spans="1:210" x14ac:dyDescent="0.25">
      <c r="A81" s="118">
        <f t="shared" si="5"/>
        <v>49</v>
      </c>
      <c r="B81" s="179"/>
      <c r="C81" s="188" t="str">
        <f t="shared" si="7"/>
        <v>RTH at 49 °C</v>
      </c>
      <c r="D81" s="219">
        <f t="shared" si="6"/>
        <v>1.7058823529411764</v>
      </c>
      <c r="E81" s="220">
        <v>4.22</v>
      </c>
      <c r="F81" s="221">
        <v>4.2990000000000004</v>
      </c>
      <c r="G81" s="222">
        <v>4.3789999999999996</v>
      </c>
      <c r="H81" s="138" t="s">
        <v>30</v>
      </c>
      <c r="I81" s="31"/>
      <c r="J81" s="31">
        <v>4.3789999999999996</v>
      </c>
      <c r="K81" s="31">
        <v>4.2990000000000004</v>
      </c>
      <c r="L81" s="31">
        <v>4.22</v>
      </c>
      <c r="M81" s="31"/>
      <c r="N81" s="31"/>
      <c r="O81" s="31"/>
      <c r="P81" s="31"/>
      <c r="Q81" s="31"/>
      <c r="R81" s="31"/>
      <c r="S81" s="31"/>
      <c r="T81" s="31"/>
      <c r="U81" s="31"/>
      <c r="V81" s="31"/>
      <c r="W81" s="31"/>
      <c r="X81" s="31"/>
      <c r="Y81" s="32"/>
      <c r="Z81" s="20"/>
      <c r="AA81" s="21"/>
      <c r="AB81" s="21"/>
      <c r="AC81" s="195">
        <f t="shared" si="8"/>
        <v>49</v>
      </c>
      <c r="AD81" s="195">
        <f t="shared" si="9"/>
        <v>4.22</v>
      </c>
      <c r="AE81" s="195">
        <f t="shared" si="10"/>
        <v>4.2990000000000004</v>
      </c>
      <c r="AF81" s="195">
        <f t="shared" si="11"/>
        <v>4.3789999999999996</v>
      </c>
      <c r="AG81" s="195">
        <f>Table9[[#This Row],[RTH(min) (kΩ)]]*RT2_TH_MIN/(RT2_TH_MIN+Table9[[#This Row],[RTH(min) (kΩ)]])</f>
        <v>3.7067123160071462</v>
      </c>
      <c r="AH81" s="195">
        <f>Table9[[#This Row],[RTH(nom) (kΩ)]]*RT2_TH_S/(RT2_TH_S+Table9[[#This Row],[RTH(nom) (kΩ)]])</f>
        <v>3.7679905499354547</v>
      </c>
      <c r="AI81" s="195">
        <f>Table9[[#This Row],[RTH(max) (kΩ)]]*RT2_TH_S_MAX/(RT2_TH_S_MAX+Table9[[#This Row],[RTH(max) (kΩ)]])</f>
        <v>3.829787354139786</v>
      </c>
      <c r="AJ81" s="195">
        <f>Table9[[#This Row],[RLower(min) (kΩ)]]/(Table9[[#This Row],[RLower(min) (kΩ)]]+RT1_TH_S_MAX)*100</f>
        <v>41.439224695246004</v>
      </c>
      <c r="AK81" s="195">
        <f>Table9[[#This Row],[RLower(nom) (kΩ)]]/(Table9[[#This Row],[RLower(nom) (kΩ)]]+RT1_TH_S)*100</f>
        <v>41.861995467625505</v>
      </c>
      <c r="AL81" s="195">
        <f>Table9[[#This Row],[RLower(max) (kΩ)]]/(Table9[[#This Row],[RLower(max) (kΩ)]]+RT1_TH_S_MIN)*100</f>
        <v>42.282838656374608</v>
      </c>
      <c r="AM81" s="195">
        <f>IF(Table9[[#This Row],[Vmin (%)]]&lt;$BA$14, 0, IF(Table9[[#This Row],[Vmin (%)]]&lt;$BA$12, 4, IF(Table9[[#This Row],[Vmin (%)]]&lt;$BA$9, 3, IF(Table9[[#This Row],[Vmin (%)]]&lt;$BA$7, 2, 0))))</f>
        <v>3</v>
      </c>
      <c r="AN81" s="195">
        <f>IF(Table9[[#This Row],[Vmin (%)]]&lt;$BA$13, 0, IF(Table9[[#This Row],[Vmin (%)]]&lt;$BA$11, 4, IF(Table9[[#This Row],[Vmin (%)]]&lt;$BA$10, 3, IF(Table9[[#This Row],[Vmin (%)]]&lt;$BA$8, 2, 0))))</f>
        <v>4</v>
      </c>
      <c r="AO81" s="197" t="str">
        <f>IF(Table9[[#This Row],[Vmin (%)]]&lt;$BA$14, "Hot", IF(Table9[[#This Row],[Vmin (%)]]&lt;$BA$12, "Warm", IF(Table9[[#This Row],[Vmin (%)]]&lt;$BA$9, "Normal", IF(Table9[[#This Row],[Vmin (%)]]&lt;$BA$7, "Cool", "Cold"))))</f>
        <v>Normal</v>
      </c>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row>
    <row r="82" spans="1:210" x14ac:dyDescent="0.25">
      <c r="A82" s="118">
        <f t="shared" si="5"/>
        <v>48</v>
      </c>
      <c r="B82" s="179"/>
      <c r="C82" s="188" t="str">
        <f t="shared" si="7"/>
        <v>RTH at 48 °C</v>
      </c>
      <c r="D82" s="219">
        <f t="shared" si="6"/>
        <v>1.6764705882352942</v>
      </c>
      <c r="E82" s="220">
        <v>4.3630000000000004</v>
      </c>
      <c r="F82" s="221">
        <v>4.4429999999999996</v>
      </c>
      <c r="G82" s="222">
        <v>4.524</v>
      </c>
      <c r="H82" s="138" t="s">
        <v>30</v>
      </c>
      <c r="I82" s="31"/>
      <c r="J82" s="31">
        <v>4.524</v>
      </c>
      <c r="K82" s="31">
        <v>4.4429999999999996</v>
      </c>
      <c r="L82" s="31">
        <v>4.3630000000000004</v>
      </c>
      <c r="M82" s="31"/>
      <c r="N82" s="31"/>
      <c r="O82" s="31"/>
      <c r="P82" s="31"/>
      <c r="Q82" s="31"/>
      <c r="R82" s="31"/>
      <c r="S82" s="31"/>
      <c r="T82" s="31"/>
      <c r="U82" s="31"/>
      <c r="V82" s="31"/>
      <c r="W82" s="31"/>
      <c r="X82" s="31"/>
      <c r="Y82" s="32"/>
      <c r="Z82" s="20"/>
      <c r="AA82" s="21"/>
      <c r="AB82" s="21"/>
      <c r="AC82" s="195">
        <f t="shared" si="8"/>
        <v>48</v>
      </c>
      <c r="AD82" s="195">
        <f t="shared" si="9"/>
        <v>4.3630000000000004</v>
      </c>
      <c r="AE82" s="195">
        <f t="shared" si="10"/>
        <v>4.4429999999999996</v>
      </c>
      <c r="AF82" s="195">
        <f t="shared" si="11"/>
        <v>4.524</v>
      </c>
      <c r="AG82" s="195">
        <f>Table9[[#This Row],[RTH(min) (kΩ)]]*RT2_TH_MIN/(RT2_TH_MIN+Table9[[#This Row],[RTH(min) (kΩ)]])</f>
        <v>3.8165882457479112</v>
      </c>
      <c r="AH82" s="195">
        <f>Table9[[#This Row],[RTH(nom) (kΩ)]]*RT2_TH_S/(RT2_TH_S+Table9[[#This Row],[RTH(nom) (kΩ)]])</f>
        <v>3.8781581931981286</v>
      </c>
      <c r="AI82" s="195">
        <f>Table9[[#This Row],[RTH(max) (kΩ)]]*RT2_TH_S_MAX/(RT2_TH_S_MAX+Table9[[#This Row],[RTH(max) (kΩ)]])</f>
        <v>3.940237821259692</v>
      </c>
      <c r="AJ82" s="195">
        <f>Table9[[#This Row],[RLower(min) (kΩ)]]/(Table9[[#This Row],[RLower(min) (kΩ)]]+RT1_TH_S_MAX)*100</f>
        <v>42.14983242076066</v>
      </c>
      <c r="AK82" s="195">
        <f>Table9[[#This Row],[RLower(nom) (kΩ)]]/(Table9[[#This Row],[RLower(nom) (kΩ)]]+RT1_TH_S)*100</f>
        <v>42.564972304499207</v>
      </c>
      <c r="AL82" s="195">
        <f>Table9[[#This Row],[RLower(max) (kΩ)]]/(Table9[[#This Row],[RLower(max) (kΩ)]]+RT1_TH_S_MIN)*100</f>
        <v>42.978180086200872</v>
      </c>
      <c r="AM82" s="195">
        <f>IF(Table9[[#This Row],[Vmin (%)]]&lt;$BA$14, 0, IF(Table9[[#This Row],[Vmin (%)]]&lt;$BA$12, 4, IF(Table9[[#This Row],[Vmin (%)]]&lt;$BA$9, 3, IF(Table9[[#This Row],[Vmin (%)]]&lt;$BA$7, 2, 0))))</f>
        <v>3</v>
      </c>
      <c r="AN82" s="195">
        <f>IF(Table9[[#This Row],[Vmin (%)]]&lt;$BA$13, 0, IF(Table9[[#This Row],[Vmin (%)]]&lt;$BA$11, 4, IF(Table9[[#This Row],[Vmin (%)]]&lt;$BA$10, 3, IF(Table9[[#This Row],[Vmin (%)]]&lt;$BA$8, 2, 0))))</f>
        <v>4</v>
      </c>
      <c r="AO82" s="197" t="str">
        <f>IF(Table9[[#This Row],[Vmin (%)]]&lt;$BA$14, "Hot", IF(Table9[[#This Row],[Vmin (%)]]&lt;$BA$12, "Warm", IF(Table9[[#This Row],[Vmin (%)]]&lt;$BA$9, "Normal", IF(Table9[[#This Row],[Vmin (%)]]&lt;$BA$7, "Cool", "Cold"))))</f>
        <v>Normal</v>
      </c>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row>
    <row r="83" spans="1:210" x14ac:dyDescent="0.25">
      <c r="A83" s="118">
        <f t="shared" si="5"/>
        <v>47</v>
      </c>
      <c r="B83" s="179"/>
      <c r="C83" s="188" t="str">
        <f t="shared" si="7"/>
        <v>RTH at 47 °C</v>
      </c>
      <c r="D83" s="219">
        <f t="shared" si="6"/>
        <v>1.6470588235294117</v>
      </c>
      <c r="E83" s="220">
        <v>4.5110000000000001</v>
      </c>
      <c r="F83" s="221">
        <v>4.593</v>
      </c>
      <c r="G83" s="222">
        <v>4.6749999999999998</v>
      </c>
      <c r="H83" s="138" t="s">
        <v>30</v>
      </c>
      <c r="I83" s="31"/>
      <c r="J83" s="31">
        <v>4.6749999999999998</v>
      </c>
      <c r="K83" s="31">
        <v>4.593</v>
      </c>
      <c r="L83" s="31">
        <v>4.5110000000000001</v>
      </c>
      <c r="M83" s="31"/>
      <c r="N83" s="31"/>
      <c r="O83" s="31"/>
      <c r="P83" s="31"/>
      <c r="Q83" s="31"/>
      <c r="R83" s="31"/>
      <c r="S83" s="31"/>
      <c r="T83" s="31"/>
      <c r="U83" s="31"/>
      <c r="V83" s="31"/>
      <c r="W83" s="31"/>
      <c r="X83" s="31"/>
      <c r="Y83" s="32"/>
      <c r="Z83" s="20"/>
      <c r="AA83" s="21"/>
      <c r="AB83" s="21"/>
      <c r="AC83" s="195">
        <f t="shared" si="8"/>
        <v>47</v>
      </c>
      <c r="AD83" s="195">
        <f t="shared" si="9"/>
        <v>4.5110000000000001</v>
      </c>
      <c r="AE83" s="195">
        <f t="shared" si="10"/>
        <v>4.593</v>
      </c>
      <c r="AF83" s="195">
        <f t="shared" si="11"/>
        <v>4.6749999999999998</v>
      </c>
      <c r="AG83" s="195">
        <f>Table9[[#This Row],[RTH(min) (kΩ)]]*RT2_TH_MIN/(RT2_TH_MIN+Table9[[#This Row],[RTH(min) (kΩ)]])</f>
        <v>3.9293601249230115</v>
      </c>
      <c r="AH83" s="195">
        <f>Table9[[#This Row],[RTH(nom) (kΩ)]]*RT2_TH_S/(RT2_TH_S+Table9[[#This Row],[RTH(nom) (kΩ)]])</f>
        <v>3.9919548872610084</v>
      </c>
      <c r="AI83" s="195">
        <f>Table9[[#This Row],[RTH(max) (kΩ)]]*RT2_TH_S_MAX/(RT2_TH_S_MAX+Table9[[#This Row],[RTH(max) (kΩ)]])</f>
        <v>4.0542917281450999</v>
      </c>
      <c r="AJ83" s="195">
        <f>Table9[[#This Row],[RLower(min) (kΩ)]]/(Table9[[#This Row],[RLower(min) (kΩ)]]+RT1_TH_S_MAX)*100</f>
        <v>42.861456325317214</v>
      </c>
      <c r="AK83" s="195">
        <f>Table9[[#This Row],[RLower(nom) (kΩ)]]/(Table9[[#This Row],[RLower(nom) (kΩ)]]+RT1_TH_S)*100</f>
        <v>43.27347685845703</v>
      </c>
      <c r="AL83" s="195">
        <f>Table9[[#This Row],[RLower(max) (kΩ)]]/(Table9[[#This Row],[RLower(max) (kΩ)]]+RT1_TH_S_MIN)*100</f>
        <v>43.67884011499757</v>
      </c>
      <c r="AM83" s="195">
        <f>IF(Table9[[#This Row],[Vmin (%)]]&lt;$BA$14, 0, IF(Table9[[#This Row],[Vmin (%)]]&lt;$BA$12, 4, IF(Table9[[#This Row],[Vmin (%)]]&lt;$BA$9, 3, IF(Table9[[#This Row],[Vmin (%)]]&lt;$BA$7, 2, 0))))</f>
        <v>3</v>
      </c>
      <c r="AN83" s="195">
        <f>IF(Table9[[#This Row],[Vmin (%)]]&lt;$BA$13, 0, IF(Table9[[#This Row],[Vmin (%)]]&lt;$BA$11, 4, IF(Table9[[#This Row],[Vmin (%)]]&lt;$BA$10, 3, IF(Table9[[#This Row],[Vmin (%)]]&lt;$BA$8, 2, 0))))</f>
        <v>3</v>
      </c>
      <c r="AO83" s="197" t="str">
        <f>IF(Table9[[#This Row],[Vmin (%)]]&lt;$BA$14, "Hot", IF(Table9[[#This Row],[Vmin (%)]]&lt;$BA$12, "Warm", IF(Table9[[#This Row],[Vmin (%)]]&lt;$BA$9, "Normal", IF(Table9[[#This Row],[Vmin (%)]]&lt;$BA$7, "Cool", "Cold"))))</f>
        <v>Normal</v>
      </c>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row>
    <row r="84" spans="1:210" x14ac:dyDescent="0.25">
      <c r="A84" s="118">
        <f t="shared" si="5"/>
        <v>46</v>
      </c>
      <c r="B84" s="179"/>
      <c r="C84" s="188" t="str">
        <f t="shared" ref="C84:C115" si="12">_xlfn.CONCAT("RTH at ",A84, " °C")</f>
        <v>RTH at 46 °C</v>
      </c>
      <c r="D84" s="219">
        <f t="shared" si="6"/>
        <v>1.6176470588235294</v>
      </c>
      <c r="E84" s="220">
        <v>4.6660000000000004</v>
      </c>
      <c r="F84" s="221">
        <v>4.7489999999999997</v>
      </c>
      <c r="G84" s="222">
        <v>4.8319999999999999</v>
      </c>
      <c r="H84" s="138" t="s">
        <v>30</v>
      </c>
      <c r="I84" s="31"/>
      <c r="J84" s="31">
        <v>4.8319999999999999</v>
      </c>
      <c r="K84" s="31">
        <v>4.7489999999999997</v>
      </c>
      <c r="L84" s="31">
        <v>4.6660000000000004</v>
      </c>
      <c r="M84" s="31"/>
      <c r="N84" s="31"/>
      <c r="O84" s="31"/>
      <c r="P84" s="31"/>
      <c r="Q84" s="31"/>
      <c r="R84" s="31"/>
      <c r="S84" s="31"/>
      <c r="T84" s="31"/>
      <c r="U84" s="31"/>
      <c r="V84" s="31"/>
      <c r="W84" s="31"/>
      <c r="X84" s="31"/>
      <c r="Y84" s="32"/>
      <c r="Z84" s="20"/>
      <c r="AA84" s="21"/>
      <c r="AB84" s="21"/>
      <c r="AC84" s="195">
        <f t="shared" ref="AC84:AC115" si="13">A84</f>
        <v>46</v>
      </c>
      <c r="AD84" s="195">
        <f t="shared" ref="AD84:AD115" si="14">E84</f>
        <v>4.6660000000000004</v>
      </c>
      <c r="AE84" s="195">
        <f t="shared" ref="AE84:AE115" si="15">F84</f>
        <v>4.7489999999999997</v>
      </c>
      <c r="AF84" s="195">
        <f t="shared" ref="AF84:AF115" si="16">G84</f>
        <v>4.8319999999999999</v>
      </c>
      <c r="AG84" s="195">
        <f>Table9[[#This Row],[RTH(min) (kΩ)]]*RT2_TH_MIN/(RT2_TH_MIN+Table9[[#This Row],[RTH(min) (kΩ)]])</f>
        <v>4.0464474473699488</v>
      </c>
      <c r="AH84" s="195">
        <f>Table9[[#This Row],[RTH(nom) (kΩ)]]*RT2_TH_S/(RT2_TH_S+Table9[[#This Row],[RTH(nom) (kΩ)]])</f>
        <v>4.1092762075416669</v>
      </c>
      <c r="AI84" s="195">
        <f>Table9[[#This Row],[RTH(max) (kΩ)]]*RT2_TH_S_MAX/(RT2_TH_S_MAX+Table9[[#This Row],[RTH(max) (kΩ)]])</f>
        <v>4.1718448746425922</v>
      </c>
      <c r="AJ84" s="195">
        <f>Table9[[#This Row],[RLower(min) (kΩ)]]/(Table9[[#This Row],[RLower(min) (kΩ)]]+RT1_TH_S_MAX)*100</f>
        <v>43.582020216662109</v>
      </c>
      <c r="AK84" s="195">
        <f>Table9[[#This Row],[RLower(nom) (kΩ)]]/(Table9[[#This Row],[RLower(nom) (kΩ)]]+RT1_TH_S)*100</f>
        <v>43.985855378302489</v>
      </c>
      <c r="AL84" s="195">
        <f>Table9[[#This Row],[RLower(max) (kΩ)]]/(Table9[[#This Row],[RLower(max) (kΩ)]]+RT1_TH_S_MIN)*100</f>
        <v>44.383202792604344</v>
      </c>
      <c r="AM84" s="195">
        <f>IF(Table9[[#This Row],[Vmin (%)]]&lt;$BA$14, 0, IF(Table9[[#This Row],[Vmin (%)]]&lt;$BA$12, 4, IF(Table9[[#This Row],[Vmin (%)]]&lt;$BA$9, 3, IF(Table9[[#This Row],[Vmin (%)]]&lt;$BA$7, 2, 0))))</f>
        <v>3</v>
      </c>
      <c r="AN84" s="195">
        <f>IF(Table9[[#This Row],[Vmin (%)]]&lt;$BA$13, 0, IF(Table9[[#This Row],[Vmin (%)]]&lt;$BA$11, 4, IF(Table9[[#This Row],[Vmin (%)]]&lt;$BA$10, 3, IF(Table9[[#This Row],[Vmin (%)]]&lt;$BA$8, 2, 0))))</f>
        <v>3</v>
      </c>
      <c r="AO84" s="197" t="str">
        <f>IF(Table9[[#This Row],[Vmin (%)]]&lt;$BA$14, "Hot", IF(Table9[[#This Row],[Vmin (%)]]&lt;$BA$12, "Warm", IF(Table9[[#This Row],[Vmin (%)]]&lt;$BA$9, "Normal", IF(Table9[[#This Row],[Vmin (%)]]&lt;$BA$7, "Cool", "Cold"))))</f>
        <v>Normal</v>
      </c>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row>
    <row r="85" spans="1:210" x14ac:dyDescent="0.25">
      <c r="A85" s="118">
        <f t="shared" si="5"/>
        <v>45</v>
      </c>
      <c r="B85" s="179"/>
      <c r="C85" s="188" t="str">
        <f t="shared" si="12"/>
        <v>RTH at 45 °C</v>
      </c>
      <c r="D85" s="219">
        <f t="shared" si="6"/>
        <v>1.588235294117647</v>
      </c>
      <c r="E85" s="220">
        <v>4.827</v>
      </c>
      <c r="F85" s="221">
        <v>4.9109999999999996</v>
      </c>
      <c r="G85" s="222">
        <v>4.9950000000000001</v>
      </c>
      <c r="H85" s="138" t="s">
        <v>30</v>
      </c>
      <c r="I85" s="31"/>
      <c r="J85" s="31">
        <v>4.9950000000000001</v>
      </c>
      <c r="K85" s="31">
        <v>4.9109999999999996</v>
      </c>
      <c r="L85" s="31">
        <v>4.827</v>
      </c>
      <c r="M85" s="31"/>
      <c r="N85" s="31"/>
      <c r="O85" s="31"/>
      <c r="P85" s="31"/>
      <c r="Q85" s="31"/>
      <c r="R85" s="31"/>
      <c r="S85" s="31"/>
      <c r="T85" s="31"/>
      <c r="U85" s="31"/>
      <c r="V85" s="31"/>
      <c r="W85" s="31"/>
      <c r="X85" s="31"/>
      <c r="Y85" s="32"/>
      <c r="Z85" s="20"/>
      <c r="AA85" s="21"/>
      <c r="AB85" s="21"/>
      <c r="AC85" s="195">
        <f t="shared" si="13"/>
        <v>45</v>
      </c>
      <c r="AD85" s="195">
        <f t="shared" si="14"/>
        <v>4.827</v>
      </c>
      <c r="AE85" s="195">
        <f t="shared" si="15"/>
        <v>4.9109999999999996</v>
      </c>
      <c r="AF85" s="195">
        <f t="shared" si="16"/>
        <v>4.9950000000000001</v>
      </c>
      <c r="AG85" s="195">
        <f>Table9[[#This Row],[RTH(min) (kΩ)]]*RT2_TH_MIN/(RT2_TH_MIN+Table9[[#This Row],[RTH(min) (kΩ)]])</f>
        <v>4.1669785164246562</v>
      </c>
      <c r="AH85" s="195">
        <f>Table9[[#This Row],[RTH(nom) (kΩ)]]*RT2_TH_S/(RT2_TH_S+Table9[[#This Row],[RTH(nom) (kΩ)]])</f>
        <v>4.2300159512161049</v>
      </c>
      <c r="AI85" s="195">
        <f>Table9[[#This Row],[RTH(max) (kΩ)]]*RT2_TH_S_MAX/(RT2_TH_S_MAX+Table9[[#This Row],[RTH(max) (kΩ)]])</f>
        <v>4.292791321674807</v>
      </c>
      <c r="AJ85" s="195">
        <f>Table9[[#This Row],[RLower(min) (kΩ)]]/(Table9[[#This Row],[RLower(min) (kΩ)]]+RT1_TH_S_MAX)*100</f>
        <v>44.305037005037335</v>
      </c>
      <c r="AK85" s="195">
        <f>Table9[[#This Row],[RLower(nom) (kΩ)]]/(Table9[[#This Row],[RLower(nom) (kΩ)]]+RT1_TH_S)*100</f>
        <v>44.700547166410082</v>
      </c>
      <c r="AL85" s="195">
        <f>Table9[[#This Row],[RLower(max) (kΩ)]]/(Table9[[#This Row],[RLower(max) (kΩ)]]+RT1_TH_S_MIN)*100</f>
        <v>45.08974331671525</v>
      </c>
      <c r="AM85" s="195">
        <f>IF(Table9[[#This Row],[Vmin (%)]]&lt;$BA$14, 0, IF(Table9[[#This Row],[Vmin (%)]]&lt;$BA$12, 4, IF(Table9[[#This Row],[Vmin (%)]]&lt;$BA$9, 3, IF(Table9[[#This Row],[Vmin (%)]]&lt;$BA$7, 2, 0))))</f>
        <v>3</v>
      </c>
      <c r="AN85" s="195">
        <f>IF(Table9[[#This Row],[Vmin (%)]]&lt;$BA$13, 0, IF(Table9[[#This Row],[Vmin (%)]]&lt;$BA$11, 4, IF(Table9[[#This Row],[Vmin (%)]]&lt;$BA$10, 3, IF(Table9[[#This Row],[Vmin (%)]]&lt;$BA$8, 2, 0))))</f>
        <v>3</v>
      </c>
      <c r="AO85" s="197" t="str">
        <f>IF(Table9[[#This Row],[Vmin (%)]]&lt;$BA$14, "Hot", IF(Table9[[#This Row],[Vmin (%)]]&lt;$BA$12, "Warm", IF(Table9[[#This Row],[Vmin (%)]]&lt;$BA$9, "Normal", IF(Table9[[#This Row],[Vmin (%)]]&lt;$BA$7, "Cool", "Cold"))))</f>
        <v>Normal</v>
      </c>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row>
    <row r="86" spans="1:210" x14ac:dyDescent="0.25">
      <c r="A86" s="118">
        <f t="shared" ref="A86:A149" si="17">A85-1</f>
        <v>44</v>
      </c>
      <c r="B86" s="179"/>
      <c r="C86" s="188" t="str">
        <f t="shared" si="12"/>
        <v>RTH at 44 °C</v>
      </c>
      <c r="D86" s="219">
        <f t="shared" ref="D86:D104" si="18">$D$20-(ROW(D86)-ROW($D$20))*($D$20-$D$105)/(ROW($D$105)-ROW($D$20))</f>
        <v>1.5588235294117647</v>
      </c>
      <c r="E86" s="220">
        <v>4.9939999999999998</v>
      </c>
      <c r="F86" s="221">
        <v>5.08</v>
      </c>
      <c r="G86" s="222">
        <v>5.165</v>
      </c>
      <c r="H86" s="138" t="s">
        <v>30</v>
      </c>
      <c r="I86" s="31"/>
      <c r="J86" s="31">
        <v>5.165</v>
      </c>
      <c r="K86" s="31">
        <v>5.08</v>
      </c>
      <c r="L86" s="31">
        <v>4.9939999999999998</v>
      </c>
      <c r="M86" s="31"/>
      <c r="N86" s="31"/>
      <c r="O86" s="31"/>
      <c r="P86" s="31"/>
      <c r="Q86" s="31"/>
      <c r="R86" s="31"/>
      <c r="S86" s="31"/>
      <c r="T86" s="31"/>
      <c r="U86" s="31"/>
      <c r="V86" s="31"/>
      <c r="W86" s="31"/>
      <c r="X86" s="31"/>
      <c r="Y86" s="32"/>
      <c r="Z86" s="20"/>
      <c r="AA86" s="21"/>
      <c r="AB86" s="21"/>
      <c r="AC86" s="195">
        <f t="shared" si="13"/>
        <v>44</v>
      </c>
      <c r="AD86" s="195">
        <f t="shared" si="14"/>
        <v>4.9939999999999998</v>
      </c>
      <c r="AE86" s="195">
        <f t="shared" si="15"/>
        <v>5.08</v>
      </c>
      <c r="AF86" s="195">
        <f t="shared" si="16"/>
        <v>5.165</v>
      </c>
      <c r="AG86" s="195">
        <f>Table9[[#This Row],[RTH(min) (kΩ)]]*RT2_TH_MIN/(RT2_TH_MIN+Table9[[#This Row],[RTH(min) (kΩ)]])</f>
        <v>4.2908452683323759</v>
      </c>
      <c r="AH86" s="195">
        <f>Table9[[#This Row],[RTH(nom) (kΩ)]]*RT2_TH_S/(RT2_TH_S+Table9[[#This Row],[RTH(nom) (kΩ)]])</f>
        <v>4.3548012437788275</v>
      </c>
      <c r="AI86" s="195">
        <f>Table9[[#This Row],[RTH(max) (kΩ)]]*RT2_TH_S_MAX/(RT2_TH_S_MAX+Table9[[#This Row],[RTH(max) (kΩ)]])</f>
        <v>4.4177552094004273</v>
      </c>
      <c r="AJ86" s="195">
        <f>Table9[[#This Row],[RLower(min) (kΩ)]]/(Table9[[#This Row],[RLower(min) (kΩ)]]+RT1_TH_S_MAX)*100</f>
        <v>45.029006352899351</v>
      </c>
      <c r="AK86" s="195">
        <f>Table9[[#This Row],[RLower(nom) (kΩ)]]/(Table9[[#This Row],[RLower(nom) (kΩ)]]+RT1_TH_S)*100</f>
        <v>45.420270552073696</v>
      </c>
      <c r="AL86" s="195">
        <f>Table9[[#This Row],[RLower(max) (kΩ)]]/(Table9[[#This Row],[RLower(max) (kΩ)]]+RT1_TH_S_MIN)*100</f>
        <v>45.801141341003429</v>
      </c>
      <c r="AM86" s="195">
        <f>IF(Table9[[#This Row],[Vmin (%)]]&lt;$BA$14, 0, IF(Table9[[#This Row],[Vmin (%)]]&lt;$BA$12, 4, IF(Table9[[#This Row],[Vmin (%)]]&lt;$BA$9, 3, IF(Table9[[#This Row],[Vmin (%)]]&lt;$BA$7, 2, 0))))</f>
        <v>3</v>
      </c>
      <c r="AN86" s="195">
        <f>IF(Table9[[#This Row],[Vmin (%)]]&lt;$BA$13, 0, IF(Table9[[#This Row],[Vmin (%)]]&lt;$BA$11, 4, IF(Table9[[#This Row],[Vmin (%)]]&lt;$BA$10, 3, IF(Table9[[#This Row],[Vmin (%)]]&lt;$BA$8, 2, 0))))</f>
        <v>3</v>
      </c>
      <c r="AO86" s="197" t="str">
        <f>IF(Table9[[#This Row],[Vmin (%)]]&lt;$BA$14, "Hot", IF(Table9[[#This Row],[Vmin (%)]]&lt;$BA$12, "Warm", IF(Table9[[#This Row],[Vmin (%)]]&lt;$BA$9, "Normal", IF(Table9[[#This Row],[Vmin (%)]]&lt;$BA$7, "Cool", "Cold"))))</f>
        <v>Normal</v>
      </c>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row>
    <row r="87" spans="1:210" x14ac:dyDescent="0.25">
      <c r="A87" s="118">
        <f t="shared" si="17"/>
        <v>43</v>
      </c>
      <c r="B87" s="179"/>
      <c r="C87" s="188" t="str">
        <f t="shared" si="12"/>
        <v>RTH at 43 °C</v>
      </c>
      <c r="D87" s="219">
        <f t="shared" si="18"/>
        <v>1.5294117647058822</v>
      </c>
      <c r="E87" s="220">
        <v>5.1689999999999996</v>
      </c>
      <c r="F87" s="221">
        <v>5.2549999999999999</v>
      </c>
      <c r="G87" s="222">
        <v>5.3419999999999996</v>
      </c>
      <c r="H87" s="138" t="s">
        <v>30</v>
      </c>
      <c r="I87" s="31"/>
      <c r="J87" s="31">
        <v>5.3419999999999996</v>
      </c>
      <c r="K87" s="31">
        <v>5.2549999999999999</v>
      </c>
      <c r="L87" s="31">
        <v>5.1689999999999996</v>
      </c>
      <c r="M87" s="31"/>
      <c r="N87" s="31"/>
      <c r="O87" s="31"/>
      <c r="P87" s="31"/>
      <c r="Q87" s="31"/>
      <c r="R87" s="31"/>
      <c r="S87" s="31"/>
      <c r="T87" s="31"/>
      <c r="U87" s="31"/>
      <c r="V87" s="31"/>
      <c r="W87" s="31"/>
      <c r="X87" s="31"/>
      <c r="Y87" s="32"/>
      <c r="Z87" s="20"/>
      <c r="AA87" s="21"/>
      <c r="AB87" s="21"/>
      <c r="AC87" s="195">
        <f t="shared" si="13"/>
        <v>43</v>
      </c>
      <c r="AD87" s="195">
        <f t="shared" si="14"/>
        <v>5.1689999999999996</v>
      </c>
      <c r="AE87" s="195">
        <f t="shared" si="15"/>
        <v>5.2549999999999999</v>
      </c>
      <c r="AF87" s="195">
        <f t="shared" si="16"/>
        <v>5.3419999999999996</v>
      </c>
      <c r="AG87" s="195">
        <f>Table9[[#This Row],[RTH(min) (kΩ)]]*RT2_TH_MIN/(RT2_TH_MIN+Table9[[#This Row],[RTH(min) (kΩ)]])</f>
        <v>4.4194003284830696</v>
      </c>
      <c r="AH87" s="195">
        <f>Table9[[#This Row],[RTH(nom) (kΩ)]]*RT2_TH_S/(RT2_TH_S+Table9[[#This Row],[RTH(nom) (kΩ)]])</f>
        <v>4.4827737800882197</v>
      </c>
      <c r="AI87" s="195">
        <f>Table9[[#This Row],[RTH(max) (kΩ)]]*RT2_TH_S_MAX/(RT2_TH_S_MAX+Table9[[#This Row],[RTH(max) (kΩ)]])</f>
        <v>4.5466062862862975</v>
      </c>
      <c r="AJ87" s="195">
        <f>Table9[[#This Row],[RLower(min) (kΩ)]]/(Table9[[#This Row],[RLower(min) (kΩ)]]+RT1_TH_S_MAX)*100</f>
        <v>45.760739028921257</v>
      </c>
      <c r="AK87" s="195">
        <f>Table9[[#This Row],[RLower(nom) (kΩ)]]/(Table9[[#This Row],[RLower(nom) (kΩ)]]+RT1_TH_S)*100</f>
        <v>46.139174978135998</v>
      </c>
      <c r="AL87" s="195">
        <f>Table9[[#This Row],[RLower(max) (kΩ)]]/(Table9[[#This Row],[RLower(max) (kΩ)]]+RT1_TH_S_MIN)*100</f>
        <v>46.515620665533334</v>
      </c>
      <c r="AM87" s="195">
        <f>IF(Table9[[#This Row],[Vmin (%)]]&lt;$BA$14, 0, IF(Table9[[#This Row],[Vmin (%)]]&lt;$BA$12, 4, IF(Table9[[#This Row],[Vmin (%)]]&lt;$BA$9, 3, IF(Table9[[#This Row],[Vmin (%)]]&lt;$BA$7, 2, 0))))</f>
        <v>3</v>
      </c>
      <c r="AN87" s="195">
        <f>IF(Table9[[#This Row],[Vmin (%)]]&lt;$BA$13, 0, IF(Table9[[#This Row],[Vmin (%)]]&lt;$BA$11, 4, IF(Table9[[#This Row],[Vmin (%)]]&lt;$BA$10, 3, IF(Table9[[#This Row],[Vmin (%)]]&lt;$BA$8, 2, 0))))</f>
        <v>3</v>
      </c>
      <c r="AO87" s="197" t="str">
        <f>IF(Table9[[#This Row],[Vmin (%)]]&lt;$BA$14, "Hot", IF(Table9[[#This Row],[Vmin (%)]]&lt;$BA$12, "Warm", IF(Table9[[#This Row],[Vmin (%)]]&lt;$BA$9, "Normal", IF(Table9[[#This Row],[Vmin (%)]]&lt;$BA$7, "Cool", "Cold"))))</f>
        <v>Normal</v>
      </c>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row>
    <row r="88" spans="1:210" x14ac:dyDescent="0.25">
      <c r="A88" s="118">
        <f t="shared" si="17"/>
        <v>42</v>
      </c>
      <c r="B88" s="179"/>
      <c r="C88" s="188" t="str">
        <f t="shared" si="12"/>
        <v>RTH at 42 °C</v>
      </c>
      <c r="D88" s="219">
        <f t="shared" si="18"/>
        <v>1.5</v>
      </c>
      <c r="E88" s="220">
        <v>5.351</v>
      </c>
      <c r="F88" s="221">
        <v>5.4379999999999997</v>
      </c>
      <c r="G88" s="222">
        <v>5.5259999999999998</v>
      </c>
      <c r="H88" s="138" t="s">
        <v>30</v>
      </c>
      <c r="I88" s="31"/>
      <c r="J88" s="31">
        <v>5.5259999999999998</v>
      </c>
      <c r="K88" s="31">
        <v>5.4379999999999997</v>
      </c>
      <c r="L88" s="31">
        <v>5.351</v>
      </c>
      <c r="M88" s="31"/>
      <c r="N88" s="31"/>
      <c r="O88" s="31"/>
      <c r="P88" s="31"/>
      <c r="Q88" s="31"/>
      <c r="R88" s="31"/>
      <c r="S88" s="31"/>
      <c r="T88" s="31"/>
      <c r="U88" s="31"/>
      <c r="V88" s="31"/>
      <c r="W88" s="31"/>
      <c r="X88" s="31"/>
      <c r="Y88" s="32"/>
      <c r="Z88" s="20"/>
      <c r="AA88" s="21"/>
      <c r="AB88" s="21"/>
      <c r="AC88" s="195">
        <f t="shared" si="13"/>
        <v>42</v>
      </c>
      <c r="AD88" s="195">
        <f t="shared" si="14"/>
        <v>5.351</v>
      </c>
      <c r="AE88" s="195">
        <f t="shared" si="15"/>
        <v>5.4379999999999997</v>
      </c>
      <c r="AF88" s="195">
        <f t="shared" si="16"/>
        <v>5.5259999999999998</v>
      </c>
      <c r="AG88" s="195">
        <f>Table9[[#This Row],[RTH(min) (kΩ)]]*RT2_TH_MIN/(RT2_TH_MIN+Table9[[#This Row],[RTH(min) (kΩ)]])</f>
        <v>4.5517653121270181</v>
      </c>
      <c r="AH88" s="195">
        <f>Table9[[#This Row],[RTH(nom) (kΩ)]]*RT2_TH_S/(RT2_TH_S+Table9[[#This Row],[RTH(nom) (kΩ)]])</f>
        <v>4.6152635969000837</v>
      </c>
      <c r="AI88" s="195">
        <f>Table9[[#This Row],[RTH(max) (kΩ)]]*RT2_TH_S_MAX/(RT2_TH_S_MAX+Table9[[#This Row],[RTH(max) (kΩ)]])</f>
        <v>4.6792122801732088</v>
      </c>
      <c r="AJ88" s="195">
        <f>Table9[[#This Row],[RLower(min) (kΩ)]]/(Table9[[#This Row],[RLower(min) (kΩ)]]+RT1_TH_S_MAX)*100</f>
        <v>46.494077806036252</v>
      </c>
      <c r="AK88" s="195">
        <f>Table9[[#This Row],[RLower(nom) (kΩ)]]/(Table9[[#This Row],[RLower(nom) (kΩ)]]+RT1_TH_S)*100</f>
        <v>46.863771470223767</v>
      </c>
      <c r="AL88" s="195">
        <f>Table9[[#This Row],[RLower(max) (kΩ)]]/(Table9[[#This Row],[RLower(max) (kΩ)]]+RT1_TH_S_MIN)*100</f>
        <v>47.23151553218328</v>
      </c>
      <c r="AM88" s="195">
        <f>IF(Table9[[#This Row],[Vmin (%)]]&lt;$BA$14, 0, IF(Table9[[#This Row],[Vmin (%)]]&lt;$BA$12, 4, IF(Table9[[#This Row],[Vmin (%)]]&lt;$BA$9, 3, IF(Table9[[#This Row],[Vmin (%)]]&lt;$BA$7, 2, 0))))</f>
        <v>3</v>
      </c>
      <c r="AN88" s="195">
        <f>IF(Table9[[#This Row],[Vmin (%)]]&lt;$BA$13, 0, IF(Table9[[#This Row],[Vmin (%)]]&lt;$BA$11, 4, IF(Table9[[#This Row],[Vmin (%)]]&lt;$BA$10, 3, IF(Table9[[#This Row],[Vmin (%)]]&lt;$BA$8, 2, 0))))</f>
        <v>3</v>
      </c>
      <c r="AO88" s="197" t="str">
        <f>IF(Table9[[#This Row],[Vmin (%)]]&lt;$BA$14, "Hot", IF(Table9[[#This Row],[Vmin (%)]]&lt;$BA$12, "Warm", IF(Table9[[#This Row],[Vmin (%)]]&lt;$BA$9, "Normal", IF(Table9[[#This Row],[Vmin (%)]]&lt;$BA$7, "Cool", "Cold"))))</f>
        <v>Normal</v>
      </c>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row>
    <row r="89" spans="1:210" x14ac:dyDescent="0.25">
      <c r="A89" s="118">
        <f t="shared" si="17"/>
        <v>41</v>
      </c>
      <c r="B89" s="179"/>
      <c r="C89" s="188" t="str">
        <f t="shared" si="12"/>
        <v>RTH at 41 °C</v>
      </c>
      <c r="D89" s="219">
        <f t="shared" si="18"/>
        <v>1.4705882352941178</v>
      </c>
      <c r="E89" s="220">
        <v>5.54</v>
      </c>
      <c r="F89" s="221">
        <v>5.6289999999999996</v>
      </c>
      <c r="G89" s="222">
        <v>5.718</v>
      </c>
      <c r="H89" s="138" t="s">
        <v>30</v>
      </c>
      <c r="I89" s="31"/>
      <c r="J89" s="31">
        <v>5.718</v>
      </c>
      <c r="K89" s="31">
        <v>5.6289999999999996</v>
      </c>
      <c r="L89" s="31">
        <v>5.54</v>
      </c>
      <c r="M89" s="31"/>
      <c r="N89" s="31"/>
      <c r="O89" s="31"/>
      <c r="P89" s="31"/>
      <c r="Q89" s="31"/>
      <c r="R89" s="31"/>
      <c r="S89" s="31"/>
      <c r="T89" s="31"/>
      <c r="U89" s="31"/>
      <c r="V89" s="31"/>
      <c r="W89" s="31"/>
      <c r="X89" s="31"/>
      <c r="Y89" s="32"/>
      <c r="Z89" s="20"/>
      <c r="AA89" s="21"/>
      <c r="AB89" s="21"/>
      <c r="AC89" s="195">
        <f t="shared" si="13"/>
        <v>41</v>
      </c>
      <c r="AD89" s="195">
        <f t="shared" si="14"/>
        <v>5.54</v>
      </c>
      <c r="AE89" s="195">
        <f t="shared" si="15"/>
        <v>5.6289999999999996</v>
      </c>
      <c r="AF89" s="195">
        <f t="shared" si="16"/>
        <v>5.718</v>
      </c>
      <c r="AG89" s="195">
        <f>Table9[[#This Row],[RTH(min) (kΩ)]]*RT2_TH_MIN/(RT2_TH_MIN+Table9[[#This Row],[RTH(min) (kΩ)]])</f>
        <v>4.6878052778944754</v>
      </c>
      <c r="AH89" s="195">
        <f>Table9[[#This Row],[RTH(nom) (kΩ)]]*RT2_TH_S/(RT2_TH_S+Table9[[#This Row],[RTH(nom) (kΩ)]])</f>
        <v>4.7521140633704881</v>
      </c>
      <c r="AI89" s="195">
        <f>Table9[[#This Row],[RTH(max) (kΩ)]]*RT2_TH_S_MAX/(RT2_TH_S_MAX+Table9[[#This Row],[RTH(max) (kΩ)]])</f>
        <v>4.8161486557031337</v>
      </c>
      <c r="AJ89" s="195">
        <f>Table9[[#This Row],[RLower(min) (kΩ)]]/(Table9[[#This Row],[RLower(min) (kΩ)]]+RT1_TH_S_MAX)*100</f>
        <v>47.227396590281984</v>
      </c>
      <c r="AK89" s="195">
        <f>Table9[[#This Row],[RLower(nom) (kΩ)]]/(Table9[[#This Row],[RLower(nom) (kΩ)]]+RT1_TH_S)*100</f>
        <v>47.592027959034752</v>
      </c>
      <c r="AL89" s="195">
        <f>Table9[[#This Row],[RLower(max) (kΩ)]]/(Table9[[#This Row],[RLower(max) (kΩ)]]+RT1_TH_S_MIN)*100</f>
        <v>47.950949228745365</v>
      </c>
      <c r="AM89" s="195">
        <f>IF(Table9[[#This Row],[Vmin (%)]]&lt;$BA$14, 0, IF(Table9[[#This Row],[Vmin (%)]]&lt;$BA$12, 4, IF(Table9[[#This Row],[Vmin (%)]]&lt;$BA$9, 3, IF(Table9[[#This Row],[Vmin (%)]]&lt;$BA$7, 2, 0))))</f>
        <v>3</v>
      </c>
      <c r="AN89" s="195">
        <f>IF(Table9[[#This Row],[Vmin (%)]]&lt;$BA$13, 0, IF(Table9[[#This Row],[Vmin (%)]]&lt;$BA$11, 4, IF(Table9[[#This Row],[Vmin (%)]]&lt;$BA$10, 3, IF(Table9[[#This Row],[Vmin (%)]]&lt;$BA$8, 2, 0))))</f>
        <v>3</v>
      </c>
      <c r="AO89" s="197" t="str">
        <f>IF(Table9[[#This Row],[Vmin (%)]]&lt;$BA$14, "Hot", IF(Table9[[#This Row],[Vmin (%)]]&lt;$BA$12, "Warm", IF(Table9[[#This Row],[Vmin (%)]]&lt;$BA$9, "Normal", IF(Table9[[#This Row],[Vmin (%)]]&lt;$BA$7, "Cool", "Cold"))))</f>
        <v>Normal</v>
      </c>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row>
    <row r="90" spans="1:210" x14ac:dyDescent="0.25">
      <c r="A90" s="118">
        <f t="shared" si="17"/>
        <v>40</v>
      </c>
      <c r="B90" s="179"/>
      <c r="C90" s="188" t="str">
        <f t="shared" si="12"/>
        <v>RTH at 40 °C</v>
      </c>
      <c r="D90" s="219">
        <f t="shared" si="18"/>
        <v>1.4411764705882355</v>
      </c>
      <c r="E90" s="220">
        <v>5.7380000000000004</v>
      </c>
      <c r="F90" s="221">
        <v>5.827</v>
      </c>
      <c r="G90" s="222">
        <v>5.9180000000000001</v>
      </c>
      <c r="H90" s="138" t="s">
        <v>30</v>
      </c>
      <c r="I90" s="31"/>
      <c r="J90" s="31">
        <v>5.9180000000000001</v>
      </c>
      <c r="K90" s="31">
        <v>5.827</v>
      </c>
      <c r="L90" s="31">
        <v>5.7380000000000004</v>
      </c>
      <c r="M90" s="31"/>
      <c r="N90" s="31"/>
      <c r="O90" s="31"/>
      <c r="P90" s="31"/>
      <c r="Q90" s="31"/>
      <c r="R90" s="31"/>
      <c r="S90" s="31"/>
      <c r="T90" s="31"/>
      <c r="U90" s="31"/>
      <c r="V90" s="31"/>
      <c r="W90" s="31"/>
      <c r="X90" s="31"/>
      <c r="Y90" s="32"/>
      <c r="Z90" s="20"/>
      <c r="AA90" s="21"/>
      <c r="AB90" s="21"/>
      <c r="AC90" s="195">
        <f t="shared" si="13"/>
        <v>40</v>
      </c>
      <c r="AD90" s="195">
        <f t="shared" si="14"/>
        <v>5.7380000000000004</v>
      </c>
      <c r="AE90" s="195">
        <f t="shared" si="15"/>
        <v>5.827</v>
      </c>
      <c r="AF90" s="195">
        <f t="shared" si="16"/>
        <v>5.9180000000000001</v>
      </c>
      <c r="AG90" s="195">
        <f>Table9[[#This Row],[RTH(min) (kΩ)]]*RT2_TH_MIN/(RT2_TH_MIN+Table9[[#This Row],[RTH(min) (kΩ)]])</f>
        <v>4.8288002700353641</v>
      </c>
      <c r="AH90" s="195">
        <f>Table9[[#This Row],[RTH(nom) (kΩ)]]*RT2_TH_S/(RT2_TH_S+Table9[[#This Row],[RTH(nom) (kΩ)]])</f>
        <v>4.8924610713806747</v>
      </c>
      <c r="AI90" s="195">
        <f>Table9[[#This Row],[RTH(max) (kΩ)]]*RT2_TH_S_MAX/(RT2_TH_S_MAX+Table9[[#This Row],[RTH(max) (kΩ)]])</f>
        <v>4.9572568347484847</v>
      </c>
      <c r="AJ90" s="195">
        <f>Table9[[#This Row],[RLower(min) (kΩ)]]/(Table9[[#This Row],[RLower(min) (kΩ)]]+RT1_TH_S_MAX)*100</f>
        <v>47.966510006665139</v>
      </c>
      <c r="AK90" s="195">
        <f>Table9[[#This Row],[RLower(nom) (kΩ)]]/(Table9[[#This Row],[RLower(nom) (kΩ)]]+RT1_TH_S)*100</f>
        <v>48.3184451020255</v>
      </c>
      <c r="AL90" s="195">
        <f>Table9[[#This Row],[RLower(max) (kΩ)]]/(Table9[[#This Row],[RLower(max) (kΩ)]]+RT1_TH_S_MIN)*100</f>
        <v>48.672062234693946</v>
      </c>
      <c r="AM90" s="195">
        <f>IF(Table9[[#This Row],[Vmin (%)]]&lt;$BA$14, 0, IF(Table9[[#This Row],[Vmin (%)]]&lt;$BA$12, 4, IF(Table9[[#This Row],[Vmin (%)]]&lt;$BA$9, 3, IF(Table9[[#This Row],[Vmin (%)]]&lt;$BA$7, 2, 0))))</f>
        <v>3</v>
      </c>
      <c r="AN90" s="195">
        <f>IF(Table9[[#This Row],[Vmin (%)]]&lt;$BA$13, 0, IF(Table9[[#This Row],[Vmin (%)]]&lt;$BA$11, 4, IF(Table9[[#This Row],[Vmin (%)]]&lt;$BA$10, 3, IF(Table9[[#This Row],[Vmin (%)]]&lt;$BA$8, 2, 0))))</f>
        <v>3</v>
      </c>
      <c r="AO90" s="197" t="str">
        <f>IF(Table9[[#This Row],[Vmin (%)]]&lt;$BA$14, "Hot", IF(Table9[[#This Row],[Vmin (%)]]&lt;$BA$12, "Warm", IF(Table9[[#This Row],[Vmin (%)]]&lt;$BA$9, "Normal", IF(Table9[[#This Row],[Vmin (%)]]&lt;$BA$7, "Cool", "Cold"))))</f>
        <v>Normal</v>
      </c>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row>
    <row r="91" spans="1:210" x14ac:dyDescent="0.25">
      <c r="A91" s="118">
        <f t="shared" si="17"/>
        <v>39</v>
      </c>
      <c r="B91" s="179"/>
      <c r="C91" s="188" t="str">
        <f t="shared" si="12"/>
        <v>RTH at 39 °C</v>
      </c>
      <c r="D91" s="219">
        <f t="shared" si="18"/>
        <v>1.4117647058823528</v>
      </c>
      <c r="E91" s="220">
        <v>5.9409999999999998</v>
      </c>
      <c r="F91" s="221">
        <v>6.032</v>
      </c>
      <c r="G91" s="222">
        <v>6.1230000000000002</v>
      </c>
      <c r="H91" s="138" t="s">
        <v>30</v>
      </c>
      <c r="I91" s="31"/>
      <c r="J91" s="31">
        <v>6.1230000000000002</v>
      </c>
      <c r="K91" s="31">
        <v>6.032</v>
      </c>
      <c r="L91" s="31">
        <v>5.9409999999999998</v>
      </c>
      <c r="M91" s="31"/>
      <c r="N91" s="31"/>
      <c r="O91" s="31"/>
      <c r="P91" s="31"/>
      <c r="Q91" s="31"/>
      <c r="R91" s="31"/>
      <c r="S91" s="31"/>
      <c r="T91" s="31"/>
      <c r="U91" s="31"/>
      <c r="V91" s="31"/>
      <c r="W91" s="31"/>
      <c r="X91" s="31"/>
      <c r="Y91" s="32"/>
      <c r="Z91" s="20"/>
      <c r="AA91" s="21"/>
      <c r="AB91" s="21"/>
      <c r="AC91" s="195">
        <f t="shared" si="13"/>
        <v>39</v>
      </c>
      <c r="AD91" s="195">
        <f t="shared" si="14"/>
        <v>5.9409999999999998</v>
      </c>
      <c r="AE91" s="195">
        <f t="shared" si="15"/>
        <v>6.032</v>
      </c>
      <c r="AF91" s="195">
        <f t="shared" si="16"/>
        <v>6.1230000000000002</v>
      </c>
      <c r="AG91" s="195">
        <f>Table9[[#This Row],[RTH(min) (kΩ)]]*RT2_TH_MIN/(RT2_TH_MIN+Table9[[#This Row],[RTH(min) (kΩ)]])</f>
        <v>4.9717639385982011</v>
      </c>
      <c r="AH91" s="195">
        <f>Table9[[#This Row],[RTH(nom) (kΩ)]]*RT2_TH_S/(RT2_TH_S+Table9[[#This Row],[RTH(nom) (kΩ)]])</f>
        <v>5.0361671111599708</v>
      </c>
      <c r="AI91" s="195">
        <f>Table9[[#This Row],[RTH(max) (kΩ)]]*RT2_TH_S_MAX/(RT2_TH_S_MAX+Table9[[#This Row],[RTH(max) (kΩ)]])</f>
        <v>5.100294805678649</v>
      </c>
      <c r="AJ91" s="195">
        <f>Table9[[#This Row],[RLower(min) (kΩ)]]/(Table9[[#This Row],[RLower(min) (kΩ)]]+RT1_TH_S_MAX)*100</f>
        <v>48.695100340149764</v>
      </c>
      <c r="AK91" s="195">
        <f>Table9[[#This Row],[RLower(nom) (kΩ)]]/(Table9[[#This Row],[RLower(nom) (kΩ)]]+RT1_TH_S)*100</f>
        <v>49.041673958514927</v>
      </c>
      <c r="AL91" s="195">
        <f>Table9[[#This Row],[RLower(max) (kΩ)]]/(Table9[[#This Row],[RLower(max) (kΩ)]]+RT1_TH_S_MIN)*100</f>
        <v>49.382926528037181</v>
      </c>
      <c r="AM91" s="195">
        <f>IF(Table9[[#This Row],[Vmin (%)]]&lt;$BA$14, 0, IF(Table9[[#This Row],[Vmin (%)]]&lt;$BA$12, 4, IF(Table9[[#This Row],[Vmin (%)]]&lt;$BA$9, 3, IF(Table9[[#This Row],[Vmin (%)]]&lt;$BA$7, 2, 0))))</f>
        <v>3</v>
      </c>
      <c r="AN91" s="195">
        <f>IF(Table9[[#This Row],[Vmin (%)]]&lt;$BA$13, 0, IF(Table9[[#This Row],[Vmin (%)]]&lt;$BA$11, 4, IF(Table9[[#This Row],[Vmin (%)]]&lt;$BA$10, 3, IF(Table9[[#This Row],[Vmin (%)]]&lt;$BA$8, 2, 0))))</f>
        <v>3</v>
      </c>
      <c r="AO91" s="197" t="str">
        <f>IF(Table9[[#This Row],[Vmin (%)]]&lt;$BA$14, "Hot", IF(Table9[[#This Row],[Vmin (%)]]&lt;$BA$12, "Warm", IF(Table9[[#This Row],[Vmin (%)]]&lt;$BA$9, "Normal", IF(Table9[[#This Row],[Vmin (%)]]&lt;$BA$7, "Cool", "Cold"))))</f>
        <v>Normal</v>
      </c>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row>
    <row r="92" spans="1:210" x14ac:dyDescent="0.25">
      <c r="A92" s="118">
        <f t="shared" si="17"/>
        <v>38</v>
      </c>
      <c r="B92" s="179"/>
      <c r="C92" s="188" t="str">
        <f t="shared" si="12"/>
        <v>RTH at 38 °C</v>
      </c>
      <c r="D92" s="219">
        <f t="shared" si="18"/>
        <v>1.3823529411764706</v>
      </c>
      <c r="E92" s="220">
        <v>6.1529999999999996</v>
      </c>
      <c r="F92" s="221">
        <v>6.2450000000000001</v>
      </c>
      <c r="G92" s="222">
        <v>6.3369999999999997</v>
      </c>
      <c r="H92" s="138" t="s">
        <v>30</v>
      </c>
      <c r="I92" s="31"/>
      <c r="J92" s="31">
        <v>6.3369999999999997</v>
      </c>
      <c r="K92" s="31">
        <v>6.2450000000000001</v>
      </c>
      <c r="L92" s="31">
        <v>6.1529999999999996</v>
      </c>
      <c r="M92" s="31"/>
      <c r="N92" s="31"/>
      <c r="O92" s="31"/>
      <c r="P92" s="31"/>
      <c r="Q92" s="31"/>
      <c r="R92" s="31"/>
      <c r="S92" s="31"/>
      <c r="T92" s="31"/>
      <c r="U92" s="31"/>
      <c r="V92" s="31"/>
      <c r="W92" s="31"/>
      <c r="X92" s="31"/>
      <c r="Y92" s="32"/>
      <c r="Z92" s="20"/>
      <c r="AA92" s="21"/>
      <c r="AB92" s="21"/>
      <c r="AC92" s="195">
        <f t="shared" si="13"/>
        <v>38</v>
      </c>
      <c r="AD92" s="195">
        <f t="shared" si="14"/>
        <v>6.1529999999999996</v>
      </c>
      <c r="AE92" s="195">
        <f t="shared" si="15"/>
        <v>6.2450000000000001</v>
      </c>
      <c r="AF92" s="195">
        <f t="shared" si="16"/>
        <v>6.3369999999999997</v>
      </c>
      <c r="AG92" s="195">
        <f>Table9[[#This Row],[RTH(min) (kΩ)]]*RT2_TH_MIN/(RT2_TH_MIN+Table9[[#This Row],[RTH(min) (kΩ)]])</f>
        <v>5.1193742768292845</v>
      </c>
      <c r="AH92" s="195">
        <f>Table9[[#This Row],[RTH(nom) (kΩ)]]*RT2_TH_S/(RT2_TH_S+Table9[[#This Row],[RTH(nom) (kΩ)]])</f>
        <v>5.1837828837085027</v>
      </c>
      <c r="AI92" s="195">
        <f>Table9[[#This Row],[RTH(max) (kΩ)]]*RT2_TH_S_MAX/(RT2_TH_S_MAX+Table9[[#This Row],[RTH(max) (kΩ)]])</f>
        <v>5.2479157365971654</v>
      </c>
      <c r="AJ92" s="195">
        <f>Table9[[#This Row],[RLower(min) (kΩ)]]/(Table9[[#This Row],[RLower(min) (kΩ)]]+RT1_TH_S_MAX)*100</f>
        <v>49.426267285267812</v>
      </c>
      <c r="AK92" s="195">
        <f>Table9[[#This Row],[RLower(nom) (kΩ)]]/(Table9[[#This Row],[RLower(nom) (kΩ)]]+RT1_TH_S)*100</f>
        <v>49.763802771557422</v>
      </c>
      <c r="AL92" s="195">
        <f>Table9[[#This Row],[RLower(max) (kΩ)]]/(Table9[[#This Row],[RLower(max) (kΩ)]]+RT1_TH_S_MIN)*100</f>
        <v>50.096211380462677</v>
      </c>
      <c r="AM92" s="195">
        <f>IF(Table9[[#This Row],[Vmin (%)]]&lt;$BA$14, 0, IF(Table9[[#This Row],[Vmin (%)]]&lt;$BA$12, 4, IF(Table9[[#This Row],[Vmin (%)]]&lt;$BA$9, 3, IF(Table9[[#This Row],[Vmin (%)]]&lt;$BA$7, 2, 0))))</f>
        <v>3</v>
      </c>
      <c r="AN92" s="195">
        <f>IF(Table9[[#This Row],[Vmin (%)]]&lt;$BA$13, 0, IF(Table9[[#This Row],[Vmin (%)]]&lt;$BA$11, 4, IF(Table9[[#This Row],[Vmin (%)]]&lt;$BA$10, 3, IF(Table9[[#This Row],[Vmin (%)]]&lt;$BA$8, 2, 0))))</f>
        <v>3</v>
      </c>
      <c r="AO92" s="197" t="str">
        <f>IF(Table9[[#This Row],[Vmin (%)]]&lt;$BA$14, "Hot", IF(Table9[[#This Row],[Vmin (%)]]&lt;$BA$12, "Warm", IF(Table9[[#This Row],[Vmin (%)]]&lt;$BA$9, "Normal", IF(Table9[[#This Row],[Vmin (%)]]&lt;$BA$7, "Cool", "Cold"))))</f>
        <v>Normal</v>
      </c>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row>
    <row r="93" spans="1:210" x14ac:dyDescent="0.25">
      <c r="A93" s="118">
        <f t="shared" si="17"/>
        <v>37</v>
      </c>
      <c r="B93" s="179"/>
      <c r="C93" s="188" t="str">
        <f t="shared" si="12"/>
        <v>RTH at 37 °C</v>
      </c>
      <c r="D93" s="219">
        <f t="shared" si="18"/>
        <v>1.3529411764705883</v>
      </c>
      <c r="E93" s="220">
        <v>6.3739999999999997</v>
      </c>
      <c r="F93" s="221">
        <v>6.4669999999999996</v>
      </c>
      <c r="G93" s="222">
        <v>6.56</v>
      </c>
      <c r="H93" s="138" t="s">
        <v>30</v>
      </c>
      <c r="I93" s="31"/>
      <c r="J93" s="31">
        <v>6.56</v>
      </c>
      <c r="K93" s="31">
        <v>6.4669999999999996</v>
      </c>
      <c r="L93" s="31">
        <v>6.3739999999999997</v>
      </c>
      <c r="M93" s="31"/>
      <c r="N93" s="31"/>
      <c r="O93" s="31"/>
      <c r="P93" s="31"/>
      <c r="Q93" s="31"/>
      <c r="R93" s="31"/>
      <c r="S93" s="31"/>
      <c r="T93" s="31"/>
      <c r="U93" s="31"/>
      <c r="V93" s="31"/>
      <c r="W93" s="31"/>
      <c r="X93" s="31"/>
      <c r="Y93" s="32"/>
      <c r="Z93" s="20"/>
      <c r="AA93" s="21"/>
      <c r="AB93" s="21"/>
      <c r="AC93" s="195">
        <f t="shared" si="13"/>
        <v>37</v>
      </c>
      <c r="AD93" s="195">
        <f t="shared" si="14"/>
        <v>6.3739999999999997</v>
      </c>
      <c r="AE93" s="195">
        <f t="shared" si="15"/>
        <v>6.4669999999999996</v>
      </c>
      <c r="AF93" s="195">
        <f t="shared" si="16"/>
        <v>6.56</v>
      </c>
      <c r="AG93" s="195">
        <f>Table9[[#This Row],[RTH(min) (kΩ)]]*RT2_TH_MIN/(RT2_TH_MIN+Table9[[#This Row],[RTH(min) (kΩ)]])</f>
        <v>5.2714429267356975</v>
      </c>
      <c r="AH93" s="195">
        <f>Table9[[#This Row],[RTH(nom) (kΩ)]]*RT2_TH_S/(RT2_TH_S+Table9[[#This Row],[RTH(nom) (kΩ)]])</f>
        <v>5.3358257732206091</v>
      </c>
      <c r="AI93" s="195">
        <f>Table9[[#This Row],[RTH(max) (kΩ)]]*RT2_TH_S_MAX/(RT2_TH_S_MAX+Table9[[#This Row],[RTH(max) (kΩ)]])</f>
        <v>5.3999328670513274</v>
      </c>
      <c r="AJ93" s="195">
        <f>Table9[[#This Row],[RLower(min) (kΩ)]]/(Table9[[#This Row],[RLower(min) (kΩ)]]+RT1_TH_S_MAX)*100</f>
        <v>50.158039206044492</v>
      </c>
      <c r="AK93" s="195">
        <f>Table9[[#This Row],[RLower(nom) (kΩ)]]/(Table9[[#This Row],[RLower(nom) (kΩ)]]+RT1_TH_S)*100</f>
        <v>50.486500178703608</v>
      </c>
      <c r="AL93" s="195">
        <f>Table9[[#This Row],[RLower(max) (kΩ)]]/(Table9[[#This Row],[RLower(max) (kΩ)]]+RT1_TH_S_MIN)*100</f>
        <v>50.810028777723801</v>
      </c>
      <c r="AM93" s="195">
        <f>IF(Table9[[#This Row],[Vmin (%)]]&lt;$BA$14, 0, IF(Table9[[#This Row],[Vmin (%)]]&lt;$BA$12, 4, IF(Table9[[#This Row],[Vmin (%)]]&lt;$BA$9, 3, IF(Table9[[#This Row],[Vmin (%)]]&lt;$BA$7, 2, 0))))</f>
        <v>3</v>
      </c>
      <c r="AN93" s="195">
        <f>IF(Table9[[#This Row],[Vmin (%)]]&lt;$BA$13, 0, IF(Table9[[#This Row],[Vmin (%)]]&lt;$BA$11, 4, IF(Table9[[#This Row],[Vmin (%)]]&lt;$BA$10, 3, IF(Table9[[#This Row],[Vmin (%)]]&lt;$BA$8, 2, 0))))</f>
        <v>3</v>
      </c>
      <c r="AO93" s="197" t="str">
        <f>IF(Table9[[#This Row],[Vmin (%)]]&lt;$BA$14, "Hot", IF(Table9[[#This Row],[Vmin (%)]]&lt;$BA$12, "Warm", IF(Table9[[#This Row],[Vmin (%)]]&lt;$BA$9, "Normal", IF(Table9[[#This Row],[Vmin (%)]]&lt;$BA$7, "Cool", "Cold"))))</f>
        <v>Normal</v>
      </c>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row>
    <row r="94" spans="1:210" x14ac:dyDescent="0.25">
      <c r="A94" s="118">
        <f t="shared" si="17"/>
        <v>36</v>
      </c>
      <c r="B94" s="179"/>
      <c r="C94" s="188" t="str">
        <f t="shared" si="12"/>
        <v>RTH at 36 °C</v>
      </c>
      <c r="D94" s="219">
        <f t="shared" si="18"/>
        <v>1.3235294117647061</v>
      </c>
      <c r="E94" s="220">
        <v>6.6050000000000004</v>
      </c>
      <c r="F94" s="221">
        <v>6.6989999999999998</v>
      </c>
      <c r="G94" s="222">
        <v>6.7930000000000001</v>
      </c>
      <c r="H94" s="138" t="s">
        <v>30</v>
      </c>
      <c r="I94" s="31"/>
      <c r="J94" s="31">
        <v>6.7930000000000001</v>
      </c>
      <c r="K94" s="31">
        <v>6.6989999999999998</v>
      </c>
      <c r="L94" s="31">
        <v>6.6050000000000004</v>
      </c>
      <c r="M94" s="31"/>
      <c r="N94" s="31"/>
      <c r="O94" s="31"/>
      <c r="P94" s="31"/>
      <c r="Q94" s="31"/>
      <c r="R94" s="31"/>
      <c r="S94" s="31"/>
      <c r="T94" s="31"/>
      <c r="U94" s="31"/>
      <c r="V94" s="31"/>
      <c r="W94" s="31"/>
      <c r="X94" s="31"/>
      <c r="Y94" s="32"/>
      <c r="Z94" s="20"/>
      <c r="AA94" s="21"/>
      <c r="AB94" s="21"/>
      <c r="AC94" s="195">
        <f t="shared" si="13"/>
        <v>36</v>
      </c>
      <c r="AD94" s="195">
        <f t="shared" si="14"/>
        <v>6.6050000000000004</v>
      </c>
      <c r="AE94" s="195">
        <f t="shared" si="15"/>
        <v>6.6989999999999998</v>
      </c>
      <c r="AF94" s="195">
        <f t="shared" si="16"/>
        <v>6.7930000000000001</v>
      </c>
      <c r="AG94" s="195">
        <f>Table9[[#This Row],[RTH(min) (kΩ)]]*RT2_TH_MIN/(RT2_TH_MIN+Table9[[#This Row],[RTH(min) (kΩ)]])</f>
        <v>5.4284549260560659</v>
      </c>
      <c r="AH94" s="195">
        <f>Table9[[#This Row],[RTH(nom) (kΩ)]]*RT2_TH_S/(RT2_TH_S+Table9[[#This Row],[RTH(nom) (kΩ)]])</f>
        <v>5.4927785028060558</v>
      </c>
      <c r="AI94" s="195">
        <f>Table9[[#This Row],[RTH(max) (kΩ)]]*RT2_TH_S_MAX/(RT2_TH_S_MAX+Table9[[#This Row],[RTH(max) (kΩ)]])</f>
        <v>5.5568266283856351</v>
      </c>
      <c r="AJ94" s="195">
        <f>Table9[[#This Row],[RLower(min) (kΩ)]]/(Table9[[#This Row],[RLower(min) (kΩ)]]+RT1_TH_S_MAX)*100</f>
        <v>50.891705782805516</v>
      </c>
      <c r="AK94" s="195">
        <f>Table9[[#This Row],[RLower(nom) (kΩ)]]/(Table9[[#This Row],[RLower(nom) (kΩ)]]+RT1_TH_S)*100</f>
        <v>51.211042957650541</v>
      </c>
      <c r="AL94" s="195">
        <f>Table9[[#This Row],[RLower(max) (kΩ)]]/(Table9[[#This Row],[RLower(max) (kΩ)]]+RT1_TH_S_MIN)*100</f>
        <v>51.525642754480764</v>
      </c>
      <c r="AM94" s="195">
        <f>IF(Table9[[#This Row],[Vmin (%)]]&lt;$BA$14, 0, IF(Table9[[#This Row],[Vmin (%)]]&lt;$BA$12, 4, IF(Table9[[#This Row],[Vmin (%)]]&lt;$BA$9, 3, IF(Table9[[#This Row],[Vmin (%)]]&lt;$BA$7, 2, 0))))</f>
        <v>3</v>
      </c>
      <c r="AN94" s="195">
        <f>IF(Table9[[#This Row],[Vmin (%)]]&lt;$BA$13, 0, IF(Table9[[#This Row],[Vmin (%)]]&lt;$BA$11, 4, IF(Table9[[#This Row],[Vmin (%)]]&lt;$BA$10, 3, IF(Table9[[#This Row],[Vmin (%)]]&lt;$BA$8, 2, 0))))</f>
        <v>3</v>
      </c>
      <c r="AO94" s="197" t="str">
        <f>IF(Table9[[#This Row],[Vmin (%)]]&lt;$BA$14, "Hot", IF(Table9[[#This Row],[Vmin (%)]]&lt;$BA$12, "Warm", IF(Table9[[#This Row],[Vmin (%)]]&lt;$BA$9, "Normal", IF(Table9[[#This Row],[Vmin (%)]]&lt;$BA$7, "Cool", "Cold"))))</f>
        <v>Normal</v>
      </c>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row>
    <row r="95" spans="1:210" x14ac:dyDescent="0.25">
      <c r="A95" s="118">
        <f t="shared" si="17"/>
        <v>35</v>
      </c>
      <c r="B95" s="179"/>
      <c r="C95" s="188" t="str">
        <f t="shared" si="12"/>
        <v>RTH at 35 °C</v>
      </c>
      <c r="D95" s="219">
        <f t="shared" si="18"/>
        <v>1.2941176470588234</v>
      </c>
      <c r="E95" s="220">
        <v>6.8449999999999998</v>
      </c>
      <c r="F95" s="221">
        <v>6.94</v>
      </c>
      <c r="G95" s="222">
        <v>7.0350000000000001</v>
      </c>
      <c r="H95" s="138" t="s">
        <v>30</v>
      </c>
      <c r="I95" s="31"/>
      <c r="J95" s="31">
        <v>7.0350000000000001</v>
      </c>
      <c r="K95" s="31">
        <v>6.94</v>
      </c>
      <c r="L95" s="31">
        <v>6.8449999999999998</v>
      </c>
      <c r="M95" s="31"/>
      <c r="N95" s="31"/>
      <c r="O95" s="31"/>
      <c r="P95" s="31"/>
      <c r="Q95" s="31"/>
      <c r="R95" s="31"/>
      <c r="S95" s="31"/>
      <c r="T95" s="31"/>
      <c r="U95" s="31"/>
      <c r="V95" s="31"/>
      <c r="W95" s="31"/>
      <c r="X95" s="31"/>
      <c r="Y95" s="32"/>
      <c r="Z95" s="20"/>
      <c r="AA95" s="21"/>
      <c r="AB95" s="21"/>
      <c r="AC95" s="195">
        <f t="shared" si="13"/>
        <v>35</v>
      </c>
      <c r="AD95" s="195">
        <f t="shared" si="14"/>
        <v>6.8449999999999998</v>
      </c>
      <c r="AE95" s="195">
        <f t="shared" si="15"/>
        <v>6.94</v>
      </c>
      <c r="AF95" s="195">
        <f t="shared" si="16"/>
        <v>7.0350000000000001</v>
      </c>
      <c r="AG95" s="195">
        <f>Table9[[#This Row],[RTH(min) (kΩ)]]*RT2_TH_MIN/(RT2_TH_MIN+Table9[[#This Row],[RTH(min) (kΩ)]])</f>
        <v>5.5895254766990226</v>
      </c>
      <c r="AH95" s="195">
        <f>Table9[[#This Row],[RTH(nom) (kΩ)]]*RT2_TH_S/(RT2_TH_S+Table9[[#This Row],[RTH(nom) (kΩ)]])</f>
        <v>5.6537604148926404</v>
      </c>
      <c r="AI95" s="195">
        <f>Table9[[#This Row],[RTH(max) (kΩ)]]*RT2_TH_S_MAX/(RT2_TH_S_MAX+Table9[[#This Row],[RTH(max) (kΩ)]])</f>
        <v>5.7177204680951643</v>
      </c>
      <c r="AJ95" s="195">
        <f>Table9[[#This Row],[RLower(min) (kΩ)]]/(Table9[[#This Row],[RLower(min) (kΩ)]]+RT1_TH_S_MAX)*100</f>
        <v>51.622226922672823</v>
      </c>
      <c r="AK95" s="195">
        <f>Table9[[#This Row],[RLower(nom) (kΩ)]]/(Table9[[#This Row],[RLower(nom) (kΩ)]]+RT1_TH_S)*100</f>
        <v>51.932483099723157</v>
      </c>
      <c r="AL95" s="195">
        <f>Table9[[#This Row],[RLower(max) (kΩ)]]/(Table9[[#This Row],[RLower(max) (kΩ)]]+RT1_TH_S_MIN)*100</f>
        <v>52.238195008500099</v>
      </c>
      <c r="AM95" s="195">
        <f>IF(Table9[[#This Row],[Vmin (%)]]&lt;$BA$14, 0, IF(Table9[[#This Row],[Vmin (%)]]&lt;$BA$12, 4, IF(Table9[[#This Row],[Vmin (%)]]&lt;$BA$9, 3, IF(Table9[[#This Row],[Vmin (%)]]&lt;$BA$7, 2, 0))))</f>
        <v>3</v>
      </c>
      <c r="AN95" s="195">
        <f>IF(Table9[[#This Row],[Vmin (%)]]&lt;$BA$13, 0, IF(Table9[[#This Row],[Vmin (%)]]&lt;$BA$11, 4, IF(Table9[[#This Row],[Vmin (%)]]&lt;$BA$10, 3, IF(Table9[[#This Row],[Vmin (%)]]&lt;$BA$8, 2, 0))))</f>
        <v>3</v>
      </c>
      <c r="AO95" s="197" t="str">
        <f>IF(Table9[[#This Row],[Vmin (%)]]&lt;$BA$14, "Hot", IF(Table9[[#This Row],[Vmin (%)]]&lt;$BA$12, "Warm", IF(Table9[[#This Row],[Vmin (%)]]&lt;$BA$9, "Normal", IF(Table9[[#This Row],[Vmin (%)]]&lt;$BA$7, "Cool", "Cold"))))</f>
        <v>Normal</v>
      </c>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row>
    <row r="96" spans="1:210" x14ac:dyDescent="0.25">
      <c r="A96" s="118">
        <f t="shared" si="17"/>
        <v>34</v>
      </c>
      <c r="B96" s="179"/>
      <c r="C96" s="188" t="str">
        <f t="shared" si="12"/>
        <v>RTH at 34 °C</v>
      </c>
      <c r="D96" s="219">
        <f t="shared" si="18"/>
        <v>1.2647058823529411</v>
      </c>
      <c r="E96" s="220">
        <v>7.0960000000000001</v>
      </c>
      <c r="F96" s="221">
        <v>7.1920000000000002</v>
      </c>
      <c r="G96" s="222">
        <v>7.2880000000000003</v>
      </c>
      <c r="H96" s="138" t="s">
        <v>30</v>
      </c>
      <c r="I96" s="31"/>
      <c r="J96" s="31">
        <v>7.2880000000000003</v>
      </c>
      <c r="K96" s="31">
        <v>7.1920000000000002</v>
      </c>
      <c r="L96" s="31">
        <v>7.0960000000000001</v>
      </c>
      <c r="M96" s="31"/>
      <c r="N96" s="31"/>
      <c r="O96" s="31"/>
      <c r="P96" s="31"/>
      <c r="Q96" s="31"/>
      <c r="R96" s="31"/>
      <c r="S96" s="31"/>
      <c r="T96" s="31"/>
      <c r="U96" s="31"/>
      <c r="V96" s="31"/>
      <c r="W96" s="31"/>
      <c r="X96" s="31"/>
      <c r="Y96" s="32"/>
      <c r="Z96" s="20"/>
      <c r="AA96" s="21"/>
      <c r="AB96" s="21"/>
      <c r="AC96" s="195">
        <f t="shared" si="13"/>
        <v>34</v>
      </c>
      <c r="AD96" s="195">
        <f t="shared" si="14"/>
        <v>7.0960000000000001</v>
      </c>
      <c r="AE96" s="195">
        <f t="shared" si="15"/>
        <v>7.1920000000000002</v>
      </c>
      <c r="AF96" s="195">
        <f t="shared" si="16"/>
        <v>7.2880000000000003</v>
      </c>
      <c r="AG96" s="195">
        <f>Table9[[#This Row],[RTH(min) (kΩ)]]*RT2_TH_MIN/(RT2_TH_MIN+Table9[[#This Row],[RTH(min) (kΩ)]])</f>
        <v>5.7557769717431064</v>
      </c>
      <c r="AH96" s="195">
        <f>Table9[[#This Row],[RTH(nom) (kΩ)]]*RT2_TH_S/(RT2_TH_S+Table9[[#This Row],[RTH(nom) (kΩ)]])</f>
        <v>5.8198886565381214</v>
      </c>
      <c r="AI96" s="195">
        <f>Table9[[#This Row],[RTH(max) (kΩ)]]*RT2_TH_S_MAX/(RT2_TH_S_MAX+Table9[[#This Row],[RTH(max) (kΩ)]])</f>
        <v>5.8837263359736323</v>
      </c>
      <c r="AJ96" s="195">
        <f>Table9[[#This Row],[RLower(min) (kΩ)]]/(Table9[[#This Row],[RLower(min) (kΩ)]]+RT1_TH_S_MAX)*100</f>
        <v>52.353796532385644</v>
      </c>
      <c r="AK96" s="195">
        <f>Table9[[#This Row],[RLower(nom) (kΩ)]]/(Table9[[#This Row],[RLower(nom) (kΩ)]]+RT1_TH_S)*100</f>
        <v>52.654952917994869</v>
      </c>
      <c r="AL96" s="195">
        <f>Table9[[#This Row],[RLower(max) (kΩ)]]/(Table9[[#This Row],[RLower(max) (kΩ)]]+RT1_TH_S_MIN)*100</f>
        <v>52.951757619780373</v>
      </c>
      <c r="AM96" s="195">
        <f>IF(Table9[[#This Row],[Vmin (%)]]&lt;$BA$14, 0, IF(Table9[[#This Row],[Vmin (%)]]&lt;$BA$12, 4, IF(Table9[[#This Row],[Vmin (%)]]&lt;$BA$9, 3, IF(Table9[[#This Row],[Vmin (%)]]&lt;$BA$7, 2, 0))))</f>
        <v>3</v>
      </c>
      <c r="AN96" s="195">
        <f>IF(Table9[[#This Row],[Vmin (%)]]&lt;$BA$13, 0, IF(Table9[[#This Row],[Vmin (%)]]&lt;$BA$11, 4, IF(Table9[[#This Row],[Vmin (%)]]&lt;$BA$10, 3, IF(Table9[[#This Row],[Vmin (%)]]&lt;$BA$8, 2, 0))))</f>
        <v>3</v>
      </c>
      <c r="AO96" s="197" t="str">
        <f>IF(Table9[[#This Row],[Vmin (%)]]&lt;$BA$14, "Hot", IF(Table9[[#This Row],[Vmin (%)]]&lt;$BA$12, "Warm", IF(Table9[[#This Row],[Vmin (%)]]&lt;$BA$9, "Normal", IF(Table9[[#This Row],[Vmin (%)]]&lt;$BA$7, "Cool", "Cold"))))</f>
        <v>Normal</v>
      </c>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row>
    <row r="97" spans="1:210" x14ac:dyDescent="0.25">
      <c r="A97" s="118">
        <f t="shared" si="17"/>
        <v>33</v>
      </c>
      <c r="B97" s="179"/>
      <c r="C97" s="188" t="str">
        <f t="shared" si="12"/>
        <v>RTH at 33 °C</v>
      </c>
      <c r="D97" s="219">
        <f t="shared" si="18"/>
        <v>1.2352941176470589</v>
      </c>
      <c r="E97" s="220">
        <v>7.3579999999999997</v>
      </c>
      <c r="F97" s="221">
        <v>7.4539999999999997</v>
      </c>
      <c r="G97" s="222">
        <v>7.5510000000000002</v>
      </c>
      <c r="H97" s="138" t="s">
        <v>30</v>
      </c>
      <c r="I97" s="31"/>
      <c r="J97" s="31">
        <v>7.5510000000000002</v>
      </c>
      <c r="K97" s="31">
        <v>7.4539999999999997</v>
      </c>
      <c r="L97" s="31">
        <v>7.3579999999999997</v>
      </c>
      <c r="M97" s="31"/>
      <c r="N97" s="31"/>
      <c r="O97" s="31"/>
      <c r="P97" s="31"/>
      <c r="Q97" s="31"/>
      <c r="R97" s="31"/>
      <c r="S97" s="31"/>
      <c r="T97" s="31"/>
      <c r="U97" s="31"/>
      <c r="V97" s="31"/>
      <c r="W97" s="31"/>
      <c r="X97" s="31"/>
      <c r="Y97" s="32"/>
      <c r="Z97" s="20"/>
      <c r="AA97" s="21"/>
      <c r="AB97" s="21"/>
      <c r="AC97" s="195">
        <f t="shared" si="13"/>
        <v>33</v>
      </c>
      <c r="AD97" s="195">
        <f t="shared" si="14"/>
        <v>7.3579999999999997</v>
      </c>
      <c r="AE97" s="195">
        <f t="shared" si="15"/>
        <v>7.4539999999999997</v>
      </c>
      <c r="AF97" s="195">
        <f t="shared" si="16"/>
        <v>7.5510000000000002</v>
      </c>
      <c r="AG97" s="195">
        <f>Table9[[#This Row],[RTH(min) (kΩ)]]*RT2_TH_MIN/(RT2_TH_MIN+Table9[[#This Row],[RTH(min) (kΩ)]])</f>
        <v>5.9269612784300945</v>
      </c>
      <c r="AH97" s="195">
        <f>Table9[[#This Row],[RTH(nom) (kΩ)]]*RT2_TH_S/(RT2_TH_S+Table9[[#This Row],[RTH(nom) (kΩ)]])</f>
        <v>5.9902705086557511</v>
      </c>
      <c r="AI97" s="195">
        <f>Table9[[#This Row],[RTH(max) (kΩ)]]*RT2_TH_S_MAX/(RT2_TH_S_MAX+Table9[[#This Row],[RTH(max) (kΩ)]])</f>
        <v>6.0539557568269009</v>
      </c>
      <c r="AJ97" s="195">
        <f>Table9[[#This Row],[RLower(min) (kΩ)]]/(Table9[[#This Row],[RLower(min) (kΩ)]]+RT1_TH_S_MAX)*100</f>
        <v>53.084306774955934</v>
      </c>
      <c r="AK97" s="195">
        <f>Table9[[#This Row],[RLower(nom) (kΩ)]]/(Table9[[#This Row],[RLower(nom) (kΩ)]]+RT1_TH_S)*100</f>
        <v>53.373704476860659</v>
      </c>
      <c r="AL97" s="195">
        <f>Table9[[#This Row],[RLower(max) (kΩ)]]/(Table9[[#This Row],[RLower(max) (kΩ)]]+RT1_TH_S_MIN)*100</f>
        <v>53.661667046191077</v>
      </c>
      <c r="AM97" s="195">
        <f>IF(Table9[[#This Row],[Vmin (%)]]&lt;$BA$14, 0, IF(Table9[[#This Row],[Vmin (%)]]&lt;$BA$12, 4, IF(Table9[[#This Row],[Vmin (%)]]&lt;$BA$9, 3, IF(Table9[[#This Row],[Vmin (%)]]&lt;$BA$7, 2, 0))))</f>
        <v>3</v>
      </c>
      <c r="AN97" s="195">
        <f>IF(Table9[[#This Row],[Vmin (%)]]&lt;$BA$13, 0, IF(Table9[[#This Row],[Vmin (%)]]&lt;$BA$11, 4, IF(Table9[[#This Row],[Vmin (%)]]&lt;$BA$10, 3, IF(Table9[[#This Row],[Vmin (%)]]&lt;$BA$8, 2, 0))))</f>
        <v>3</v>
      </c>
      <c r="AO97" s="197" t="str">
        <f>IF(Table9[[#This Row],[Vmin (%)]]&lt;$BA$14, "Hot", IF(Table9[[#This Row],[Vmin (%)]]&lt;$BA$12, "Warm", IF(Table9[[#This Row],[Vmin (%)]]&lt;$BA$9, "Normal", IF(Table9[[#This Row],[Vmin (%)]]&lt;$BA$7, "Cool", "Cold"))))</f>
        <v>Normal</v>
      </c>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row>
    <row r="98" spans="1:210" x14ac:dyDescent="0.25">
      <c r="A98" s="118">
        <f t="shared" si="17"/>
        <v>32</v>
      </c>
      <c r="B98" s="179"/>
      <c r="C98" s="188" t="str">
        <f t="shared" si="12"/>
        <v>RTH at 32 °C</v>
      </c>
      <c r="D98" s="219">
        <f t="shared" si="18"/>
        <v>1.2058823529411766</v>
      </c>
      <c r="E98" s="220">
        <v>7.6310000000000002</v>
      </c>
      <c r="F98" s="221">
        <v>7.7279999999999998</v>
      </c>
      <c r="G98" s="222">
        <v>7.8259999999999996</v>
      </c>
      <c r="H98" s="138" t="s">
        <v>30</v>
      </c>
      <c r="I98" s="31"/>
      <c r="J98" s="31">
        <v>7.8259999999999996</v>
      </c>
      <c r="K98" s="31">
        <v>7.7279999999999998</v>
      </c>
      <c r="L98" s="31">
        <v>7.6310000000000002</v>
      </c>
      <c r="M98" s="31"/>
      <c r="N98" s="31"/>
      <c r="O98" s="31"/>
      <c r="P98" s="31"/>
      <c r="Q98" s="31"/>
      <c r="R98" s="31"/>
      <c r="S98" s="31"/>
      <c r="T98" s="31"/>
      <c r="U98" s="31"/>
      <c r="V98" s="31"/>
      <c r="W98" s="31"/>
      <c r="X98" s="31"/>
      <c r="Y98" s="32"/>
      <c r="Z98" s="20"/>
      <c r="AA98" s="21"/>
      <c r="AB98" s="21"/>
      <c r="AC98" s="195">
        <f t="shared" si="13"/>
        <v>32</v>
      </c>
      <c r="AD98" s="195">
        <f t="shared" si="14"/>
        <v>7.6310000000000002</v>
      </c>
      <c r="AE98" s="195">
        <f t="shared" si="15"/>
        <v>7.7279999999999998</v>
      </c>
      <c r="AF98" s="195">
        <f t="shared" si="16"/>
        <v>7.8259999999999996</v>
      </c>
      <c r="AG98" s="195">
        <f>Table9[[#This Row],[RTH(min) (kΩ)]]*RT2_TH_MIN/(RT2_TH_MIN+Table9[[#This Row],[RTH(min) (kΩ)]])</f>
        <v>6.1028284012562581</v>
      </c>
      <c r="AH98" s="195">
        <f>Table9[[#This Row],[RTH(nom) (kΩ)]]*RT2_TH_S/(RT2_TH_S+Table9[[#This Row],[RTH(nom) (kΩ)]])</f>
        <v>6.165958090070351</v>
      </c>
      <c r="AI98" s="195">
        <f>Table9[[#This Row],[RTH(max) (kΩ)]]*RT2_TH_S_MAX/(RT2_TH_S_MAX+Table9[[#This Row],[RTH(max) (kΩ)]])</f>
        <v>6.2294560094986497</v>
      </c>
      <c r="AJ98" s="195">
        <f>Table9[[#This Row],[RLower(min) (kΩ)]]/(Table9[[#This Row],[RLower(min) (kΩ)]]+RT1_TH_S_MAX)*100</f>
        <v>53.811834308608674</v>
      </c>
      <c r="AK98" s="195">
        <f>Table9[[#This Row],[RLower(nom) (kΩ)]]/(Table9[[#This Row],[RLower(nom) (kΩ)]]+RT1_TH_S)*100</f>
        <v>54.09233747719685</v>
      </c>
      <c r="AL98" s="195">
        <f>Table9[[#This Row],[RLower(max) (kΩ)]]/(Table9[[#This Row],[RLower(max) (kΩ)]]+RT1_TH_S_MIN)*100</f>
        <v>54.371472154531098</v>
      </c>
      <c r="AM98" s="195">
        <f>IF(Table9[[#This Row],[Vmin (%)]]&lt;$BA$14, 0, IF(Table9[[#This Row],[Vmin (%)]]&lt;$BA$12, 4, IF(Table9[[#This Row],[Vmin (%)]]&lt;$BA$9, 3, IF(Table9[[#This Row],[Vmin (%)]]&lt;$BA$7, 2, 0))))</f>
        <v>3</v>
      </c>
      <c r="AN98" s="195">
        <f>IF(Table9[[#This Row],[Vmin (%)]]&lt;$BA$13, 0, IF(Table9[[#This Row],[Vmin (%)]]&lt;$BA$11, 4, IF(Table9[[#This Row],[Vmin (%)]]&lt;$BA$10, 3, IF(Table9[[#This Row],[Vmin (%)]]&lt;$BA$8, 2, 0))))</f>
        <v>3</v>
      </c>
      <c r="AO98" s="197" t="str">
        <f>IF(Table9[[#This Row],[Vmin (%)]]&lt;$BA$14, "Hot", IF(Table9[[#This Row],[Vmin (%)]]&lt;$BA$12, "Warm", IF(Table9[[#This Row],[Vmin (%)]]&lt;$BA$9, "Normal", IF(Table9[[#This Row],[Vmin (%)]]&lt;$BA$7, "Cool", "Cold"))))</f>
        <v>Normal</v>
      </c>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row>
    <row r="99" spans="1:210" x14ac:dyDescent="0.25">
      <c r="A99" s="118">
        <f t="shared" si="17"/>
        <v>31</v>
      </c>
      <c r="B99" s="179"/>
      <c r="C99" s="188" t="str">
        <f t="shared" si="12"/>
        <v>RTH at 31 °C</v>
      </c>
      <c r="D99" s="219">
        <f t="shared" si="18"/>
        <v>1.1764705882352939</v>
      </c>
      <c r="E99" s="220">
        <v>7.9160000000000004</v>
      </c>
      <c r="F99" s="221">
        <v>8.0139999999999993</v>
      </c>
      <c r="G99" s="222">
        <v>8.1120000000000001</v>
      </c>
      <c r="H99" s="138" t="s">
        <v>30</v>
      </c>
      <c r="I99" s="31"/>
      <c r="J99" s="31">
        <v>8.1120000000000001</v>
      </c>
      <c r="K99" s="31">
        <v>8.0139999999999993</v>
      </c>
      <c r="L99" s="31">
        <v>7.9160000000000004</v>
      </c>
      <c r="M99" s="31"/>
      <c r="N99" s="31"/>
      <c r="O99" s="31"/>
      <c r="P99" s="31"/>
      <c r="Q99" s="31"/>
      <c r="R99" s="31"/>
      <c r="S99" s="31"/>
      <c r="T99" s="31"/>
      <c r="U99" s="31"/>
      <c r="V99" s="31"/>
      <c r="W99" s="31"/>
      <c r="X99" s="31"/>
      <c r="Y99" s="32"/>
      <c r="Z99" s="20"/>
      <c r="AA99" s="21"/>
      <c r="AB99" s="21"/>
      <c r="AC99" s="195">
        <f t="shared" si="13"/>
        <v>31</v>
      </c>
      <c r="AD99" s="195">
        <f t="shared" si="14"/>
        <v>7.9160000000000004</v>
      </c>
      <c r="AE99" s="195">
        <f t="shared" si="15"/>
        <v>8.0139999999999993</v>
      </c>
      <c r="AF99" s="195">
        <f t="shared" si="16"/>
        <v>8.1120000000000001</v>
      </c>
      <c r="AG99" s="195">
        <f>Table9[[#This Row],[RTH(min) (kΩ)]]*RT2_TH_MIN/(RT2_TH_MIN+Table9[[#This Row],[RTH(min) (kΩ)]])</f>
        <v>6.2837574040548763</v>
      </c>
      <c r="AH99" s="195">
        <f>Table9[[#This Row],[RTH(nom) (kΩ)]]*RT2_TH_S/(RT2_TH_S+Table9[[#This Row],[RTH(nom) (kΩ)]])</f>
        <v>6.3466739796380818</v>
      </c>
      <c r="AI99" s="195">
        <f>Table9[[#This Row],[RTH(max) (kΩ)]]*RT2_TH_S_MAX/(RT2_TH_S_MAX+Table9[[#This Row],[RTH(max) (kΩ)]])</f>
        <v>6.4093268612026844</v>
      </c>
      <c r="AJ99" s="195">
        <f>Table9[[#This Row],[RLower(min) (kΩ)]]/(Table9[[#This Row],[RLower(min) (kΩ)]]+RT1_TH_S_MAX)*100</f>
        <v>54.537124375179815</v>
      </c>
      <c r="AK99" s="195">
        <f>Table9[[#This Row],[RLower(nom) (kΩ)]]/(Table9[[#This Row],[RLower(nom) (kΩ)]]+RT1_TH_S)*100</f>
        <v>54.808786871906143</v>
      </c>
      <c r="AL99" s="195">
        <f>Table9[[#This Row],[RLower(max) (kΩ)]]/(Table9[[#This Row],[RLower(max) (kΩ)]]+RT1_TH_S_MIN)*100</f>
        <v>55.076738306120376</v>
      </c>
      <c r="AM99" s="195">
        <f>IF(Table9[[#This Row],[Vmin (%)]]&lt;$BA$14, 0, IF(Table9[[#This Row],[Vmin (%)]]&lt;$BA$12, 4, IF(Table9[[#This Row],[Vmin (%)]]&lt;$BA$9, 3, IF(Table9[[#This Row],[Vmin (%)]]&lt;$BA$7, 2, 0))))</f>
        <v>3</v>
      </c>
      <c r="AN99" s="195">
        <f>IF(Table9[[#This Row],[Vmin (%)]]&lt;$BA$13, 0, IF(Table9[[#This Row],[Vmin (%)]]&lt;$BA$11, 4, IF(Table9[[#This Row],[Vmin (%)]]&lt;$BA$10, 3, IF(Table9[[#This Row],[Vmin (%)]]&lt;$BA$8, 2, 0))))</f>
        <v>3</v>
      </c>
      <c r="AO99" s="197" t="str">
        <f>IF(Table9[[#This Row],[Vmin (%)]]&lt;$BA$14, "Hot", IF(Table9[[#This Row],[Vmin (%)]]&lt;$BA$12, "Warm", IF(Table9[[#This Row],[Vmin (%)]]&lt;$BA$9, "Normal", IF(Table9[[#This Row],[Vmin (%)]]&lt;$BA$7, "Cool", "Cold"))))</f>
        <v>Normal</v>
      </c>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row>
    <row r="100" spans="1:210" x14ac:dyDescent="0.25">
      <c r="A100" s="118">
        <f t="shared" si="17"/>
        <v>30</v>
      </c>
      <c r="B100" s="179"/>
      <c r="C100" s="188" t="str">
        <f t="shared" si="12"/>
        <v>RTH at 30 °C</v>
      </c>
      <c r="D100" s="219">
        <f t="shared" si="18"/>
        <v>1.1470588235294117</v>
      </c>
      <c r="E100" s="220">
        <v>8.2140000000000004</v>
      </c>
      <c r="F100" s="221">
        <v>8.3130000000000006</v>
      </c>
      <c r="G100" s="222">
        <v>8.4109999999999996</v>
      </c>
      <c r="H100" s="138" t="s">
        <v>30</v>
      </c>
      <c r="I100" s="31"/>
      <c r="J100" s="31">
        <v>8.4109999999999996</v>
      </c>
      <c r="K100" s="31">
        <v>8.3130000000000006</v>
      </c>
      <c r="L100" s="31">
        <v>8.2140000000000004</v>
      </c>
      <c r="M100" s="31"/>
      <c r="N100" s="31"/>
      <c r="O100" s="31"/>
      <c r="P100" s="31"/>
      <c r="Q100" s="31"/>
      <c r="R100" s="31"/>
      <c r="S100" s="31"/>
      <c r="T100" s="31"/>
      <c r="U100" s="31"/>
      <c r="V100" s="31"/>
      <c r="W100" s="31"/>
      <c r="X100" s="31"/>
      <c r="Y100" s="32"/>
      <c r="Z100" s="20"/>
      <c r="AA100" s="21"/>
      <c r="AB100" s="21"/>
      <c r="AC100" s="195">
        <f t="shared" si="13"/>
        <v>30</v>
      </c>
      <c r="AD100" s="195">
        <f t="shared" si="14"/>
        <v>8.2140000000000004</v>
      </c>
      <c r="AE100" s="195">
        <f t="shared" si="15"/>
        <v>8.3130000000000006</v>
      </c>
      <c r="AF100" s="195">
        <f t="shared" si="16"/>
        <v>8.4109999999999996</v>
      </c>
      <c r="AG100" s="195">
        <f>Table9[[#This Row],[RTH(min) (kΩ)]]*RT2_TH_MIN/(RT2_TH_MIN+Table9[[#This Row],[RTH(min) (kΩ)]])</f>
        <v>6.4700885321381332</v>
      </c>
      <c r="AH100" s="195">
        <f>Table9[[#This Row],[RTH(nom) (kΩ)]]*RT2_TH_S/(RT2_TH_S+Table9[[#This Row],[RTH(nom) (kΩ)]])</f>
        <v>6.5327570074327461</v>
      </c>
      <c r="AI100" s="195">
        <f>Table9[[#This Row],[RTH(max) (kΩ)]]*RT2_TH_S_MAX/(RT2_TH_S_MAX+Table9[[#This Row],[RTH(max) (kΩ)]])</f>
        <v>6.5945491045889248</v>
      </c>
      <c r="AJ100" s="195">
        <f>Table9[[#This Row],[RLower(min) (kΩ)]]/(Table9[[#This Row],[RLower(min) (kΩ)]]+RT1_TH_S_MAX)*100</f>
        <v>55.260640148952646</v>
      </c>
      <c r="AK100" s="195">
        <f>Table9[[#This Row],[RLower(nom) (kΩ)]]/(Table9[[#This Row],[RLower(nom) (kΩ)]]+RT1_TH_S)*100</f>
        <v>55.523515562198035</v>
      </c>
      <c r="AL100" s="195">
        <f>Table9[[#This Row],[RLower(max) (kΩ)]]/(Table9[[#This Row],[RLower(max) (kΩ)]]+RT1_TH_S_MIN)*100</f>
        <v>55.78055923785503</v>
      </c>
      <c r="AM100" s="195">
        <f>IF(Table9[[#This Row],[Vmin (%)]]&lt;$BA$14, 0, IF(Table9[[#This Row],[Vmin (%)]]&lt;$BA$12, 4, IF(Table9[[#This Row],[Vmin (%)]]&lt;$BA$9, 3, IF(Table9[[#This Row],[Vmin (%)]]&lt;$BA$7, 2, 0))))</f>
        <v>3</v>
      </c>
      <c r="AN100" s="195">
        <f>IF(Table9[[#This Row],[Vmin (%)]]&lt;$BA$13, 0, IF(Table9[[#This Row],[Vmin (%)]]&lt;$BA$11, 4, IF(Table9[[#This Row],[Vmin (%)]]&lt;$BA$10, 3, IF(Table9[[#This Row],[Vmin (%)]]&lt;$BA$8, 2, 0))))</f>
        <v>3</v>
      </c>
      <c r="AO100" s="197" t="str">
        <f>IF(Table9[[#This Row],[Vmin (%)]]&lt;$BA$14, "Hot", IF(Table9[[#This Row],[Vmin (%)]]&lt;$BA$12, "Warm", IF(Table9[[#This Row],[Vmin (%)]]&lt;$BA$9, "Normal", IF(Table9[[#This Row],[Vmin (%)]]&lt;$BA$7, "Cool", "Cold"))))</f>
        <v>Normal</v>
      </c>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row>
    <row r="101" spans="1:210" x14ac:dyDescent="0.25">
      <c r="A101" s="118">
        <f t="shared" si="17"/>
        <v>29</v>
      </c>
      <c r="B101" s="179"/>
      <c r="C101" s="188" t="str">
        <f t="shared" si="12"/>
        <v>RTH at 29 °C</v>
      </c>
      <c r="D101" s="219">
        <f t="shared" si="18"/>
        <v>1.1176470588235294</v>
      </c>
      <c r="E101" s="220">
        <v>8.5220000000000002</v>
      </c>
      <c r="F101" s="221">
        <v>8.6219999999999999</v>
      </c>
      <c r="G101" s="222">
        <v>8.7210000000000001</v>
      </c>
      <c r="H101" s="138" t="s">
        <v>30</v>
      </c>
      <c r="I101" s="31"/>
      <c r="J101" s="31">
        <v>8.7210000000000001</v>
      </c>
      <c r="K101" s="31">
        <v>8.6219999999999999</v>
      </c>
      <c r="L101" s="31">
        <v>8.5220000000000002</v>
      </c>
      <c r="M101" s="31"/>
      <c r="N101" s="31"/>
      <c r="O101" s="31"/>
      <c r="P101" s="31"/>
      <c r="Q101" s="31"/>
      <c r="R101" s="31"/>
      <c r="S101" s="31"/>
      <c r="T101" s="31"/>
      <c r="U101" s="31"/>
      <c r="V101" s="31"/>
      <c r="W101" s="31"/>
      <c r="X101" s="31"/>
      <c r="Y101" s="32"/>
      <c r="Z101" s="20"/>
      <c r="AA101" s="21"/>
      <c r="AB101" s="21"/>
      <c r="AC101" s="195">
        <f t="shared" si="13"/>
        <v>29</v>
      </c>
      <c r="AD101" s="195">
        <f t="shared" si="14"/>
        <v>8.5220000000000002</v>
      </c>
      <c r="AE101" s="195">
        <f t="shared" si="15"/>
        <v>8.6219999999999999</v>
      </c>
      <c r="AF101" s="195">
        <f t="shared" si="16"/>
        <v>8.7210000000000001</v>
      </c>
      <c r="AG101" s="195">
        <f>Table9[[#This Row],[RTH(min) (kΩ)]]*RT2_TH_MIN/(RT2_TH_MIN+Table9[[#This Row],[RTH(min) (kΩ)]])</f>
        <v>6.6596796783071008</v>
      </c>
      <c r="AH101" s="195">
        <f>Table9[[#This Row],[RTH(nom) (kΩ)]]*RT2_TH_S/(RT2_TH_S+Table9[[#This Row],[RTH(nom) (kΩ)]])</f>
        <v>6.7220752905685268</v>
      </c>
      <c r="AI101" s="195">
        <f>Table9[[#This Row],[RTH(max) (kΩ)]]*RT2_TH_S_MAX/(RT2_TH_S_MAX+Table9[[#This Row],[RTH(max) (kΩ)]])</f>
        <v>6.7836064364258215</v>
      </c>
      <c r="AJ101" s="195">
        <f>Table9[[#This Row],[RLower(min) (kΩ)]]/(Table9[[#This Row],[RLower(min) (kΩ)]]+RT1_TH_S_MAX)*100</f>
        <v>55.973554511348802</v>
      </c>
      <c r="AK101" s="195">
        <f>Table9[[#This Row],[RLower(nom) (kΩ)]]/(Table9[[#This Row],[RLower(nom) (kΩ)]]+RT1_TH_S)*100</f>
        <v>56.227837174945407</v>
      </c>
      <c r="AL101" s="195">
        <f>Table9[[#This Row],[RLower(max) (kΩ)]]/(Table9[[#This Row],[RLower(max) (kΩ)]]+RT1_TH_S_MIN)*100</f>
        <v>56.476567540801192</v>
      </c>
      <c r="AM101" s="195">
        <f>IF(Table9[[#This Row],[Vmin (%)]]&lt;$BA$14, 0, IF(Table9[[#This Row],[Vmin (%)]]&lt;$BA$12, 4, IF(Table9[[#This Row],[Vmin (%)]]&lt;$BA$9, 3, IF(Table9[[#This Row],[Vmin (%)]]&lt;$BA$7, 2, 0))))</f>
        <v>3</v>
      </c>
      <c r="AN101" s="195">
        <f>IF(Table9[[#This Row],[Vmin (%)]]&lt;$BA$13, 0, IF(Table9[[#This Row],[Vmin (%)]]&lt;$BA$11, 4, IF(Table9[[#This Row],[Vmin (%)]]&lt;$BA$10, 3, IF(Table9[[#This Row],[Vmin (%)]]&lt;$BA$8, 2, 0))))</f>
        <v>3</v>
      </c>
      <c r="AO101" s="197" t="str">
        <f>IF(Table9[[#This Row],[Vmin (%)]]&lt;$BA$14, "Hot", IF(Table9[[#This Row],[Vmin (%)]]&lt;$BA$12, "Warm", IF(Table9[[#This Row],[Vmin (%)]]&lt;$BA$9, "Normal", IF(Table9[[#This Row],[Vmin (%)]]&lt;$BA$7, "Cool", "Cold"))))</f>
        <v>Normal</v>
      </c>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row>
    <row r="102" spans="1:210" x14ac:dyDescent="0.25">
      <c r="A102" s="118">
        <f t="shared" si="17"/>
        <v>28</v>
      </c>
      <c r="B102" s="179"/>
      <c r="C102" s="188" t="str">
        <f t="shared" si="12"/>
        <v>RTH at 28 °C</v>
      </c>
      <c r="D102" s="219">
        <f t="shared" si="18"/>
        <v>1.0882352941176472</v>
      </c>
      <c r="E102" s="220">
        <v>8.8439999999999994</v>
      </c>
      <c r="F102" s="221">
        <v>8.9440000000000008</v>
      </c>
      <c r="G102" s="222">
        <v>9.0429999999999993</v>
      </c>
      <c r="H102" s="138" t="s">
        <v>30</v>
      </c>
      <c r="I102" s="31"/>
      <c r="J102" s="31">
        <v>9.0429999999999993</v>
      </c>
      <c r="K102" s="31">
        <v>8.9440000000000008</v>
      </c>
      <c r="L102" s="31">
        <v>8.8439999999999994</v>
      </c>
      <c r="M102" s="31"/>
      <c r="N102" s="31"/>
      <c r="O102" s="31"/>
      <c r="P102" s="31"/>
      <c r="Q102" s="31"/>
      <c r="R102" s="31"/>
      <c r="S102" s="31"/>
      <c r="T102" s="31"/>
      <c r="U102" s="31"/>
      <c r="V102" s="31"/>
      <c r="W102" s="31"/>
      <c r="X102" s="31"/>
      <c r="Y102" s="32"/>
      <c r="Z102" s="20"/>
      <c r="AA102" s="21"/>
      <c r="AB102" s="21"/>
      <c r="AC102" s="195">
        <f t="shared" si="13"/>
        <v>28</v>
      </c>
      <c r="AD102" s="195">
        <f t="shared" si="14"/>
        <v>8.8439999999999994</v>
      </c>
      <c r="AE102" s="195">
        <f t="shared" si="15"/>
        <v>8.9440000000000008</v>
      </c>
      <c r="AF102" s="195">
        <f t="shared" si="16"/>
        <v>9.0429999999999993</v>
      </c>
      <c r="AG102" s="195">
        <f>Table9[[#This Row],[RTH(min) (kΩ)]]*RT2_TH_MIN/(RT2_TH_MIN+Table9[[#This Row],[RTH(min) (kΩ)]])</f>
        <v>6.8547127259757801</v>
      </c>
      <c r="AH102" s="195">
        <f>Table9[[#This Row],[RTH(nom) (kΩ)]]*RT2_TH_S/(RT2_TH_S+Table9[[#This Row],[RTH(nom) (kΩ)]])</f>
        <v>6.9162028329753511</v>
      </c>
      <c r="AI102" s="195">
        <f>Table9[[#This Row],[RTH(max) (kΩ)]]*RT2_TH_S_MAX/(RT2_TH_S_MAX+Table9[[#This Row],[RTH(max) (kΩ)]])</f>
        <v>6.9768463600892217</v>
      </c>
      <c r="AJ102" s="195">
        <f>Table9[[#This Row],[RLower(min) (kΩ)]]/(Table9[[#This Row],[RLower(min) (kΩ)]]+RT1_TH_S_MAX)*100</f>
        <v>56.683606332364825</v>
      </c>
      <c r="AK102" s="195">
        <f>Table9[[#This Row],[RLower(nom) (kΩ)]]/(Table9[[#This Row],[RLower(nom) (kΩ)]]+RT1_TH_S)*100</f>
        <v>56.92725661043999</v>
      </c>
      <c r="AL102" s="195">
        <f>Table9[[#This Row],[RLower(max) (kΩ)]]/(Table9[[#This Row],[RLower(max) (kΩ)]]+RT1_TH_S_MIN)*100</f>
        <v>57.165689810607311</v>
      </c>
      <c r="AM102" s="195">
        <f>IF(Table9[[#This Row],[Vmin (%)]]&lt;$BA$14, 0, IF(Table9[[#This Row],[Vmin (%)]]&lt;$BA$12, 4, IF(Table9[[#This Row],[Vmin (%)]]&lt;$BA$9, 3, IF(Table9[[#This Row],[Vmin (%)]]&lt;$BA$7, 2, 0))))</f>
        <v>3</v>
      </c>
      <c r="AN102" s="195">
        <f>IF(Table9[[#This Row],[Vmin (%)]]&lt;$BA$13, 0, IF(Table9[[#This Row],[Vmin (%)]]&lt;$BA$11, 4, IF(Table9[[#This Row],[Vmin (%)]]&lt;$BA$10, 3, IF(Table9[[#This Row],[Vmin (%)]]&lt;$BA$8, 2, 0))))</f>
        <v>3</v>
      </c>
      <c r="AO102" s="197" t="str">
        <f>IF(Table9[[#This Row],[Vmin (%)]]&lt;$BA$14, "Hot", IF(Table9[[#This Row],[Vmin (%)]]&lt;$BA$12, "Warm", IF(Table9[[#This Row],[Vmin (%)]]&lt;$BA$9, "Normal", IF(Table9[[#This Row],[Vmin (%)]]&lt;$BA$7, "Cool", "Cold"))))</f>
        <v>Normal</v>
      </c>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row>
    <row r="103" spans="1:210" x14ac:dyDescent="0.25">
      <c r="A103" s="118">
        <f t="shared" si="17"/>
        <v>27</v>
      </c>
      <c r="B103" s="179"/>
      <c r="C103" s="188" t="str">
        <f t="shared" si="12"/>
        <v>RTH at 27 °C</v>
      </c>
      <c r="D103" s="219">
        <f t="shared" si="18"/>
        <v>1.0588235294117645</v>
      </c>
      <c r="E103" s="220">
        <v>9.18</v>
      </c>
      <c r="F103" s="221">
        <v>9.2810000000000006</v>
      </c>
      <c r="G103" s="222">
        <v>9.3800000000000008</v>
      </c>
      <c r="H103" s="138" t="s">
        <v>30</v>
      </c>
      <c r="I103" s="31"/>
      <c r="J103" s="31">
        <v>9.3800000000000008</v>
      </c>
      <c r="K103" s="31">
        <v>9.2810000000000006</v>
      </c>
      <c r="L103" s="31">
        <v>9.18</v>
      </c>
      <c r="M103" s="31"/>
      <c r="N103" s="31"/>
      <c r="O103" s="31"/>
      <c r="P103" s="31"/>
      <c r="Q103" s="31"/>
      <c r="R103" s="31"/>
      <c r="S103" s="31"/>
      <c r="T103" s="31"/>
      <c r="U103" s="31"/>
      <c r="V103" s="31"/>
      <c r="W103" s="31"/>
      <c r="X103" s="31"/>
      <c r="Y103" s="32"/>
      <c r="Z103" s="20"/>
      <c r="AA103" s="21"/>
      <c r="AB103" s="21"/>
      <c r="AC103" s="195">
        <f t="shared" si="13"/>
        <v>27</v>
      </c>
      <c r="AD103" s="195">
        <f t="shared" si="14"/>
        <v>9.18</v>
      </c>
      <c r="AE103" s="195">
        <f t="shared" si="15"/>
        <v>9.2810000000000006</v>
      </c>
      <c r="AF103" s="195">
        <f t="shared" si="16"/>
        <v>9.3800000000000008</v>
      </c>
      <c r="AG103" s="195">
        <f>Table9[[#This Row],[RTH(min) (kΩ)]]*RT2_TH_MIN/(RT2_TH_MIN+Table9[[#This Row],[RTH(min) (kΩ)]])</f>
        <v>7.0548485415765869</v>
      </c>
      <c r="AH103" s="195">
        <f>Table9[[#This Row],[RTH(nom) (kΩ)]]*RT2_TH_S/(RT2_TH_S+Table9[[#This Row],[RTH(nom) (kΩ)]])</f>
        <v>7.1160083653030721</v>
      </c>
      <c r="AI103" s="195">
        <f>Table9[[#This Row],[RTH(max) (kΩ)]]*RT2_TH_S_MAX/(RT2_TH_S_MAX+Table9[[#This Row],[RTH(max) (kΩ)]])</f>
        <v>7.1757491803300741</v>
      </c>
      <c r="AJ103" s="195">
        <f>Table9[[#This Row],[RLower(min) (kΩ)]]/(Table9[[#This Row],[RLower(min) (kΩ)]]+RT1_TH_S_MAX)*100</f>
        <v>57.388813403172058</v>
      </c>
      <c r="AK103" s="195">
        <f>Table9[[#This Row],[RLower(nom) (kΩ)]]/(Table9[[#This Row],[RLower(nom) (kΩ)]]+RT1_TH_S)*100</f>
        <v>57.62416913467495</v>
      </c>
      <c r="AL103" s="195">
        <f>Table9[[#This Row],[RLower(max) (kΩ)]]/(Table9[[#This Row],[RLower(max) (kΩ)]]+RT1_TH_S_MIN)*100</f>
        <v>57.852581418678106</v>
      </c>
      <c r="AM103" s="195">
        <f>IF(Table9[[#This Row],[Vmin (%)]]&lt;$BA$14, 0, IF(Table9[[#This Row],[Vmin (%)]]&lt;$BA$12, 4, IF(Table9[[#This Row],[Vmin (%)]]&lt;$BA$9, 3, IF(Table9[[#This Row],[Vmin (%)]]&lt;$BA$7, 2, 0))))</f>
        <v>3</v>
      </c>
      <c r="AN103" s="195">
        <f>IF(Table9[[#This Row],[Vmin (%)]]&lt;$BA$13, 0, IF(Table9[[#This Row],[Vmin (%)]]&lt;$BA$11, 4, IF(Table9[[#This Row],[Vmin (%)]]&lt;$BA$10, 3, IF(Table9[[#This Row],[Vmin (%)]]&lt;$BA$8, 2, 0))))</f>
        <v>3</v>
      </c>
      <c r="AO103" s="197" t="str">
        <f>IF(Table9[[#This Row],[Vmin (%)]]&lt;$BA$14, "Hot", IF(Table9[[#This Row],[Vmin (%)]]&lt;$BA$12, "Warm", IF(Table9[[#This Row],[Vmin (%)]]&lt;$BA$9, "Normal", IF(Table9[[#This Row],[Vmin (%)]]&lt;$BA$7, "Cool", "Cold"))))</f>
        <v>Normal</v>
      </c>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row>
    <row r="104" spans="1:210" x14ac:dyDescent="0.25">
      <c r="A104" s="118">
        <f t="shared" si="17"/>
        <v>26</v>
      </c>
      <c r="B104" s="179"/>
      <c r="C104" s="188" t="str">
        <f t="shared" si="12"/>
        <v>RTH at 26 °C</v>
      </c>
      <c r="D104" s="219">
        <f t="shared" si="18"/>
        <v>1.0294117647058822</v>
      </c>
      <c r="E104" s="220">
        <v>9.532</v>
      </c>
      <c r="F104" s="221">
        <v>9.6319999999999997</v>
      </c>
      <c r="G104" s="222">
        <v>9.7319999999999993</v>
      </c>
      <c r="H104" s="138" t="s">
        <v>30</v>
      </c>
      <c r="I104" s="31"/>
      <c r="J104" s="31">
        <v>9.7319999999999993</v>
      </c>
      <c r="K104" s="31">
        <v>9.6319999999999997</v>
      </c>
      <c r="L104" s="31">
        <v>9.532</v>
      </c>
      <c r="M104" s="31"/>
      <c r="N104" s="31"/>
      <c r="O104" s="31"/>
      <c r="P104" s="31"/>
      <c r="Q104" s="31"/>
      <c r="R104" s="31"/>
      <c r="S104" s="31"/>
      <c r="T104" s="31"/>
      <c r="U104" s="31"/>
      <c r="V104" s="31"/>
      <c r="W104" s="31"/>
      <c r="X104" s="31"/>
      <c r="Y104" s="32"/>
      <c r="Z104" s="20"/>
      <c r="AA104" s="21"/>
      <c r="AB104" s="21"/>
      <c r="AC104" s="195">
        <f t="shared" si="13"/>
        <v>26</v>
      </c>
      <c r="AD104" s="195">
        <f t="shared" si="14"/>
        <v>9.532</v>
      </c>
      <c r="AE104" s="195">
        <f t="shared" si="15"/>
        <v>9.6319999999999997</v>
      </c>
      <c r="AF104" s="195">
        <f t="shared" si="16"/>
        <v>9.7319999999999993</v>
      </c>
      <c r="AG104" s="195">
        <f>Table9[[#This Row],[RTH(min) (kΩ)]]*RT2_TH_MIN/(RT2_TH_MIN+Table9[[#This Row],[RTH(min) (kΩ)]])</f>
        <v>7.2609089879014475</v>
      </c>
      <c r="AH104" s="195">
        <f>Table9[[#This Row],[RTH(nom) (kΩ)]]*RT2_TH_S/(RT2_TH_S+Table9[[#This Row],[RTH(nom) (kΩ)]])</f>
        <v>7.3205472424532543</v>
      </c>
      <c r="AI104" s="195">
        <f>Table9[[#This Row],[RTH(max) (kΩ)]]*RT2_TH_S_MAX/(RT2_TH_S_MAX+Table9[[#This Row],[RTH(max) (kΩ)]])</f>
        <v>7.3799504416500428</v>
      </c>
      <c r="AJ104" s="195">
        <f>Table9[[#This Row],[RLower(min) (kΩ)]]/(Table9[[#This Row],[RLower(min) (kΩ)]]+RT1_TH_S_MAX)*100</f>
        <v>58.0913005308918</v>
      </c>
      <c r="AK104" s="195">
        <f>Table9[[#This Row],[RLower(nom) (kΩ)]]/(Table9[[#This Row],[RLower(nom) (kΩ)]]+RT1_TH_S)*100</f>
        <v>58.314612306530734</v>
      </c>
      <c r="AL104" s="195">
        <f>Table9[[#This Row],[RLower(max) (kΩ)]]/(Table9[[#This Row],[RLower(max) (kΩ)]]+RT1_TH_S_MIN)*100</f>
        <v>58.53522378538996</v>
      </c>
      <c r="AM104" s="195">
        <f>IF(Table9[[#This Row],[Vmin (%)]]&lt;$BA$14, 0, IF(Table9[[#This Row],[Vmin (%)]]&lt;$BA$12, 4, IF(Table9[[#This Row],[Vmin (%)]]&lt;$BA$9, 3, IF(Table9[[#This Row],[Vmin (%)]]&lt;$BA$7, 2, 0))))</f>
        <v>3</v>
      </c>
      <c r="AN104" s="195">
        <f>IF(Table9[[#This Row],[Vmin (%)]]&lt;$BA$13, 0, IF(Table9[[#This Row],[Vmin (%)]]&lt;$BA$11, 4, IF(Table9[[#This Row],[Vmin (%)]]&lt;$BA$10, 3, IF(Table9[[#This Row],[Vmin (%)]]&lt;$BA$8, 2, 0))))</f>
        <v>3</v>
      </c>
      <c r="AO104" s="197" t="str">
        <f>IF(Table9[[#This Row],[Vmin (%)]]&lt;$BA$14, "Hot", IF(Table9[[#This Row],[Vmin (%)]]&lt;$BA$12, "Warm", IF(Table9[[#This Row],[Vmin (%)]]&lt;$BA$9, "Normal", IF(Table9[[#This Row],[Vmin (%)]]&lt;$BA$7, "Cool", "Cold"))))</f>
        <v>Normal</v>
      </c>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row>
    <row r="105" spans="1:210" x14ac:dyDescent="0.25">
      <c r="A105" s="118">
        <f t="shared" si="17"/>
        <v>25</v>
      </c>
      <c r="B105" s="179"/>
      <c r="C105" s="188" t="str">
        <f t="shared" si="12"/>
        <v>RTH at 25 °C</v>
      </c>
      <c r="D105" s="219">
        <v>1</v>
      </c>
      <c r="E105" s="220">
        <v>9.9</v>
      </c>
      <c r="F105" s="221">
        <v>10</v>
      </c>
      <c r="G105" s="222">
        <v>10.1</v>
      </c>
      <c r="H105" s="138" t="s">
        <v>30</v>
      </c>
      <c r="I105" s="31"/>
      <c r="J105" s="31">
        <v>10.1</v>
      </c>
      <c r="K105" s="31">
        <v>10</v>
      </c>
      <c r="L105" s="31">
        <v>9.9</v>
      </c>
      <c r="M105" s="31"/>
      <c r="N105" s="31"/>
      <c r="O105" s="31"/>
      <c r="P105" s="31"/>
      <c r="Q105" s="31"/>
      <c r="R105" s="31"/>
      <c r="S105" s="31"/>
      <c r="T105" s="31"/>
      <c r="U105" s="31"/>
      <c r="V105" s="31"/>
      <c r="W105" s="31"/>
      <c r="X105" s="31"/>
      <c r="Y105" s="32"/>
      <c r="Z105" s="20"/>
      <c r="AA105" s="21"/>
      <c r="AB105" s="21"/>
      <c r="AC105" s="195">
        <f t="shared" si="13"/>
        <v>25</v>
      </c>
      <c r="AD105" s="195">
        <f t="shared" si="14"/>
        <v>9.9</v>
      </c>
      <c r="AE105" s="195">
        <f t="shared" si="15"/>
        <v>10</v>
      </c>
      <c r="AF105" s="195">
        <f t="shared" si="16"/>
        <v>10.1</v>
      </c>
      <c r="AG105" s="195">
        <f>Table9[[#This Row],[RTH(min) (kΩ)]]*RT2_TH_MIN/(RT2_TH_MIN+Table9[[#This Row],[RTH(min) (kΩ)]])</f>
        <v>7.4724941292970106</v>
      </c>
      <c r="AH105" s="195">
        <f>Table9[[#This Row],[RTH(nom) (kΩ)]]*RT2_TH_S/(RT2_TH_S+Table9[[#This Row],[RTH(nom) (kΩ)]])</f>
        <v>7.5311859908361809</v>
      </c>
      <c r="AI105" s="195">
        <f>Table9[[#This Row],[RTH(max) (kΩ)]]*RT2_TH_S_MAX/(RT2_TH_S_MAX+Table9[[#This Row],[RTH(max) (kΩ)]])</f>
        <v>7.5896510045385455</v>
      </c>
      <c r="AJ105" s="195">
        <f>Table9[[#This Row],[RLower(min) (kΩ)]]/(Table9[[#This Row],[RLower(min) (kΩ)]]+RT1_TH_S_MAX)*100</f>
        <v>58.78892106786148</v>
      </c>
      <c r="AK105" s="195">
        <f>Table9[[#This Row],[RLower(nom) (kΩ)]]/(Table9[[#This Row],[RLower(nom) (kΩ)]]+RT1_TH_S)*100</f>
        <v>59.002518608278066</v>
      </c>
      <c r="AL105" s="195">
        <f>Table9[[#This Row],[RLower(max) (kΩ)]]/(Table9[[#This Row],[RLower(max) (kΩ)]]+RT1_TH_S_MIN)*100</f>
        <v>59.213612592641638</v>
      </c>
      <c r="AM105" s="195">
        <f>IF(Table9[[#This Row],[Vmin (%)]]&lt;$BA$14, 0, IF(Table9[[#This Row],[Vmin (%)]]&lt;$BA$12, 4, IF(Table9[[#This Row],[Vmin (%)]]&lt;$BA$9, 3, IF(Table9[[#This Row],[Vmin (%)]]&lt;$BA$7, 2, 0))))</f>
        <v>3</v>
      </c>
      <c r="AN105" s="195">
        <f>IF(Table9[[#This Row],[Vmin (%)]]&lt;$BA$13, 0, IF(Table9[[#This Row],[Vmin (%)]]&lt;$BA$11, 4, IF(Table9[[#This Row],[Vmin (%)]]&lt;$BA$10, 3, IF(Table9[[#This Row],[Vmin (%)]]&lt;$BA$8, 2, 0))))</f>
        <v>3</v>
      </c>
      <c r="AO105" s="197" t="str">
        <f>IF(Table9[[#This Row],[Vmin (%)]]&lt;$BA$14, "Hot", IF(Table9[[#This Row],[Vmin (%)]]&lt;$BA$12, "Warm", IF(Table9[[#This Row],[Vmin (%)]]&lt;$BA$9, "Normal", IF(Table9[[#This Row],[Vmin (%)]]&lt;$BA$7, "Cool", "Cold"))))</f>
        <v>Normal</v>
      </c>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row>
    <row r="106" spans="1:210" x14ac:dyDescent="0.25">
      <c r="A106" s="118">
        <f t="shared" si="17"/>
        <v>24</v>
      </c>
      <c r="B106" s="179"/>
      <c r="C106" s="188" t="str">
        <f t="shared" si="12"/>
        <v>RTH at 24 °C</v>
      </c>
      <c r="D106" s="219">
        <f>$D$105+(ROW(D106)-ROW($D$105))*($D$180-$D$105)/(ROW($D$180)-ROW($D$105))</f>
        <v>1.0433333333333334</v>
      </c>
      <c r="E106" s="220">
        <v>10.27</v>
      </c>
      <c r="F106" s="221">
        <v>10.38</v>
      </c>
      <c r="G106" s="222">
        <v>10.49</v>
      </c>
      <c r="H106" s="138" t="s">
        <v>30</v>
      </c>
      <c r="I106" s="31"/>
      <c r="J106" s="31">
        <v>10.49</v>
      </c>
      <c r="K106" s="31">
        <v>10.38</v>
      </c>
      <c r="L106" s="31">
        <v>10.27</v>
      </c>
      <c r="M106" s="31"/>
      <c r="N106" s="31"/>
      <c r="O106" s="31"/>
      <c r="P106" s="31"/>
      <c r="Q106" s="31"/>
      <c r="R106" s="31"/>
      <c r="S106" s="31"/>
      <c r="T106" s="31"/>
      <c r="U106" s="31"/>
      <c r="V106" s="31"/>
      <c r="W106" s="31"/>
      <c r="X106" s="31"/>
      <c r="Y106" s="32"/>
      <c r="Z106" s="20"/>
      <c r="AA106" s="21"/>
      <c r="AB106" s="21"/>
      <c r="AC106" s="195">
        <f t="shared" si="13"/>
        <v>24</v>
      </c>
      <c r="AD106" s="195">
        <f t="shared" si="14"/>
        <v>10.27</v>
      </c>
      <c r="AE106" s="195">
        <f t="shared" si="15"/>
        <v>10.38</v>
      </c>
      <c r="AF106" s="195">
        <f t="shared" si="16"/>
        <v>10.49</v>
      </c>
      <c r="AG106" s="195">
        <f>Table9[[#This Row],[RTH(min) (kΩ)]]*RT2_TH_MIN/(RT2_TH_MIN+Table9[[#This Row],[RTH(min) (kΩ)]])</f>
        <v>7.6813759724394526</v>
      </c>
      <c r="AH106" s="195">
        <f>Table9[[#This Row],[RTH(nom) (kΩ)]]*RT2_TH_S/(RT2_TH_S+Table9[[#This Row],[RTH(nom) (kΩ)]])</f>
        <v>7.7447140757803874</v>
      </c>
      <c r="AI106" s="195">
        <f>Table9[[#This Row],[RTH(max) (kΩ)]]*RT2_TH_S_MAX/(RT2_TH_S_MAX+Table9[[#This Row],[RTH(max) (kΩ)]])</f>
        <v>7.8077819219010696</v>
      </c>
      <c r="AJ106" s="195">
        <f>Table9[[#This Row],[RLower(min) (kΩ)]]/(Table9[[#This Row],[RLower(min) (kΩ)]]+RT1_TH_S_MAX)*100</f>
        <v>59.455214610360784</v>
      </c>
      <c r="AK106" s="195">
        <f>Table9[[#This Row],[RLower(nom) (kΩ)]]/(Table9[[#This Row],[RLower(nom) (kΩ)]]+RT1_TH_S)*100</f>
        <v>59.677068811026416</v>
      </c>
      <c r="AL106" s="195">
        <f>Table9[[#This Row],[RLower(max) (kΩ)]]/(Table9[[#This Row],[RLower(max) (kΩ)]]+RT1_TH_S_MIN)*100</f>
        <v>59.896113819911811</v>
      </c>
      <c r="AM106" s="195">
        <f>IF(Table9[[#This Row],[Vmin (%)]]&lt;$BA$14, 0, IF(Table9[[#This Row],[Vmin (%)]]&lt;$BA$12, 4, IF(Table9[[#This Row],[Vmin (%)]]&lt;$BA$9, 3, IF(Table9[[#This Row],[Vmin (%)]]&lt;$BA$7, 2, 0))))</f>
        <v>3</v>
      </c>
      <c r="AN106" s="195">
        <f>IF(Table9[[#This Row],[Vmin (%)]]&lt;$BA$13, 0, IF(Table9[[#This Row],[Vmin (%)]]&lt;$BA$11, 4, IF(Table9[[#This Row],[Vmin (%)]]&lt;$BA$10, 3, IF(Table9[[#This Row],[Vmin (%)]]&lt;$BA$8, 2, 0))))</f>
        <v>3</v>
      </c>
      <c r="AO106" s="197" t="str">
        <f>IF(Table9[[#This Row],[Vmin (%)]]&lt;$BA$14, "Hot", IF(Table9[[#This Row],[Vmin (%)]]&lt;$BA$12, "Warm", IF(Table9[[#This Row],[Vmin (%)]]&lt;$BA$9, "Normal", IF(Table9[[#This Row],[Vmin (%)]]&lt;$BA$7, "Cool", "Cold"))))</f>
        <v>Normal</v>
      </c>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P106" s="21"/>
      <c r="GQ106" s="21"/>
      <c r="GR106" s="21"/>
      <c r="GS106" s="21"/>
      <c r="GT106" s="21"/>
      <c r="GU106" s="21"/>
      <c r="GV106" s="21"/>
      <c r="GW106" s="21"/>
      <c r="GX106" s="21"/>
      <c r="GY106" s="21"/>
      <c r="GZ106" s="21"/>
      <c r="HA106" s="21"/>
      <c r="HB106" s="21"/>
    </row>
    <row r="107" spans="1:210" x14ac:dyDescent="0.25">
      <c r="A107" s="118">
        <f t="shared" si="17"/>
        <v>23</v>
      </c>
      <c r="B107" s="179"/>
      <c r="C107" s="188" t="str">
        <f t="shared" si="12"/>
        <v>RTH at 23 °C</v>
      </c>
      <c r="D107" s="219">
        <f t="shared" ref="D107:D170" si="19">$D$105+(ROW(D107)-ROW($D$105))*($D$180-$D$105)/(ROW($D$180)-ROW($D$105))</f>
        <v>1.0866666666666667</v>
      </c>
      <c r="E107" s="220">
        <v>10.66</v>
      </c>
      <c r="F107" s="221">
        <v>10.78</v>
      </c>
      <c r="G107" s="222">
        <v>10.9</v>
      </c>
      <c r="H107" s="138" t="s">
        <v>30</v>
      </c>
      <c r="I107" s="31"/>
      <c r="J107" s="31">
        <v>10.9</v>
      </c>
      <c r="K107" s="31">
        <v>10.78</v>
      </c>
      <c r="L107" s="31">
        <v>10.66</v>
      </c>
      <c r="M107" s="31"/>
      <c r="N107" s="31"/>
      <c r="O107" s="31"/>
      <c r="P107" s="31"/>
      <c r="Q107" s="31"/>
      <c r="R107" s="31"/>
      <c r="S107" s="31"/>
      <c r="T107" s="31"/>
      <c r="U107" s="31"/>
      <c r="V107" s="31"/>
      <c r="W107" s="31"/>
      <c r="X107" s="31"/>
      <c r="Y107" s="32"/>
      <c r="Z107" s="20"/>
      <c r="AA107" s="21"/>
      <c r="AB107" s="21"/>
      <c r="AC107" s="195">
        <f t="shared" si="13"/>
        <v>23</v>
      </c>
      <c r="AD107" s="195">
        <f t="shared" si="14"/>
        <v>10.66</v>
      </c>
      <c r="AE107" s="195">
        <f t="shared" si="15"/>
        <v>10.78</v>
      </c>
      <c r="AF107" s="195">
        <f t="shared" si="16"/>
        <v>10.9</v>
      </c>
      <c r="AG107" s="195">
        <f>Table9[[#This Row],[RTH(min) (kΩ)]]*RT2_TH_MIN/(RT2_TH_MIN+Table9[[#This Row],[RTH(min) (kΩ)]])</f>
        <v>7.8974808467563422</v>
      </c>
      <c r="AH107" s="195">
        <f>Table9[[#This Row],[RTH(nom) (kΩ)]]*RT2_TH_S/(RT2_TH_S+Table9[[#This Row],[RTH(nom) (kΩ)]])</f>
        <v>7.9652339843952493</v>
      </c>
      <c r="AI107" s="195">
        <f>Table9[[#This Row],[RTH(max) (kΩ)]]*RT2_TH_S_MAX/(RT2_TH_S_MAX+Table9[[#This Row],[RTH(max) (kΩ)]])</f>
        <v>8.0326716183439224</v>
      </c>
      <c r="AJ107" s="195">
        <f>Table9[[#This Row],[RLower(min) (kΩ)]]/(Table9[[#This Row],[RLower(min) (kΩ)]]+RT1_TH_S_MAX)*100</f>
        <v>60.122245863043979</v>
      </c>
      <c r="AK107" s="195">
        <f>Table9[[#This Row],[RLower(nom) (kΩ)]]/(Table9[[#This Row],[RLower(nom) (kΩ)]]+RT1_TH_S)*100</f>
        <v>60.35079645337801</v>
      </c>
      <c r="AL107" s="195">
        <f>Table9[[#This Row],[RLower(max) (kΩ)]]/(Table9[[#This Row],[RLower(max) (kΩ)]]+RT1_TH_S_MIN)*100</f>
        <v>60.576253976974748</v>
      </c>
      <c r="AM107" s="195">
        <f>IF(Table9[[#This Row],[Vmin (%)]]&lt;$BA$14, 0, IF(Table9[[#This Row],[Vmin (%)]]&lt;$BA$12, 4, IF(Table9[[#This Row],[Vmin (%)]]&lt;$BA$9, 3, IF(Table9[[#This Row],[Vmin (%)]]&lt;$BA$7, 2, 0))))</f>
        <v>3</v>
      </c>
      <c r="AN107" s="195">
        <f>IF(Table9[[#This Row],[Vmin (%)]]&lt;$BA$13, 0, IF(Table9[[#This Row],[Vmin (%)]]&lt;$BA$11, 4, IF(Table9[[#This Row],[Vmin (%)]]&lt;$BA$10, 3, IF(Table9[[#This Row],[Vmin (%)]]&lt;$BA$8, 2, 0))))</f>
        <v>3</v>
      </c>
      <c r="AO107" s="197" t="str">
        <f>IF(Table9[[#This Row],[Vmin (%)]]&lt;$BA$14, "Hot", IF(Table9[[#This Row],[Vmin (%)]]&lt;$BA$12, "Warm", IF(Table9[[#This Row],[Vmin (%)]]&lt;$BA$9, "Normal", IF(Table9[[#This Row],[Vmin (%)]]&lt;$BA$7, "Cool", "Cold"))))</f>
        <v>Normal</v>
      </c>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P107" s="21"/>
      <c r="GQ107" s="21"/>
      <c r="GR107" s="21"/>
      <c r="GS107" s="21"/>
      <c r="GT107" s="21"/>
      <c r="GU107" s="21"/>
      <c r="GV107" s="21"/>
      <c r="GW107" s="21"/>
      <c r="GX107" s="21"/>
      <c r="GY107" s="21"/>
      <c r="GZ107" s="21"/>
      <c r="HA107" s="21"/>
      <c r="HB107" s="21"/>
    </row>
    <row r="108" spans="1:210" x14ac:dyDescent="0.25">
      <c r="A108" s="118">
        <f t="shared" si="17"/>
        <v>22</v>
      </c>
      <c r="B108" s="179"/>
      <c r="C108" s="188" t="str">
        <f t="shared" si="12"/>
        <v>RTH at 22 °C</v>
      </c>
      <c r="D108" s="219">
        <f t="shared" si="19"/>
        <v>1.1299999999999999</v>
      </c>
      <c r="E108" s="220">
        <v>11.07</v>
      </c>
      <c r="F108" s="221">
        <v>11.2</v>
      </c>
      <c r="G108" s="222">
        <v>11.32</v>
      </c>
      <c r="H108" s="138" t="s">
        <v>30</v>
      </c>
      <c r="I108" s="31"/>
      <c r="J108" s="31">
        <v>11.32</v>
      </c>
      <c r="K108" s="31">
        <v>11.2</v>
      </c>
      <c r="L108" s="31">
        <v>11.07</v>
      </c>
      <c r="M108" s="31"/>
      <c r="N108" s="31"/>
      <c r="O108" s="31"/>
      <c r="P108" s="31"/>
      <c r="Q108" s="31"/>
      <c r="R108" s="31"/>
      <c r="S108" s="31"/>
      <c r="T108" s="31"/>
      <c r="U108" s="31"/>
      <c r="V108" s="31"/>
      <c r="W108" s="31"/>
      <c r="X108" s="31"/>
      <c r="Y108" s="32"/>
      <c r="Z108" s="20"/>
      <c r="AA108" s="21"/>
      <c r="AB108" s="21"/>
      <c r="AC108" s="195">
        <f t="shared" si="13"/>
        <v>22</v>
      </c>
      <c r="AD108" s="195">
        <f t="shared" si="14"/>
        <v>11.07</v>
      </c>
      <c r="AE108" s="195">
        <f t="shared" si="15"/>
        <v>11.2</v>
      </c>
      <c r="AF108" s="195">
        <f t="shared" si="16"/>
        <v>11.32</v>
      </c>
      <c r="AG108" s="195">
        <f>Table9[[#This Row],[RTH(min) (kΩ)]]*RT2_TH_MIN/(RT2_TH_MIN+Table9[[#This Row],[RTH(min) (kΩ)]])</f>
        <v>8.1202932303886097</v>
      </c>
      <c r="AH108" s="195">
        <f>Table9[[#This Row],[RTH(nom) (kΩ)]]*RT2_TH_S/(RT2_TH_S+Table9[[#This Row],[RTH(nom) (kΩ)]])</f>
        <v>8.1922272839190029</v>
      </c>
      <c r="AI108" s="195">
        <f>Table9[[#This Row],[RTH(max) (kΩ)]]*RT2_TH_S_MAX/(RT2_TH_S_MAX+Table9[[#This Row],[RTH(max) (kΩ)]])</f>
        <v>8.2584780979347912</v>
      </c>
      <c r="AJ108" s="195">
        <f>Table9[[#This Row],[RLower(min) (kΩ)]]/(Table9[[#This Row],[RLower(min) (kΩ)]]+RT1_TH_S_MAX)*100</f>
        <v>60.787383857639696</v>
      </c>
      <c r="AK108" s="195">
        <f>Table9[[#This Row],[RLower(nom) (kΩ)]]/(Table9[[#This Row],[RLower(nom) (kΩ)]]+RT1_TH_S)*100</f>
        <v>61.021184319539877</v>
      </c>
      <c r="AL108" s="195">
        <f>Table9[[#This Row],[RLower(max) (kΩ)]]/(Table9[[#This Row],[RLower(max) (kΩ)]]+RT1_TH_S_MIN)*100</f>
        <v>61.236344541483859</v>
      </c>
      <c r="AM108" s="195">
        <f>IF(Table9[[#This Row],[Vmin (%)]]&lt;$BA$14, 0, IF(Table9[[#This Row],[Vmin (%)]]&lt;$BA$12, 4, IF(Table9[[#This Row],[Vmin (%)]]&lt;$BA$9, 3, IF(Table9[[#This Row],[Vmin (%)]]&lt;$BA$7, 2, 0))))</f>
        <v>3</v>
      </c>
      <c r="AN108" s="195">
        <f>IF(Table9[[#This Row],[Vmin (%)]]&lt;$BA$13, 0, IF(Table9[[#This Row],[Vmin (%)]]&lt;$BA$11, 4, IF(Table9[[#This Row],[Vmin (%)]]&lt;$BA$10, 3, IF(Table9[[#This Row],[Vmin (%)]]&lt;$BA$8, 2, 0))))</f>
        <v>3</v>
      </c>
      <c r="AO108" s="197" t="str">
        <f>IF(Table9[[#This Row],[Vmin (%)]]&lt;$BA$14, "Hot", IF(Table9[[#This Row],[Vmin (%)]]&lt;$BA$12, "Warm", IF(Table9[[#This Row],[Vmin (%)]]&lt;$BA$9, "Normal", IF(Table9[[#This Row],[Vmin (%)]]&lt;$BA$7, "Cool", "Cold"))))</f>
        <v>Normal</v>
      </c>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row>
    <row r="109" spans="1:210" x14ac:dyDescent="0.25">
      <c r="A109" s="118">
        <f t="shared" si="17"/>
        <v>21</v>
      </c>
      <c r="B109" s="179"/>
      <c r="C109" s="188" t="str">
        <f t="shared" si="12"/>
        <v>RTH at 21 °C</v>
      </c>
      <c r="D109" s="219">
        <f t="shared" si="19"/>
        <v>1.1733333333333333</v>
      </c>
      <c r="E109" s="220">
        <v>11.5</v>
      </c>
      <c r="F109" s="221">
        <v>11.63</v>
      </c>
      <c r="G109" s="222">
        <v>11.77</v>
      </c>
      <c r="H109" s="138" t="s">
        <v>30</v>
      </c>
      <c r="I109" s="31"/>
      <c r="J109" s="31">
        <v>11.77</v>
      </c>
      <c r="K109" s="31">
        <v>11.63</v>
      </c>
      <c r="L109" s="31">
        <v>11.5</v>
      </c>
      <c r="M109" s="31"/>
      <c r="N109" s="31"/>
      <c r="O109" s="31"/>
      <c r="P109" s="31"/>
      <c r="Q109" s="31"/>
      <c r="R109" s="31"/>
      <c r="S109" s="31"/>
      <c r="T109" s="31"/>
      <c r="U109" s="31"/>
      <c r="V109" s="31"/>
      <c r="W109" s="31"/>
      <c r="X109" s="31"/>
      <c r="Y109" s="32"/>
      <c r="Z109" s="20"/>
      <c r="AA109" s="21"/>
      <c r="AB109" s="21"/>
      <c r="AC109" s="195">
        <f t="shared" si="13"/>
        <v>21</v>
      </c>
      <c r="AD109" s="195">
        <f t="shared" si="14"/>
        <v>11.5</v>
      </c>
      <c r="AE109" s="195">
        <f t="shared" si="15"/>
        <v>11.63</v>
      </c>
      <c r="AF109" s="195">
        <f t="shared" si="16"/>
        <v>11.77</v>
      </c>
      <c r="AG109" s="195">
        <f>Table9[[#This Row],[RTH(min) (kΩ)]]*RT2_TH_MIN/(RT2_TH_MIN+Table9[[#This Row],[RTH(min) (kΩ)]])</f>
        <v>8.3492980763780604</v>
      </c>
      <c r="AH109" s="195">
        <f>Table9[[#This Row],[RTH(nom) (kΩ)]]*RT2_TH_S/(RT2_TH_S+Table9[[#This Row],[RTH(nom) (kΩ)]])</f>
        <v>8.4199369952567622</v>
      </c>
      <c r="AI109" s="195">
        <f>Table9[[#This Row],[RTH(max) (kΩ)]]*RT2_TH_S_MAX/(RT2_TH_S_MAX+Table9[[#This Row],[RTH(max) (kΩ)]])</f>
        <v>8.4954383134602054</v>
      </c>
      <c r="AJ109" s="195">
        <f>Table9[[#This Row],[RLower(min) (kΩ)]]/(Table9[[#This Row],[RLower(min) (kΩ)]]+RT1_TH_S_MAX)*100</f>
        <v>61.448275444705338</v>
      </c>
      <c r="AK109" s="195">
        <f>Table9[[#This Row],[RLower(nom) (kΩ)]]/(Table9[[#This Row],[RLower(nom) (kΩ)]]+RT1_TH_S)*100</f>
        <v>61.671290639189671</v>
      </c>
      <c r="AL109" s="195">
        <f>Table9[[#This Row],[RLower(max) (kΩ)]]/(Table9[[#This Row],[RLower(max) (kΩ)]]+RT1_TH_S_MIN)*100</f>
        <v>61.905681614130629</v>
      </c>
      <c r="AM109" s="195">
        <f>IF(Table9[[#This Row],[Vmin (%)]]&lt;$BA$14, 0, IF(Table9[[#This Row],[Vmin (%)]]&lt;$BA$12, 4, IF(Table9[[#This Row],[Vmin (%)]]&lt;$BA$9, 3, IF(Table9[[#This Row],[Vmin (%)]]&lt;$BA$7, 2, 0))))</f>
        <v>3</v>
      </c>
      <c r="AN109" s="195">
        <f>IF(Table9[[#This Row],[Vmin (%)]]&lt;$BA$13, 0, IF(Table9[[#This Row],[Vmin (%)]]&lt;$BA$11, 4, IF(Table9[[#This Row],[Vmin (%)]]&lt;$BA$10, 3, IF(Table9[[#This Row],[Vmin (%)]]&lt;$BA$8, 2, 0))))</f>
        <v>3</v>
      </c>
      <c r="AO109" s="197" t="str">
        <f>IF(Table9[[#This Row],[Vmin (%)]]&lt;$BA$14, "Hot", IF(Table9[[#This Row],[Vmin (%)]]&lt;$BA$12, "Warm", IF(Table9[[#This Row],[Vmin (%)]]&lt;$BA$9, "Normal", IF(Table9[[#This Row],[Vmin (%)]]&lt;$BA$7, "Cool", "Cold"))))</f>
        <v>Normal</v>
      </c>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row>
    <row r="110" spans="1:210" x14ac:dyDescent="0.25">
      <c r="A110" s="118">
        <f t="shared" si="17"/>
        <v>20</v>
      </c>
      <c r="B110" s="179"/>
      <c r="C110" s="188" t="str">
        <f t="shared" si="12"/>
        <v>RTH at 20 °C</v>
      </c>
      <c r="D110" s="219">
        <f t="shared" si="19"/>
        <v>1.2166666666666668</v>
      </c>
      <c r="E110" s="220">
        <v>11.94</v>
      </c>
      <c r="F110" s="221">
        <v>12.09</v>
      </c>
      <c r="G110" s="222">
        <v>12.24</v>
      </c>
      <c r="H110" s="138" t="s">
        <v>30</v>
      </c>
      <c r="I110" s="31"/>
      <c r="J110" s="31">
        <v>12.24</v>
      </c>
      <c r="K110" s="31">
        <v>12.09</v>
      </c>
      <c r="L110" s="31">
        <v>11.94</v>
      </c>
      <c r="M110" s="31"/>
      <c r="N110" s="31"/>
      <c r="O110" s="31"/>
      <c r="P110" s="31"/>
      <c r="Q110" s="31"/>
      <c r="R110" s="31"/>
      <c r="S110" s="31"/>
      <c r="T110" s="31"/>
      <c r="U110" s="31"/>
      <c r="V110" s="31"/>
      <c r="W110" s="31"/>
      <c r="X110" s="31"/>
      <c r="Y110" s="32"/>
      <c r="Z110" s="20"/>
      <c r="AA110" s="21"/>
      <c r="AB110" s="21"/>
      <c r="AC110" s="195">
        <f t="shared" si="13"/>
        <v>20</v>
      </c>
      <c r="AD110" s="195">
        <f t="shared" si="14"/>
        <v>11.94</v>
      </c>
      <c r="AE110" s="195">
        <f t="shared" si="15"/>
        <v>12.09</v>
      </c>
      <c r="AF110" s="195">
        <f t="shared" si="16"/>
        <v>12.24</v>
      </c>
      <c r="AG110" s="195">
        <f>Table9[[#This Row],[RTH(min) (kΩ)]]*RT2_TH_MIN/(RT2_TH_MIN+Table9[[#This Row],[RTH(min) (kΩ)]])</f>
        <v>8.5788220938160809</v>
      </c>
      <c r="AH110" s="195">
        <f>Table9[[#This Row],[RTH(nom) (kΩ)]]*RT2_TH_S/(RT2_TH_S+Table9[[#This Row],[RTH(nom) (kΩ)]])</f>
        <v>8.6584436452689388</v>
      </c>
      <c r="AI110" s="195">
        <f>Table9[[#This Row],[RTH(max) (kΩ)]]*RT2_TH_S_MAX/(RT2_TH_S_MAX+Table9[[#This Row],[RTH(max) (kΩ)]])</f>
        <v>8.7376071656790604</v>
      </c>
      <c r="AJ110" s="195">
        <f>Table9[[#This Row],[RLower(min) (kΩ)]]/(Table9[[#This Row],[RLower(min) (kΩ)]]+RT1_TH_S_MAX)*100</f>
        <v>62.088683427038369</v>
      </c>
      <c r="AK110" s="195">
        <f>Table9[[#This Row],[RLower(nom) (kΩ)]]/(Table9[[#This Row],[RLower(nom) (kΩ)]]+RT1_TH_S)*100</f>
        <v>62.329368959086949</v>
      </c>
      <c r="AL110" s="195">
        <f>Table9[[#This Row],[RLower(max) (kΩ)]]/(Table9[[#This Row],[RLower(max) (kΩ)]]+RT1_TH_S_MIN)*100</f>
        <v>62.566262783852281</v>
      </c>
      <c r="AM110" s="195">
        <f>IF(Table9[[#This Row],[Vmin (%)]]&lt;$BA$14, 0, IF(Table9[[#This Row],[Vmin (%)]]&lt;$BA$12, 4, IF(Table9[[#This Row],[Vmin (%)]]&lt;$BA$9, 3, IF(Table9[[#This Row],[Vmin (%)]]&lt;$BA$7, 2, 0))))</f>
        <v>3</v>
      </c>
      <c r="AN110" s="195">
        <f>IF(Table9[[#This Row],[Vmin (%)]]&lt;$BA$13, 0, IF(Table9[[#This Row],[Vmin (%)]]&lt;$BA$11, 4, IF(Table9[[#This Row],[Vmin (%)]]&lt;$BA$10, 3, IF(Table9[[#This Row],[Vmin (%)]]&lt;$BA$8, 2, 0))))</f>
        <v>3</v>
      </c>
      <c r="AO110" s="197" t="str">
        <f>IF(Table9[[#This Row],[Vmin (%)]]&lt;$BA$14, "Hot", IF(Table9[[#This Row],[Vmin (%)]]&lt;$BA$12, "Warm", IF(Table9[[#This Row],[Vmin (%)]]&lt;$BA$9, "Normal", IF(Table9[[#This Row],[Vmin (%)]]&lt;$BA$7, "Cool", "Cold"))))</f>
        <v>Normal</v>
      </c>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c r="GJ110" s="21"/>
      <c r="GK110" s="21"/>
      <c r="GL110" s="21"/>
      <c r="GM110" s="21"/>
      <c r="GN110" s="21"/>
      <c r="GO110" s="21"/>
      <c r="GP110" s="21"/>
      <c r="GQ110" s="21"/>
      <c r="GR110" s="21"/>
      <c r="GS110" s="21"/>
      <c r="GT110" s="21"/>
      <c r="GU110" s="21"/>
      <c r="GV110" s="21"/>
      <c r="GW110" s="21"/>
      <c r="GX110" s="21"/>
      <c r="GY110" s="21"/>
      <c r="GZ110" s="21"/>
      <c r="HA110" s="21"/>
      <c r="HB110" s="21"/>
    </row>
    <row r="111" spans="1:210" x14ac:dyDescent="0.25">
      <c r="A111" s="118">
        <f t="shared" si="17"/>
        <v>19</v>
      </c>
      <c r="B111" s="179"/>
      <c r="C111" s="188" t="str">
        <f t="shared" si="12"/>
        <v>RTH at 19 °C</v>
      </c>
      <c r="D111" s="219">
        <f t="shared" si="19"/>
        <v>1.26</v>
      </c>
      <c r="E111" s="220">
        <v>12.4</v>
      </c>
      <c r="F111" s="221">
        <v>12.56</v>
      </c>
      <c r="G111" s="222">
        <v>12.72</v>
      </c>
      <c r="H111" s="138" t="s">
        <v>30</v>
      </c>
      <c r="I111" s="31"/>
      <c r="J111" s="31">
        <v>12.72</v>
      </c>
      <c r="K111" s="31">
        <v>12.56</v>
      </c>
      <c r="L111" s="31">
        <v>12.4</v>
      </c>
      <c r="M111" s="31"/>
      <c r="N111" s="31"/>
      <c r="O111" s="31"/>
      <c r="P111" s="31"/>
      <c r="Q111" s="31"/>
      <c r="R111" s="31"/>
      <c r="S111" s="31"/>
      <c r="T111" s="31"/>
      <c r="U111" s="31"/>
      <c r="V111" s="31"/>
      <c r="W111" s="31"/>
      <c r="X111" s="31"/>
      <c r="Y111" s="32"/>
      <c r="Z111" s="20"/>
      <c r="AA111" s="21"/>
      <c r="AB111" s="21"/>
      <c r="AC111" s="195">
        <f t="shared" si="13"/>
        <v>19</v>
      </c>
      <c r="AD111" s="195">
        <f t="shared" si="14"/>
        <v>12.4</v>
      </c>
      <c r="AE111" s="195">
        <f t="shared" si="15"/>
        <v>12.56</v>
      </c>
      <c r="AF111" s="195">
        <f t="shared" si="16"/>
        <v>12.72</v>
      </c>
      <c r="AG111" s="195">
        <f>Table9[[#This Row],[RTH(min) (kΩ)]]*RT2_TH_MIN/(RT2_TH_MIN+Table9[[#This Row],[RTH(min) (kΩ)]])</f>
        <v>8.8137419978174929</v>
      </c>
      <c r="AH111" s="195">
        <f>Table9[[#This Row],[RTH(nom) (kΩ)]]*RT2_TH_S/(RT2_TH_S+Table9[[#This Row],[RTH(nom) (kΩ)]])</f>
        <v>8.8968726728432141</v>
      </c>
      <c r="AI111" s="195">
        <f>Table9[[#This Row],[RTH(max) (kΩ)]]*RT2_TH_S_MAX/(RT2_TH_S_MAX+Table9[[#This Row],[RTH(max) (kΩ)]])</f>
        <v>8.9794967803421191</v>
      </c>
      <c r="AJ111" s="195">
        <f>Table9[[#This Row],[RLower(min) (kΩ)]]/(Table9[[#This Row],[RLower(min) (kΩ)]]+RT1_TH_S_MAX)*100</f>
        <v>62.722482481478913</v>
      </c>
      <c r="AK111" s="195">
        <f>Table9[[#This Row],[RLower(nom) (kΩ)]]/(Table9[[#This Row],[RLower(nom) (kΩ)]]+RT1_TH_S)*100</f>
        <v>62.965027734134615</v>
      </c>
      <c r="AL111" s="195">
        <f>Table9[[#This Row],[RLower(max) (kΩ)]]/(Table9[[#This Row],[RLower(max) (kΩ)]]+RT1_TH_S_MIN)*100</f>
        <v>63.203601404957851</v>
      </c>
      <c r="AM111" s="195">
        <f>IF(Table9[[#This Row],[Vmin (%)]]&lt;$BA$14, 0, IF(Table9[[#This Row],[Vmin (%)]]&lt;$BA$12, 4, IF(Table9[[#This Row],[Vmin (%)]]&lt;$BA$9, 3, IF(Table9[[#This Row],[Vmin (%)]]&lt;$BA$7, 2, 0))))</f>
        <v>3</v>
      </c>
      <c r="AN111" s="195">
        <f>IF(Table9[[#This Row],[Vmin (%)]]&lt;$BA$13, 0, IF(Table9[[#This Row],[Vmin (%)]]&lt;$BA$11, 4, IF(Table9[[#This Row],[Vmin (%)]]&lt;$BA$10, 3, IF(Table9[[#This Row],[Vmin (%)]]&lt;$BA$8, 2, 0))))</f>
        <v>3</v>
      </c>
      <c r="AO111" s="197" t="str">
        <f>IF(Table9[[#This Row],[Vmin (%)]]&lt;$BA$14, "Hot", IF(Table9[[#This Row],[Vmin (%)]]&lt;$BA$12, "Warm", IF(Table9[[#This Row],[Vmin (%)]]&lt;$BA$9, "Normal", IF(Table9[[#This Row],[Vmin (%)]]&lt;$BA$7, "Cool", "Cold"))))</f>
        <v>Normal</v>
      </c>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P111" s="21"/>
      <c r="GQ111" s="21"/>
      <c r="GR111" s="21"/>
      <c r="GS111" s="21"/>
      <c r="GT111" s="21"/>
      <c r="GU111" s="21"/>
      <c r="GV111" s="21"/>
      <c r="GW111" s="21"/>
      <c r="GX111" s="21"/>
      <c r="GY111" s="21"/>
      <c r="GZ111" s="21"/>
      <c r="HA111" s="21"/>
      <c r="HB111" s="21"/>
    </row>
    <row r="112" spans="1:210" x14ac:dyDescent="0.25">
      <c r="A112" s="118">
        <f t="shared" si="17"/>
        <v>18</v>
      </c>
      <c r="B112" s="179"/>
      <c r="C112" s="188" t="str">
        <f t="shared" si="12"/>
        <v>RTH at 18 °C</v>
      </c>
      <c r="D112" s="219">
        <f t="shared" si="19"/>
        <v>1.3033333333333332</v>
      </c>
      <c r="E112" s="220">
        <v>12.89</v>
      </c>
      <c r="F112" s="221">
        <v>13.06</v>
      </c>
      <c r="G112" s="222">
        <v>13.22</v>
      </c>
      <c r="H112" s="138" t="s">
        <v>30</v>
      </c>
      <c r="I112" s="31"/>
      <c r="J112" s="31">
        <v>13.22</v>
      </c>
      <c r="K112" s="31">
        <v>13.06</v>
      </c>
      <c r="L112" s="31">
        <v>12.89</v>
      </c>
      <c r="M112" s="31"/>
      <c r="N112" s="31"/>
      <c r="O112" s="31"/>
      <c r="P112" s="31"/>
      <c r="Q112" s="31"/>
      <c r="R112" s="31"/>
      <c r="S112" s="31"/>
      <c r="T112" s="31"/>
      <c r="U112" s="31"/>
      <c r="V112" s="31"/>
      <c r="W112" s="31"/>
      <c r="X112" s="31"/>
      <c r="Y112" s="32"/>
      <c r="Z112" s="20"/>
      <c r="AA112" s="21"/>
      <c r="AB112" s="21"/>
      <c r="AC112" s="195">
        <f t="shared" si="13"/>
        <v>18</v>
      </c>
      <c r="AD112" s="195">
        <f t="shared" si="14"/>
        <v>12.89</v>
      </c>
      <c r="AE112" s="195">
        <f t="shared" si="15"/>
        <v>13.06</v>
      </c>
      <c r="AF112" s="195">
        <f t="shared" si="16"/>
        <v>13.22</v>
      </c>
      <c r="AG112" s="195">
        <f>Table9[[#This Row],[RTH(min) (kΩ)]]*RT2_TH_MIN/(RT2_TH_MIN+Table9[[#This Row],[RTH(min) (kΩ)]])</f>
        <v>9.0585006950218574</v>
      </c>
      <c r="AH112" s="195">
        <f>Table9[[#This Row],[RTH(nom) (kΩ)]]*RT2_TH_S/(RT2_TH_S+Table9[[#This Row],[RTH(nom) (kΩ)]])</f>
        <v>9.1448729929846575</v>
      </c>
      <c r="AI112" s="195">
        <f>Table9[[#This Row],[RTH(max) (kΩ)]]*RT2_TH_S_MAX/(RT2_TH_S_MAX+Table9[[#This Row],[RTH(max) (kΩ)]])</f>
        <v>9.2258217840465306</v>
      </c>
      <c r="AJ112" s="195">
        <f>Table9[[#This Row],[RLower(min) (kΩ)]]/(Table9[[#This Row],[RLower(min) (kΩ)]]+RT1_TH_S_MAX)*100</f>
        <v>63.360670369224806</v>
      </c>
      <c r="AK112" s="195">
        <f>Table9[[#This Row],[RLower(nom) (kΩ)]]/(Table9[[#This Row],[RLower(nom) (kΩ)]]+RT1_TH_S)*100</f>
        <v>63.603835062473443</v>
      </c>
      <c r="AL112" s="195">
        <f>Table9[[#This Row],[RLower(max) (kΩ)]]/(Table9[[#This Row],[RLower(max) (kΩ)]]+RT1_TH_S_MIN)*100</f>
        <v>63.830703690899306</v>
      </c>
      <c r="AM112" s="195">
        <f>IF(Table9[[#This Row],[Vmin (%)]]&lt;$BA$14, 0, IF(Table9[[#This Row],[Vmin (%)]]&lt;$BA$12, 4, IF(Table9[[#This Row],[Vmin (%)]]&lt;$BA$9, 3, IF(Table9[[#This Row],[Vmin (%)]]&lt;$BA$7, 2, 0))))</f>
        <v>3</v>
      </c>
      <c r="AN112" s="195">
        <f>IF(Table9[[#This Row],[Vmin (%)]]&lt;$BA$13, 0, IF(Table9[[#This Row],[Vmin (%)]]&lt;$BA$11, 4, IF(Table9[[#This Row],[Vmin (%)]]&lt;$BA$10, 3, IF(Table9[[#This Row],[Vmin (%)]]&lt;$BA$8, 2, 0))))</f>
        <v>3</v>
      </c>
      <c r="AO112" s="197" t="str">
        <f>IF(Table9[[#This Row],[Vmin (%)]]&lt;$BA$14, "Hot", IF(Table9[[#This Row],[Vmin (%)]]&lt;$BA$12, "Warm", IF(Table9[[#This Row],[Vmin (%)]]&lt;$BA$9, "Normal", IF(Table9[[#This Row],[Vmin (%)]]&lt;$BA$7, "Cool", "Cold"))))</f>
        <v>Normal</v>
      </c>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c r="GJ112" s="21"/>
      <c r="GK112" s="21"/>
      <c r="GL112" s="21"/>
      <c r="GM112" s="21"/>
      <c r="GN112" s="21"/>
      <c r="GO112" s="21"/>
      <c r="GP112" s="21"/>
      <c r="GQ112" s="21"/>
      <c r="GR112" s="21"/>
      <c r="GS112" s="21"/>
      <c r="GT112" s="21"/>
      <c r="GU112" s="21"/>
      <c r="GV112" s="21"/>
      <c r="GW112" s="21"/>
      <c r="GX112" s="21"/>
      <c r="GY112" s="21"/>
      <c r="GZ112" s="21"/>
      <c r="HA112" s="21"/>
      <c r="HB112" s="21"/>
    </row>
    <row r="113" spans="1:210" x14ac:dyDescent="0.25">
      <c r="A113" s="118">
        <f t="shared" si="17"/>
        <v>17</v>
      </c>
      <c r="B113" s="179"/>
      <c r="C113" s="188" t="str">
        <f t="shared" si="12"/>
        <v>RTH at 17 °C</v>
      </c>
      <c r="D113" s="219">
        <f t="shared" si="19"/>
        <v>1.3466666666666667</v>
      </c>
      <c r="E113" s="220">
        <v>13.39</v>
      </c>
      <c r="F113" s="221">
        <v>13.58</v>
      </c>
      <c r="G113" s="222">
        <v>13.75</v>
      </c>
      <c r="H113" s="138" t="s">
        <v>30</v>
      </c>
      <c r="I113" s="31"/>
      <c r="J113" s="31">
        <v>13.75</v>
      </c>
      <c r="K113" s="31">
        <v>13.58</v>
      </c>
      <c r="L113" s="31">
        <v>13.39</v>
      </c>
      <c r="M113" s="31"/>
      <c r="N113" s="31"/>
      <c r="O113" s="31"/>
      <c r="P113" s="31"/>
      <c r="Q113" s="31"/>
      <c r="R113" s="31"/>
      <c r="S113" s="31"/>
      <c r="T113" s="31"/>
      <c r="U113" s="31"/>
      <c r="V113" s="31"/>
      <c r="W113" s="31"/>
      <c r="X113" s="31"/>
      <c r="Y113" s="32"/>
      <c r="Z113" s="20"/>
      <c r="AA113" s="21"/>
      <c r="AB113" s="21"/>
      <c r="AC113" s="195">
        <f t="shared" si="13"/>
        <v>17</v>
      </c>
      <c r="AD113" s="195">
        <f t="shared" si="14"/>
        <v>13.39</v>
      </c>
      <c r="AE113" s="195">
        <f t="shared" si="15"/>
        <v>13.58</v>
      </c>
      <c r="AF113" s="195">
        <f t="shared" si="16"/>
        <v>13.75</v>
      </c>
      <c r="AG113" s="195">
        <f>Table9[[#This Row],[RTH(min) (kΩ)]]*RT2_TH_MIN/(RT2_TH_MIN+Table9[[#This Row],[RTH(min) (kΩ)]])</f>
        <v>9.302617684116969</v>
      </c>
      <c r="AH113" s="195">
        <f>Table9[[#This Row],[RTH(nom) (kΩ)]]*RT2_TH_S/(RT2_TH_S+Table9[[#This Row],[RTH(nom) (kΩ)]])</f>
        <v>9.3968258296120286</v>
      </c>
      <c r="AI113" s="195">
        <f>Table9[[#This Row],[RTH(max) (kΩ)]]*RT2_TH_S_MAX/(RT2_TH_S_MAX+Table9[[#This Row],[RTH(max) (kΩ)]])</f>
        <v>9.480853512160051</v>
      </c>
      <c r="AJ113" s="195">
        <f>Table9[[#This Row],[RLower(min) (kΩ)]]/(Table9[[#This Row],[RLower(min) (kΩ)]]+RT1_TH_S_MAX)*100</f>
        <v>63.975784881944911</v>
      </c>
      <c r="AK113" s="195">
        <f>Table9[[#This Row],[RLower(nom) (kΩ)]]/(Table9[[#This Row],[RLower(nom) (kΩ)]]+RT1_TH_S)*100</f>
        <v>64.230645159492667</v>
      </c>
      <c r="AL113" s="195">
        <f>Table9[[#This Row],[RLower(max) (kΩ)]]/(Table9[[#This Row],[RLower(max) (kΩ)]]+RT1_TH_S_MIN)*100</f>
        <v>64.457840932039218</v>
      </c>
      <c r="AM113" s="195">
        <f>IF(Table9[[#This Row],[Vmin (%)]]&lt;$BA$14, 0, IF(Table9[[#This Row],[Vmin (%)]]&lt;$BA$12, 4, IF(Table9[[#This Row],[Vmin (%)]]&lt;$BA$9, 3, IF(Table9[[#This Row],[Vmin (%)]]&lt;$BA$7, 2, 0))))</f>
        <v>3</v>
      </c>
      <c r="AN113" s="195">
        <f>IF(Table9[[#This Row],[Vmin (%)]]&lt;$BA$13, 0, IF(Table9[[#This Row],[Vmin (%)]]&lt;$BA$11, 4, IF(Table9[[#This Row],[Vmin (%)]]&lt;$BA$10, 3, IF(Table9[[#This Row],[Vmin (%)]]&lt;$BA$8, 2, 0))))</f>
        <v>3</v>
      </c>
      <c r="AO113" s="197" t="str">
        <f>IF(Table9[[#This Row],[Vmin (%)]]&lt;$BA$14, "Hot", IF(Table9[[#This Row],[Vmin (%)]]&lt;$BA$12, "Warm", IF(Table9[[#This Row],[Vmin (%)]]&lt;$BA$9, "Normal", IF(Table9[[#This Row],[Vmin (%)]]&lt;$BA$7, "Cool", "Cold"))))</f>
        <v>Normal</v>
      </c>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P113" s="21"/>
      <c r="GQ113" s="21"/>
      <c r="GR113" s="21"/>
      <c r="GS113" s="21"/>
      <c r="GT113" s="21"/>
      <c r="GU113" s="21"/>
      <c r="GV113" s="21"/>
      <c r="GW113" s="21"/>
      <c r="GX113" s="21"/>
      <c r="GY113" s="21"/>
      <c r="GZ113" s="21"/>
      <c r="HA113" s="21"/>
      <c r="HB113" s="21"/>
    </row>
    <row r="114" spans="1:210" x14ac:dyDescent="0.25">
      <c r="A114" s="118">
        <f t="shared" si="17"/>
        <v>16</v>
      </c>
      <c r="B114" s="179"/>
      <c r="C114" s="188" t="str">
        <f t="shared" si="12"/>
        <v>RTH at 16 °C</v>
      </c>
      <c r="D114" s="219">
        <f t="shared" si="19"/>
        <v>1.3900000000000001</v>
      </c>
      <c r="E114" s="220">
        <v>13.92</v>
      </c>
      <c r="F114" s="221">
        <v>14.12</v>
      </c>
      <c r="G114" s="222">
        <v>14.31</v>
      </c>
      <c r="H114" s="138" t="s">
        <v>30</v>
      </c>
      <c r="I114" s="31"/>
      <c r="J114" s="31">
        <v>14.31</v>
      </c>
      <c r="K114" s="31">
        <v>14.12</v>
      </c>
      <c r="L114" s="31">
        <v>13.92</v>
      </c>
      <c r="M114" s="31"/>
      <c r="N114" s="31"/>
      <c r="O114" s="31"/>
      <c r="P114" s="31"/>
      <c r="Q114" s="31"/>
      <c r="R114" s="31"/>
      <c r="S114" s="31"/>
      <c r="T114" s="31"/>
      <c r="U114" s="31"/>
      <c r="V114" s="31"/>
      <c r="W114" s="31"/>
      <c r="X114" s="31"/>
      <c r="Y114" s="32"/>
      <c r="Z114" s="20"/>
      <c r="AA114" s="21"/>
      <c r="AB114" s="21"/>
      <c r="AC114" s="195">
        <f t="shared" si="13"/>
        <v>16</v>
      </c>
      <c r="AD114" s="195">
        <f t="shared" si="14"/>
        <v>13.92</v>
      </c>
      <c r="AE114" s="195">
        <f t="shared" si="15"/>
        <v>14.12</v>
      </c>
      <c r="AF114" s="195">
        <f t="shared" si="16"/>
        <v>14.31</v>
      </c>
      <c r="AG114" s="195">
        <f>Table9[[#This Row],[RTH(min) (kΩ)]]*RT2_TH_MIN/(RT2_TH_MIN+Table9[[#This Row],[RTH(min) (kΩ)]])</f>
        <v>9.5553781271166702</v>
      </c>
      <c r="AH114" s="195">
        <f>Table9[[#This Row],[RTH(nom) (kΩ)]]*RT2_TH_S/(RT2_TH_S+Table9[[#This Row],[RTH(nom) (kΩ)]])</f>
        <v>9.6522542535847329</v>
      </c>
      <c r="AI114" s="195">
        <f>Table9[[#This Row],[RTH(max) (kΩ)]]*RT2_TH_S_MAX/(RT2_TH_S_MAX+Table9[[#This Row],[RTH(max) (kΩ)]])</f>
        <v>9.7437714517178122</v>
      </c>
      <c r="AJ114" s="195">
        <f>Table9[[#This Row],[RLower(min) (kΩ)]]/(Table9[[#This Row],[RLower(min) (kΩ)]]+RT1_TH_S_MAX)*100</f>
        <v>64.59128720577381</v>
      </c>
      <c r="AK114" s="195">
        <f>Table9[[#This Row],[RLower(nom) (kΩ)]]/(Table9[[#This Row],[RLower(nom) (kΩ)]]+RT1_TH_S)*100</f>
        <v>64.844441552341237</v>
      </c>
      <c r="AL114" s="195">
        <f>Table9[[#This Row],[RLower(max) (kΩ)]]/(Table9[[#This Row],[RLower(max) (kΩ)]]+RT1_TH_S_MIN)*100</f>
        <v>65.082003691265385</v>
      </c>
      <c r="AM114" s="195">
        <f>IF(Table9[[#This Row],[Vmin (%)]]&lt;$BA$14, 0, IF(Table9[[#This Row],[Vmin (%)]]&lt;$BA$12, 4, IF(Table9[[#This Row],[Vmin (%)]]&lt;$BA$9, 3, IF(Table9[[#This Row],[Vmin (%)]]&lt;$BA$7, 2, 0))))</f>
        <v>3</v>
      </c>
      <c r="AN114" s="195">
        <f>IF(Table9[[#This Row],[Vmin (%)]]&lt;$BA$13, 0, IF(Table9[[#This Row],[Vmin (%)]]&lt;$BA$11, 4, IF(Table9[[#This Row],[Vmin (%)]]&lt;$BA$10, 3, IF(Table9[[#This Row],[Vmin (%)]]&lt;$BA$8, 2, 0))))</f>
        <v>3</v>
      </c>
      <c r="AO114" s="197" t="str">
        <f>IF(Table9[[#This Row],[Vmin (%)]]&lt;$BA$14, "Hot", IF(Table9[[#This Row],[Vmin (%)]]&lt;$BA$12, "Warm", IF(Table9[[#This Row],[Vmin (%)]]&lt;$BA$9, "Normal", IF(Table9[[#This Row],[Vmin (%)]]&lt;$BA$7, "Cool", "Cold"))))</f>
        <v>Normal</v>
      </c>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c r="GJ114" s="21"/>
      <c r="GK114" s="21"/>
      <c r="GL114" s="21"/>
      <c r="GM114" s="21"/>
      <c r="GN114" s="21"/>
      <c r="GO114" s="21"/>
      <c r="GP114" s="21"/>
      <c r="GQ114" s="21"/>
      <c r="GR114" s="21"/>
      <c r="GS114" s="21"/>
      <c r="GT114" s="21"/>
      <c r="GU114" s="21"/>
      <c r="GV114" s="21"/>
      <c r="GW114" s="21"/>
      <c r="GX114" s="21"/>
      <c r="GY114" s="21"/>
      <c r="GZ114" s="21"/>
      <c r="HA114" s="21"/>
      <c r="HB114" s="21"/>
    </row>
    <row r="115" spans="1:210" x14ac:dyDescent="0.25">
      <c r="A115" s="118">
        <f t="shared" si="17"/>
        <v>15</v>
      </c>
      <c r="B115" s="179"/>
      <c r="C115" s="188" t="str">
        <f t="shared" si="12"/>
        <v>RTH at 15 °C</v>
      </c>
      <c r="D115" s="219">
        <f t="shared" si="19"/>
        <v>1.4333333333333333</v>
      </c>
      <c r="E115" s="220">
        <v>14.48</v>
      </c>
      <c r="F115" s="221">
        <v>14.69</v>
      </c>
      <c r="G115" s="222">
        <v>14.89</v>
      </c>
      <c r="H115" s="138" t="s">
        <v>30</v>
      </c>
      <c r="I115" s="31"/>
      <c r="J115" s="31">
        <v>14.89</v>
      </c>
      <c r="K115" s="31">
        <v>14.69</v>
      </c>
      <c r="L115" s="31">
        <v>14.48</v>
      </c>
      <c r="M115" s="31"/>
      <c r="N115" s="31"/>
      <c r="O115" s="31"/>
      <c r="P115" s="31"/>
      <c r="Q115" s="31"/>
      <c r="R115" s="31"/>
      <c r="S115" s="31"/>
      <c r="T115" s="31"/>
      <c r="U115" s="31"/>
      <c r="V115" s="31"/>
      <c r="W115" s="31"/>
      <c r="X115" s="31"/>
      <c r="Y115" s="32"/>
      <c r="Z115" s="20"/>
      <c r="AA115" s="21"/>
      <c r="AB115" s="21"/>
      <c r="AC115" s="195">
        <f t="shared" si="13"/>
        <v>15</v>
      </c>
      <c r="AD115" s="195">
        <f t="shared" si="14"/>
        <v>14.48</v>
      </c>
      <c r="AE115" s="195">
        <f t="shared" si="15"/>
        <v>14.69</v>
      </c>
      <c r="AF115" s="195">
        <f t="shared" si="16"/>
        <v>14.89</v>
      </c>
      <c r="AG115" s="195">
        <f>Table9[[#This Row],[RTH(min) (kΩ)]]*RT2_TH_MIN/(RT2_TH_MIN+Table9[[#This Row],[RTH(min) (kΩ)]])</f>
        <v>9.8159702852747266</v>
      </c>
      <c r="AH115" s="195">
        <f>Table9[[#This Row],[RTH(nom) (kΩ)]]*RT2_TH_S/(RT2_TH_S+Table9[[#This Row],[RTH(nom) (kΩ)]])</f>
        <v>9.915251282003922</v>
      </c>
      <c r="AI115" s="195">
        <f>Table9[[#This Row],[RTH(max) (kΩ)]]*RT2_TH_S_MAX/(RT2_TH_S_MAX+Table9[[#This Row],[RTH(max) (kΩ)]])</f>
        <v>10.009245512333102</v>
      </c>
      <c r="AJ115" s="195">
        <f>Table9[[#This Row],[RLower(min) (kΩ)]]/(Table9[[#This Row],[RLower(min) (kΩ)]]+RT1_TH_S_MAX)*100</f>
        <v>65.204221556508898</v>
      </c>
      <c r="AK115" s="195">
        <f>Table9[[#This Row],[RLower(nom) (kΩ)]]/(Table9[[#This Row],[RLower(nom) (kΩ)]]+RT1_TH_S)*100</f>
        <v>65.454796677537914</v>
      </c>
      <c r="AL115" s="195">
        <f>Table9[[#This Row],[RLower(max) (kΩ)]]/(Table9[[#This Row],[RLower(max) (kΩ)]]+RT1_TH_S_MIN)*100</f>
        <v>65.690379358201582</v>
      </c>
      <c r="AM115" s="195">
        <f>IF(Table9[[#This Row],[Vmin (%)]]&lt;$BA$14, 0, IF(Table9[[#This Row],[Vmin (%)]]&lt;$BA$12, 4, IF(Table9[[#This Row],[Vmin (%)]]&lt;$BA$9, 3, IF(Table9[[#This Row],[Vmin (%)]]&lt;$BA$7, 2, 0))))</f>
        <v>3</v>
      </c>
      <c r="AN115" s="195">
        <f>IF(Table9[[#This Row],[Vmin (%)]]&lt;$BA$13, 0, IF(Table9[[#This Row],[Vmin (%)]]&lt;$BA$11, 4, IF(Table9[[#This Row],[Vmin (%)]]&lt;$BA$10, 3, IF(Table9[[#This Row],[Vmin (%)]]&lt;$BA$8, 2, 0))))</f>
        <v>3</v>
      </c>
      <c r="AO115" s="197" t="str">
        <f>IF(Table9[[#This Row],[Vmin (%)]]&lt;$BA$14, "Hot", IF(Table9[[#This Row],[Vmin (%)]]&lt;$BA$12, "Warm", IF(Table9[[#This Row],[Vmin (%)]]&lt;$BA$9, "Normal", IF(Table9[[#This Row],[Vmin (%)]]&lt;$BA$7, "Cool", "Cold"))))</f>
        <v>Normal</v>
      </c>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c r="GJ115" s="21"/>
      <c r="GK115" s="21"/>
      <c r="GL115" s="21"/>
      <c r="GM115" s="21"/>
      <c r="GN115" s="21"/>
      <c r="GO115" s="21"/>
      <c r="GP115" s="21"/>
      <c r="GQ115" s="21"/>
      <c r="GR115" s="21"/>
      <c r="GS115" s="21"/>
      <c r="GT115" s="21"/>
      <c r="GU115" s="21"/>
      <c r="GV115" s="21"/>
      <c r="GW115" s="21"/>
      <c r="GX115" s="21"/>
      <c r="GY115" s="21"/>
      <c r="GZ115" s="21"/>
      <c r="HA115" s="21"/>
      <c r="HB115" s="21"/>
    </row>
    <row r="116" spans="1:210" x14ac:dyDescent="0.25">
      <c r="A116" s="118">
        <f t="shared" si="17"/>
        <v>14</v>
      </c>
      <c r="B116" s="179"/>
      <c r="C116" s="188" t="str">
        <f t="shared" ref="C116:C147" si="20">_xlfn.CONCAT("RTH at ",A116, " °C")</f>
        <v>RTH at 14 °C</v>
      </c>
      <c r="D116" s="219">
        <f t="shared" si="19"/>
        <v>1.4766666666666666</v>
      </c>
      <c r="E116" s="220">
        <v>15.06</v>
      </c>
      <c r="F116" s="221">
        <v>15.28</v>
      </c>
      <c r="G116" s="222">
        <v>15.5</v>
      </c>
      <c r="H116" s="138" t="s">
        <v>30</v>
      </c>
      <c r="I116" s="31"/>
      <c r="J116" s="31">
        <v>15.5</v>
      </c>
      <c r="K116" s="31">
        <v>15.28</v>
      </c>
      <c r="L116" s="31">
        <v>15.06</v>
      </c>
      <c r="M116" s="31"/>
      <c r="N116" s="31"/>
      <c r="O116" s="31"/>
      <c r="P116" s="31"/>
      <c r="Q116" s="31"/>
      <c r="R116" s="31"/>
      <c r="S116" s="31"/>
      <c r="T116" s="31"/>
      <c r="U116" s="31"/>
      <c r="V116" s="31"/>
      <c r="W116" s="31"/>
      <c r="X116" s="31"/>
      <c r="Y116" s="32"/>
      <c r="Z116" s="20"/>
      <c r="AA116" s="21"/>
      <c r="AB116" s="21"/>
      <c r="AC116" s="195">
        <f t="shared" ref="AC116:AC147" si="21">A116</f>
        <v>14</v>
      </c>
      <c r="AD116" s="195">
        <f t="shared" ref="AD116:AD147" si="22">E116</f>
        <v>15.06</v>
      </c>
      <c r="AE116" s="195">
        <f t="shared" ref="AE116:AE147" si="23">F116</f>
        <v>15.28</v>
      </c>
      <c r="AF116" s="195">
        <f t="shared" ref="AF116:AF147" si="24">G116</f>
        <v>15.5</v>
      </c>
      <c r="AG116" s="195">
        <f>Table9[[#This Row],[RTH(min) (kΩ)]]*RT2_TH_MIN/(RT2_TH_MIN+Table9[[#This Row],[RTH(min) (kΩ)]])</f>
        <v>10.079112165265794</v>
      </c>
      <c r="AH116" s="195">
        <f>Table9[[#This Row],[RTH(nom) (kΩ)]]*RT2_TH_S/(RT2_TH_S+Table9[[#This Row],[RTH(nom) (kΩ)]])</f>
        <v>10.180579277974362</v>
      </c>
      <c r="AI116" s="195">
        <f>Table9[[#This Row],[RTH(max) (kΩ)]]*RT2_TH_S_MAX/(RT2_TH_S_MAX+Table9[[#This Row],[RTH(max) (kΩ)]])</f>
        <v>10.281233680034354</v>
      </c>
      <c r="AJ116" s="195">
        <f>Table9[[#This Row],[RLower(min) (kΩ)]]/(Table9[[#This Row],[RLower(min) (kΩ)]]+RT1_TH_S_MAX)*100</f>
        <v>65.8019904096641</v>
      </c>
      <c r="AK116" s="195">
        <f>Table9[[#This Row],[RLower(nom) (kΩ)]]/(Table9[[#This Row],[RLower(nom) (kΩ)]]+RT1_TH_S)*100</f>
        <v>66.049455106139192</v>
      </c>
      <c r="AL116" s="195">
        <f>Table9[[#This Row],[RLower(max) (kΩ)]]/(Table9[[#This Row],[RLower(max) (kΩ)]]+RT1_TH_S_MIN)*100</f>
        <v>66.292082612142664</v>
      </c>
      <c r="AM116" s="195">
        <f>IF(Table9[[#This Row],[Vmin (%)]]&lt;$BA$14, 0, IF(Table9[[#This Row],[Vmin (%)]]&lt;$BA$12, 4, IF(Table9[[#This Row],[Vmin (%)]]&lt;$BA$9, 3, IF(Table9[[#This Row],[Vmin (%)]]&lt;$BA$7, 2, 0))))</f>
        <v>3</v>
      </c>
      <c r="AN116" s="195">
        <f>IF(Table9[[#This Row],[Vmin (%)]]&lt;$BA$13, 0, IF(Table9[[#This Row],[Vmin (%)]]&lt;$BA$11, 4, IF(Table9[[#This Row],[Vmin (%)]]&lt;$BA$10, 3, IF(Table9[[#This Row],[Vmin (%)]]&lt;$BA$8, 2, 0))))</f>
        <v>3</v>
      </c>
      <c r="AO116" s="197" t="str">
        <f>IF(Table9[[#This Row],[Vmin (%)]]&lt;$BA$14, "Hot", IF(Table9[[#This Row],[Vmin (%)]]&lt;$BA$12, "Warm", IF(Table9[[#This Row],[Vmin (%)]]&lt;$BA$9, "Normal", IF(Table9[[#This Row],[Vmin (%)]]&lt;$BA$7, "Cool", "Cold"))))</f>
        <v>Normal</v>
      </c>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c r="GJ116" s="21"/>
      <c r="GK116" s="21"/>
      <c r="GL116" s="21"/>
      <c r="GM116" s="21"/>
      <c r="GN116" s="21"/>
      <c r="GO116" s="21"/>
      <c r="GP116" s="21"/>
      <c r="GQ116" s="21"/>
      <c r="GR116" s="21"/>
      <c r="GS116" s="21"/>
      <c r="GT116" s="21"/>
      <c r="GU116" s="21"/>
      <c r="GV116" s="21"/>
      <c r="GW116" s="21"/>
      <c r="GX116" s="21"/>
      <c r="GY116" s="21"/>
      <c r="GZ116" s="21"/>
      <c r="HA116" s="21"/>
      <c r="HB116" s="21"/>
    </row>
    <row r="117" spans="1:210" x14ac:dyDescent="0.25">
      <c r="A117" s="118">
        <f t="shared" si="17"/>
        <v>13</v>
      </c>
      <c r="B117" s="179"/>
      <c r="C117" s="188" t="str">
        <f t="shared" si="20"/>
        <v>RTH at 13 °C</v>
      </c>
      <c r="D117" s="219">
        <f t="shared" si="19"/>
        <v>1.52</v>
      </c>
      <c r="E117" s="220">
        <v>15.67</v>
      </c>
      <c r="F117" s="221">
        <v>15.9</v>
      </c>
      <c r="G117" s="222">
        <v>16.14</v>
      </c>
      <c r="H117" s="138" t="s">
        <v>30</v>
      </c>
      <c r="I117" s="31"/>
      <c r="J117" s="31">
        <v>16.14</v>
      </c>
      <c r="K117" s="31">
        <v>15.9</v>
      </c>
      <c r="L117" s="31">
        <v>15.67</v>
      </c>
      <c r="M117" s="31"/>
      <c r="N117" s="31"/>
      <c r="O117" s="31"/>
      <c r="P117" s="31"/>
      <c r="Q117" s="31"/>
      <c r="R117" s="31"/>
      <c r="S117" s="31"/>
      <c r="T117" s="31"/>
      <c r="U117" s="31"/>
      <c r="V117" s="31"/>
      <c r="W117" s="31"/>
      <c r="X117" s="31"/>
      <c r="Y117" s="32"/>
      <c r="Z117" s="20"/>
      <c r="AA117" s="21"/>
      <c r="AB117" s="21"/>
      <c r="AC117" s="195">
        <f t="shared" si="21"/>
        <v>13</v>
      </c>
      <c r="AD117" s="195">
        <f t="shared" si="22"/>
        <v>15.67</v>
      </c>
      <c r="AE117" s="195">
        <f t="shared" si="23"/>
        <v>15.9</v>
      </c>
      <c r="AF117" s="195">
        <f t="shared" si="24"/>
        <v>16.14</v>
      </c>
      <c r="AG117" s="195">
        <f>Table9[[#This Row],[RTH(min) (kΩ)]]*RT2_TH_MIN/(RT2_TH_MIN+Table9[[#This Row],[RTH(min) (kΩ)]])</f>
        <v>10.348727822959214</v>
      </c>
      <c r="AH117" s="195">
        <f>Table9[[#This Row],[RTH(nom) (kΩ)]]*RT2_TH_S/(RT2_TH_S+Table9[[#This Row],[RTH(nom) (kΩ)]])</f>
        <v>10.452128422065087</v>
      </c>
      <c r="AI117" s="195">
        <f>Table9[[#This Row],[RTH(max) (kΩ)]]*RT2_TH_S_MAX/(RT2_TH_S_MAX+Table9[[#This Row],[RTH(max) (kΩ)]])</f>
        <v>10.558956112517928</v>
      </c>
      <c r="AJ117" s="195">
        <f>Table9[[#This Row],[RLower(min) (kΩ)]]/(Table9[[#This Row],[RLower(min) (kΩ)]]+RT1_TH_S_MAX)*100</f>
        <v>66.393531261950102</v>
      </c>
      <c r="AK117" s="195">
        <f>Table9[[#This Row],[RLower(nom) (kΩ)]]/(Table9[[#This Row],[RLower(nom) (kΩ)]]+RT1_TH_S)*100</f>
        <v>66.637225021877228</v>
      </c>
      <c r="AL117" s="195">
        <f>Table9[[#This Row],[RLower(max) (kΩ)]]/(Table9[[#This Row],[RLower(max) (kΩ)]]+RT1_TH_S_MIN)*100</f>
        <v>66.885077750451885</v>
      </c>
      <c r="AM117" s="195">
        <f>IF(Table9[[#This Row],[Vmin (%)]]&lt;$BA$14, 0, IF(Table9[[#This Row],[Vmin (%)]]&lt;$BA$12, 4, IF(Table9[[#This Row],[Vmin (%)]]&lt;$BA$9, 3, IF(Table9[[#This Row],[Vmin (%)]]&lt;$BA$7, 2, 0))))</f>
        <v>3</v>
      </c>
      <c r="AN117" s="195">
        <f>IF(Table9[[#This Row],[Vmin (%)]]&lt;$BA$13, 0, IF(Table9[[#This Row],[Vmin (%)]]&lt;$BA$11, 4, IF(Table9[[#This Row],[Vmin (%)]]&lt;$BA$10, 3, IF(Table9[[#This Row],[Vmin (%)]]&lt;$BA$8, 2, 0))))</f>
        <v>3</v>
      </c>
      <c r="AO117" s="197" t="str">
        <f>IF(Table9[[#This Row],[Vmin (%)]]&lt;$BA$14, "Hot", IF(Table9[[#This Row],[Vmin (%)]]&lt;$BA$12, "Warm", IF(Table9[[#This Row],[Vmin (%)]]&lt;$BA$9, "Normal", IF(Table9[[#This Row],[Vmin (%)]]&lt;$BA$7, "Cool", "Cold"))))</f>
        <v>Normal</v>
      </c>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c r="GJ117" s="21"/>
      <c r="GK117" s="21"/>
      <c r="GL117" s="21"/>
      <c r="GM117" s="21"/>
      <c r="GN117" s="21"/>
      <c r="GO117" s="21"/>
      <c r="GP117" s="21"/>
      <c r="GQ117" s="21"/>
      <c r="GR117" s="21"/>
      <c r="GS117" s="21"/>
      <c r="GT117" s="21"/>
      <c r="GU117" s="21"/>
      <c r="GV117" s="21"/>
      <c r="GW117" s="21"/>
      <c r="GX117" s="21"/>
      <c r="GY117" s="21"/>
      <c r="GZ117" s="21"/>
      <c r="HA117" s="21"/>
      <c r="HB117" s="21"/>
    </row>
    <row r="118" spans="1:210" x14ac:dyDescent="0.25">
      <c r="A118" s="118">
        <f t="shared" si="17"/>
        <v>12</v>
      </c>
      <c r="B118" s="179"/>
      <c r="C118" s="188" t="str">
        <f t="shared" si="20"/>
        <v>RTH at 12 °C</v>
      </c>
      <c r="D118" s="219">
        <f t="shared" si="19"/>
        <v>1.5633333333333335</v>
      </c>
      <c r="E118" s="220">
        <v>16.3</v>
      </c>
      <c r="F118" s="221">
        <v>16.559999999999999</v>
      </c>
      <c r="G118" s="222">
        <v>16.809999999999999</v>
      </c>
      <c r="H118" s="138" t="s">
        <v>30</v>
      </c>
      <c r="I118" s="31"/>
      <c r="J118" s="31">
        <v>16.809999999999999</v>
      </c>
      <c r="K118" s="31">
        <v>16.559999999999999</v>
      </c>
      <c r="L118" s="31">
        <v>16.3</v>
      </c>
      <c r="M118" s="31"/>
      <c r="N118" s="31"/>
      <c r="O118" s="31"/>
      <c r="P118" s="31"/>
      <c r="Q118" s="31"/>
      <c r="R118" s="31"/>
      <c r="S118" s="31"/>
      <c r="T118" s="31"/>
      <c r="U118" s="31"/>
      <c r="V118" s="31"/>
      <c r="W118" s="31"/>
      <c r="X118" s="31"/>
      <c r="Y118" s="32"/>
      <c r="Z118" s="20"/>
      <c r="AA118" s="21"/>
      <c r="AB118" s="21"/>
      <c r="AC118" s="195">
        <f t="shared" si="21"/>
        <v>12</v>
      </c>
      <c r="AD118" s="195">
        <f t="shared" si="22"/>
        <v>16.3</v>
      </c>
      <c r="AE118" s="195">
        <f t="shared" si="23"/>
        <v>16.559999999999999</v>
      </c>
      <c r="AF118" s="195">
        <f t="shared" si="24"/>
        <v>16.809999999999999</v>
      </c>
      <c r="AG118" s="195">
        <f>Table9[[#This Row],[RTH(min) (kΩ)]]*RT2_TH_MIN/(RT2_TH_MIN+Table9[[#This Row],[RTH(min) (kΩ)]])</f>
        <v>10.619801478098541</v>
      </c>
      <c r="AH118" s="195">
        <f>Table9[[#This Row],[RTH(nom) (kΩ)]]*RT2_TH_S/(RT2_TH_S+Table9[[#This Row],[RTH(nom) (kΩ)]])</f>
        <v>10.733335282531568</v>
      </c>
      <c r="AI118" s="195">
        <f>Table9[[#This Row],[RTH(max) (kΩ)]]*RT2_TH_S_MAX/(RT2_TH_S_MAX+Table9[[#This Row],[RTH(max) (kΩ)]])</f>
        <v>10.841652344878064</v>
      </c>
      <c r="AJ118" s="195">
        <f>Table9[[#This Row],[RLower(min) (kΩ)]]/(Table9[[#This Row],[RLower(min) (kΩ)]]+RT1_TH_S_MAX)*100</f>
        <v>66.967992959623416</v>
      </c>
      <c r="AK118" s="195">
        <f>Table9[[#This Row],[RLower(nom) (kΩ)]]/(Table9[[#This Row],[RLower(nom) (kΩ)]]+RT1_TH_S)*100</f>
        <v>67.224826762926654</v>
      </c>
      <c r="AL118" s="195">
        <f>Table9[[#This Row],[RLower(max) (kΩ)]]/(Table9[[#This Row],[RLower(max) (kΩ)]]+RT1_TH_S_MIN)*100</f>
        <v>67.467641980454459</v>
      </c>
      <c r="AM118" s="195">
        <f>IF(Table9[[#This Row],[Vmin (%)]]&lt;$BA$14, 0, IF(Table9[[#This Row],[Vmin (%)]]&lt;$BA$12, 4, IF(Table9[[#This Row],[Vmin (%)]]&lt;$BA$9, 3, IF(Table9[[#This Row],[Vmin (%)]]&lt;$BA$7, 2, 0))))</f>
        <v>3</v>
      </c>
      <c r="AN118" s="195">
        <f>IF(Table9[[#This Row],[Vmin (%)]]&lt;$BA$13, 0, IF(Table9[[#This Row],[Vmin (%)]]&lt;$BA$11, 4, IF(Table9[[#This Row],[Vmin (%)]]&lt;$BA$10, 3, IF(Table9[[#This Row],[Vmin (%)]]&lt;$BA$8, 2, 0))))</f>
        <v>2</v>
      </c>
      <c r="AO118" s="197" t="str">
        <f>IF(Table9[[#This Row],[Vmin (%)]]&lt;$BA$14, "Hot", IF(Table9[[#This Row],[Vmin (%)]]&lt;$BA$12, "Warm", IF(Table9[[#This Row],[Vmin (%)]]&lt;$BA$9, "Normal", IF(Table9[[#This Row],[Vmin (%)]]&lt;$BA$7, "Cool", "Cold"))))</f>
        <v>Normal</v>
      </c>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P118" s="21"/>
      <c r="GQ118" s="21"/>
      <c r="GR118" s="21"/>
      <c r="GS118" s="21"/>
      <c r="GT118" s="21"/>
      <c r="GU118" s="21"/>
      <c r="GV118" s="21"/>
      <c r="GW118" s="21"/>
      <c r="GX118" s="21"/>
      <c r="GY118" s="21"/>
      <c r="GZ118" s="21"/>
      <c r="HA118" s="21"/>
      <c r="HB118" s="21"/>
    </row>
    <row r="119" spans="1:210" x14ac:dyDescent="0.25">
      <c r="A119" s="118">
        <f t="shared" si="17"/>
        <v>11</v>
      </c>
      <c r="B119" s="179"/>
      <c r="C119" s="188" t="str">
        <f t="shared" si="20"/>
        <v>RTH at 11 °C</v>
      </c>
      <c r="D119" s="219">
        <f t="shared" si="19"/>
        <v>1.6066666666666667</v>
      </c>
      <c r="E119" s="220">
        <v>16.97</v>
      </c>
      <c r="F119" s="221">
        <v>17.239999999999998</v>
      </c>
      <c r="G119" s="222">
        <v>17.510000000000002</v>
      </c>
      <c r="H119" s="138" t="s">
        <v>30</v>
      </c>
      <c r="I119" s="31"/>
      <c r="J119" s="31">
        <v>17.510000000000002</v>
      </c>
      <c r="K119" s="31">
        <v>17.239999999999998</v>
      </c>
      <c r="L119" s="31">
        <v>16.97</v>
      </c>
      <c r="M119" s="31"/>
      <c r="N119" s="31"/>
      <c r="O119" s="31"/>
      <c r="P119" s="31"/>
      <c r="Q119" s="31"/>
      <c r="R119" s="31"/>
      <c r="S119" s="31"/>
      <c r="T119" s="31"/>
      <c r="U119" s="31"/>
      <c r="V119" s="31"/>
      <c r="W119" s="31"/>
      <c r="X119" s="31"/>
      <c r="Y119" s="32"/>
      <c r="Z119" s="20"/>
      <c r="AA119" s="21"/>
      <c r="AB119" s="21"/>
      <c r="AC119" s="195">
        <f t="shared" si="21"/>
        <v>11</v>
      </c>
      <c r="AD119" s="195">
        <f t="shared" si="22"/>
        <v>16.97</v>
      </c>
      <c r="AE119" s="195">
        <f t="shared" si="23"/>
        <v>17.239999999999998</v>
      </c>
      <c r="AF119" s="195">
        <f t="shared" si="24"/>
        <v>17.510000000000002</v>
      </c>
      <c r="AG119" s="195">
        <f>Table9[[#This Row],[RTH(min) (kΩ)]]*RT2_TH_MIN/(RT2_TH_MIN+Table9[[#This Row],[RTH(min) (kΩ)]])</f>
        <v>10.90018707848286</v>
      </c>
      <c r="AH119" s="195">
        <f>Table9[[#This Row],[RTH(nom) (kΩ)]]*RT2_TH_S/(RT2_TH_S+Table9[[#This Row],[RTH(nom) (kΩ)]])</f>
        <v>11.014932164374109</v>
      </c>
      <c r="AI119" s="195">
        <f>Table9[[#This Row],[RTH(max) (kΩ)]]*RT2_TH_S_MAX/(RT2_TH_S_MAX+Table9[[#This Row],[RTH(max) (kΩ)]])</f>
        <v>11.128584747387871</v>
      </c>
      <c r="AJ119" s="195">
        <f>Table9[[#This Row],[RLower(min) (kΩ)]]/(Table9[[#This Row],[RLower(min) (kΩ)]]+RT1_TH_S_MAX)*100</f>
        <v>67.541884590075711</v>
      </c>
      <c r="AK119" s="195">
        <f>Table9[[#This Row],[RLower(nom) (kΩ)]]/(Table9[[#This Row],[RLower(nom) (kΩ)]]+RT1_TH_S)*100</f>
        <v>67.792861607050597</v>
      </c>
      <c r="AL119" s="195">
        <f>Table9[[#This Row],[RLower(max) (kΩ)]]/(Table9[[#This Row],[RLower(max) (kΩ)]]+RT1_TH_S_MIN)*100</f>
        <v>68.038343371418421</v>
      </c>
      <c r="AM119" s="195">
        <f>IF(Table9[[#This Row],[Vmin (%)]]&lt;$BA$14, 0, IF(Table9[[#This Row],[Vmin (%)]]&lt;$BA$12, 4, IF(Table9[[#This Row],[Vmin (%)]]&lt;$BA$9, 3, IF(Table9[[#This Row],[Vmin (%)]]&lt;$BA$7, 2, 0))))</f>
        <v>3</v>
      </c>
      <c r="AN119" s="195">
        <f>IF(Table9[[#This Row],[Vmin (%)]]&lt;$BA$13, 0, IF(Table9[[#This Row],[Vmin (%)]]&lt;$BA$11, 4, IF(Table9[[#This Row],[Vmin (%)]]&lt;$BA$10, 3, IF(Table9[[#This Row],[Vmin (%)]]&lt;$BA$8, 2, 0))))</f>
        <v>2</v>
      </c>
      <c r="AO119" s="197" t="str">
        <f>IF(Table9[[#This Row],[Vmin (%)]]&lt;$BA$14, "Hot", IF(Table9[[#This Row],[Vmin (%)]]&lt;$BA$12, "Warm", IF(Table9[[#This Row],[Vmin (%)]]&lt;$BA$9, "Normal", IF(Table9[[#This Row],[Vmin (%)]]&lt;$BA$7, "Cool", "Cold"))))</f>
        <v>Normal</v>
      </c>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c r="GJ119" s="21"/>
      <c r="GK119" s="21"/>
      <c r="GL119" s="21"/>
      <c r="GM119" s="21"/>
      <c r="GN119" s="21"/>
      <c r="GO119" s="21"/>
      <c r="GP119" s="21"/>
      <c r="GQ119" s="21"/>
      <c r="GR119" s="21"/>
      <c r="GS119" s="21"/>
      <c r="GT119" s="21"/>
      <c r="GU119" s="21"/>
      <c r="GV119" s="21"/>
      <c r="GW119" s="21"/>
      <c r="GX119" s="21"/>
      <c r="GY119" s="21"/>
      <c r="GZ119" s="21"/>
      <c r="HA119" s="21"/>
      <c r="HB119" s="21"/>
    </row>
    <row r="120" spans="1:210" x14ac:dyDescent="0.25">
      <c r="A120" s="118">
        <f t="shared" si="17"/>
        <v>10</v>
      </c>
      <c r="B120" s="179"/>
      <c r="C120" s="188" t="str">
        <f t="shared" si="20"/>
        <v>RTH at 10 °C</v>
      </c>
      <c r="D120" s="219">
        <f t="shared" si="19"/>
        <v>1.65</v>
      </c>
      <c r="E120" s="220">
        <v>17.670000000000002</v>
      </c>
      <c r="F120" s="221">
        <v>17.96</v>
      </c>
      <c r="G120" s="222">
        <v>18.25</v>
      </c>
      <c r="H120" s="138" t="s">
        <v>30</v>
      </c>
      <c r="I120" s="31"/>
      <c r="J120" s="31">
        <v>18.25</v>
      </c>
      <c r="K120" s="31">
        <v>17.96</v>
      </c>
      <c r="L120" s="31">
        <v>17.670000000000002</v>
      </c>
      <c r="M120" s="31"/>
      <c r="N120" s="31"/>
      <c r="O120" s="31"/>
      <c r="P120" s="31"/>
      <c r="Q120" s="31"/>
      <c r="R120" s="31"/>
      <c r="S120" s="31"/>
      <c r="T120" s="31"/>
      <c r="U120" s="31"/>
      <c r="V120" s="31"/>
      <c r="W120" s="31"/>
      <c r="X120" s="31"/>
      <c r="Y120" s="32"/>
      <c r="Z120" s="20"/>
      <c r="AA120" s="21"/>
      <c r="AB120" s="21"/>
      <c r="AC120" s="195">
        <f t="shared" si="21"/>
        <v>10</v>
      </c>
      <c r="AD120" s="195">
        <f t="shared" si="22"/>
        <v>17.670000000000002</v>
      </c>
      <c r="AE120" s="195">
        <f t="shared" si="23"/>
        <v>17.96</v>
      </c>
      <c r="AF120" s="195">
        <f t="shared" si="24"/>
        <v>18.25</v>
      </c>
      <c r="AG120" s="195">
        <f>Table9[[#This Row],[RTH(min) (kΩ)]]*RT2_TH_MIN/(RT2_TH_MIN+Table9[[#This Row],[RTH(min) (kΩ)]])</f>
        <v>11.184791398959611</v>
      </c>
      <c r="AH120" s="195">
        <f>Table9[[#This Row],[RTH(nom) (kΩ)]]*RT2_TH_S/(RT2_TH_S+Table9[[#This Row],[RTH(nom) (kΩ)]])</f>
        <v>11.304480681772615</v>
      </c>
      <c r="AI120" s="195">
        <f>Table9[[#This Row],[RTH(max) (kΩ)]]*RT2_TH_S_MAX/(RT2_TH_S_MAX+Table9[[#This Row],[RTH(max) (kΩ)]])</f>
        <v>11.422960000798708</v>
      </c>
      <c r="AJ120" s="195">
        <f>Table9[[#This Row],[RLower(min) (kΩ)]]/(Table9[[#This Row],[RLower(min) (kΩ)]]+RT1_TH_S_MAX)*100</f>
        <v>68.104370807021056</v>
      </c>
      <c r="AK120" s="195">
        <f>Table9[[#This Row],[RLower(nom) (kΩ)]]/(Table9[[#This Row],[RLower(nom) (kΩ)]]+RT1_TH_S)*100</f>
        <v>68.356764558359401</v>
      </c>
      <c r="AL120" s="195">
        <f>Table9[[#This Row],[RLower(max) (kΩ)]]/(Table9[[#This Row],[RLower(max) (kΩ)]]+RT1_TH_S_MIN)*100</f>
        <v>68.603407333288118</v>
      </c>
      <c r="AM120" s="195">
        <f>IF(Table9[[#This Row],[Vmin (%)]]&lt;$BA$14, 0, IF(Table9[[#This Row],[Vmin (%)]]&lt;$BA$12, 4, IF(Table9[[#This Row],[Vmin (%)]]&lt;$BA$9, 3, IF(Table9[[#This Row],[Vmin (%)]]&lt;$BA$7, 2, 0))))</f>
        <v>3</v>
      </c>
      <c r="AN120" s="195">
        <f>IF(Table9[[#This Row],[Vmin (%)]]&lt;$BA$13, 0, IF(Table9[[#This Row],[Vmin (%)]]&lt;$BA$11, 4, IF(Table9[[#This Row],[Vmin (%)]]&lt;$BA$10, 3, IF(Table9[[#This Row],[Vmin (%)]]&lt;$BA$8, 2, 0))))</f>
        <v>2</v>
      </c>
      <c r="AO120" s="197" t="str">
        <f>IF(Table9[[#This Row],[Vmin (%)]]&lt;$BA$14, "Hot", IF(Table9[[#This Row],[Vmin (%)]]&lt;$BA$12, "Warm", IF(Table9[[#This Row],[Vmin (%)]]&lt;$BA$9, "Normal", IF(Table9[[#This Row],[Vmin (%)]]&lt;$BA$7, "Cool", "Cold"))))</f>
        <v>Normal</v>
      </c>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P120" s="21"/>
      <c r="GQ120" s="21"/>
      <c r="GR120" s="21"/>
      <c r="GS120" s="21"/>
      <c r="GT120" s="21"/>
      <c r="GU120" s="21"/>
      <c r="GV120" s="21"/>
      <c r="GW120" s="21"/>
      <c r="GX120" s="21"/>
      <c r="GY120" s="21"/>
      <c r="GZ120" s="21"/>
      <c r="HA120" s="21"/>
      <c r="HB120" s="21"/>
    </row>
    <row r="121" spans="1:210" x14ac:dyDescent="0.25">
      <c r="A121" s="118">
        <f t="shared" si="17"/>
        <v>9</v>
      </c>
      <c r="B121" s="179"/>
      <c r="C121" s="188" t="str">
        <f t="shared" si="20"/>
        <v>RTH at 9 °C</v>
      </c>
      <c r="D121" s="219">
        <f t="shared" si="19"/>
        <v>1.6933333333333334</v>
      </c>
      <c r="E121" s="220">
        <v>18.39</v>
      </c>
      <c r="F121" s="221">
        <v>18.7</v>
      </c>
      <c r="G121" s="222">
        <v>19.010000000000002</v>
      </c>
      <c r="H121" s="138" t="s">
        <v>30</v>
      </c>
      <c r="I121" s="31"/>
      <c r="J121" s="31">
        <v>19.010000000000002</v>
      </c>
      <c r="K121" s="31">
        <v>18.7</v>
      </c>
      <c r="L121" s="31">
        <v>18.39</v>
      </c>
      <c r="M121" s="31"/>
      <c r="N121" s="31"/>
      <c r="O121" s="31"/>
      <c r="P121" s="31"/>
      <c r="Q121" s="31"/>
      <c r="R121" s="31"/>
      <c r="S121" s="31"/>
      <c r="T121" s="31"/>
      <c r="U121" s="31"/>
      <c r="V121" s="31"/>
      <c r="W121" s="31"/>
      <c r="X121" s="31"/>
      <c r="Y121" s="32"/>
      <c r="Z121" s="20"/>
      <c r="AA121" s="21"/>
      <c r="AB121" s="21"/>
      <c r="AC121" s="195">
        <f t="shared" si="21"/>
        <v>9</v>
      </c>
      <c r="AD121" s="195">
        <f t="shared" si="22"/>
        <v>18.39</v>
      </c>
      <c r="AE121" s="195">
        <f t="shared" si="23"/>
        <v>18.7</v>
      </c>
      <c r="AF121" s="195">
        <f t="shared" si="24"/>
        <v>19.010000000000002</v>
      </c>
      <c r="AG121" s="195">
        <f>Table9[[#This Row],[RTH(min) (kΩ)]]*RT2_TH_MIN/(RT2_TH_MIN+Table9[[#This Row],[RTH(min) (kΩ)]])</f>
        <v>11.469020428828815</v>
      </c>
      <c r="AH121" s="195">
        <f>Table9[[#This Row],[RTH(nom) (kΩ)]]*RT2_TH_S/(RT2_TH_S+Table9[[#This Row],[RTH(nom) (kΩ)]])</f>
        <v>11.593242192739137</v>
      </c>
      <c r="AI121" s="195">
        <f>Table9[[#This Row],[RTH(max) (kΩ)]]*RT2_TH_S_MAX/(RT2_TH_S_MAX+Table9[[#This Row],[RTH(max) (kΩ)]])</f>
        <v>11.716138252335814</v>
      </c>
      <c r="AJ121" s="195">
        <f>Table9[[#This Row],[RLower(min) (kΩ)]]/(Table9[[#This Row],[RLower(min) (kΩ)]]+RT1_TH_S_MAX)*100</f>
        <v>68.646989531871</v>
      </c>
      <c r="AK121" s="195">
        <f>Table9[[#This Row],[RLower(nom) (kΩ)]]/(Table9[[#This Row],[RLower(nom) (kΩ)]]+RT1_TH_S)*100</f>
        <v>68.899806384394111</v>
      </c>
      <c r="AL121" s="195">
        <f>Table9[[#This Row],[RLower(max) (kΩ)]]/(Table9[[#This Row],[RLower(max) (kΩ)]]+RT1_TH_S_MIN)*100</f>
        <v>69.146658892469091</v>
      </c>
      <c r="AM121" s="195">
        <f>IF(Table9[[#This Row],[Vmin (%)]]&lt;$BA$14, 0, IF(Table9[[#This Row],[Vmin (%)]]&lt;$BA$12, 4, IF(Table9[[#This Row],[Vmin (%)]]&lt;$BA$9, 3, IF(Table9[[#This Row],[Vmin (%)]]&lt;$BA$7, 2, 0))))</f>
        <v>2</v>
      </c>
      <c r="AN121" s="195">
        <f>IF(Table9[[#This Row],[Vmin (%)]]&lt;$BA$13, 0, IF(Table9[[#This Row],[Vmin (%)]]&lt;$BA$11, 4, IF(Table9[[#This Row],[Vmin (%)]]&lt;$BA$10, 3, IF(Table9[[#This Row],[Vmin (%)]]&lt;$BA$8, 2, 0))))</f>
        <v>2</v>
      </c>
      <c r="AO121" s="197" t="str">
        <f>IF(Table9[[#This Row],[Vmin (%)]]&lt;$BA$14, "Hot", IF(Table9[[#This Row],[Vmin (%)]]&lt;$BA$12, "Warm", IF(Table9[[#This Row],[Vmin (%)]]&lt;$BA$9, "Normal", IF(Table9[[#This Row],[Vmin (%)]]&lt;$BA$7, "Cool", "Cold"))))</f>
        <v>Cool</v>
      </c>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c r="GJ121" s="21"/>
      <c r="GK121" s="21"/>
      <c r="GL121" s="21"/>
      <c r="GM121" s="21"/>
      <c r="GN121" s="21"/>
      <c r="GO121" s="21"/>
      <c r="GP121" s="21"/>
      <c r="GQ121" s="21"/>
      <c r="GR121" s="21"/>
      <c r="GS121" s="21"/>
      <c r="GT121" s="21"/>
      <c r="GU121" s="21"/>
      <c r="GV121" s="21"/>
      <c r="GW121" s="21"/>
      <c r="GX121" s="21"/>
      <c r="GY121" s="21"/>
      <c r="GZ121" s="21"/>
      <c r="HA121" s="21"/>
      <c r="HB121" s="21"/>
    </row>
    <row r="122" spans="1:210" x14ac:dyDescent="0.25">
      <c r="A122" s="118">
        <f t="shared" si="17"/>
        <v>8</v>
      </c>
      <c r="B122" s="179"/>
      <c r="C122" s="188" t="str">
        <f t="shared" si="20"/>
        <v>RTH at 8 °C</v>
      </c>
      <c r="D122" s="219">
        <f t="shared" si="19"/>
        <v>1.7366666666666668</v>
      </c>
      <c r="E122" s="220">
        <v>19.149999999999999</v>
      </c>
      <c r="F122" s="221">
        <v>19.48</v>
      </c>
      <c r="G122" s="222">
        <v>19.809999999999999</v>
      </c>
      <c r="H122" s="138" t="s">
        <v>30</v>
      </c>
      <c r="I122" s="31"/>
      <c r="J122" s="31">
        <v>19.809999999999999</v>
      </c>
      <c r="K122" s="31">
        <v>19.48</v>
      </c>
      <c r="L122" s="31">
        <v>19.149999999999999</v>
      </c>
      <c r="M122" s="31"/>
      <c r="N122" s="31"/>
      <c r="O122" s="31"/>
      <c r="P122" s="31"/>
      <c r="Q122" s="31"/>
      <c r="R122" s="31"/>
      <c r="S122" s="31"/>
      <c r="T122" s="31"/>
      <c r="U122" s="31"/>
      <c r="V122" s="31"/>
      <c r="W122" s="31"/>
      <c r="X122" s="31"/>
      <c r="Y122" s="32"/>
      <c r="Z122" s="20"/>
      <c r="AA122" s="21"/>
      <c r="AB122" s="21"/>
      <c r="AC122" s="195">
        <f t="shared" si="21"/>
        <v>8</v>
      </c>
      <c r="AD122" s="195">
        <f t="shared" si="22"/>
        <v>19.149999999999999</v>
      </c>
      <c r="AE122" s="195">
        <f t="shared" si="23"/>
        <v>19.48</v>
      </c>
      <c r="AF122" s="195">
        <f t="shared" si="24"/>
        <v>19.809999999999999</v>
      </c>
      <c r="AG122" s="195">
        <f>Table9[[#This Row],[RTH(min) (kΩ)]]*RT2_TH_MIN/(RT2_TH_MIN+Table9[[#This Row],[RTH(min) (kΩ)]])</f>
        <v>11.760092233763668</v>
      </c>
      <c r="AH122" s="195">
        <f>Table9[[#This Row],[RTH(nom) (kΩ)]]*RT2_TH_S/(RT2_TH_S+Table9[[#This Row],[RTH(nom) (kΩ)]])</f>
        <v>11.888356853646997</v>
      </c>
      <c r="AI122" s="195">
        <f>Table9[[#This Row],[RTH(max) (kΩ)]]*RT2_TH_S_MAX/(RT2_TH_S_MAX+Table9[[#This Row],[RTH(max) (kΩ)]])</f>
        <v>12.015184478114938</v>
      </c>
      <c r="AJ122" s="195">
        <f>Table9[[#This Row],[RLower(min) (kΩ)]]/(Table9[[#This Row],[RLower(min) (kΩ)]]+RT1_TH_S_MAX)*100</f>
        <v>69.183864899262076</v>
      </c>
      <c r="AK122" s="195">
        <f>Table9[[#This Row],[RLower(nom) (kΩ)]]/(Table9[[#This Row],[RLower(nom) (kΩ)]]+RT1_TH_S)*100</f>
        <v>69.435869496527033</v>
      </c>
      <c r="AL122" s="195">
        <f>Table9[[#This Row],[RLower(max) (kΩ)]]/(Table9[[#This Row],[RLower(max) (kΩ)]]+RT1_TH_S_MIN)*100</f>
        <v>69.681751736355622</v>
      </c>
      <c r="AM122" s="195">
        <f>IF(Table9[[#This Row],[Vmin (%)]]&lt;$BA$14, 0, IF(Table9[[#This Row],[Vmin (%)]]&lt;$BA$12, 4, IF(Table9[[#This Row],[Vmin (%)]]&lt;$BA$9, 3, IF(Table9[[#This Row],[Vmin (%)]]&lt;$BA$7, 2, 0))))</f>
        <v>2</v>
      </c>
      <c r="AN122" s="195">
        <f>IF(Table9[[#This Row],[Vmin (%)]]&lt;$BA$13, 0, IF(Table9[[#This Row],[Vmin (%)]]&lt;$BA$11, 4, IF(Table9[[#This Row],[Vmin (%)]]&lt;$BA$10, 3, IF(Table9[[#This Row],[Vmin (%)]]&lt;$BA$8, 2, 0))))</f>
        <v>2</v>
      </c>
      <c r="AO122" s="197" t="str">
        <f>IF(Table9[[#This Row],[Vmin (%)]]&lt;$BA$14, "Hot", IF(Table9[[#This Row],[Vmin (%)]]&lt;$BA$12, "Warm", IF(Table9[[#This Row],[Vmin (%)]]&lt;$BA$9, "Normal", IF(Table9[[#This Row],[Vmin (%)]]&lt;$BA$7, "Cool", "Cold"))))</f>
        <v>Cool</v>
      </c>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c r="GJ122" s="21"/>
      <c r="GK122" s="21"/>
      <c r="GL122" s="21"/>
      <c r="GM122" s="21"/>
      <c r="GN122" s="21"/>
      <c r="GO122" s="21"/>
      <c r="GP122" s="21"/>
      <c r="GQ122" s="21"/>
      <c r="GR122" s="21"/>
      <c r="GS122" s="21"/>
      <c r="GT122" s="21"/>
      <c r="GU122" s="21"/>
      <c r="GV122" s="21"/>
      <c r="GW122" s="21"/>
      <c r="GX122" s="21"/>
      <c r="GY122" s="21"/>
      <c r="GZ122" s="21"/>
      <c r="HA122" s="21"/>
      <c r="HB122" s="21"/>
    </row>
    <row r="123" spans="1:210" x14ac:dyDescent="0.25">
      <c r="A123" s="118">
        <f t="shared" si="17"/>
        <v>7</v>
      </c>
      <c r="B123" s="179"/>
      <c r="C123" s="188" t="str">
        <f t="shared" si="20"/>
        <v>RTH at 7 °C</v>
      </c>
      <c r="D123" s="219">
        <f t="shared" si="19"/>
        <v>1.78</v>
      </c>
      <c r="E123" s="220">
        <v>19.95</v>
      </c>
      <c r="F123" s="221">
        <v>20.3</v>
      </c>
      <c r="G123" s="222">
        <v>20.64</v>
      </c>
      <c r="H123" s="138" t="s">
        <v>30</v>
      </c>
      <c r="I123" s="31"/>
      <c r="J123" s="31">
        <v>20.64</v>
      </c>
      <c r="K123" s="31">
        <v>20.3</v>
      </c>
      <c r="L123" s="31">
        <v>19.95</v>
      </c>
      <c r="M123" s="31"/>
      <c r="N123" s="31"/>
      <c r="O123" s="31"/>
      <c r="P123" s="31"/>
      <c r="Q123" s="31"/>
      <c r="R123" s="31"/>
      <c r="S123" s="31"/>
      <c r="T123" s="31"/>
      <c r="U123" s="31"/>
      <c r="V123" s="31"/>
      <c r="W123" s="31"/>
      <c r="X123" s="31"/>
      <c r="Y123" s="32"/>
      <c r="Z123" s="20"/>
      <c r="AA123" s="21"/>
      <c r="AB123" s="21"/>
      <c r="AC123" s="195">
        <f t="shared" si="21"/>
        <v>7</v>
      </c>
      <c r="AD123" s="195">
        <f t="shared" si="22"/>
        <v>19.95</v>
      </c>
      <c r="AE123" s="195">
        <f t="shared" si="23"/>
        <v>20.3</v>
      </c>
      <c r="AF123" s="195">
        <f t="shared" si="24"/>
        <v>20.64</v>
      </c>
      <c r="AG123" s="195">
        <f>Table9[[#This Row],[RTH(min) (kΩ)]]*RT2_TH_MIN/(RT2_TH_MIN+Table9[[#This Row],[RTH(min) (kΩ)]])</f>
        <v>12.057004724114368</v>
      </c>
      <c r="AH123" s="195">
        <f>Table9[[#This Row],[RTH(nom) (kΩ)]]*RT2_TH_S/(RT2_TH_S+Table9[[#This Row],[RTH(nom) (kΩ)]])</f>
        <v>12.188835000995516</v>
      </c>
      <c r="AI123" s="195">
        <f>Table9[[#This Row],[RTH(max) (kΩ)]]*RT2_TH_S_MAX/(RT2_TH_S_MAX+Table9[[#This Row],[RTH(max) (kΩ)]])</f>
        <v>12.315562830879003</v>
      </c>
      <c r="AJ123" s="195">
        <f>Table9[[#This Row],[RLower(min) (kΩ)]]/(Table9[[#This Row],[RLower(min) (kΩ)]]+RT1_TH_S_MAX)*100</f>
        <v>69.712894927642139</v>
      </c>
      <c r="AK123" s="195">
        <f>Table9[[#This Row],[RLower(nom) (kΩ)]]/(Table9[[#This Row],[RLower(nom) (kΩ)]]+RT1_TH_S)*100</f>
        <v>69.963015917980456</v>
      </c>
      <c r="AL123" s="195">
        <f>Table9[[#This Row],[RLower(max) (kΩ)]]/(Table9[[#This Row],[RLower(max) (kΩ)]]+RT1_TH_S_MIN)*100</f>
        <v>70.200863566955363</v>
      </c>
      <c r="AM123" s="195">
        <f>IF(Table9[[#This Row],[Vmin (%)]]&lt;$BA$14, 0, IF(Table9[[#This Row],[Vmin (%)]]&lt;$BA$12, 4, IF(Table9[[#This Row],[Vmin (%)]]&lt;$BA$9, 3, IF(Table9[[#This Row],[Vmin (%)]]&lt;$BA$7, 2, 0))))</f>
        <v>2</v>
      </c>
      <c r="AN123" s="195">
        <f>IF(Table9[[#This Row],[Vmin (%)]]&lt;$BA$13, 0, IF(Table9[[#This Row],[Vmin (%)]]&lt;$BA$11, 4, IF(Table9[[#This Row],[Vmin (%)]]&lt;$BA$10, 3, IF(Table9[[#This Row],[Vmin (%)]]&lt;$BA$8, 2, 0))))</f>
        <v>2</v>
      </c>
      <c r="AO123" s="197" t="str">
        <f>IF(Table9[[#This Row],[Vmin (%)]]&lt;$BA$14, "Hot", IF(Table9[[#This Row],[Vmin (%)]]&lt;$BA$12, "Warm", IF(Table9[[#This Row],[Vmin (%)]]&lt;$BA$9, "Normal", IF(Table9[[#This Row],[Vmin (%)]]&lt;$BA$7, "Cool", "Cold"))))</f>
        <v>Cool</v>
      </c>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P123" s="21"/>
      <c r="GQ123" s="21"/>
      <c r="GR123" s="21"/>
      <c r="GS123" s="21"/>
      <c r="GT123" s="21"/>
      <c r="GU123" s="21"/>
      <c r="GV123" s="21"/>
      <c r="GW123" s="21"/>
      <c r="GX123" s="21"/>
      <c r="GY123" s="21"/>
      <c r="GZ123" s="21"/>
      <c r="HA123" s="21"/>
      <c r="HB123" s="21"/>
    </row>
    <row r="124" spans="1:210" x14ac:dyDescent="0.25">
      <c r="A124" s="118">
        <f t="shared" si="17"/>
        <v>6</v>
      </c>
      <c r="B124" s="179"/>
      <c r="C124" s="188" t="str">
        <f t="shared" si="20"/>
        <v>RTH at 6 °C</v>
      </c>
      <c r="D124" s="219">
        <f t="shared" si="19"/>
        <v>1.8233333333333333</v>
      </c>
      <c r="E124" s="220">
        <v>20.78</v>
      </c>
      <c r="F124" s="221">
        <v>21.15</v>
      </c>
      <c r="G124" s="222">
        <v>21.53</v>
      </c>
      <c r="H124" s="138" t="s">
        <v>30</v>
      </c>
      <c r="I124" s="31"/>
      <c r="J124" s="31">
        <v>21.53</v>
      </c>
      <c r="K124" s="31">
        <v>21.15</v>
      </c>
      <c r="L124" s="31">
        <v>20.78</v>
      </c>
      <c r="M124" s="31"/>
      <c r="N124" s="31"/>
      <c r="O124" s="31"/>
      <c r="P124" s="31"/>
      <c r="Q124" s="31"/>
      <c r="R124" s="31"/>
      <c r="S124" s="31"/>
      <c r="T124" s="31"/>
      <c r="U124" s="31"/>
      <c r="V124" s="31"/>
      <c r="W124" s="31"/>
      <c r="X124" s="31"/>
      <c r="Y124" s="32"/>
      <c r="Z124" s="20"/>
      <c r="AA124" s="21"/>
      <c r="AB124" s="21"/>
      <c r="AC124" s="195">
        <f t="shared" si="21"/>
        <v>6</v>
      </c>
      <c r="AD124" s="195">
        <f t="shared" si="22"/>
        <v>20.78</v>
      </c>
      <c r="AE124" s="195">
        <f t="shared" si="23"/>
        <v>21.15</v>
      </c>
      <c r="AF124" s="195">
        <f t="shared" si="24"/>
        <v>21.53</v>
      </c>
      <c r="AG124" s="195">
        <f>Table9[[#This Row],[RTH(min) (kΩ)]]*RT2_TH_MIN/(RT2_TH_MIN+Table9[[#This Row],[RTH(min) (kΩ)]])</f>
        <v>12.355254957330175</v>
      </c>
      <c r="AH124" s="195">
        <f>Table9[[#This Row],[RTH(nom) (kΩ)]]*RT2_TH_S/(RT2_TH_S+Table9[[#This Row],[RTH(nom) (kΩ)]])</f>
        <v>12.490236477227185</v>
      </c>
      <c r="AI124" s="195">
        <f>Table9[[#This Row],[RTH(max) (kΩ)]]*RT2_TH_S_MAX/(RT2_TH_S_MAX+Table9[[#This Row],[RTH(max) (kΩ)]])</f>
        <v>12.627014915141602</v>
      </c>
      <c r="AJ124" s="195">
        <f>Table9[[#This Row],[RLower(min) (kΩ)]]/(Table9[[#This Row],[RLower(min) (kΩ)]]+RT1_TH_S_MAX)*100</f>
        <v>70.22633153118916</v>
      </c>
      <c r="AK124" s="195">
        <f>Table9[[#This Row],[RLower(nom) (kΩ)]]/(Table9[[#This Row],[RLower(nom) (kΩ)]]+RT1_TH_S)*100</f>
        <v>70.473825322221657</v>
      </c>
      <c r="AL124" s="195">
        <f>Table9[[#This Row],[RLower(max) (kΩ)]]/(Table9[[#This Row],[RLower(max) (kΩ)]]+RT1_TH_S_MIN)*100</f>
        <v>70.72066872574905</v>
      </c>
      <c r="AM124" s="195">
        <f>IF(Table9[[#This Row],[Vmin (%)]]&lt;$BA$14, 0, IF(Table9[[#This Row],[Vmin (%)]]&lt;$BA$12, 4, IF(Table9[[#This Row],[Vmin (%)]]&lt;$BA$9, 3, IF(Table9[[#This Row],[Vmin (%)]]&lt;$BA$7, 2, 0))))</f>
        <v>2</v>
      </c>
      <c r="AN124" s="195">
        <f>IF(Table9[[#This Row],[Vmin (%)]]&lt;$BA$13, 0, IF(Table9[[#This Row],[Vmin (%)]]&lt;$BA$11, 4, IF(Table9[[#This Row],[Vmin (%)]]&lt;$BA$10, 3, IF(Table9[[#This Row],[Vmin (%)]]&lt;$BA$8, 2, 0))))</f>
        <v>2</v>
      </c>
      <c r="AO124" s="197" t="str">
        <f>IF(Table9[[#This Row],[Vmin (%)]]&lt;$BA$14, "Hot", IF(Table9[[#This Row],[Vmin (%)]]&lt;$BA$12, "Warm", IF(Table9[[#This Row],[Vmin (%)]]&lt;$BA$9, "Normal", IF(Table9[[#This Row],[Vmin (%)]]&lt;$BA$7, "Cool", "Cold"))))</f>
        <v>Cool</v>
      </c>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c r="GJ124" s="21"/>
      <c r="GK124" s="21"/>
      <c r="GL124" s="21"/>
      <c r="GM124" s="21"/>
      <c r="GN124" s="21"/>
      <c r="GO124" s="21"/>
      <c r="GP124" s="21"/>
      <c r="GQ124" s="21"/>
      <c r="GR124" s="21"/>
      <c r="GS124" s="21"/>
      <c r="GT124" s="21"/>
      <c r="GU124" s="21"/>
      <c r="GV124" s="21"/>
      <c r="GW124" s="21"/>
      <c r="GX124" s="21"/>
      <c r="GY124" s="21"/>
      <c r="GZ124" s="21"/>
      <c r="HA124" s="21"/>
      <c r="HB124" s="21"/>
    </row>
    <row r="125" spans="1:210" x14ac:dyDescent="0.25">
      <c r="A125" s="118">
        <f t="shared" si="17"/>
        <v>5</v>
      </c>
      <c r="B125" s="179"/>
      <c r="C125" s="188" t="str">
        <f t="shared" si="20"/>
        <v>RTH at 5 °C</v>
      </c>
      <c r="D125" s="219">
        <f t="shared" si="19"/>
        <v>1.8666666666666667</v>
      </c>
      <c r="E125" s="220">
        <v>21.66</v>
      </c>
      <c r="F125" s="221">
        <v>22.05</v>
      </c>
      <c r="G125" s="222">
        <v>22.45</v>
      </c>
      <c r="H125" s="138" t="s">
        <v>30</v>
      </c>
      <c r="I125" s="31"/>
      <c r="J125" s="31">
        <v>22.45</v>
      </c>
      <c r="K125" s="31">
        <v>22.05</v>
      </c>
      <c r="L125" s="31">
        <v>21.66</v>
      </c>
      <c r="M125" s="31"/>
      <c r="N125" s="31"/>
      <c r="O125" s="31"/>
      <c r="P125" s="31"/>
      <c r="Q125" s="31"/>
      <c r="R125" s="31"/>
      <c r="S125" s="31"/>
      <c r="T125" s="31"/>
      <c r="U125" s="31"/>
      <c r="V125" s="31"/>
      <c r="W125" s="31"/>
      <c r="X125" s="31"/>
      <c r="Y125" s="32"/>
      <c r="Z125" s="20"/>
      <c r="AA125" s="21"/>
      <c r="AB125" s="21"/>
      <c r="AC125" s="195">
        <f t="shared" si="21"/>
        <v>5</v>
      </c>
      <c r="AD125" s="195">
        <f t="shared" si="22"/>
        <v>21.66</v>
      </c>
      <c r="AE125" s="195">
        <f t="shared" si="23"/>
        <v>22.05</v>
      </c>
      <c r="AF125" s="195">
        <f t="shared" si="24"/>
        <v>22.45</v>
      </c>
      <c r="AG125" s="195">
        <f>Table9[[#This Row],[RTH(min) (kΩ)]]*RT2_TH_MIN/(RT2_TH_MIN+Table9[[#This Row],[RTH(min) (kΩ)]])</f>
        <v>12.661100275496011</v>
      </c>
      <c r="AH125" s="195">
        <f>Table9[[#This Row],[RTH(nom) (kΩ)]]*RT2_TH_S/(RT2_TH_S+Table9[[#This Row],[RTH(nom) (kΩ)]])</f>
        <v>12.798740941886683</v>
      </c>
      <c r="AI125" s="195">
        <f>Table9[[#This Row],[RTH(max) (kΩ)]]*RT2_TH_S_MAX/(RT2_TH_S_MAX+Table9[[#This Row],[RTH(max) (kΩ)]])</f>
        <v>12.937967522140042</v>
      </c>
      <c r="AJ125" s="195">
        <f>Table9[[#This Row],[RLower(min) (kΩ)]]/(Table9[[#This Row],[RLower(min) (kΩ)]]+RT1_TH_S_MAX)*100</f>
        <v>70.735073475603613</v>
      </c>
      <c r="AK125" s="195">
        <f>Table9[[#This Row],[RLower(nom) (kΩ)]]/(Table9[[#This Row],[RLower(nom) (kΩ)]]+RT1_TH_S)*100</f>
        <v>70.978987924882446</v>
      </c>
      <c r="AL125" s="195">
        <f>Table9[[#This Row],[RLower(max) (kΩ)]]/(Table9[[#This Row],[RLower(max) (kΩ)]]+RT1_TH_S_MIN)*100</f>
        <v>71.221858964574551</v>
      </c>
      <c r="AM125" s="195">
        <f>IF(Table9[[#This Row],[Vmin (%)]]&lt;$BA$14, 0, IF(Table9[[#This Row],[Vmin (%)]]&lt;$BA$12, 4, IF(Table9[[#This Row],[Vmin (%)]]&lt;$BA$9, 3, IF(Table9[[#This Row],[Vmin (%)]]&lt;$BA$7, 2, 0))))</f>
        <v>2</v>
      </c>
      <c r="AN125" s="195">
        <f>IF(Table9[[#This Row],[Vmin (%)]]&lt;$BA$13, 0, IF(Table9[[#This Row],[Vmin (%)]]&lt;$BA$11, 4, IF(Table9[[#This Row],[Vmin (%)]]&lt;$BA$10, 3, IF(Table9[[#This Row],[Vmin (%)]]&lt;$BA$8, 2, 0))))</f>
        <v>2</v>
      </c>
      <c r="AO125" s="197" t="str">
        <f>IF(Table9[[#This Row],[Vmin (%)]]&lt;$BA$14, "Hot", IF(Table9[[#This Row],[Vmin (%)]]&lt;$BA$12, "Warm", IF(Table9[[#This Row],[Vmin (%)]]&lt;$BA$9, "Normal", IF(Table9[[#This Row],[Vmin (%)]]&lt;$BA$7, "Cool", "Cold"))))</f>
        <v>Cool</v>
      </c>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c r="GJ125" s="21"/>
      <c r="GK125" s="21"/>
      <c r="GL125" s="21"/>
      <c r="GM125" s="21"/>
      <c r="GN125" s="21"/>
      <c r="GO125" s="21"/>
      <c r="GP125" s="21"/>
      <c r="GQ125" s="21"/>
      <c r="GR125" s="21"/>
      <c r="GS125" s="21"/>
      <c r="GT125" s="21"/>
      <c r="GU125" s="21"/>
      <c r="GV125" s="21"/>
      <c r="GW125" s="21"/>
      <c r="GX125" s="21"/>
      <c r="GY125" s="21"/>
      <c r="GZ125" s="21"/>
      <c r="HA125" s="21"/>
      <c r="HB125" s="21"/>
    </row>
    <row r="126" spans="1:210" x14ac:dyDescent="0.25">
      <c r="A126" s="118">
        <f t="shared" si="17"/>
        <v>4</v>
      </c>
      <c r="B126" s="179"/>
      <c r="C126" s="188" t="str">
        <f t="shared" si="20"/>
        <v>RTH at 4 °C</v>
      </c>
      <c r="D126" s="219">
        <f t="shared" si="19"/>
        <v>1.9100000000000001</v>
      </c>
      <c r="E126" s="220">
        <v>22.57</v>
      </c>
      <c r="F126" s="221">
        <v>23</v>
      </c>
      <c r="G126" s="222">
        <v>23.42</v>
      </c>
      <c r="H126" s="138" t="s">
        <v>30</v>
      </c>
      <c r="I126" s="31"/>
      <c r="J126" s="31">
        <v>23.42</v>
      </c>
      <c r="K126" s="31">
        <v>23</v>
      </c>
      <c r="L126" s="31">
        <v>22.57</v>
      </c>
      <c r="M126" s="31"/>
      <c r="N126" s="31"/>
      <c r="O126" s="31"/>
      <c r="P126" s="31"/>
      <c r="Q126" s="31"/>
      <c r="R126" s="31"/>
      <c r="S126" s="31"/>
      <c r="T126" s="31"/>
      <c r="U126" s="31"/>
      <c r="V126" s="31"/>
      <c r="W126" s="31"/>
      <c r="X126" s="31"/>
      <c r="Y126" s="32"/>
      <c r="Z126" s="20"/>
      <c r="AA126" s="21"/>
      <c r="AB126" s="21"/>
      <c r="AC126" s="195">
        <f t="shared" si="21"/>
        <v>4</v>
      </c>
      <c r="AD126" s="195">
        <f t="shared" si="22"/>
        <v>22.57</v>
      </c>
      <c r="AE126" s="195">
        <f t="shared" si="23"/>
        <v>23</v>
      </c>
      <c r="AF126" s="195">
        <f t="shared" si="24"/>
        <v>23.42</v>
      </c>
      <c r="AG126" s="195">
        <f>Table9[[#This Row],[RTH(min) (kΩ)]]*RT2_TH_MIN/(RT2_TH_MIN+Table9[[#This Row],[RTH(min) (kΩ)]])</f>
        <v>12.966699520049367</v>
      </c>
      <c r="AH126" s="195">
        <f>Table9[[#This Row],[RTH(nom) (kΩ)]]*RT2_TH_S/(RT2_TH_S+Table9[[#This Row],[RTH(nom) (kΩ)]])</f>
        <v>13.113125081316051</v>
      </c>
      <c r="AI126" s="195">
        <f>Table9[[#This Row],[RTH(max) (kΩ)]]*RT2_TH_S_MAX/(RT2_TH_S_MAX+Table9[[#This Row],[RTH(max) (kΩ)]])</f>
        <v>13.254335496743211</v>
      </c>
      <c r="AJ126" s="195">
        <f>Table9[[#This Row],[RLower(min) (kΩ)]]/(Table9[[#This Row],[RLower(min) (kΩ)]]+RT1_TH_S_MAX)*100</f>
        <v>71.226332851680667</v>
      </c>
      <c r="AK126" s="195">
        <f>Table9[[#This Row],[RLower(nom) (kΩ)]]/(Table9[[#This Row],[RLower(nom) (kΩ)]]+RT1_TH_S)*100</f>
        <v>71.47630004223484</v>
      </c>
      <c r="AL126" s="195">
        <f>Table9[[#This Row],[RLower(max) (kΩ)]]/(Table9[[#This Row],[RLower(max) (kΩ)]]+RT1_TH_S_MIN)*100</f>
        <v>71.71446994055205</v>
      </c>
      <c r="AM126" s="195">
        <f>IF(Table9[[#This Row],[Vmin (%)]]&lt;$BA$14, 0, IF(Table9[[#This Row],[Vmin (%)]]&lt;$BA$12, 4, IF(Table9[[#This Row],[Vmin (%)]]&lt;$BA$9, 3, IF(Table9[[#This Row],[Vmin (%)]]&lt;$BA$7, 2, 0))))</f>
        <v>2</v>
      </c>
      <c r="AN126" s="195">
        <f>IF(Table9[[#This Row],[Vmin (%)]]&lt;$BA$13, 0, IF(Table9[[#This Row],[Vmin (%)]]&lt;$BA$11, 4, IF(Table9[[#This Row],[Vmin (%)]]&lt;$BA$10, 3, IF(Table9[[#This Row],[Vmin (%)]]&lt;$BA$8, 2, 0))))</f>
        <v>2</v>
      </c>
      <c r="AO126" s="197" t="str">
        <f>IF(Table9[[#This Row],[Vmin (%)]]&lt;$BA$14, "Hot", IF(Table9[[#This Row],[Vmin (%)]]&lt;$BA$12, "Warm", IF(Table9[[#This Row],[Vmin (%)]]&lt;$BA$9, "Normal", IF(Table9[[#This Row],[Vmin (%)]]&lt;$BA$7, "Cool", "Cold"))))</f>
        <v>Cool</v>
      </c>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P126" s="21"/>
      <c r="GQ126" s="21"/>
      <c r="GR126" s="21"/>
      <c r="GS126" s="21"/>
      <c r="GT126" s="21"/>
      <c r="GU126" s="21"/>
      <c r="GV126" s="21"/>
      <c r="GW126" s="21"/>
      <c r="GX126" s="21"/>
      <c r="GY126" s="21"/>
      <c r="GZ126" s="21"/>
      <c r="HA126" s="21"/>
      <c r="HB126" s="21"/>
    </row>
    <row r="127" spans="1:210" x14ac:dyDescent="0.25">
      <c r="A127" s="118">
        <f t="shared" si="17"/>
        <v>3</v>
      </c>
      <c r="B127" s="179"/>
      <c r="C127" s="188" t="str">
        <f t="shared" si="20"/>
        <v>RTH at 3 °C</v>
      </c>
      <c r="D127" s="219">
        <f t="shared" si="19"/>
        <v>1.9533333333333334</v>
      </c>
      <c r="E127" s="220">
        <v>23.54</v>
      </c>
      <c r="F127" s="221">
        <v>23.99</v>
      </c>
      <c r="G127" s="222">
        <v>24.44</v>
      </c>
      <c r="H127" s="138" t="s">
        <v>30</v>
      </c>
      <c r="I127" s="31"/>
      <c r="J127" s="31">
        <v>24.44</v>
      </c>
      <c r="K127" s="31">
        <v>23.99</v>
      </c>
      <c r="L127" s="31">
        <v>23.54</v>
      </c>
      <c r="M127" s="31"/>
      <c r="N127" s="31"/>
      <c r="O127" s="31"/>
      <c r="P127" s="31"/>
      <c r="Q127" s="31"/>
      <c r="R127" s="31"/>
      <c r="S127" s="31"/>
      <c r="T127" s="31"/>
      <c r="U127" s="31"/>
      <c r="V127" s="31"/>
      <c r="W127" s="31"/>
      <c r="X127" s="31"/>
      <c r="Y127" s="32"/>
      <c r="Z127" s="20"/>
      <c r="AA127" s="21"/>
      <c r="AB127" s="21"/>
      <c r="AC127" s="195">
        <f t="shared" si="21"/>
        <v>3</v>
      </c>
      <c r="AD127" s="195">
        <f t="shared" si="22"/>
        <v>23.54</v>
      </c>
      <c r="AE127" s="195">
        <f t="shared" si="23"/>
        <v>23.99</v>
      </c>
      <c r="AF127" s="195">
        <f t="shared" si="24"/>
        <v>24.44</v>
      </c>
      <c r="AG127" s="195">
        <f>Table9[[#This Row],[RTH(min) (kΩ)]]*RT2_TH_MIN/(RT2_TH_MIN+Table9[[#This Row],[RTH(min) (kΩ)]])</f>
        <v>13.28111038843323</v>
      </c>
      <c r="AH127" s="195">
        <f>Table9[[#This Row],[RTH(nom) (kΩ)]]*RT2_TH_S/(RT2_TH_S+Table9[[#This Row],[RTH(nom) (kΩ)]])</f>
        <v>13.429083318980874</v>
      </c>
      <c r="AI127" s="195">
        <f>Table9[[#This Row],[RTH(max) (kΩ)]]*RT2_TH_S_MAX/(RT2_TH_S_MAX+Table9[[#This Row],[RTH(max) (kΩ)]])</f>
        <v>13.574968988760498</v>
      </c>
      <c r="AJ127" s="195">
        <f>Table9[[#This Row],[RLower(min) (kΩ)]]/(Table9[[#This Row],[RLower(min) (kΩ)]]+RT1_TH_S_MAX)*100</f>
        <v>71.714836024502418</v>
      </c>
      <c r="AK127" s="195">
        <f>Table9[[#This Row],[RLower(nom) (kΩ)]]/(Table9[[#This Row],[RLower(nom) (kΩ)]]+RT1_TH_S)*100</f>
        <v>71.959220522852021</v>
      </c>
      <c r="AL127" s="195">
        <f>Table9[[#This Row],[RLower(max) (kΩ)]]/(Table9[[#This Row],[RLower(max) (kΩ)]]+RT1_TH_S_MIN)*100</f>
        <v>72.196808922916532</v>
      </c>
      <c r="AM127" s="195">
        <f>IF(Table9[[#This Row],[Vmin (%)]]&lt;$BA$14, 0, IF(Table9[[#This Row],[Vmin (%)]]&lt;$BA$12, 4, IF(Table9[[#This Row],[Vmin (%)]]&lt;$BA$9, 3, IF(Table9[[#This Row],[Vmin (%)]]&lt;$BA$7, 2, 0))))</f>
        <v>2</v>
      </c>
      <c r="AN127" s="195">
        <f>IF(Table9[[#This Row],[Vmin (%)]]&lt;$BA$13, 0, IF(Table9[[#This Row],[Vmin (%)]]&lt;$BA$11, 4, IF(Table9[[#This Row],[Vmin (%)]]&lt;$BA$10, 3, IF(Table9[[#This Row],[Vmin (%)]]&lt;$BA$8, 2, 0))))</f>
        <v>2</v>
      </c>
      <c r="AO127" s="197" t="str">
        <f>IF(Table9[[#This Row],[Vmin (%)]]&lt;$BA$14, "Hot", IF(Table9[[#This Row],[Vmin (%)]]&lt;$BA$12, "Warm", IF(Table9[[#This Row],[Vmin (%)]]&lt;$BA$9, "Normal", IF(Table9[[#This Row],[Vmin (%)]]&lt;$BA$7, "Cool", "Cold"))))</f>
        <v>Cool</v>
      </c>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P127" s="21"/>
      <c r="GQ127" s="21"/>
      <c r="GR127" s="21"/>
      <c r="GS127" s="21"/>
      <c r="GT127" s="21"/>
      <c r="GU127" s="21"/>
      <c r="GV127" s="21"/>
      <c r="GW127" s="21"/>
      <c r="GX127" s="21"/>
      <c r="GY127" s="21"/>
      <c r="GZ127" s="21"/>
      <c r="HA127" s="21"/>
      <c r="HB127" s="21"/>
    </row>
    <row r="128" spans="1:210" x14ac:dyDescent="0.25">
      <c r="A128" s="118">
        <f t="shared" si="17"/>
        <v>2</v>
      </c>
      <c r="B128" s="179"/>
      <c r="C128" s="188" t="str">
        <f t="shared" si="20"/>
        <v>RTH at 2 °C</v>
      </c>
      <c r="D128" s="219">
        <f t="shared" si="19"/>
        <v>1.9966666666666666</v>
      </c>
      <c r="E128" s="220">
        <v>24.55</v>
      </c>
      <c r="F128" s="221">
        <v>25.03</v>
      </c>
      <c r="G128" s="222">
        <v>25.52</v>
      </c>
      <c r="H128" s="138" t="s">
        <v>30</v>
      </c>
      <c r="I128" s="31"/>
      <c r="J128" s="31">
        <v>25.52</v>
      </c>
      <c r="K128" s="31">
        <v>25.03</v>
      </c>
      <c r="L128" s="31">
        <v>24.55</v>
      </c>
      <c r="M128" s="31"/>
      <c r="N128" s="31"/>
      <c r="O128" s="31"/>
      <c r="P128" s="31"/>
      <c r="Q128" s="31"/>
      <c r="R128" s="31"/>
      <c r="S128" s="31"/>
      <c r="T128" s="31"/>
      <c r="U128" s="31"/>
      <c r="V128" s="31"/>
      <c r="W128" s="31"/>
      <c r="X128" s="31"/>
      <c r="Y128" s="32"/>
      <c r="Z128" s="20"/>
      <c r="AA128" s="21"/>
      <c r="AB128" s="21"/>
      <c r="AC128" s="195">
        <f t="shared" si="21"/>
        <v>2</v>
      </c>
      <c r="AD128" s="195">
        <f t="shared" si="22"/>
        <v>24.55</v>
      </c>
      <c r="AE128" s="195">
        <f t="shared" si="23"/>
        <v>25.03</v>
      </c>
      <c r="AF128" s="195">
        <f t="shared" si="24"/>
        <v>25.52</v>
      </c>
      <c r="AG128" s="195">
        <f>Table9[[#This Row],[RTH(min) (kΩ)]]*RT2_TH_MIN/(RT2_TH_MIN+Table9[[#This Row],[RTH(min) (kΩ)]])</f>
        <v>13.596706414078428</v>
      </c>
      <c r="AH128" s="195">
        <f>Table9[[#This Row],[RTH(nom) (kΩ)]]*RT2_TH_S/(RT2_TH_S+Table9[[#This Row],[RTH(nom) (kΩ)]])</f>
        <v>13.748866414662475</v>
      </c>
      <c r="AI128" s="195">
        <f>Table9[[#This Row],[RTH(max) (kΩ)]]*RT2_TH_S_MAX/(RT2_TH_S_MAX+Table9[[#This Row],[RTH(max) (kΩ)]])</f>
        <v>13.901744908064448</v>
      </c>
      <c r="AJ128" s="195">
        <f>Table9[[#This Row],[RLower(min) (kΩ)]]/(Table9[[#This Row],[RLower(min) (kΩ)]]+RT1_TH_S_MAX)*100</f>
        <v>72.188779122446192</v>
      </c>
      <c r="AK128" s="195">
        <f>Table9[[#This Row],[RLower(nom) (kΩ)]]/(Table9[[#This Row],[RLower(nom) (kΩ)]]+RT1_TH_S)*100</f>
        <v>72.431617243641114</v>
      </c>
      <c r="AL128" s="195">
        <f>Table9[[#This Row],[RLower(max) (kΩ)]]/(Table9[[#This Row],[RLower(max) (kΩ)]]+RT1_TH_S_MIN)*100</f>
        <v>72.671751387105374</v>
      </c>
      <c r="AM128" s="195">
        <f>IF(Table9[[#This Row],[Vmin (%)]]&lt;$BA$14, 0, IF(Table9[[#This Row],[Vmin (%)]]&lt;$BA$12, 4, IF(Table9[[#This Row],[Vmin (%)]]&lt;$BA$9, 3, IF(Table9[[#This Row],[Vmin (%)]]&lt;$BA$7, 2, 0))))</f>
        <v>2</v>
      </c>
      <c r="AN128" s="195">
        <f>IF(Table9[[#This Row],[Vmin (%)]]&lt;$BA$13, 0, IF(Table9[[#This Row],[Vmin (%)]]&lt;$BA$11, 4, IF(Table9[[#This Row],[Vmin (%)]]&lt;$BA$10, 3, IF(Table9[[#This Row],[Vmin (%)]]&lt;$BA$8, 2, 0))))</f>
        <v>2</v>
      </c>
      <c r="AO128" s="197" t="str">
        <f>IF(Table9[[#This Row],[Vmin (%)]]&lt;$BA$14, "Hot", IF(Table9[[#This Row],[Vmin (%)]]&lt;$BA$12, "Warm", IF(Table9[[#This Row],[Vmin (%)]]&lt;$BA$9, "Normal", IF(Table9[[#This Row],[Vmin (%)]]&lt;$BA$7, "Cool", "Cold"))))</f>
        <v>Cool</v>
      </c>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c r="GJ128" s="21"/>
      <c r="GK128" s="21"/>
      <c r="GL128" s="21"/>
      <c r="GM128" s="21"/>
      <c r="GN128" s="21"/>
      <c r="GO128" s="21"/>
      <c r="GP128" s="21"/>
      <c r="GQ128" s="21"/>
      <c r="GR128" s="21"/>
      <c r="GS128" s="21"/>
      <c r="GT128" s="21"/>
      <c r="GU128" s="21"/>
      <c r="GV128" s="21"/>
      <c r="GW128" s="21"/>
      <c r="GX128" s="21"/>
      <c r="GY128" s="21"/>
      <c r="GZ128" s="21"/>
      <c r="HA128" s="21"/>
      <c r="HB128" s="21"/>
    </row>
    <row r="129" spans="1:210" x14ac:dyDescent="0.25">
      <c r="A129" s="118">
        <f t="shared" si="17"/>
        <v>1</v>
      </c>
      <c r="B129" s="179"/>
      <c r="C129" s="188" t="str">
        <f t="shared" si="20"/>
        <v>RTH at 1 °C</v>
      </c>
      <c r="D129" s="219">
        <f t="shared" si="19"/>
        <v>2.04</v>
      </c>
      <c r="E129" s="220">
        <v>25.62</v>
      </c>
      <c r="F129" s="221">
        <v>26.13</v>
      </c>
      <c r="G129" s="222">
        <v>26.65</v>
      </c>
      <c r="H129" s="138" t="s">
        <v>30</v>
      </c>
      <c r="I129" s="31"/>
      <c r="J129" s="31">
        <v>26.65</v>
      </c>
      <c r="K129" s="31">
        <v>26.13</v>
      </c>
      <c r="L129" s="31">
        <v>25.62</v>
      </c>
      <c r="M129" s="31"/>
      <c r="N129" s="31"/>
      <c r="O129" s="31"/>
      <c r="P129" s="31"/>
      <c r="Q129" s="31"/>
      <c r="R129" s="31"/>
      <c r="S129" s="31"/>
      <c r="T129" s="31"/>
      <c r="U129" s="31"/>
      <c r="V129" s="31"/>
      <c r="W129" s="31"/>
      <c r="X129" s="31"/>
      <c r="Y129" s="32"/>
      <c r="Z129" s="20"/>
      <c r="AA129" s="21"/>
      <c r="AB129" s="21"/>
      <c r="AC129" s="195">
        <f t="shared" si="21"/>
        <v>1</v>
      </c>
      <c r="AD129" s="195">
        <f t="shared" si="22"/>
        <v>25.62</v>
      </c>
      <c r="AE129" s="195">
        <f t="shared" si="23"/>
        <v>26.13</v>
      </c>
      <c r="AF129" s="195">
        <f t="shared" si="24"/>
        <v>26.65</v>
      </c>
      <c r="AG129" s="195">
        <f>Table9[[#This Row],[RTH(min) (kΩ)]]*RT2_TH_MIN/(RT2_TH_MIN+Table9[[#This Row],[RTH(min) (kΩ)]])</f>
        <v>13.918653197133374</v>
      </c>
      <c r="AH129" s="195">
        <f>Table9[[#This Row],[RTH(nom) (kΩ)]]*RT2_TH_S/(RT2_TH_S+Table9[[#This Row],[RTH(nom) (kΩ)]])</f>
        <v>14.074318219508086</v>
      </c>
      <c r="AI129" s="195">
        <f>Table9[[#This Row],[RTH(max) (kΩ)]]*RT2_TH_S_MAX/(RT2_TH_S_MAX+Table9[[#This Row],[RTH(max) (kΩ)]])</f>
        <v>14.230436114245746</v>
      </c>
      <c r="AJ129" s="195">
        <f>Table9[[#This Row],[RLower(min) (kΩ)]]/(Table9[[#This Row],[RLower(min) (kΩ)]]+RT1_TH_S_MAX)*100</f>
        <v>72.65616913271451</v>
      </c>
      <c r="AK129" s="195">
        <f>Table9[[#This Row],[RLower(nom) (kΩ)]]/(Table9[[#This Row],[RLower(nom) (kΩ)]]+RT1_TH_S)*100</f>
        <v>72.896321038173014</v>
      </c>
      <c r="AL129" s="195">
        <f>Table9[[#This Row],[RLower(max) (kΩ)]]/(Table9[[#This Row],[RLower(max) (kΩ)]]+RT1_TH_S_MIN)*100</f>
        <v>73.133384921789713</v>
      </c>
      <c r="AM129" s="195">
        <f>IF(Table9[[#This Row],[Vmin (%)]]&lt;$BA$14, 0, IF(Table9[[#This Row],[Vmin (%)]]&lt;$BA$12, 4, IF(Table9[[#This Row],[Vmin (%)]]&lt;$BA$9, 3, IF(Table9[[#This Row],[Vmin (%)]]&lt;$BA$7, 2, 0))))</f>
        <v>2</v>
      </c>
      <c r="AN129" s="195">
        <f>IF(Table9[[#This Row],[Vmin (%)]]&lt;$BA$13, 0, IF(Table9[[#This Row],[Vmin (%)]]&lt;$BA$11, 4, IF(Table9[[#This Row],[Vmin (%)]]&lt;$BA$10, 3, IF(Table9[[#This Row],[Vmin (%)]]&lt;$BA$8, 2, 0))))</f>
        <v>2</v>
      </c>
      <c r="AO129" s="197" t="str">
        <f>IF(Table9[[#This Row],[Vmin (%)]]&lt;$BA$14, "Hot", IF(Table9[[#This Row],[Vmin (%)]]&lt;$BA$12, "Warm", IF(Table9[[#This Row],[Vmin (%)]]&lt;$BA$9, "Normal", IF(Table9[[#This Row],[Vmin (%)]]&lt;$BA$7, "Cool", "Cold"))))</f>
        <v>Cool</v>
      </c>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P129" s="21"/>
      <c r="GQ129" s="21"/>
      <c r="GR129" s="21"/>
      <c r="GS129" s="21"/>
      <c r="GT129" s="21"/>
      <c r="GU129" s="21"/>
      <c r="GV129" s="21"/>
      <c r="GW129" s="21"/>
      <c r="GX129" s="21"/>
      <c r="GY129" s="21"/>
      <c r="GZ129" s="21"/>
      <c r="HA129" s="21"/>
      <c r="HB129" s="21"/>
    </row>
    <row r="130" spans="1:210" x14ac:dyDescent="0.25">
      <c r="A130" s="118">
        <f t="shared" si="17"/>
        <v>0</v>
      </c>
      <c r="B130" s="179"/>
      <c r="C130" s="188" t="str">
        <f t="shared" si="20"/>
        <v>RTH at 0 °C</v>
      </c>
      <c r="D130" s="219">
        <f t="shared" si="19"/>
        <v>2.083333333333333</v>
      </c>
      <c r="E130" s="220">
        <v>26.74</v>
      </c>
      <c r="F130" s="221">
        <v>27.28</v>
      </c>
      <c r="G130" s="222">
        <v>27.83</v>
      </c>
      <c r="H130" s="138" t="s">
        <v>30</v>
      </c>
      <c r="I130" s="31"/>
      <c r="J130" s="31">
        <v>27.83</v>
      </c>
      <c r="K130" s="31">
        <v>27.28</v>
      </c>
      <c r="L130" s="31">
        <v>26.74</v>
      </c>
      <c r="M130" s="31"/>
      <c r="N130" s="31"/>
      <c r="O130" s="31"/>
      <c r="P130" s="31"/>
      <c r="Q130" s="31"/>
      <c r="R130" s="31"/>
      <c r="S130" s="31"/>
      <c r="T130" s="31"/>
      <c r="U130" s="31"/>
      <c r="V130" s="31"/>
      <c r="W130" s="31"/>
      <c r="X130" s="31"/>
      <c r="Y130" s="32"/>
      <c r="Z130" s="20"/>
      <c r="AA130" s="21"/>
      <c r="AB130" s="21"/>
      <c r="AC130" s="195">
        <f t="shared" si="21"/>
        <v>0</v>
      </c>
      <c r="AD130" s="195">
        <f t="shared" si="22"/>
        <v>26.74</v>
      </c>
      <c r="AE130" s="195">
        <f t="shared" si="23"/>
        <v>27.28</v>
      </c>
      <c r="AF130" s="195">
        <f t="shared" si="24"/>
        <v>27.83</v>
      </c>
      <c r="AG130" s="195">
        <f>Table9[[#This Row],[RTH(min) (kΩ)]]*RT2_TH_MIN/(RT2_TH_MIN+Table9[[#This Row],[RTH(min) (kΩ)]])</f>
        <v>14.242745275164902</v>
      </c>
      <c r="AH130" s="195">
        <f>Table9[[#This Row],[RTH(nom) (kΩ)]]*RT2_TH_S/(RT2_TH_S+Table9[[#This Row],[RTH(nom) (kΩ)]])</f>
        <v>14.401315080031384</v>
      </c>
      <c r="AI130" s="195">
        <f>Table9[[#This Row],[RTH(max) (kΩ)]]*RT2_TH_S_MAX/(RT2_TH_S_MAX+Table9[[#This Row],[RTH(max) (kΩ)]])</f>
        <v>14.560086627628559</v>
      </c>
      <c r="AJ130" s="195">
        <f>Table9[[#This Row],[RLower(min) (kΩ)]]/(Table9[[#This Row],[RLower(min) (kΩ)]]+RT1_TH_S_MAX)*100</f>
        <v>73.111070466379644</v>
      </c>
      <c r="AK130" s="195">
        <f>Table9[[#This Row],[RLower(nom) (kΩ)]]/(Table9[[#This Row],[RLower(nom) (kΩ)]]+RT1_TH_S)*100</f>
        <v>73.347715542605783</v>
      </c>
      <c r="AL130" s="195">
        <f>Table9[[#This Row],[RLower(max) (kΩ)]]/(Table9[[#This Row],[RLower(max) (kΩ)]]+RT1_TH_S_MIN)*100</f>
        <v>73.580962389188613</v>
      </c>
      <c r="AM130" s="195">
        <f>IF(Table9[[#This Row],[Vmin (%)]]&lt;$BA$14, 0, IF(Table9[[#This Row],[Vmin (%)]]&lt;$BA$12, 4, IF(Table9[[#This Row],[Vmin (%)]]&lt;$BA$9, 3, IF(Table9[[#This Row],[Vmin (%)]]&lt;$BA$7, 2, 0))))</f>
        <v>2</v>
      </c>
      <c r="AN130" s="195">
        <f>IF(Table9[[#This Row],[Vmin (%)]]&lt;$BA$13, 0, IF(Table9[[#This Row],[Vmin (%)]]&lt;$BA$11, 4, IF(Table9[[#This Row],[Vmin (%)]]&lt;$BA$10, 3, IF(Table9[[#This Row],[Vmin (%)]]&lt;$BA$8, 2, 0))))</f>
        <v>2</v>
      </c>
      <c r="AO130" s="197" t="str">
        <f>IF(Table9[[#This Row],[Vmin (%)]]&lt;$BA$14, "Hot", IF(Table9[[#This Row],[Vmin (%)]]&lt;$BA$12, "Warm", IF(Table9[[#This Row],[Vmin (%)]]&lt;$BA$9, "Normal", IF(Table9[[#This Row],[Vmin (%)]]&lt;$BA$7, "Cool", "Cold"))))</f>
        <v>Cool</v>
      </c>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c r="GJ130" s="21"/>
      <c r="GK130" s="21"/>
      <c r="GL130" s="21"/>
      <c r="GM130" s="21"/>
      <c r="GN130" s="21"/>
      <c r="GO130" s="21"/>
      <c r="GP130" s="21"/>
      <c r="GQ130" s="21"/>
      <c r="GR130" s="21"/>
      <c r="GS130" s="21"/>
      <c r="GT130" s="21"/>
      <c r="GU130" s="21"/>
      <c r="GV130" s="21"/>
      <c r="GW130" s="21"/>
      <c r="GX130" s="21"/>
      <c r="GY130" s="21"/>
      <c r="GZ130" s="21"/>
      <c r="HA130" s="21"/>
      <c r="HB130" s="21"/>
    </row>
    <row r="131" spans="1:210" x14ac:dyDescent="0.25">
      <c r="A131" s="118">
        <f t="shared" si="17"/>
        <v>-1</v>
      </c>
      <c r="B131" s="179"/>
      <c r="C131" s="188" t="str">
        <f t="shared" si="20"/>
        <v>RTH at -1 °C</v>
      </c>
      <c r="D131" s="219">
        <f t="shared" si="19"/>
        <v>2.1266666666666669</v>
      </c>
      <c r="E131" s="220">
        <v>27.89</v>
      </c>
      <c r="F131" s="221">
        <v>28.48</v>
      </c>
      <c r="G131" s="222">
        <v>29.06</v>
      </c>
      <c r="H131" s="138" t="s">
        <v>30</v>
      </c>
      <c r="I131" s="31"/>
      <c r="J131" s="31">
        <v>29.06</v>
      </c>
      <c r="K131" s="31">
        <v>28.48</v>
      </c>
      <c r="L131" s="31">
        <v>27.89</v>
      </c>
      <c r="M131" s="31"/>
      <c r="N131" s="31"/>
      <c r="O131" s="31"/>
      <c r="P131" s="31"/>
      <c r="Q131" s="31"/>
      <c r="R131" s="31"/>
      <c r="S131" s="31"/>
      <c r="T131" s="31"/>
      <c r="U131" s="31"/>
      <c r="V131" s="31"/>
      <c r="W131" s="31"/>
      <c r="X131" s="31"/>
      <c r="Y131" s="32"/>
      <c r="Z131" s="20"/>
      <c r="AA131" s="21"/>
      <c r="AB131" s="21"/>
      <c r="AC131" s="195">
        <f t="shared" si="21"/>
        <v>-1</v>
      </c>
      <c r="AD131" s="195">
        <f t="shared" si="22"/>
        <v>27.89</v>
      </c>
      <c r="AE131" s="195">
        <f t="shared" si="23"/>
        <v>28.48</v>
      </c>
      <c r="AF131" s="195">
        <f t="shared" si="24"/>
        <v>29.06</v>
      </c>
      <c r="AG131" s="195">
        <f>Table9[[#This Row],[RTH(min) (kΩ)]]*RT2_TH_MIN/(RT2_TH_MIN+Table9[[#This Row],[RTH(min) (kΩ)]])</f>
        <v>14.562575738677424</v>
      </c>
      <c r="AH131" s="195">
        <f>Table9[[#This Row],[RTH(nom) (kΩ)]]*RT2_TH_S/(RT2_TH_S+Table9[[#This Row],[RTH(nom) (kΩ)]])</f>
        <v>14.728935071776338</v>
      </c>
      <c r="AI131" s="195">
        <f>Table9[[#This Row],[RTH(max) (kΩ)]]*RT2_TH_S_MAX/(RT2_TH_S_MAX+Table9[[#This Row],[RTH(max) (kΩ)]])</f>
        <v>14.889809749174921</v>
      </c>
      <c r="AJ131" s="195">
        <f>Table9[[#This Row],[RLower(min) (kΩ)]]/(Table9[[#This Row],[RLower(min) (kΩ)]]+RT1_TH_S_MAX)*100</f>
        <v>73.545391243806407</v>
      </c>
      <c r="AK131" s="195">
        <f>Table9[[#This Row],[RLower(nom) (kΩ)]]/(Table9[[#This Row],[RLower(nom) (kΩ)]]+RT1_TH_S)*100</f>
        <v>73.785139322169869</v>
      </c>
      <c r="AL131" s="195">
        <f>Table9[[#This Row],[RLower(max) (kΩ)]]/(Table9[[#This Row],[RLower(max) (kΩ)]]+RT1_TH_S_MIN)*100</f>
        <v>74.013965403792099</v>
      </c>
      <c r="AM131" s="195">
        <f>IF(Table9[[#This Row],[Vmin (%)]]&lt;$BA$14, 0, IF(Table9[[#This Row],[Vmin (%)]]&lt;$BA$12, 4, IF(Table9[[#This Row],[Vmin (%)]]&lt;$BA$9, 3, IF(Table9[[#This Row],[Vmin (%)]]&lt;$BA$7, 2, 0))))</f>
        <v>2</v>
      </c>
      <c r="AN131" s="195">
        <f>IF(Table9[[#This Row],[Vmin (%)]]&lt;$BA$13, 0, IF(Table9[[#This Row],[Vmin (%)]]&lt;$BA$11, 4, IF(Table9[[#This Row],[Vmin (%)]]&lt;$BA$10, 3, IF(Table9[[#This Row],[Vmin (%)]]&lt;$BA$8, 2, 0))))</f>
        <v>2</v>
      </c>
      <c r="AO131" s="197" t="str">
        <f>IF(Table9[[#This Row],[Vmin (%)]]&lt;$BA$14, "Hot", IF(Table9[[#This Row],[Vmin (%)]]&lt;$BA$12, "Warm", IF(Table9[[#This Row],[Vmin (%)]]&lt;$BA$9, "Normal", IF(Table9[[#This Row],[Vmin (%)]]&lt;$BA$7, "Cool", "Cold"))))</f>
        <v>Cool</v>
      </c>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c r="FH131" s="21"/>
      <c r="FI131" s="21"/>
      <c r="FJ131" s="21"/>
      <c r="FK131" s="21"/>
      <c r="FL131" s="21"/>
      <c r="FM131" s="21"/>
      <c r="FN131" s="21"/>
      <c r="FO131" s="21"/>
      <c r="FP131" s="21"/>
      <c r="FQ131" s="21"/>
      <c r="FR131" s="21"/>
      <c r="FS131" s="21"/>
      <c r="FT131" s="21"/>
      <c r="FU131" s="21"/>
      <c r="FV131" s="21"/>
      <c r="FW131" s="21"/>
      <c r="FX131" s="21"/>
      <c r="FY131" s="21"/>
      <c r="FZ131" s="21"/>
      <c r="GA131" s="21"/>
      <c r="GB131" s="21"/>
      <c r="GC131" s="21"/>
      <c r="GD131" s="21"/>
      <c r="GE131" s="21"/>
      <c r="GF131" s="21"/>
      <c r="GG131" s="21"/>
      <c r="GH131" s="21"/>
      <c r="GI131" s="21"/>
      <c r="GJ131" s="21"/>
      <c r="GK131" s="21"/>
      <c r="GL131" s="21"/>
      <c r="GM131" s="21"/>
      <c r="GN131" s="21"/>
      <c r="GO131" s="21"/>
      <c r="GP131" s="21"/>
      <c r="GQ131" s="21"/>
      <c r="GR131" s="21"/>
      <c r="GS131" s="21"/>
      <c r="GT131" s="21"/>
      <c r="GU131" s="21"/>
      <c r="GV131" s="21"/>
      <c r="GW131" s="21"/>
      <c r="GX131" s="21"/>
      <c r="GY131" s="21"/>
      <c r="GZ131" s="21"/>
      <c r="HA131" s="21"/>
      <c r="HB131" s="21"/>
    </row>
    <row r="132" spans="1:210" x14ac:dyDescent="0.25">
      <c r="A132" s="118">
        <f t="shared" si="17"/>
        <v>-2</v>
      </c>
      <c r="B132" s="179"/>
      <c r="C132" s="188" t="str">
        <f t="shared" si="20"/>
        <v>RTH at -2 °C</v>
      </c>
      <c r="D132" s="219">
        <f t="shared" si="19"/>
        <v>2.17</v>
      </c>
      <c r="E132" s="220">
        <v>29.11</v>
      </c>
      <c r="F132" s="221">
        <v>29.73</v>
      </c>
      <c r="G132" s="222">
        <v>30.36</v>
      </c>
      <c r="H132" s="138" t="s">
        <v>30</v>
      </c>
      <c r="I132" s="31"/>
      <c r="J132" s="31">
        <v>30.36</v>
      </c>
      <c r="K132" s="31">
        <v>29.73</v>
      </c>
      <c r="L132" s="31">
        <v>29.11</v>
      </c>
      <c r="M132" s="31"/>
      <c r="N132" s="31"/>
      <c r="O132" s="31"/>
      <c r="P132" s="31"/>
      <c r="Q132" s="31"/>
      <c r="R132" s="31"/>
      <c r="S132" s="31"/>
      <c r="T132" s="31"/>
      <c r="U132" s="31"/>
      <c r="V132" s="31"/>
      <c r="W132" s="31"/>
      <c r="X132" s="31"/>
      <c r="Y132" s="32"/>
      <c r="Z132" s="20"/>
      <c r="AA132" s="21"/>
      <c r="AB132" s="21"/>
      <c r="AC132" s="195">
        <f t="shared" si="21"/>
        <v>-2</v>
      </c>
      <c r="AD132" s="195">
        <f t="shared" si="22"/>
        <v>29.11</v>
      </c>
      <c r="AE132" s="195">
        <f t="shared" si="23"/>
        <v>29.73</v>
      </c>
      <c r="AF132" s="195">
        <f t="shared" si="24"/>
        <v>30.36</v>
      </c>
      <c r="AG132" s="195">
        <f>Table9[[#This Row],[RTH(min) (kΩ)]]*RT2_TH_MIN/(RT2_TH_MIN+Table9[[#This Row],[RTH(min) (kΩ)]])</f>
        <v>14.888378460399379</v>
      </c>
      <c r="AH132" s="195">
        <f>Table9[[#This Row],[RTH(nom) (kΩ)]]*RT2_TH_S/(RT2_TH_S+Table9[[#This Row],[RTH(nom) (kΩ)]])</f>
        <v>15.05632510213516</v>
      </c>
      <c r="AI132" s="195">
        <f>Table9[[#This Row],[RTH(max) (kΩ)]]*RT2_TH_S_MAX/(RT2_TH_S_MAX+Table9[[#This Row],[RTH(max) (kΩ)]])</f>
        <v>15.223819188998709</v>
      </c>
      <c r="AJ132" s="195">
        <f>Table9[[#This Row],[RLower(min) (kΩ)]]/(Table9[[#This Row],[RLower(min) (kΩ)]]+RT1_TH_S_MAX)*100</f>
        <v>73.973629616017263</v>
      </c>
      <c r="AK132" s="195">
        <f>Table9[[#This Row],[RLower(nom) (kΩ)]]/(Table9[[#This Row],[RLower(nom) (kΩ)]]+RT1_TH_S)*100</f>
        <v>74.208144411541056</v>
      </c>
      <c r="AL132" s="195">
        <f>Table9[[#This Row],[RLower(max) (kΩ)]]/(Table9[[#This Row],[RLower(max) (kΩ)]]+RT1_TH_S_MIN)*100</f>
        <v>74.438362051172675</v>
      </c>
      <c r="AM132" s="195">
        <f>IF(Table9[[#This Row],[Vmin (%)]]&lt;$BA$14, 0, IF(Table9[[#This Row],[Vmin (%)]]&lt;$BA$12, 4, IF(Table9[[#This Row],[Vmin (%)]]&lt;$BA$9, 3, IF(Table9[[#This Row],[Vmin (%)]]&lt;$BA$7, 2, 0))))</f>
        <v>2</v>
      </c>
      <c r="AN132" s="195">
        <f>IF(Table9[[#This Row],[Vmin (%)]]&lt;$BA$13, 0, IF(Table9[[#This Row],[Vmin (%)]]&lt;$BA$11, 4, IF(Table9[[#This Row],[Vmin (%)]]&lt;$BA$10, 3, IF(Table9[[#This Row],[Vmin (%)]]&lt;$BA$8, 2, 0))))</f>
        <v>2</v>
      </c>
      <c r="AO132" s="197" t="str">
        <f>IF(Table9[[#This Row],[Vmin (%)]]&lt;$BA$14, "Hot", IF(Table9[[#This Row],[Vmin (%)]]&lt;$BA$12, "Warm", IF(Table9[[#This Row],[Vmin (%)]]&lt;$BA$9, "Normal", IF(Table9[[#This Row],[Vmin (%)]]&lt;$BA$7, "Cool", "Cold"))))</f>
        <v>Cool</v>
      </c>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F132" s="21"/>
      <c r="GG132" s="21"/>
      <c r="GH132" s="21"/>
      <c r="GI132" s="21"/>
      <c r="GJ132" s="21"/>
      <c r="GK132" s="21"/>
      <c r="GL132" s="21"/>
      <c r="GM132" s="21"/>
      <c r="GN132" s="21"/>
      <c r="GO132" s="21"/>
      <c r="GP132" s="21"/>
      <c r="GQ132" s="21"/>
      <c r="GR132" s="21"/>
      <c r="GS132" s="21"/>
      <c r="GT132" s="21"/>
      <c r="GU132" s="21"/>
      <c r="GV132" s="21"/>
      <c r="GW132" s="21"/>
      <c r="GX132" s="21"/>
      <c r="GY132" s="21"/>
      <c r="GZ132" s="21"/>
      <c r="HA132" s="21"/>
      <c r="HB132" s="21"/>
    </row>
    <row r="133" spans="1:210" x14ac:dyDescent="0.25">
      <c r="A133" s="118">
        <f t="shared" si="17"/>
        <v>-3</v>
      </c>
      <c r="B133" s="179"/>
      <c r="C133" s="188" t="str">
        <f t="shared" si="20"/>
        <v>RTH at -3 °C</v>
      </c>
      <c r="D133" s="219">
        <f t="shared" si="19"/>
        <v>2.2133333333333334</v>
      </c>
      <c r="E133" s="220">
        <v>30.39</v>
      </c>
      <c r="F133" s="221">
        <v>31.05</v>
      </c>
      <c r="G133" s="222">
        <v>31.72</v>
      </c>
      <c r="H133" s="138" t="s">
        <v>30</v>
      </c>
      <c r="I133" s="31"/>
      <c r="J133" s="31">
        <v>31.72</v>
      </c>
      <c r="K133" s="31">
        <v>31.05</v>
      </c>
      <c r="L133" s="31">
        <v>30.39</v>
      </c>
      <c r="M133" s="31"/>
      <c r="N133" s="31"/>
      <c r="O133" s="31"/>
      <c r="P133" s="31"/>
      <c r="Q133" s="31"/>
      <c r="R133" s="31"/>
      <c r="S133" s="31"/>
      <c r="T133" s="31"/>
      <c r="U133" s="31"/>
      <c r="V133" s="31"/>
      <c r="W133" s="31"/>
      <c r="X133" s="31"/>
      <c r="Y133" s="32"/>
      <c r="Z133" s="20"/>
      <c r="AA133" s="21"/>
      <c r="AB133" s="21"/>
      <c r="AC133" s="195">
        <f t="shared" si="21"/>
        <v>-3</v>
      </c>
      <c r="AD133" s="195">
        <f t="shared" si="22"/>
        <v>30.39</v>
      </c>
      <c r="AE133" s="195">
        <f t="shared" si="23"/>
        <v>31.05</v>
      </c>
      <c r="AF133" s="195">
        <f t="shared" si="24"/>
        <v>31.72</v>
      </c>
      <c r="AG133" s="195">
        <f>Table9[[#This Row],[RTH(min) (kΩ)]]*RT2_TH_MIN/(RT2_TH_MIN+Table9[[#This Row],[RTH(min) (kΩ)]])</f>
        <v>15.216163887359722</v>
      </c>
      <c r="AH133" s="195">
        <f>Table9[[#This Row],[RTH(nom) (kΩ)]]*RT2_TH_S/(RT2_TH_S+Table9[[#This Row],[RTH(nom) (kΩ)]])</f>
        <v>15.387614625637292</v>
      </c>
      <c r="AI133" s="195">
        <f>Table9[[#This Row],[RTH(max) (kΩ)]]*RT2_TH_S_MAX/(RT2_TH_S_MAX+Table9[[#This Row],[RTH(max) (kΩ)]])</f>
        <v>15.558314572257645</v>
      </c>
      <c r="AJ133" s="195">
        <f>Table9[[#This Row],[RLower(min) (kΩ)]]/(Table9[[#This Row],[RLower(min) (kΩ)]]+RT1_TH_S_MAX)*100</f>
        <v>74.390707111466199</v>
      </c>
      <c r="AK133" s="195">
        <f>Table9[[#This Row],[RLower(nom) (kΩ)]]/(Table9[[#This Row],[RLower(nom) (kΩ)]]+RT1_TH_S)*100</f>
        <v>74.622514951496356</v>
      </c>
      <c r="AL133" s="195">
        <f>Table9[[#This Row],[RLower(max) (kΩ)]]/(Table9[[#This Row],[RLower(max) (kΩ)]]+RT1_TH_S_MIN)*100</f>
        <v>74.849707185693063</v>
      </c>
      <c r="AM133" s="195">
        <f>IF(Table9[[#This Row],[Vmin (%)]]&lt;$BA$14, 0, IF(Table9[[#This Row],[Vmin (%)]]&lt;$BA$12, 4, IF(Table9[[#This Row],[Vmin (%)]]&lt;$BA$9, 3, IF(Table9[[#This Row],[Vmin (%)]]&lt;$BA$7, 2, 0))))</f>
        <v>2</v>
      </c>
      <c r="AN133" s="195">
        <f>IF(Table9[[#This Row],[Vmin (%)]]&lt;$BA$13, 0, IF(Table9[[#This Row],[Vmin (%)]]&lt;$BA$11, 4, IF(Table9[[#This Row],[Vmin (%)]]&lt;$BA$10, 3, IF(Table9[[#This Row],[Vmin (%)]]&lt;$BA$8, 2, 0))))</f>
        <v>2</v>
      </c>
      <c r="AO133" s="197" t="str">
        <f>IF(Table9[[#This Row],[Vmin (%)]]&lt;$BA$14, "Hot", IF(Table9[[#This Row],[Vmin (%)]]&lt;$BA$12, "Warm", IF(Table9[[#This Row],[Vmin (%)]]&lt;$BA$9, "Normal", IF(Table9[[#This Row],[Vmin (%)]]&lt;$BA$7, "Cool", "Cold"))))</f>
        <v>Cool</v>
      </c>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c r="FH133" s="21"/>
      <c r="FI133" s="21"/>
      <c r="FJ133" s="21"/>
      <c r="FK133" s="21"/>
      <c r="FL133" s="21"/>
      <c r="FM133" s="21"/>
      <c r="FN133" s="21"/>
      <c r="FO133" s="21"/>
      <c r="FP133" s="21"/>
      <c r="FQ133" s="21"/>
      <c r="FR133" s="21"/>
      <c r="FS133" s="21"/>
      <c r="FT133" s="21"/>
      <c r="FU133" s="21"/>
      <c r="FV133" s="21"/>
      <c r="FW133" s="21"/>
      <c r="FX133" s="21"/>
      <c r="FY133" s="21"/>
      <c r="FZ133" s="21"/>
      <c r="GA133" s="21"/>
      <c r="GB133" s="21"/>
      <c r="GC133" s="21"/>
      <c r="GD133" s="21"/>
      <c r="GE133" s="21"/>
      <c r="GF133" s="21"/>
      <c r="GG133" s="21"/>
      <c r="GH133" s="21"/>
      <c r="GI133" s="21"/>
      <c r="GJ133" s="21"/>
      <c r="GK133" s="21"/>
      <c r="GL133" s="21"/>
      <c r="GM133" s="21"/>
      <c r="GN133" s="21"/>
      <c r="GO133" s="21"/>
      <c r="GP133" s="21"/>
      <c r="GQ133" s="21"/>
      <c r="GR133" s="21"/>
      <c r="GS133" s="21"/>
      <c r="GT133" s="21"/>
      <c r="GU133" s="21"/>
      <c r="GV133" s="21"/>
      <c r="GW133" s="21"/>
      <c r="GX133" s="21"/>
      <c r="GY133" s="21"/>
      <c r="GZ133" s="21"/>
      <c r="HA133" s="21"/>
      <c r="HB133" s="21"/>
    </row>
    <row r="134" spans="1:210" x14ac:dyDescent="0.25">
      <c r="A134" s="118">
        <f t="shared" si="17"/>
        <v>-4</v>
      </c>
      <c r="B134" s="179"/>
      <c r="C134" s="188" t="str">
        <f t="shared" si="20"/>
        <v>RTH at -4 °C</v>
      </c>
      <c r="D134" s="219">
        <f t="shared" si="19"/>
        <v>2.2566666666666668</v>
      </c>
      <c r="E134" s="220">
        <v>31.73</v>
      </c>
      <c r="F134" s="221">
        <v>32.44</v>
      </c>
      <c r="G134" s="222">
        <v>33.15</v>
      </c>
      <c r="H134" s="138" t="s">
        <v>30</v>
      </c>
      <c r="I134" s="31"/>
      <c r="J134" s="31">
        <v>33.15</v>
      </c>
      <c r="K134" s="31">
        <v>32.44</v>
      </c>
      <c r="L134" s="31">
        <v>31.73</v>
      </c>
      <c r="M134" s="31"/>
      <c r="N134" s="31"/>
      <c r="O134" s="31"/>
      <c r="P134" s="31"/>
      <c r="Q134" s="31"/>
      <c r="R134" s="31"/>
      <c r="S134" s="31"/>
      <c r="T134" s="31"/>
      <c r="U134" s="31"/>
      <c r="V134" s="31"/>
      <c r="W134" s="31"/>
      <c r="X134" s="31"/>
      <c r="Y134" s="32"/>
      <c r="Z134" s="20"/>
      <c r="AA134" s="21"/>
      <c r="AB134" s="21"/>
      <c r="AC134" s="195">
        <f t="shared" si="21"/>
        <v>-4</v>
      </c>
      <c r="AD134" s="195">
        <f t="shared" si="22"/>
        <v>31.73</v>
      </c>
      <c r="AE134" s="195">
        <f t="shared" si="23"/>
        <v>32.44</v>
      </c>
      <c r="AF134" s="195">
        <f t="shared" si="24"/>
        <v>33.15</v>
      </c>
      <c r="AG134" s="195">
        <f>Table9[[#This Row],[RTH(min) (kΩ)]]*RT2_TH_MIN/(RT2_TH_MIN+Table9[[#This Row],[RTH(min) (kΩ)]])</f>
        <v>15.544861121601794</v>
      </c>
      <c r="AH134" s="195">
        <f>Table9[[#This Row],[RTH(nom) (kΩ)]]*RT2_TH_S/(RT2_TH_S+Table9[[#This Row],[RTH(nom) (kΩ)]])</f>
        <v>15.721453059772569</v>
      </c>
      <c r="AI134" s="195">
        <f>Table9[[#This Row],[RTH(max) (kΩ)]]*RT2_TH_S_MAX/(RT2_TH_S_MAX+Table9[[#This Row],[RTH(max) (kΩ)]])</f>
        <v>15.894618534225943</v>
      </c>
      <c r="AJ134" s="195">
        <f>Table9[[#This Row],[RLower(min) (kΩ)]]/(Table9[[#This Row],[RLower(min) (kΩ)]]+RT1_TH_S_MAX)*100</f>
        <v>74.795733778018658</v>
      </c>
      <c r="AK134" s="195">
        <f>Table9[[#This Row],[RLower(nom) (kΩ)]]/(Table9[[#This Row],[RLower(nom) (kΩ)]]+RT1_TH_S)*100</f>
        <v>75.026819632038553</v>
      </c>
      <c r="AL134" s="195">
        <f>Table9[[#This Row],[RLower(max) (kΩ)]]/(Table9[[#This Row],[RLower(max) (kΩ)]]+RT1_TH_S_MIN)*100</f>
        <v>75.250142384927102</v>
      </c>
      <c r="AM134" s="195">
        <f>IF(Table9[[#This Row],[Vmin (%)]]&lt;$BA$14, 0, IF(Table9[[#This Row],[Vmin (%)]]&lt;$BA$12, 4, IF(Table9[[#This Row],[Vmin (%)]]&lt;$BA$9, 3, IF(Table9[[#This Row],[Vmin (%)]]&lt;$BA$7, 2, 0))))</f>
        <v>2</v>
      </c>
      <c r="AN134" s="195">
        <f>IF(Table9[[#This Row],[Vmin (%)]]&lt;$BA$13, 0, IF(Table9[[#This Row],[Vmin (%)]]&lt;$BA$11, 4, IF(Table9[[#This Row],[Vmin (%)]]&lt;$BA$10, 3, IF(Table9[[#This Row],[Vmin (%)]]&lt;$BA$8, 2, 0))))</f>
        <v>2</v>
      </c>
      <c r="AO134" s="197" t="str">
        <f>IF(Table9[[#This Row],[Vmin (%)]]&lt;$BA$14, "Hot", IF(Table9[[#This Row],[Vmin (%)]]&lt;$BA$12, "Warm", IF(Table9[[#This Row],[Vmin (%)]]&lt;$BA$9, "Normal", IF(Table9[[#This Row],[Vmin (%)]]&lt;$BA$7, "Cool", "Cold"))))</f>
        <v>Cool</v>
      </c>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F134" s="21"/>
      <c r="GG134" s="21"/>
      <c r="GH134" s="21"/>
      <c r="GI134" s="21"/>
      <c r="GJ134" s="21"/>
      <c r="GK134" s="21"/>
      <c r="GL134" s="21"/>
      <c r="GM134" s="21"/>
      <c r="GN134" s="21"/>
      <c r="GO134" s="21"/>
      <c r="GP134" s="21"/>
      <c r="GQ134" s="21"/>
      <c r="GR134" s="21"/>
      <c r="GS134" s="21"/>
      <c r="GT134" s="21"/>
      <c r="GU134" s="21"/>
      <c r="GV134" s="21"/>
      <c r="GW134" s="21"/>
      <c r="GX134" s="21"/>
      <c r="GY134" s="21"/>
      <c r="GZ134" s="21"/>
      <c r="HA134" s="21"/>
      <c r="HB134" s="21"/>
    </row>
    <row r="135" spans="1:210" x14ac:dyDescent="0.25">
      <c r="A135" s="118">
        <f t="shared" si="17"/>
        <v>-5</v>
      </c>
      <c r="B135" s="179"/>
      <c r="C135" s="188" t="str">
        <f t="shared" si="20"/>
        <v>RTH at -5 °C</v>
      </c>
      <c r="D135" s="219">
        <f t="shared" si="19"/>
        <v>2.2999999999999998</v>
      </c>
      <c r="E135" s="220">
        <v>33.15</v>
      </c>
      <c r="F135" s="221">
        <v>33.9</v>
      </c>
      <c r="G135" s="222">
        <v>34.659999999999997</v>
      </c>
      <c r="H135" s="138" t="s">
        <v>30</v>
      </c>
      <c r="I135" s="31"/>
      <c r="J135" s="31">
        <v>34.659999999999997</v>
      </c>
      <c r="K135" s="31">
        <v>33.9</v>
      </c>
      <c r="L135" s="31">
        <v>33.15</v>
      </c>
      <c r="M135" s="31"/>
      <c r="N135" s="31"/>
      <c r="O135" s="31"/>
      <c r="P135" s="31"/>
      <c r="Q135" s="31"/>
      <c r="R135" s="31"/>
      <c r="S135" s="31"/>
      <c r="T135" s="31"/>
      <c r="U135" s="31"/>
      <c r="V135" s="31"/>
      <c r="W135" s="31"/>
      <c r="X135" s="31"/>
      <c r="Y135" s="32"/>
      <c r="Z135" s="20"/>
      <c r="AA135" s="21"/>
      <c r="AB135" s="21"/>
      <c r="AC135" s="195">
        <f t="shared" si="21"/>
        <v>-5</v>
      </c>
      <c r="AD135" s="195">
        <f t="shared" si="22"/>
        <v>33.15</v>
      </c>
      <c r="AE135" s="195">
        <f t="shared" si="23"/>
        <v>33.9</v>
      </c>
      <c r="AF135" s="195">
        <f t="shared" si="24"/>
        <v>34.659999999999997</v>
      </c>
      <c r="AG135" s="195">
        <f>Table9[[#This Row],[RTH(min) (kΩ)]]*RT2_TH_MIN/(RT2_TH_MIN+Table9[[#This Row],[RTH(min) (kΩ)]])</f>
        <v>15.878072142177526</v>
      </c>
      <c r="AH135" s="195">
        <f>Table9[[#This Row],[RTH(nom) (kΩ)]]*RT2_TH_S/(RT2_TH_S+Table9[[#This Row],[RTH(nom) (kΩ)]])</f>
        <v>16.056586857783895</v>
      </c>
      <c r="AI135" s="195">
        <f>Table9[[#This Row],[RTH(max) (kΩ)]]*RT2_TH_S_MAX/(RT2_TH_S_MAX+Table9[[#This Row],[RTH(max) (kΩ)]])</f>
        <v>16.233722671173229</v>
      </c>
      <c r="AJ135" s="195">
        <f>Table9[[#This Row],[RLower(min) (kΩ)]]/(Table9[[#This Row],[RLower(min) (kΩ)]]+RT1_TH_S_MAX)*100</f>
        <v>75.193452163822315</v>
      </c>
      <c r="AK135" s="195">
        <f>Table9[[#This Row],[RLower(nom) (kΩ)]]/(Table9[[#This Row],[RLower(nom) (kΩ)]]+RT1_TH_S)*100</f>
        <v>75.419939532457846</v>
      </c>
      <c r="AL135" s="195">
        <f>Table9[[#This Row],[RLower(max) (kΩ)]]/(Table9[[#This Row],[RLower(max) (kΩ)]]+RT1_TH_S_MIN)*100</f>
        <v>75.641204827162241</v>
      </c>
      <c r="AM135" s="195">
        <f>IF(Table9[[#This Row],[Vmin (%)]]&lt;$BA$14, 0, IF(Table9[[#This Row],[Vmin (%)]]&lt;$BA$12, 4, IF(Table9[[#This Row],[Vmin (%)]]&lt;$BA$9, 3, IF(Table9[[#This Row],[Vmin (%)]]&lt;$BA$7, 2, 0))))</f>
        <v>2</v>
      </c>
      <c r="AN135" s="195">
        <f>IF(Table9[[#This Row],[Vmin (%)]]&lt;$BA$13, 0, IF(Table9[[#This Row],[Vmin (%)]]&lt;$BA$11, 4, IF(Table9[[#This Row],[Vmin (%)]]&lt;$BA$10, 3, IF(Table9[[#This Row],[Vmin (%)]]&lt;$BA$8, 2, 0))))</f>
        <v>2</v>
      </c>
      <c r="AO135" s="197" t="str">
        <f>IF(Table9[[#This Row],[Vmin (%)]]&lt;$BA$14, "Hot", IF(Table9[[#This Row],[Vmin (%)]]&lt;$BA$12, "Warm", IF(Table9[[#This Row],[Vmin (%)]]&lt;$BA$9, "Normal", IF(Table9[[#This Row],[Vmin (%)]]&lt;$BA$7, "Cool", "Cold"))))</f>
        <v>Cool</v>
      </c>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c r="FH135" s="21"/>
      <c r="FI135" s="21"/>
      <c r="FJ135" s="21"/>
      <c r="FK135" s="21"/>
      <c r="FL135" s="21"/>
      <c r="FM135" s="21"/>
      <c r="FN135" s="21"/>
      <c r="FO135" s="21"/>
      <c r="FP135" s="21"/>
      <c r="FQ135" s="21"/>
      <c r="FR135" s="21"/>
      <c r="FS135" s="21"/>
      <c r="FT135" s="21"/>
      <c r="FU135" s="21"/>
      <c r="FV135" s="21"/>
      <c r="FW135" s="21"/>
      <c r="FX135" s="21"/>
      <c r="FY135" s="21"/>
      <c r="FZ135" s="21"/>
      <c r="GA135" s="21"/>
      <c r="GB135" s="21"/>
      <c r="GC135" s="21"/>
      <c r="GD135" s="21"/>
      <c r="GE135" s="21"/>
      <c r="GF135" s="21"/>
      <c r="GG135" s="21"/>
      <c r="GH135" s="21"/>
      <c r="GI135" s="21"/>
      <c r="GJ135" s="21"/>
      <c r="GK135" s="21"/>
      <c r="GL135" s="21"/>
      <c r="GM135" s="21"/>
      <c r="GN135" s="21"/>
      <c r="GO135" s="21"/>
      <c r="GP135" s="21"/>
      <c r="GQ135" s="21"/>
      <c r="GR135" s="21"/>
      <c r="GS135" s="21"/>
      <c r="GT135" s="21"/>
      <c r="GU135" s="21"/>
      <c r="GV135" s="21"/>
      <c r="GW135" s="21"/>
      <c r="GX135" s="21"/>
      <c r="GY135" s="21"/>
      <c r="GZ135" s="21"/>
      <c r="HA135" s="21"/>
      <c r="HB135" s="21"/>
    </row>
    <row r="136" spans="1:210" x14ac:dyDescent="0.25">
      <c r="A136" s="118">
        <f t="shared" si="17"/>
        <v>-6</v>
      </c>
      <c r="B136" s="179"/>
      <c r="C136" s="188" t="str">
        <f t="shared" si="20"/>
        <v>RTH at -6 °C</v>
      </c>
      <c r="D136" s="219">
        <f t="shared" si="19"/>
        <v>2.3433333333333333</v>
      </c>
      <c r="E136" s="220">
        <v>34.64</v>
      </c>
      <c r="F136" s="221">
        <v>35.44</v>
      </c>
      <c r="G136" s="222">
        <v>36.25</v>
      </c>
      <c r="H136" s="138" t="s">
        <v>30</v>
      </c>
      <c r="I136" s="31"/>
      <c r="J136" s="31">
        <v>36.25</v>
      </c>
      <c r="K136" s="31">
        <v>35.44</v>
      </c>
      <c r="L136" s="31">
        <v>34.64</v>
      </c>
      <c r="M136" s="31"/>
      <c r="N136" s="31"/>
      <c r="O136" s="31"/>
      <c r="P136" s="31"/>
      <c r="Q136" s="31"/>
      <c r="R136" s="31"/>
      <c r="S136" s="31"/>
      <c r="T136" s="31"/>
      <c r="U136" s="31"/>
      <c r="V136" s="31"/>
      <c r="W136" s="31"/>
      <c r="X136" s="31"/>
      <c r="Y136" s="32"/>
      <c r="Z136" s="20"/>
      <c r="AA136" s="21"/>
      <c r="AB136" s="21"/>
      <c r="AC136" s="195">
        <f t="shared" si="21"/>
        <v>-6</v>
      </c>
      <c r="AD136" s="195">
        <f t="shared" si="22"/>
        <v>34.64</v>
      </c>
      <c r="AE136" s="195">
        <f t="shared" si="23"/>
        <v>35.44</v>
      </c>
      <c r="AF136" s="195">
        <f t="shared" si="24"/>
        <v>36.25</v>
      </c>
      <c r="AG136" s="195">
        <f>Table9[[#This Row],[RTH(min) (kΩ)]]*RT2_TH_MIN/(RT2_TH_MIN+Table9[[#This Row],[RTH(min) (kΩ)]])</f>
        <v>16.21208367285158</v>
      </c>
      <c r="AH136" s="195">
        <f>Table9[[#This Row],[RTH(nom) (kΩ)]]*RT2_TH_S/(RT2_TH_S+Table9[[#This Row],[RTH(nom) (kΩ)]])</f>
        <v>16.394002759564607</v>
      </c>
      <c r="AI136" s="195">
        <f>Table9[[#This Row],[RTH(max) (kΩ)]]*RT2_TH_S_MAX/(RT2_TH_S_MAX+Table9[[#This Row],[RTH(max) (kΩ)]])</f>
        <v>16.574218453025708</v>
      </c>
      <c r="AJ136" s="195">
        <f>Table9[[#This Row],[RLower(min) (kΩ)]]/(Table9[[#This Row],[RLower(min) (kΩ)]]+RT1_TH_S_MAX)*100</f>
        <v>75.579725082914123</v>
      </c>
      <c r="AK136" s="195">
        <f>Table9[[#This Row],[RLower(nom) (kΩ)]]/(Table9[[#This Row],[RLower(nom) (kΩ)]]+RT1_TH_S)*100</f>
        <v>75.80342802394135</v>
      </c>
      <c r="AL136" s="195">
        <f>Table9[[#This Row],[RLower(max) (kΩ)]]/(Table9[[#This Row],[RLower(max) (kΩ)]]+RT1_TH_S_MIN)*100</f>
        <v>76.021632123100744</v>
      </c>
      <c r="AM136" s="195">
        <f>IF(Table9[[#This Row],[Vmin (%)]]&lt;$BA$14, 0, IF(Table9[[#This Row],[Vmin (%)]]&lt;$BA$12, 4, IF(Table9[[#This Row],[Vmin (%)]]&lt;$BA$9, 3, IF(Table9[[#This Row],[Vmin (%)]]&lt;$BA$7, 2, 0))))</f>
        <v>2</v>
      </c>
      <c r="AN136" s="195">
        <f>IF(Table9[[#This Row],[Vmin (%)]]&lt;$BA$13, 0, IF(Table9[[#This Row],[Vmin (%)]]&lt;$BA$11, 4, IF(Table9[[#This Row],[Vmin (%)]]&lt;$BA$10, 3, IF(Table9[[#This Row],[Vmin (%)]]&lt;$BA$8, 2, 0))))</f>
        <v>2</v>
      </c>
      <c r="AO136" s="197" t="str">
        <f>IF(Table9[[#This Row],[Vmin (%)]]&lt;$BA$14, "Hot", IF(Table9[[#This Row],[Vmin (%)]]&lt;$BA$12, "Warm", IF(Table9[[#This Row],[Vmin (%)]]&lt;$BA$9, "Normal", IF(Table9[[#This Row],[Vmin (%)]]&lt;$BA$7, "Cool", "Cold"))))</f>
        <v>Cool</v>
      </c>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c r="FH136" s="21"/>
      <c r="FI136" s="21"/>
      <c r="FJ136" s="21"/>
      <c r="FK136" s="21"/>
      <c r="FL136" s="21"/>
      <c r="FM136" s="21"/>
      <c r="FN136" s="21"/>
      <c r="FO136" s="21"/>
      <c r="FP136" s="21"/>
      <c r="FQ136" s="21"/>
      <c r="FR136" s="21"/>
      <c r="FS136" s="21"/>
      <c r="FT136" s="21"/>
      <c r="FU136" s="21"/>
      <c r="FV136" s="21"/>
      <c r="FW136" s="21"/>
      <c r="FX136" s="21"/>
      <c r="FY136" s="21"/>
      <c r="FZ136" s="21"/>
      <c r="GA136" s="21"/>
      <c r="GB136" s="21"/>
      <c r="GC136" s="21"/>
      <c r="GD136" s="21"/>
      <c r="GE136" s="21"/>
      <c r="GF136" s="21"/>
      <c r="GG136" s="21"/>
      <c r="GH136" s="21"/>
      <c r="GI136" s="21"/>
      <c r="GJ136" s="21"/>
      <c r="GK136" s="21"/>
      <c r="GL136" s="21"/>
      <c r="GM136" s="21"/>
      <c r="GN136" s="21"/>
      <c r="GO136" s="21"/>
      <c r="GP136" s="21"/>
      <c r="GQ136" s="21"/>
      <c r="GR136" s="21"/>
      <c r="GS136" s="21"/>
      <c r="GT136" s="21"/>
      <c r="GU136" s="21"/>
      <c r="GV136" s="21"/>
      <c r="GW136" s="21"/>
      <c r="GX136" s="21"/>
      <c r="GY136" s="21"/>
      <c r="GZ136" s="21"/>
      <c r="HA136" s="21"/>
      <c r="HB136" s="21"/>
    </row>
    <row r="137" spans="1:210" x14ac:dyDescent="0.25">
      <c r="A137" s="118">
        <f t="shared" si="17"/>
        <v>-7</v>
      </c>
      <c r="B137" s="179"/>
      <c r="C137" s="188" t="str">
        <f t="shared" si="20"/>
        <v>RTH at -7 °C</v>
      </c>
      <c r="D137" s="219">
        <f t="shared" si="19"/>
        <v>2.3866666666666667</v>
      </c>
      <c r="E137" s="220">
        <v>36.21</v>
      </c>
      <c r="F137" s="221">
        <v>37.06</v>
      </c>
      <c r="G137" s="222">
        <v>37.92</v>
      </c>
      <c r="H137" s="138" t="s">
        <v>30</v>
      </c>
      <c r="I137" s="31"/>
      <c r="J137" s="31">
        <v>37.92</v>
      </c>
      <c r="K137" s="31">
        <v>37.06</v>
      </c>
      <c r="L137" s="31">
        <v>36.21</v>
      </c>
      <c r="M137" s="31"/>
      <c r="N137" s="31"/>
      <c r="O137" s="31"/>
      <c r="P137" s="31"/>
      <c r="Q137" s="31"/>
      <c r="R137" s="31"/>
      <c r="S137" s="31"/>
      <c r="T137" s="31"/>
      <c r="U137" s="31"/>
      <c r="V137" s="31"/>
      <c r="W137" s="31"/>
      <c r="X137" s="31"/>
      <c r="Y137" s="32"/>
      <c r="Z137" s="20"/>
      <c r="AA137" s="21"/>
      <c r="AB137" s="21"/>
      <c r="AC137" s="195">
        <f t="shared" si="21"/>
        <v>-7</v>
      </c>
      <c r="AD137" s="195">
        <f t="shared" si="22"/>
        <v>36.21</v>
      </c>
      <c r="AE137" s="195">
        <f t="shared" si="23"/>
        <v>37.06</v>
      </c>
      <c r="AF137" s="195">
        <f t="shared" si="24"/>
        <v>37.92</v>
      </c>
      <c r="AG137" s="195">
        <f>Table9[[#This Row],[RTH(min) (kΩ)]]*RT2_TH_MIN/(RT2_TH_MIN+Table9[[#This Row],[RTH(min) (kΩ)]])</f>
        <v>16.547878817771398</v>
      </c>
      <c r="AH137" s="195">
        <f>Table9[[#This Row],[RTH(nom) (kΩ)]]*RT2_TH_S/(RT2_TH_S+Table9[[#This Row],[RTH(nom) (kΩ)]])</f>
        <v>16.732346176821302</v>
      </c>
      <c r="AI137" s="195">
        <f>Table9[[#This Row],[RTH(max) (kΩ)]]*RT2_TH_S_MAX/(RT2_TH_S_MAX+Table9[[#This Row],[RTH(max) (kΩ)]])</f>
        <v>16.914815161476682</v>
      </c>
      <c r="AJ137" s="195">
        <f>Table9[[#This Row],[RLower(min) (kΩ)]]/(Table9[[#This Row],[RLower(min) (kΩ)]]+RT1_TH_S_MAX)*100</f>
        <v>75.956121438491195</v>
      </c>
      <c r="AK137" s="195">
        <f>Table9[[#This Row],[RLower(nom) (kΩ)]]/(Table9[[#This Row],[RLower(nom) (kΩ)]]+RT1_TH_S)*100</f>
        <v>76.176140299088971</v>
      </c>
      <c r="AL137" s="195">
        <f>Table9[[#This Row],[RLower(max) (kΩ)]]/(Table9[[#This Row],[RLower(max) (kΩ)]]+RT1_TH_S_MIN)*100</f>
        <v>76.390466994094481</v>
      </c>
      <c r="AM137" s="195">
        <f>IF(Table9[[#This Row],[Vmin (%)]]&lt;$BA$14, 0, IF(Table9[[#This Row],[Vmin (%)]]&lt;$BA$12, 4, IF(Table9[[#This Row],[Vmin (%)]]&lt;$BA$9, 3, IF(Table9[[#This Row],[Vmin (%)]]&lt;$BA$7, 2, 0))))</f>
        <v>2</v>
      </c>
      <c r="AN137" s="195">
        <f>IF(Table9[[#This Row],[Vmin (%)]]&lt;$BA$13, 0, IF(Table9[[#This Row],[Vmin (%)]]&lt;$BA$11, 4, IF(Table9[[#This Row],[Vmin (%)]]&lt;$BA$10, 3, IF(Table9[[#This Row],[Vmin (%)]]&lt;$BA$8, 2, 0))))</f>
        <v>2</v>
      </c>
      <c r="AO137" s="197" t="str">
        <f>IF(Table9[[#This Row],[Vmin (%)]]&lt;$BA$14, "Hot", IF(Table9[[#This Row],[Vmin (%)]]&lt;$BA$12, "Warm", IF(Table9[[#This Row],[Vmin (%)]]&lt;$BA$9, "Normal", IF(Table9[[#This Row],[Vmin (%)]]&lt;$BA$7, "Cool", "Cold"))))</f>
        <v>Cool</v>
      </c>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c r="FH137" s="21"/>
      <c r="FI137" s="21"/>
      <c r="FJ137" s="21"/>
      <c r="FK137" s="21"/>
      <c r="FL137" s="21"/>
      <c r="FM137" s="21"/>
      <c r="FN137" s="21"/>
      <c r="FO137" s="21"/>
      <c r="FP137" s="21"/>
      <c r="FQ137" s="21"/>
      <c r="FR137" s="21"/>
      <c r="FS137" s="21"/>
      <c r="FT137" s="21"/>
      <c r="FU137" s="21"/>
      <c r="FV137" s="21"/>
      <c r="FW137" s="21"/>
      <c r="FX137" s="21"/>
      <c r="FY137" s="21"/>
      <c r="FZ137" s="21"/>
      <c r="GA137" s="21"/>
      <c r="GB137" s="21"/>
      <c r="GC137" s="21"/>
      <c r="GD137" s="21"/>
      <c r="GE137" s="21"/>
      <c r="GF137" s="21"/>
      <c r="GG137" s="21"/>
      <c r="GH137" s="21"/>
      <c r="GI137" s="21"/>
      <c r="GJ137" s="21"/>
      <c r="GK137" s="21"/>
      <c r="GL137" s="21"/>
      <c r="GM137" s="21"/>
      <c r="GN137" s="21"/>
      <c r="GO137" s="21"/>
      <c r="GP137" s="21"/>
      <c r="GQ137" s="21"/>
      <c r="GR137" s="21"/>
      <c r="GS137" s="21"/>
      <c r="GT137" s="21"/>
      <c r="GU137" s="21"/>
      <c r="GV137" s="21"/>
      <c r="GW137" s="21"/>
      <c r="GX137" s="21"/>
      <c r="GY137" s="21"/>
      <c r="GZ137" s="21"/>
      <c r="HA137" s="21"/>
      <c r="HB137" s="21"/>
    </row>
    <row r="138" spans="1:210" x14ac:dyDescent="0.25">
      <c r="A138" s="118">
        <f t="shared" si="17"/>
        <v>-8</v>
      </c>
      <c r="B138" s="179"/>
      <c r="C138" s="188" t="str">
        <f t="shared" si="20"/>
        <v>RTH at -8 °C</v>
      </c>
      <c r="D138" s="219">
        <f t="shared" si="19"/>
        <v>2.4299999999999997</v>
      </c>
      <c r="E138" s="220">
        <v>37.86</v>
      </c>
      <c r="F138" s="221">
        <v>38.770000000000003</v>
      </c>
      <c r="G138" s="222">
        <v>39.69</v>
      </c>
      <c r="H138" s="138" t="s">
        <v>30</v>
      </c>
      <c r="I138" s="31"/>
      <c r="J138" s="31">
        <v>39.69</v>
      </c>
      <c r="K138" s="31">
        <v>38.770000000000003</v>
      </c>
      <c r="L138" s="31">
        <v>37.86</v>
      </c>
      <c r="M138" s="31"/>
      <c r="N138" s="31"/>
      <c r="O138" s="31"/>
      <c r="P138" s="31"/>
      <c r="Q138" s="31"/>
      <c r="R138" s="31"/>
      <c r="S138" s="31"/>
      <c r="T138" s="31"/>
      <c r="U138" s="31"/>
      <c r="V138" s="31"/>
      <c r="W138" s="31"/>
      <c r="X138" s="31"/>
      <c r="Y138" s="32"/>
      <c r="Z138" s="20"/>
      <c r="AA138" s="21"/>
      <c r="AB138" s="21"/>
      <c r="AC138" s="195">
        <f t="shared" si="21"/>
        <v>-8</v>
      </c>
      <c r="AD138" s="195">
        <f t="shared" si="22"/>
        <v>37.86</v>
      </c>
      <c r="AE138" s="195">
        <f t="shared" si="23"/>
        <v>38.770000000000003</v>
      </c>
      <c r="AF138" s="195">
        <f t="shared" si="24"/>
        <v>39.69</v>
      </c>
      <c r="AG138" s="195">
        <f>Table9[[#This Row],[RTH(min) (kΩ)]]*RT2_TH_MIN/(RT2_TH_MIN+Table9[[#This Row],[RTH(min) (kΩ)]])</f>
        <v>16.884155287441313</v>
      </c>
      <c r="AH138" s="195">
        <f>Table9[[#This Row],[RTH(nom) (kΩ)]]*RT2_TH_S/(RT2_TH_S+Table9[[#This Row],[RTH(nom) (kΩ)]])</f>
        <v>17.072319040651863</v>
      </c>
      <c r="AI138" s="195">
        <f>Table9[[#This Row],[RTH(max) (kΩ)]]*RT2_TH_S_MAX/(RT2_TH_S_MAX+Table9[[#This Row],[RTH(max) (kΩ)]])</f>
        <v>17.258123754560309</v>
      </c>
      <c r="AJ138" s="195">
        <f>Table9[[#This Row],[RLower(min) (kΩ)]]/(Table9[[#This Row],[RLower(min) (kΩ)]]+RT1_TH_S_MAX)*100</f>
        <v>76.321606111019307</v>
      </c>
      <c r="AK138" s="195">
        <f>Table9[[#This Row],[RLower(nom) (kΩ)]]/(Table9[[#This Row],[RLower(nom) (kΩ)]]+RT1_TH_S)*100</f>
        <v>76.539258576393493</v>
      </c>
      <c r="AL138" s="195">
        <f>Table9[[#This Row],[RLower(max) (kΩ)]]/(Table9[[#This Row],[RLower(max) (kΩ)]]+RT1_TH_S_MIN)*100</f>
        <v>76.750931199678163</v>
      </c>
      <c r="AM138" s="195">
        <f>IF(Table9[[#This Row],[Vmin (%)]]&lt;$BA$14, 0, IF(Table9[[#This Row],[Vmin (%)]]&lt;$BA$12, 4, IF(Table9[[#This Row],[Vmin (%)]]&lt;$BA$9, 3, IF(Table9[[#This Row],[Vmin (%)]]&lt;$BA$7, 2, 0))))</f>
        <v>2</v>
      </c>
      <c r="AN138" s="195">
        <f>IF(Table9[[#This Row],[Vmin (%)]]&lt;$BA$13, 0, IF(Table9[[#This Row],[Vmin (%)]]&lt;$BA$11, 4, IF(Table9[[#This Row],[Vmin (%)]]&lt;$BA$10, 3, IF(Table9[[#This Row],[Vmin (%)]]&lt;$BA$8, 2, 0))))</f>
        <v>0</v>
      </c>
      <c r="AO138" s="197" t="str">
        <f>IF(Table9[[#This Row],[Vmin (%)]]&lt;$BA$14, "Hot", IF(Table9[[#This Row],[Vmin (%)]]&lt;$BA$12, "Warm", IF(Table9[[#This Row],[Vmin (%)]]&lt;$BA$9, "Normal", IF(Table9[[#This Row],[Vmin (%)]]&lt;$BA$7, "Cool", "Cold"))))</f>
        <v>Cool</v>
      </c>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F138" s="21"/>
      <c r="GG138" s="21"/>
      <c r="GH138" s="21"/>
      <c r="GI138" s="21"/>
      <c r="GJ138" s="21"/>
      <c r="GK138" s="21"/>
      <c r="GL138" s="21"/>
      <c r="GM138" s="21"/>
      <c r="GN138" s="21"/>
      <c r="GO138" s="21"/>
      <c r="GP138" s="21"/>
      <c r="GQ138" s="21"/>
      <c r="GR138" s="21"/>
      <c r="GS138" s="21"/>
      <c r="GT138" s="21"/>
      <c r="GU138" s="21"/>
      <c r="GV138" s="21"/>
      <c r="GW138" s="21"/>
      <c r="GX138" s="21"/>
      <c r="GY138" s="21"/>
      <c r="GZ138" s="21"/>
      <c r="HA138" s="21"/>
      <c r="HB138" s="21"/>
    </row>
    <row r="139" spans="1:210" x14ac:dyDescent="0.25">
      <c r="A139" s="118">
        <f t="shared" si="17"/>
        <v>-9</v>
      </c>
      <c r="B139" s="179"/>
      <c r="C139" s="188" t="str">
        <f t="shared" si="20"/>
        <v>RTH at -9 °C</v>
      </c>
      <c r="D139" s="219">
        <f t="shared" si="19"/>
        <v>2.4733333333333336</v>
      </c>
      <c r="E139" s="220">
        <v>39.6</v>
      </c>
      <c r="F139" s="221">
        <v>40.57</v>
      </c>
      <c r="G139" s="222">
        <v>41.55</v>
      </c>
      <c r="H139" s="138" t="s">
        <v>30</v>
      </c>
      <c r="I139" s="31"/>
      <c r="J139" s="31">
        <v>41.55</v>
      </c>
      <c r="K139" s="31">
        <v>40.57</v>
      </c>
      <c r="L139" s="31">
        <v>39.6</v>
      </c>
      <c r="M139" s="31"/>
      <c r="N139" s="31"/>
      <c r="O139" s="31"/>
      <c r="P139" s="31"/>
      <c r="Q139" s="31"/>
      <c r="R139" s="31"/>
      <c r="S139" s="31"/>
      <c r="T139" s="31"/>
      <c r="U139" s="31"/>
      <c r="V139" s="31"/>
      <c r="W139" s="31"/>
      <c r="X139" s="31"/>
      <c r="Y139" s="32"/>
      <c r="Z139" s="20"/>
      <c r="AA139" s="21"/>
      <c r="AB139" s="21"/>
      <c r="AC139" s="195">
        <f t="shared" si="21"/>
        <v>-9</v>
      </c>
      <c r="AD139" s="195">
        <f t="shared" si="22"/>
        <v>39.6</v>
      </c>
      <c r="AE139" s="195">
        <f t="shared" si="23"/>
        <v>40.57</v>
      </c>
      <c r="AF139" s="195">
        <f t="shared" si="24"/>
        <v>41.55</v>
      </c>
      <c r="AG139" s="195">
        <f>Table9[[#This Row],[RTH(min) (kΩ)]]*RT2_TH_MIN/(RT2_TH_MIN+Table9[[#This Row],[RTH(min) (kΩ)]])</f>
        <v>17.221618752284918</v>
      </c>
      <c r="AH139" s="195">
        <f>Table9[[#This Row],[RTH(nom) (kΩ)]]*RT2_TH_S/(RT2_TH_S+Table9[[#This Row],[RTH(nom) (kΩ)]])</f>
        <v>17.412512257265817</v>
      </c>
      <c r="AI139" s="195">
        <f>Table9[[#This Row],[RTH(max) (kΩ)]]*RT2_TH_S_MAX/(RT2_TH_S_MAX+Table9[[#This Row],[RTH(max) (kΩ)]])</f>
        <v>17.600721794862359</v>
      </c>
      <c r="AJ139" s="195">
        <f>Table9[[#This Row],[RLower(min) (kΩ)]]/(Table9[[#This Row],[RLower(min) (kΩ)]]+RT1_TH_S_MAX)*100</f>
        <v>76.677378539292945</v>
      </c>
      <c r="AK139" s="195">
        <f>Table9[[#This Row],[RLower(nom) (kΩ)]]/(Table9[[#This Row],[RLower(nom) (kΩ)]]+RT1_TH_S)*100</f>
        <v>76.891698747257919</v>
      </c>
      <c r="AL139" s="195">
        <f>Table9[[#This Row],[RLower(max) (kΩ)]]/(Table9[[#This Row],[RLower(max) (kΩ)]]+RT1_TH_S_MIN)*100</f>
        <v>77.099841220279544</v>
      </c>
      <c r="AM139" s="195">
        <f>IF(Table9[[#This Row],[Vmin (%)]]&lt;$BA$14, 0, IF(Table9[[#This Row],[Vmin (%)]]&lt;$BA$12, 4, IF(Table9[[#This Row],[Vmin (%)]]&lt;$BA$9, 3, IF(Table9[[#This Row],[Vmin (%)]]&lt;$BA$7, 2, 0))))</f>
        <v>2</v>
      </c>
      <c r="AN139" s="195">
        <f>IF(Table9[[#This Row],[Vmin (%)]]&lt;$BA$13, 0, IF(Table9[[#This Row],[Vmin (%)]]&lt;$BA$11, 4, IF(Table9[[#This Row],[Vmin (%)]]&lt;$BA$10, 3, IF(Table9[[#This Row],[Vmin (%)]]&lt;$BA$8, 2, 0))))</f>
        <v>0</v>
      </c>
      <c r="AO139" s="197" t="str">
        <f>IF(Table9[[#This Row],[Vmin (%)]]&lt;$BA$14, "Hot", IF(Table9[[#This Row],[Vmin (%)]]&lt;$BA$12, "Warm", IF(Table9[[#This Row],[Vmin (%)]]&lt;$BA$9, "Normal", IF(Table9[[#This Row],[Vmin (%)]]&lt;$BA$7, "Cool", "Cold"))))</f>
        <v>Cool</v>
      </c>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c r="FH139" s="21"/>
      <c r="FI139" s="21"/>
      <c r="FJ139" s="21"/>
      <c r="FK139" s="21"/>
      <c r="FL139" s="21"/>
      <c r="FM139" s="21"/>
      <c r="FN139" s="21"/>
      <c r="FO139" s="21"/>
      <c r="FP139" s="21"/>
      <c r="FQ139" s="21"/>
      <c r="FR139" s="21"/>
      <c r="FS139" s="21"/>
      <c r="FT139" s="21"/>
      <c r="FU139" s="21"/>
      <c r="FV139" s="21"/>
      <c r="FW139" s="21"/>
      <c r="FX139" s="21"/>
      <c r="FY139" s="21"/>
      <c r="FZ139" s="21"/>
      <c r="GA139" s="21"/>
      <c r="GB139" s="21"/>
      <c r="GC139" s="21"/>
      <c r="GD139" s="21"/>
      <c r="GE139" s="21"/>
      <c r="GF139" s="21"/>
      <c r="GG139" s="21"/>
      <c r="GH139" s="21"/>
      <c r="GI139" s="21"/>
      <c r="GJ139" s="21"/>
      <c r="GK139" s="21"/>
      <c r="GL139" s="21"/>
      <c r="GM139" s="21"/>
      <c r="GN139" s="21"/>
      <c r="GO139" s="21"/>
      <c r="GP139" s="21"/>
      <c r="GQ139" s="21"/>
      <c r="GR139" s="21"/>
      <c r="GS139" s="21"/>
      <c r="GT139" s="21"/>
      <c r="GU139" s="21"/>
      <c r="GV139" s="21"/>
      <c r="GW139" s="21"/>
      <c r="GX139" s="21"/>
      <c r="GY139" s="21"/>
      <c r="GZ139" s="21"/>
      <c r="HA139" s="21"/>
      <c r="HB139" s="21"/>
    </row>
    <row r="140" spans="1:210" x14ac:dyDescent="0.25">
      <c r="A140" s="118">
        <f t="shared" si="17"/>
        <v>-10</v>
      </c>
      <c r="B140" s="179"/>
      <c r="C140" s="188" t="str">
        <f t="shared" si="20"/>
        <v>RTH at -10 °C</v>
      </c>
      <c r="D140" s="219">
        <f t="shared" si="19"/>
        <v>2.5166666666666666</v>
      </c>
      <c r="E140" s="220">
        <v>41.43</v>
      </c>
      <c r="F140" s="221">
        <v>42.47</v>
      </c>
      <c r="G140" s="222">
        <v>43.52</v>
      </c>
      <c r="H140" s="138" t="s">
        <v>30</v>
      </c>
      <c r="I140" s="31"/>
      <c r="J140" s="31">
        <v>43.52</v>
      </c>
      <c r="K140" s="31">
        <v>42.47</v>
      </c>
      <c r="L140" s="31">
        <v>41.43</v>
      </c>
      <c r="M140" s="31"/>
      <c r="N140" s="31"/>
      <c r="O140" s="31"/>
      <c r="P140" s="31"/>
      <c r="Q140" s="31"/>
      <c r="R140" s="31"/>
      <c r="S140" s="31"/>
      <c r="T140" s="31"/>
      <c r="U140" s="31"/>
      <c r="V140" s="31"/>
      <c r="W140" s="31"/>
      <c r="X140" s="31"/>
      <c r="Y140" s="32"/>
      <c r="Z140" s="20"/>
      <c r="AA140" s="21"/>
      <c r="AB140" s="21"/>
      <c r="AC140" s="195">
        <f t="shared" si="21"/>
        <v>-10</v>
      </c>
      <c r="AD140" s="195">
        <f t="shared" si="22"/>
        <v>41.43</v>
      </c>
      <c r="AE140" s="195">
        <f t="shared" si="23"/>
        <v>42.47</v>
      </c>
      <c r="AF140" s="195">
        <f t="shared" si="24"/>
        <v>43.52</v>
      </c>
      <c r="AG140" s="195">
        <f>Table9[[#This Row],[RTH(min) (kΩ)]]*RT2_TH_MIN/(RT2_TH_MIN+Table9[[#This Row],[RTH(min) (kΩ)]])</f>
        <v>17.558915877253497</v>
      </c>
      <c r="AH140" s="195">
        <f>Table9[[#This Row],[RTH(nom) (kΩ)]]*RT2_TH_S/(RT2_TH_S+Table9[[#This Row],[RTH(nom) (kΩ)]])</f>
        <v>17.753398335405329</v>
      </c>
      <c r="AI140" s="195">
        <f>Table9[[#This Row],[RTH(max) (kΩ)]]*RT2_TH_S_MAX/(RT2_TH_S_MAX+Table9[[#This Row],[RTH(max) (kΩ)]])</f>
        <v>17.944814740247175</v>
      </c>
      <c r="AJ140" s="195">
        <f>Table9[[#This Row],[RLower(min) (kΩ)]]/(Table9[[#This Row],[RLower(min) (kΩ)]]+RT1_TH_S_MAX)*100</f>
        <v>77.022450472008032</v>
      </c>
      <c r="AK140" s="195">
        <f>Table9[[#This Row],[RLower(nom) (kΩ)]]/(Table9[[#This Row],[RLower(nom) (kΩ)]]+RT1_TH_S)*100</f>
        <v>77.234392765933919</v>
      </c>
      <c r="AL140" s="195">
        <f>Table9[[#This Row],[RLower(max) (kΩ)]]/(Table9[[#This Row],[RLower(max) (kΩ)]]+RT1_TH_S_MIN)*100</f>
        <v>77.439889048360072</v>
      </c>
      <c r="AM140" s="195">
        <f>IF(Table9[[#This Row],[Vmin (%)]]&lt;$BA$14, 0, IF(Table9[[#This Row],[Vmin (%)]]&lt;$BA$12, 4, IF(Table9[[#This Row],[Vmin (%)]]&lt;$BA$9, 3, IF(Table9[[#This Row],[Vmin (%)]]&lt;$BA$7, 2, 0))))</f>
        <v>2</v>
      </c>
      <c r="AN140" s="195">
        <f>IF(Table9[[#This Row],[Vmin (%)]]&lt;$BA$13, 0, IF(Table9[[#This Row],[Vmin (%)]]&lt;$BA$11, 4, IF(Table9[[#This Row],[Vmin (%)]]&lt;$BA$10, 3, IF(Table9[[#This Row],[Vmin (%)]]&lt;$BA$8, 2, 0))))</f>
        <v>0</v>
      </c>
      <c r="AO140" s="197" t="str">
        <f>IF(Table9[[#This Row],[Vmin (%)]]&lt;$BA$14, "Hot", IF(Table9[[#This Row],[Vmin (%)]]&lt;$BA$12, "Warm", IF(Table9[[#This Row],[Vmin (%)]]&lt;$BA$9, "Normal", IF(Table9[[#This Row],[Vmin (%)]]&lt;$BA$7, "Cool", "Cold"))))</f>
        <v>Cool</v>
      </c>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F140" s="21"/>
      <c r="GG140" s="21"/>
      <c r="GH140" s="21"/>
      <c r="GI140" s="21"/>
      <c r="GJ140" s="21"/>
      <c r="GK140" s="21"/>
      <c r="GL140" s="21"/>
      <c r="GM140" s="21"/>
      <c r="GN140" s="21"/>
      <c r="GO140" s="21"/>
      <c r="GP140" s="21"/>
      <c r="GQ140" s="21"/>
      <c r="GR140" s="21"/>
      <c r="GS140" s="21"/>
      <c r="GT140" s="21"/>
      <c r="GU140" s="21"/>
      <c r="GV140" s="21"/>
      <c r="GW140" s="21"/>
      <c r="GX140" s="21"/>
      <c r="GY140" s="21"/>
      <c r="GZ140" s="21"/>
      <c r="HA140" s="21"/>
      <c r="HB140" s="21"/>
    </row>
    <row r="141" spans="1:210" x14ac:dyDescent="0.25">
      <c r="A141" s="118">
        <f t="shared" si="17"/>
        <v>-11</v>
      </c>
      <c r="B141" s="179"/>
      <c r="C141" s="188" t="str">
        <f t="shared" si="20"/>
        <v>RTH at -11 °C</v>
      </c>
      <c r="D141" s="219">
        <f t="shared" si="19"/>
        <v>2.56</v>
      </c>
      <c r="E141" s="220">
        <v>43.33</v>
      </c>
      <c r="F141" s="221">
        <v>44.43</v>
      </c>
      <c r="G141" s="222">
        <v>45.55</v>
      </c>
      <c r="H141" s="138" t="s">
        <v>30</v>
      </c>
      <c r="I141" s="31"/>
      <c r="J141" s="31">
        <v>45.55</v>
      </c>
      <c r="K141" s="31">
        <v>44.43</v>
      </c>
      <c r="L141" s="31">
        <v>43.33</v>
      </c>
      <c r="M141" s="31"/>
      <c r="N141" s="31"/>
      <c r="O141" s="31"/>
      <c r="P141" s="31"/>
      <c r="Q141" s="31"/>
      <c r="R141" s="31"/>
      <c r="S141" s="31"/>
      <c r="T141" s="31"/>
      <c r="U141" s="31"/>
      <c r="V141" s="31"/>
      <c r="W141" s="31"/>
      <c r="X141" s="31"/>
      <c r="Y141" s="32"/>
      <c r="Z141" s="20"/>
      <c r="AA141" s="21"/>
      <c r="AB141" s="21"/>
      <c r="AC141" s="195">
        <f t="shared" si="21"/>
        <v>-11</v>
      </c>
      <c r="AD141" s="195">
        <f t="shared" si="22"/>
        <v>43.33</v>
      </c>
      <c r="AE141" s="195">
        <f t="shared" si="23"/>
        <v>44.43</v>
      </c>
      <c r="AF141" s="195">
        <f t="shared" si="24"/>
        <v>45.55</v>
      </c>
      <c r="AG141" s="195">
        <f>Table9[[#This Row],[RTH(min) (kΩ)]]*RT2_TH_MIN/(RT2_TH_MIN+Table9[[#This Row],[RTH(min) (kΩ)]])</f>
        <v>17.891416452940838</v>
      </c>
      <c r="AH141" s="195">
        <f>Table9[[#This Row],[RTH(nom) (kΩ)]]*RT2_TH_S/(RT2_TH_S+Table9[[#This Row],[RTH(nom) (kΩ)]])</f>
        <v>18.086935305946298</v>
      </c>
      <c r="AI141" s="195">
        <f>Table9[[#This Row],[RTH(max) (kΩ)]]*RT2_TH_S_MAX/(RT2_TH_S_MAX+Table9[[#This Row],[RTH(max) (kΩ)]])</f>
        <v>18.280746980951893</v>
      </c>
      <c r="AJ141" s="195">
        <f>Table9[[#This Row],[RLower(min) (kΩ)]]/(Table9[[#This Row],[RLower(min) (kΩ)]]+RT1_TH_S_MAX)*100</f>
        <v>77.352764659810276</v>
      </c>
      <c r="AK141" s="195">
        <f>Table9[[#This Row],[RLower(nom) (kΩ)]]/(Table9[[#This Row],[RLower(nom) (kΩ)]]+RT1_TH_S)*100</f>
        <v>77.560001497366116</v>
      </c>
      <c r="AL141" s="195">
        <f>Table9[[#This Row],[RLower(max) (kΩ)]]/(Table9[[#This Row],[RLower(max) (kΩ)]]+RT1_TH_S_MIN)*100</f>
        <v>77.762268909541717</v>
      </c>
      <c r="AM141" s="195">
        <f>IF(Table9[[#This Row],[Vmin (%)]]&lt;$BA$14, 0, IF(Table9[[#This Row],[Vmin (%)]]&lt;$BA$12, 4, IF(Table9[[#This Row],[Vmin (%)]]&lt;$BA$9, 3, IF(Table9[[#This Row],[Vmin (%)]]&lt;$BA$7, 2, 0))))</f>
        <v>0</v>
      </c>
      <c r="AN141" s="195">
        <f>IF(Table9[[#This Row],[Vmin (%)]]&lt;$BA$13, 0, IF(Table9[[#This Row],[Vmin (%)]]&lt;$BA$11, 4, IF(Table9[[#This Row],[Vmin (%)]]&lt;$BA$10, 3, IF(Table9[[#This Row],[Vmin (%)]]&lt;$BA$8, 2, 0))))</f>
        <v>0</v>
      </c>
      <c r="AO141" s="197" t="str">
        <f>IF(Table9[[#This Row],[Vmin (%)]]&lt;$BA$14, "Hot", IF(Table9[[#This Row],[Vmin (%)]]&lt;$BA$12, "Warm", IF(Table9[[#This Row],[Vmin (%)]]&lt;$BA$9, "Normal", IF(Table9[[#This Row],[Vmin (%)]]&lt;$BA$7, "Cool", "Cold"))))</f>
        <v>Cold</v>
      </c>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c r="FH141" s="21"/>
      <c r="FI141" s="21"/>
      <c r="FJ141" s="21"/>
      <c r="FK141" s="21"/>
      <c r="FL141" s="21"/>
      <c r="FM141" s="21"/>
      <c r="FN141" s="21"/>
      <c r="FO141" s="21"/>
      <c r="FP141" s="21"/>
      <c r="FQ141" s="21"/>
      <c r="FR141" s="21"/>
      <c r="FS141" s="21"/>
      <c r="FT141" s="21"/>
      <c r="FU141" s="21"/>
      <c r="FV141" s="21"/>
      <c r="FW141" s="21"/>
      <c r="FX141" s="21"/>
      <c r="FY141" s="21"/>
      <c r="FZ141" s="21"/>
      <c r="GA141" s="21"/>
      <c r="GB141" s="21"/>
      <c r="GC141" s="21"/>
      <c r="GD141" s="21"/>
      <c r="GE141" s="21"/>
      <c r="GF141" s="21"/>
      <c r="GG141" s="21"/>
      <c r="GH141" s="21"/>
      <c r="GI141" s="21"/>
      <c r="GJ141" s="21"/>
      <c r="GK141" s="21"/>
      <c r="GL141" s="21"/>
      <c r="GM141" s="21"/>
      <c r="GN141" s="21"/>
      <c r="GO141" s="21"/>
      <c r="GP141" s="21"/>
      <c r="GQ141" s="21"/>
      <c r="GR141" s="21"/>
      <c r="GS141" s="21"/>
      <c r="GT141" s="21"/>
      <c r="GU141" s="21"/>
      <c r="GV141" s="21"/>
      <c r="GW141" s="21"/>
      <c r="GX141" s="21"/>
      <c r="GY141" s="21"/>
      <c r="GZ141" s="21"/>
      <c r="HA141" s="21"/>
      <c r="HB141" s="21"/>
    </row>
    <row r="142" spans="1:210" x14ac:dyDescent="0.25">
      <c r="A142" s="118">
        <f t="shared" si="17"/>
        <v>-12</v>
      </c>
      <c r="B142" s="179"/>
      <c r="C142" s="188" t="str">
        <f t="shared" si="20"/>
        <v>RTH at -12 °C</v>
      </c>
      <c r="D142" s="219">
        <f t="shared" si="19"/>
        <v>2.6033333333333335</v>
      </c>
      <c r="E142" s="220">
        <v>45.32</v>
      </c>
      <c r="F142" s="221">
        <v>46.5</v>
      </c>
      <c r="G142" s="222">
        <v>47.69</v>
      </c>
      <c r="H142" s="138" t="s">
        <v>30</v>
      </c>
      <c r="I142" s="31"/>
      <c r="J142" s="31">
        <v>47.69</v>
      </c>
      <c r="K142" s="31">
        <v>46.5</v>
      </c>
      <c r="L142" s="31">
        <v>45.32</v>
      </c>
      <c r="M142" s="31"/>
      <c r="N142" s="31"/>
      <c r="O142" s="31"/>
      <c r="P142" s="31"/>
      <c r="Q142" s="31"/>
      <c r="R142" s="31"/>
      <c r="S142" s="31"/>
      <c r="T142" s="31"/>
      <c r="U142" s="31"/>
      <c r="V142" s="31"/>
      <c r="W142" s="31"/>
      <c r="X142" s="31"/>
      <c r="Y142" s="32"/>
      <c r="Z142" s="20"/>
      <c r="AA142" s="21"/>
      <c r="AB142" s="21"/>
      <c r="AC142" s="195">
        <f t="shared" si="21"/>
        <v>-12</v>
      </c>
      <c r="AD142" s="195">
        <f t="shared" si="22"/>
        <v>45.32</v>
      </c>
      <c r="AE142" s="195">
        <f t="shared" si="23"/>
        <v>46.5</v>
      </c>
      <c r="AF142" s="195">
        <f t="shared" si="24"/>
        <v>47.69</v>
      </c>
      <c r="AG142" s="195">
        <f>Table9[[#This Row],[RTH(min) (kΩ)]]*RT2_TH_MIN/(RT2_TH_MIN+Table9[[#This Row],[RTH(min) (kΩ)]])</f>
        <v>18.221793859887708</v>
      </c>
      <c r="AH142" s="195">
        <f>Table9[[#This Row],[RTH(nom) (kΩ)]]*RT2_TH_S/(RT2_TH_S+Table9[[#This Row],[RTH(nom) (kΩ)]])</f>
        <v>18.420756202533262</v>
      </c>
      <c r="AI142" s="195">
        <f>Table9[[#This Row],[RTH(max) (kΩ)]]*RT2_TH_S_MAX/(RT2_TH_S_MAX+Table9[[#This Row],[RTH(max) (kΩ)]])</f>
        <v>18.616004465216356</v>
      </c>
      <c r="AJ142" s="195">
        <f>Table9[[#This Row],[RLower(min) (kΩ)]]/(Table9[[#This Row],[RLower(min) (kΩ)]]+RT1_TH_S_MAX)*100</f>
        <v>77.671695995962409</v>
      </c>
      <c r="AK142" s="195">
        <f>Table9[[#This Row],[RLower(nom) (kΩ)]]/(Table9[[#This Row],[RLower(nom) (kΩ)]]+RT1_TH_S)*100</f>
        <v>77.876692984297293</v>
      </c>
      <c r="AL142" s="195">
        <f>Table9[[#This Row],[RLower(max) (kΩ)]]/(Table9[[#This Row],[RLower(max) (kΩ)]]+RT1_TH_S_MIN)*100</f>
        <v>78.074944635251498</v>
      </c>
      <c r="AM142" s="195">
        <f>IF(Table9[[#This Row],[Vmin (%)]]&lt;$BA$14, 0, IF(Table9[[#This Row],[Vmin (%)]]&lt;$BA$12, 4, IF(Table9[[#This Row],[Vmin (%)]]&lt;$BA$9, 3, IF(Table9[[#This Row],[Vmin (%)]]&lt;$BA$7, 2, 0))))</f>
        <v>0</v>
      </c>
      <c r="AN142" s="195">
        <f>IF(Table9[[#This Row],[Vmin (%)]]&lt;$BA$13, 0, IF(Table9[[#This Row],[Vmin (%)]]&lt;$BA$11, 4, IF(Table9[[#This Row],[Vmin (%)]]&lt;$BA$10, 3, IF(Table9[[#This Row],[Vmin (%)]]&lt;$BA$8, 2, 0))))</f>
        <v>0</v>
      </c>
      <c r="AO142" s="197" t="str">
        <f>IF(Table9[[#This Row],[Vmin (%)]]&lt;$BA$14, "Hot", IF(Table9[[#This Row],[Vmin (%)]]&lt;$BA$12, "Warm", IF(Table9[[#This Row],[Vmin (%)]]&lt;$BA$9, "Normal", IF(Table9[[#This Row],[Vmin (%)]]&lt;$BA$7, "Cool", "Cold"))))</f>
        <v>Cold</v>
      </c>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c r="GY142" s="21"/>
      <c r="GZ142" s="21"/>
      <c r="HA142" s="21"/>
      <c r="HB142" s="21"/>
    </row>
    <row r="143" spans="1:210" x14ac:dyDescent="0.25">
      <c r="A143" s="118">
        <f t="shared" si="17"/>
        <v>-13</v>
      </c>
      <c r="B143" s="179"/>
      <c r="C143" s="188" t="str">
        <f t="shared" si="20"/>
        <v>RTH at -13 °C</v>
      </c>
      <c r="D143" s="219">
        <f t="shared" si="19"/>
        <v>2.6466666666666665</v>
      </c>
      <c r="E143" s="220">
        <v>47.43</v>
      </c>
      <c r="F143" s="221">
        <v>48.68</v>
      </c>
      <c r="G143" s="222">
        <v>49.95</v>
      </c>
      <c r="H143" s="138" t="s">
        <v>30</v>
      </c>
      <c r="I143" s="31"/>
      <c r="J143" s="31">
        <v>49.95</v>
      </c>
      <c r="K143" s="31">
        <v>48.68</v>
      </c>
      <c r="L143" s="31">
        <v>47.43</v>
      </c>
      <c r="M143" s="31"/>
      <c r="N143" s="31"/>
      <c r="O143" s="31"/>
      <c r="P143" s="31"/>
      <c r="Q143" s="31"/>
      <c r="R143" s="31"/>
      <c r="S143" s="31"/>
      <c r="T143" s="31"/>
      <c r="U143" s="31"/>
      <c r="V143" s="31"/>
      <c r="W143" s="31"/>
      <c r="X143" s="31"/>
      <c r="Y143" s="32"/>
      <c r="Z143" s="20"/>
      <c r="AA143" s="21"/>
      <c r="AB143" s="21"/>
      <c r="AC143" s="195">
        <f t="shared" si="21"/>
        <v>-13</v>
      </c>
      <c r="AD143" s="195">
        <f t="shared" si="22"/>
        <v>47.43</v>
      </c>
      <c r="AE143" s="195">
        <f t="shared" si="23"/>
        <v>48.68</v>
      </c>
      <c r="AF143" s="195">
        <f t="shared" si="24"/>
        <v>49.95</v>
      </c>
      <c r="AG143" s="195">
        <f>Table9[[#This Row],[RTH(min) (kΩ)]]*RT2_TH_MIN/(RT2_TH_MIN+Table9[[#This Row],[RTH(min) (kΩ)]])</f>
        <v>18.553657827898764</v>
      </c>
      <c r="AH143" s="195">
        <f>Table9[[#This Row],[RTH(nom) (kΩ)]]*RT2_TH_S/(RT2_TH_S+Table9[[#This Row],[RTH(nom) (kΩ)]])</f>
        <v>18.753447579660055</v>
      </c>
      <c r="AI143" s="195">
        <f>Table9[[#This Row],[RTH(max) (kΩ)]]*RT2_TH_S_MAX/(RT2_TH_S_MAX+Table9[[#This Row],[RTH(max) (kΩ)]])</f>
        <v>18.950705834320164</v>
      </c>
      <c r="AJ143" s="195">
        <f>Table9[[#This Row],[RLower(min) (kΩ)]]/(Table9[[#This Row],[RLower(min) (kΩ)]]+RT1_TH_S_MAX)*100</f>
        <v>77.983145068228737</v>
      </c>
      <c r="AK143" s="195">
        <f>Table9[[#This Row],[RLower(nom) (kΩ)]]/(Table9[[#This Row],[RLower(nom) (kΩ)]]+RT1_TH_S)*100</f>
        <v>78.183542765608465</v>
      </c>
      <c r="AL143" s="195">
        <f>Table9[[#This Row],[RLower(max) (kΩ)]]/(Table9[[#This Row],[RLower(max) (kΩ)]]+RT1_TH_S_MIN)*100</f>
        <v>78.378452172012175</v>
      </c>
      <c r="AM143" s="195">
        <f>IF(Table9[[#This Row],[Vmin (%)]]&lt;$BA$14, 0, IF(Table9[[#This Row],[Vmin (%)]]&lt;$BA$12, 4, IF(Table9[[#This Row],[Vmin (%)]]&lt;$BA$9, 3, IF(Table9[[#This Row],[Vmin (%)]]&lt;$BA$7, 2, 0))))</f>
        <v>0</v>
      </c>
      <c r="AN143" s="195">
        <f>IF(Table9[[#This Row],[Vmin (%)]]&lt;$BA$13, 0, IF(Table9[[#This Row],[Vmin (%)]]&lt;$BA$11, 4, IF(Table9[[#This Row],[Vmin (%)]]&lt;$BA$10, 3, IF(Table9[[#This Row],[Vmin (%)]]&lt;$BA$8, 2, 0))))</f>
        <v>0</v>
      </c>
      <c r="AO143" s="197" t="str">
        <f>IF(Table9[[#This Row],[Vmin (%)]]&lt;$BA$14, "Hot", IF(Table9[[#This Row],[Vmin (%)]]&lt;$BA$12, "Warm", IF(Table9[[#This Row],[Vmin (%)]]&lt;$BA$9, "Normal", IF(Table9[[#This Row],[Vmin (%)]]&lt;$BA$7, "Cool", "Cold"))))</f>
        <v>Cold</v>
      </c>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c r="FH143" s="21"/>
      <c r="FI143" s="21"/>
      <c r="FJ143" s="21"/>
      <c r="FK143" s="21"/>
      <c r="FL143" s="21"/>
      <c r="FM143" s="21"/>
      <c r="FN143" s="21"/>
      <c r="FO143" s="21"/>
      <c r="FP143" s="21"/>
      <c r="FQ143" s="21"/>
      <c r="FR143" s="21"/>
      <c r="FS143" s="21"/>
      <c r="FT143" s="21"/>
      <c r="FU143" s="21"/>
      <c r="FV143" s="21"/>
      <c r="FW143" s="21"/>
      <c r="FX143" s="21"/>
      <c r="FY143" s="21"/>
      <c r="FZ143" s="21"/>
      <c r="GA143" s="21"/>
      <c r="GB143" s="21"/>
      <c r="GC143" s="21"/>
      <c r="GD143" s="21"/>
      <c r="GE143" s="21"/>
      <c r="GF143" s="21"/>
      <c r="GG143" s="21"/>
      <c r="GH143" s="21"/>
      <c r="GI143" s="21"/>
      <c r="GJ143" s="21"/>
      <c r="GK143" s="21"/>
      <c r="GL143" s="21"/>
      <c r="GM143" s="21"/>
      <c r="GN143" s="21"/>
      <c r="GO143" s="21"/>
      <c r="GP143" s="21"/>
      <c r="GQ143" s="21"/>
      <c r="GR143" s="21"/>
      <c r="GS143" s="21"/>
      <c r="GT143" s="21"/>
      <c r="GU143" s="21"/>
      <c r="GV143" s="21"/>
      <c r="GW143" s="21"/>
      <c r="GX143" s="21"/>
      <c r="GY143" s="21"/>
      <c r="GZ143" s="21"/>
      <c r="HA143" s="21"/>
      <c r="HB143" s="21"/>
    </row>
    <row r="144" spans="1:210" x14ac:dyDescent="0.25">
      <c r="A144" s="118">
        <f t="shared" si="17"/>
        <v>-14</v>
      </c>
      <c r="B144" s="179"/>
      <c r="C144" s="188" t="str">
        <f t="shared" si="20"/>
        <v>RTH at -14 °C</v>
      </c>
      <c r="D144" s="219">
        <f t="shared" si="19"/>
        <v>2.69</v>
      </c>
      <c r="E144" s="220">
        <v>49.65</v>
      </c>
      <c r="F144" s="221">
        <v>50.98</v>
      </c>
      <c r="G144" s="222">
        <v>52.33</v>
      </c>
      <c r="H144" s="138" t="s">
        <v>30</v>
      </c>
      <c r="I144" s="31"/>
      <c r="J144" s="31">
        <v>52.33</v>
      </c>
      <c r="K144" s="31">
        <v>50.98</v>
      </c>
      <c r="L144" s="31">
        <v>49.65</v>
      </c>
      <c r="M144" s="31"/>
      <c r="N144" s="31"/>
      <c r="O144" s="31"/>
      <c r="P144" s="31"/>
      <c r="Q144" s="31"/>
      <c r="R144" s="31"/>
      <c r="S144" s="31"/>
      <c r="T144" s="31"/>
      <c r="U144" s="31"/>
      <c r="V144" s="31"/>
      <c r="W144" s="31"/>
      <c r="X144" s="31"/>
      <c r="Y144" s="32"/>
      <c r="Z144" s="20"/>
      <c r="AA144" s="21"/>
      <c r="AB144" s="21"/>
      <c r="AC144" s="195">
        <f t="shared" si="21"/>
        <v>-14</v>
      </c>
      <c r="AD144" s="195">
        <f t="shared" si="22"/>
        <v>49.65</v>
      </c>
      <c r="AE144" s="195">
        <f t="shared" si="23"/>
        <v>50.98</v>
      </c>
      <c r="AF144" s="195">
        <f t="shared" si="24"/>
        <v>52.33</v>
      </c>
      <c r="AG144" s="195">
        <f>Table9[[#This Row],[RTH(min) (kΩ)]]*RT2_TH_MIN/(RT2_TH_MIN+Table9[[#This Row],[RTH(min) (kΩ)]])</f>
        <v>18.88395363866881</v>
      </c>
      <c r="AH144" s="195">
        <f>Table9[[#This Row],[RTH(nom) (kΩ)]]*RT2_TH_S/(RT2_TH_S+Table9[[#This Row],[RTH(nom) (kΩ)]])</f>
        <v>19.085154268364018</v>
      </c>
      <c r="AI144" s="195">
        <f>Table9[[#This Row],[RTH(max) (kΩ)]]*RT2_TH_S_MAX/(RT2_TH_S_MAX+Table9[[#This Row],[RTH(max) (kΩ)]])</f>
        <v>19.28344252098502</v>
      </c>
      <c r="AJ144" s="195">
        <f>Table9[[#This Row],[RLower(min) (kΩ)]]/(Table9[[#This Row],[RLower(min) (kΩ)]]+RT1_TH_S_MAX)*100</f>
        <v>78.284613493577169</v>
      </c>
      <c r="AK144" s="195">
        <f>Table9[[#This Row],[RLower(nom) (kΩ)]]/(Table9[[#This Row],[RLower(nom) (kΩ)]]+RT1_TH_S)*100</f>
        <v>78.48112568835694</v>
      </c>
      <c r="AL144" s="195">
        <f>Table9[[#This Row],[RLower(max) (kΩ)]]/(Table9[[#This Row],[RLower(max) (kΩ)]]+RT1_TH_S_MIN)*100</f>
        <v>78.671962158722167</v>
      </c>
      <c r="AM144" s="195">
        <f>IF(Table9[[#This Row],[Vmin (%)]]&lt;$BA$14, 0, IF(Table9[[#This Row],[Vmin (%)]]&lt;$BA$12, 4, IF(Table9[[#This Row],[Vmin (%)]]&lt;$BA$9, 3, IF(Table9[[#This Row],[Vmin (%)]]&lt;$BA$7, 2, 0))))</f>
        <v>0</v>
      </c>
      <c r="AN144" s="195">
        <f>IF(Table9[[#This Row],[Vmin (%)]]&lt;$BA$13, 0, IF(Table9[[#This Row],[Vmin (%)]]&lt;$BA$11, 4, IF(Table9[[#This Row],[Vmin (%)]]&lt;$BA$10, 3, IF(Table9[[#This Row],[Vmin (%)]]&lt;$BA$8, 2, 0))))</f>
        <v>0</v>
      </c>
      <c r="AO144" s="197" t="str">
        <f>IF(Table9[[#This Row],[Vmin (%)]]&lt;$BA$14, "Hot", IF(Table9[[#This Row],[Vmin (%)]]&lt;$BA$12, "Warm", IF(Table9[[#This Row],[Vmin (%)]]&lt;$BA$9, "Normal", IF(Table9[[#This Row],[Vmin (%)]]&lt;$BA$7, "Cool", "Cold"))))</f>
        <v>Cold</v>
      </c>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c r="FJ144" s="21"/>
      <c r="FK144" s="21"/>
      <c r="FL144" s="21"/>
      <c r="FM144" s="21"/>
      <c r="FN144" s="21"/>
      <c r="FO144" s="21"/>
      <c r="FP144" s="21"/>
      <c r="FQ144" s="21"/>
      <c r="FR144" s="21"/>
      <c r="FS144" s="21"/>
      <c r="FT144" s="21"/>
      <c r="FU144" s="21"/>
      <c r="FV144" s="21"/>
      <c r="FW144" s="21"/>
      <c r="FX144" s="21"/>
      <c r="FY144" s="21"/>
      <c r="FZ144" s="21"/>
      <c r="GA144" s="21"/>
      <c r="GB144" s="21"/>
      <c r="GC144" s="21"/>
      <c r="GD144" s="21"/>
      <c r="GE144" s="21"/>
      <c r="GF144" s="21"/>
      <c r="GG144" s="21"/>
      <c r="GH144" s="21"/>
      <c r="GI144" s="21"/>
      <c r="GJ144" s="21"/>
      <c r="GK144" s="21"/>
      <c r="GL144" s="21"/>
      <c r="GM144" s="21"/>
      <c r="GN144" s="21"/>
      <c r="GO144" s="21"/>
      <c r="GP144" s="21"/>
      <c r="GQ144" s="21"/>
      <c r="GR144" s="21"/>
      <c r="GS144" s="21"/>
      <c r="GT144" s="21"/>
      <c r="GU144" s="21"/>
      <c r="GV144" s="21"/>
      <c r="GW144" s="21"/>
      <c r="GX144" s="21"/>
      <c r="GY144" s="21"/>
      <c r="GZ144" s="21"/>
      <c r="HA144" s="21"/>
      <c r="HB144" s="21"/>
    </row>
    <row r="145" spans="1:210" x14ac:dyDescent="0.25">
      <c r="A145" s="118">
        <f t="shared" si="17"/>
        <v>-15</v>
      </c>
      <c r="B145" s="179"/>
      <c r="C145" s="188" t="str">
        <f t="shared" si="20"/>
        <v>RTH at -15 °C</v>
      </c>
      <c r="D145" s="219">
        <f t="shared" si="19"/>
        <v>2.7333333333333334</v>
      </c>
      <c r="E145" s="220">
        <v>51.99</v>
      </c>
      <c r="F145" s="221">
        <v>53.41</v>
      </c>
      <c r="G145" s="222">
        <v>54.85</v>
      </c>
      <c r="H145" s="138" t="s">
        <v>30</v>
      </c>
      <c r="I145" s="31"/>
      <c r="J145" s="31">
        <v>54.85</v>
      </c>
      <c r="K145" s="31">
        <v>53.41</v>
      </c>
      <c r="L145" s="31">
        <v>51.99</v>
      </c>
      <c r="M145" s="31"/>
      <c r="N145" s="31"/>
      <c r="O145" s="31"/>
      <c r="P145" s="31"/>
      <c r="Q145" s="31"/>
      <c r="R145" s="31"/>
      <c r="S145" s="31"/>
      <c r="T145" s="31"/>
      <c r="U145" s="31"/>
      <c r="V145" s="31"/>
      <c r="W145" s="31"/>
      <c r="X145" s="31"/>
      <c r="Y145" s="32"/>
      <c r="Z145" s="20"/>
      <c r="AA145" s="21"/>
      <c r="AB145" s="21"/>
      <c r="AC145" s="195">
        <f t="shared" si="21"/>
        <v>-15</v>
      </c>
      <c r="AD145" s="195">
        <f t="shared" si="22"/>
        <v>51.99</v>
      </c>
      <c r="AE145" s="195">
        <f t="shared" si="23"/>
        <v>53.41</v>
      </c>
      <c r="AF145" s="195">
        <f t="shared" si="24"/>
        <v>54.85</v>
      </c>
      <c r="AG145" s="195">
        <f>Table9[[#This Row],[RTH(min) (kΩ)]]*RT2_TH_MIN/(RT2_TH_MIN+Table9[[#This Row],[RTH(min) (kΩ)]])</f>
        <v>19.212851876950207</v>
      </c>
      <c r="AH145" s="195">
        <f>Table9[[#This Row],[RTH(nom) (kΩ)]]*RT2_TH_S/(RT2_TH_S+Table9[[#This Row],[RTH(nom) (kΩ)]])</f>
        <v>19.415855699906075</v>
      </c>
      <c r="AI145" s="195">
        <f>Table9[[#This Row],[RTH(max) (kΩ)]]*RT2_TH_S_MAX/(RT2_TH_S_MAX+Table9[[#This Row],[RTH(max) (kΩ)]])</f>
        <v>19.615534112770167</v>
      </c>
      <c r="AJ145" s="195">
        <f>Table9[[#This Row],[RLower(min) (kΩ)]]/(Table9[[#This Row],[RLower(min) (kΩ)]]+RT1_TH_S_MAX)*100</f>
        <v>78.576713209810777</v>
      </c>
      <c r="AK145" s="195">
        <f>Table9[[#This Row],[RLower(nom) (kΩ)]]/(Table9[[#This Row],[RLower(nom) (kΩ)]]+RT1_TH_S)*100</f>
        <v>78.769833820801722</v>
      </c>
      <c r="AL145" s="195">
        <f>Table9[[#This Row],[RLower(max) (kΩ)]]/(Table9[[#This Row],[RLower(max) (kΩ)]]+RT1_TH_S_MIN)*100</f>
        <v>78.95706374509129</v>
      </c>
      <c r="AM145" s="195">
        <f>IF(Table9[[#This Row],[Vmin (%)]]&lt;$BA$14, 0, IF(Table9[[#This Row],[Vmin (%)]]&lt;$BA$12, 4, IF(Table9[[#This Row],[Vmin (%)]]&lt;$BA$9, 3, IF(Table9[[#This Row],[Vmin (%)]]&lt;$BA$7, 2, 0))))</f>
        <v>0</v>
      </c>
      <c r="AN145" s="195">
        <f>IF(Table9[[#This Row],[Vmin (%)]]&lt;$BA$13, 0, IF(Table9[[#This Row],[Vmin (%)]]&lt;$BA$11, 4, IF(Table9[[#This Row],[Vmin (%)]]&lt;$BA$10, 3, IF(Table9[[#This Row],[Vmin (%)]]&lt;$BA$8, 2, 0))))</f>
        <v>0</v>
      </c>
      <c r="AO145" s="197" t="str">
        <f>IF(Table9[[#This Row],[Vmin (%)]]&lt;$BA$14, "Hot", IF(Table9[[#This Row],[Vmin (%)]]&lt;$BA$12, "Warm", IF(Table9[[#This Row],[Vmin (%)]]&lt;$BA$9, "Normal", IF(Table9[[#This Row],[Vmin (%)]]&lt;$BA$7, "Cool", "Cold"))))</f>
        <v>Cold</v>
      </c>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c r="FB145" s="21"/>
      <c r="FC145" s="21"/>
      <c r="FD145" s="21"/>
      <c r="FE145" s="21"/>
      <c r="FF145" s="21"/>
      <c r="FG145" s="21"/>
      <c r="FH145" s="21"/>
      <c r="FI145" s="21"/>
      <c r="FJ145" s="21"/>
      <c r="FK145" s="21"/>
      <c r="FL145" s="21"/>
      <c r="FM145" s="21"/>
      <c r="FN145" s="21"/>
      <c r="FO145" s="21"/>
      <c r="FP145" s="21"/>
      <c r="FQ145" s="21"/>
      <c r="FR145" s="21"/>
      <c r="FS145" s="21"/>
      <c r="FT145" s="21"/>
      <c r="FU145" s="21"/>
      <c r="FV145" s="21"/>
      <c r="FW145" s="21"/>
      <c r="FX145" s="21"/>
      <c r="FY145" s="21"/>
      <c r="FZ145" s="21"/>
      <c r="GA145" s="21"/>
      <c r="GB145" s="21"/>
      <c r="GC145" s="21"/>
      <c r="GD145" s="21"/>
      <c r="GE145" s="21"/>
      <c r="GF145" s="21"/>
      <c r="GG145" s="21"/>
      <c r="GH145" s="21"/>
      <c r="GI145" s="21"/>
      <c r="GJ145" s="21"/>
      <c r="GK145" s="21"/>
      <c r="GL145" s="21"/>
      <c r="GM145" s="21"/>
      <c r="GN145" s="21"/>
      <c r="GO145" s="21"/>
      <c r="GP145" s="21"/>
      <c r="GQ145" s="21"/>
      <c r="GR145" s="21"/>
      <c r="GS145" s="21"/>
      <c r="GT145" s="21"/>
      <c r="GU145" s="21"/>
      <c r="GV145" s="21"/>
      <c r="GW145" s="21"/>
      <c r="GX145" s="21"/>
      <c r="GY145" s="21"/>
      <c r="GZ145" s="21"/>
      <c r="HA145" s="21"/>
      <c r="HB145" s="21"/>
    </row>
    <row r="146" spans="1:210" x14ac:dyDescent="0.25">
      <c r="A146" s="118">
        <f t="shared" si="17"/>
        <v>-16</v>
      </c>
      <c r="B146" s="179"/>
      <c r="C146" s="188" t="str">
        <f t="shared" si="20"/>
        <v>RTH at -16 °C</v>
      </c>
      <c r="D146" s="219">
        <f t="shared" si="19"/>
        <v>2.7766666666666664</v>
      </c>
      <c r="E146" s="220">
        <v>54.46</v>
      </c>
      <c r="F146" s="221">
        <v>55.97</v>
      </c>
      <c r="G146" s="222">
        <v>57.51</v>
      </c>
      <c r="H146" s="138" t="s">
        <v>30</v>
      </c>
      <c r="I146" s="31"/>
      <c r="J146" s="31">
        <v>57.51</v>
      </c>
      <c r="K146" s="31">
        <v>55.97</v>
      </c>
      <c r="L146" s="31">
        <v>54.46</v>
      </c>
      <c r="M146" s="31"/>
      <c r="N146" s="31"/>
      <c r="O146" s="31"/>
      <c r="P146" s="31"/>
      <c r="Q146" s="31"/>
      <c r="R146" s="31"/>
      <c r="S146" s="31"/>
      <c r="T146" s="31"/>
      <c r="U146" s="31"/>
      <c r="V146" s="31"/>
      <c r="W146" s="31"/>
      <c r="X146" s="31"/>
      <c r="Y146" s="32"/>
      <c r="Z146" s="20"/>
      <c r="AA146" s="21"/>
      <c r="AB146" s="21"/>
      <c r="AC146" s="195">
        <f t="shared" si="21"/>
        <v>-16</v>
      </c>
      <c r="AD146" s="195">
        <f t="shared" si="22"/>
        <v>54.46</v>
      </c>
      <c r="AE146" s="195">
        <f t="shared" si="23"/>
        <v>55.97</v>
      </c>
      <c r="AF146" s="195">
        <f t="shared" si="24"/>
        <v>57.51</v>
      </c>
      <c r="AG146" s="195">
        <f>Table9[[#This Row],[RTH(min) (kΩ)]]*RT2_TH_MIN/(RT2_TH_MIN+Table9[[#This Row],[RTH(min) (kΩ)]])</f>
        <v>19.540361394287107</v>
      </c>
      <c r="AH146" s="195">
        <f>Table9[[#This Row],[RTH(nom) (kΩ)]]*RT2_TH_S/(RT2_TH_S+Table9[[#This Row],[RTH(nom) (kΩ)]])</f>
        <v>19.744145168981149</v>
      </c>
      <c r="AI146" s="195">
        <f>Table9[[#This Row],[RTH(max) (kΩ)]]*RT2_TH_S_MAX/(RT2_TH_S_MAX+Table9[[#This Row],[RTH(max) (kΩ)]])</f>
        <v>19.94545184197241</v>
      </c>
      <c r="AJ146" s="195">
        <f>Table9[[#This Row],[RLower(min) (kΩ)]]/(Table9[[#This Row],[RLower(min) (kΩ)]]+RT1_TH_S_MAX)*100</f>
        <v>78.859874260601714</v>
      </c>
      <c r="AK146" s="195">
        <f>Table9[[#This Row],[RLower(nom) (kΩ)]]/(Table9[[#This Row],[RLower(nom) (kΩ)]]+RT1_TH_S)*100</f>
        <v>79.048874616160518</v>
      </c>
      <c r="AL146" s="195">
        <f>Table9[[#This Row],[RLower(max) (kΩ)]]/(Table9[[#This Row],[RLower(max) (kΩ)]]+RT1_TH_S_MIN)*100</f>
        <v>79.232850494004836</v>
      </c>
      <c r="AM146" s="195">
        <f>IF(Table9[[#This Row],[Vmin (%)]]&lt;$BA$14, 0, IF(Table9[[#This Row],[Vmin (%)]]&lt;$BA$12, 4, IF(Table9[[#This Row],[Vmin (%)]]&lt;$BA$9, 3, IF(Table9[[#This Row],[Vmin (%)]]&lt;$BA$7, 2, 0))))</f>
        <v>0</v>
      </c>
      <c r="AN146" s="195">
        <f>IF(Table9[[#This Row],[Vmin (%)]]&lt;$BA$13, 0, IF(Table9[[#This Row],[Vmin (%)]]&lt;$BA$11, 4, IF(Table9[[#This Row],[Vmin (%)]]&lt;$BA$10, 3, IF(Table9[[#This Row],[Vmin (%)]]&lt;$BA$8, 2, 0))))</f>
        <v>0</v>
      </c>
      <c r="AO146" s="197" t="str">
        <f>IF(Table9[[#This Row],[Vmin (%)]]&lt;$BA$14, "Hot", IF(Table9[[#This Row],[Vmin (%)]]&lt;$BA$12, "Warm", IF(Table9[[#This Row],[Vmin (%)]]&lt;$BA$9, "Normal", IF(Table9[[#This Row],[Vmin (%)]]&lt;$BA$7, "Cool", "Cold"))))</f>
        <v>Cold</v>
      </c>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c r="FH146" s="21"/>
      <c r="FI146" s="21"/>
      <c r="FJ146" s="21"/>
      <c r="FK146" s="21"/>
      <c r="FL146" s="21"/>
      <c r="FM146" s="21"/>
      <c r="FN146" s="21"/>
      <c r="FO146" s="21"/>
      <c r="FP146" s="21"/>
      <c r="FQ146" s="21"/>
      <c r="FR146" s="21"/>
      <c r="FS146" s="21"/>
      <c r="FT146" s="21"/>
      <c r="FU146" s="21"/>
      <c r="FV146" s="21"/>
      <c r="FW146" s="21"/>
      <c r="FX146" s="21"/>
      <c r="FY146" s="21"/>
      <c r="FZ146" s="21"/>
      <c r="GA146" s="21"/>
      <c r="GB146" s="21"/>
      <c r="GC146" s="21"/>
      <c r="GD146" s="21"/>
      <c r="GE146" s="21"/>
      <c r="GF146" s="21"/>
      <c r="GG146" s="21"/>
      <c r="GH146" s="21"/>
      <c r="GI146" s="21"/>
      <c r="GJ146" s="21"/>
      <c r="GK146" s="21"/>
      <c r="GL146" s="21"/>
      <c r="GM146" s="21"/>
      <c r="GN146" s="21"/>
      <c r="GO146" s="21"/>
      <c r="GP146" s="21"/>
      <c r="GQ146" s="21"/>
      <c r="GR146" s="21"/>
      <c r="GS146" s="21"/>
      <c r="GT146" s="21"/>
      <c r="GU146" s="21"/>
      <c r="GV146" s="21"/>
      <c r="GW146" s="21"/>
      <c r="GX146" s="21"/>
      <c r="GY146" s="21"/>
      <c r="GZ146" s="21"/>
      <c r="HA146" s="21"/>
      <c r="HB146" s="21"/>
    </row>
    <row r="147" spans="1:210" x14ac:dyDescent="0.25">
      <c r="A147" s="118">
        <f t="shared" si="17"/>
        <v>-17</v>
      </c>
      <c r="B147" s="179"/>
      <c r="C147" s="188" t="str">
        <f t="shared" si="20"/>
        <v>RTH at -17 °C</v>
      </c>
      <c r="D147" s="219">
        <f t="shared" si="19"/>
        <v>2.8200000000000003</v>
      </c>
      <c r="E147" s="220">
        <v>57.07</v>
      </c>
      <c r="F147" s="221">
        <v>58.68</v>
      </c>
      <c r="G147" s="222">
        <v>60.32</v>
      </c>
      <c r="H147" s="138" t="s">
        <v>30</v>
      </c>
      <c r="I147" s="31"/>
      <c r="J147" s="31">
        <v>60.32</v>
      </c>
      <c r="K147" s="31">
        <v>58.68</v>
      </c>
      <c r="L147" s="31">
        <v>57.07</v>
      </c>
      <c r="M147" s="31"/>
      <c r="N147" s="31"/>
      <c r="O147" s="31"/>
      <c r="P147" s="31"/>
      <c r="Q147" s="31"/>
      <c r="R147" s="31"/>
      <c r="S147" s="31"/>
      <c r="T147" s="31"/>
      <c r="U147" s="31"/>
      <c r="V147" s="31"/>
      <c r="W147" s="31"/>
      <c r="X147" s="31"/>
      <c r="Y147" s="32"/>
      <c r="Z147" s="20"/>
      <c r="AA147" s="21"/>
      <c r="AB147" s="21"/>
      <c r="AC147" s="195">
        <f t="shared" si="21"/>
        <v>-17</v>
      </c>
      <c r="AD147" s="195">
        <f t="shared" si="22"/>
        <v>57.07</v>
      </c>
      <c r="AE147" s="195">
        <f t="shared" si="23"/>
        <v>58.68</v>
      </c>
      <c r="AF147" s="195">
        <f t="shared" si="24"/>
        <v>60.32</v>
      </c>
      <c r="AG147" s="195">
        <f>Table9[[#This Row],[RTH(min) (kΩ)]]*RT2_TH_MIN/(RT2_TH_MIN+Table9[[#This Row],[RTH(min) (kΩ)]])</f>
        <v>19.866352481334658</v>
      </c>
      <c r="AH147" s="195">
        <f>Table9[[#This Row],[RTH(nom) (kΩ)]]*RT2_TH_S/(RT2_TH_S+Table9[[#This Row],[RTH(nom) (kΩ)]])</f>
        <v>20.071134923087573</v>
      </c>
      <c r="AI147" s="195">
        <f>Table9[[#This Row],[RTH(max) (kΩ)]]*RT2_TH_S_MAX/(RT2_TH_S_MAX+Table9[[#This Row],[RTH(max) (kΩ)]])</f>
        <v>20.272991075080618</v>
      </c>
      <c r="AJ147" s="195">
        <f>Table9[[#This Row],[RLower(min) (kΩ)]]/(Table9[[#This Row],[RLower(min) (kΩ)]]+RT1_TH_S_MAX)*100</f>
        <v>79.134385664423263</v>
      </c>
      <c r="AK147" s="195">
        <f>Table9[[#This Row],[RLower(nom) (kΩ)]]/(Table9[[#This Row],[RLower(nom) (kΩ)]]+RT1_TH_S)*100</f>
        <v>79.319613203163641</v>
      </c>
      <c r="AL147" s="195">
        <f>Table9[[#This Row],[RLower(max) (kΩ)]]/(Table9[[#This Row],[RLower(max) (kΩ)]]+RT1_TH_S_MIN)*100</f>
        <v>79.499589959637291</v>
      </c>
      <c r="AM147" s="195">
        <f>IF(Table9[[#This Row],[Vmin (%)]]&lt;$BA$14, 0, IF(Table9[[#This Row],[Vmin (%)]]&lt;$BA$12, 4, IF(Table9[[#This Row],[Vmin (%)]]&lt;$BA$9, 3, IF(Table9[[#This Row],[Vmin (%)]]&lt;$BA$7, 2, 0))))</f>
        <v>0</v>
      </c>
      <c r="AN147" s="195">
        <f>IF(Table9[[#This Row],[Vmin (%)]]&lt;$BA$13, 0, IF(Table9[[#This Row],[Vmin (%)]]&lt;$BA$11, 4, IF(Table9[[#This Row],[Vmin (%)]]&lt;$BA$10, 3, IF(Table9[[#This Row],[Vmin (%)]]&lt;$BA$8, 2, 0))))</f>
        <v>0</v>
      </c>
      <c r="AO147" s="197" t="str">
        <f>IF(Table9[[#This Row],[Vmin (%)]]&lt;$BA$14, "Hot", IF(Table9[[#This Row],[Vmin (%)]]&lt;$BA$12, "Warm", IF(Table9[[#This Row],[Vmin (%)]]&lt;$BA$9, "Normal", IF(Table9[[#This Row],[Vmin (%)]]&lt;$BA$7, "Cool", "Cold"))))</f>
        <v>Cold</v>
      </c>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c r="FH147" s="21"/>
      <c r="FI147" s="21"/>
      <c r="FJ147" s="21"/>
      <c r="FK147" s="21"/>
      <c r="FL147" s="21"/>
      <c r="FM147" s="21"/>
      <c r="FN147" s="21"/>
      <c r="FO147" s="21"/>
      <c r="FP147" s="21"/>
      <c r="FQ147" s="21"/>
      <c r="FR147" s="21"/>
      <c r="FS147" s="21"/>
      <c r="FT147" s="21"/>
      <c r="FU147" s="21"/>
      <c r="FV147" s="21"/>
      <c r="FW147" s="21"/>
      <c r="FX147" s="21"/>
      <c r="FY147" s="21"/>
      <c r="FZ147" s="21"/>
      <c r="GA147" s="21"/>
      <c r="GB147" s="21"/>
      <c r="GC147" s="21"/>
      <c r="GD147" s="21"/>
      <c r="GE147" s="21"/>
      <c r="GF147" s="21"/>
      <c r="GG147" s="21"/>
      <c r="GH147" s="21"/>
      <c r="GI147" s="21"/>
      <c r="GJ147" s="21"/>
      <c r="GK147" s="21"/>
      <c r="GL147" s="21"/>
      <c r="GM147" s="21"/>
      <c r="GN147" s="21"/>
      <c r="GO147" s="21"/>
      <c r="GP147" s="21"/>
      <c r="GQ147" s="21"/>
      <c r="GR147" s="21"/>
      <c r="GS147" s="21"/>
      <c r="GT147" s="21"/>
      <c r="GU147" s="21"/>
      <c r="GV147" s="21"/>
      <c r="GW147" s="21"/>
      <c r="GX147" s="21"/>
      <c r="GY147" s="21"/>
      <c r="GZ147" s="21"/>
      <c r="HA147" s="21"/>
      <c r="HB147" s="21"/>
    </row>
    <row r="148" spans="1:210" x14ac:dyDescent="0.25">
      <c r="A148" s="118">
        <f t="shared" si="17"/>
        <v>-18</v>
      </c>
      <c r="B148" s="179"/>
      <c r="C148" s="188" t="str">
        <f t="shared" ref="C148:C180" si="25">_xlfn.CONCAT("RTH at ",A148, " °C")</f>
        <v>RTH at -18 °C</v>
      </c>
      <c r="D148" s="219">
        <f t="shared" si="19"/>
        <v>2.8633333333333333</v>
      </c>
      <c r="E148" s="220">
        <v>59.83</v>
      </c>
      <c r="F148" s="221">
        <v>61.54</v>
      </c>
      <c r="G148" s="222">
        <v>63.3</v>
      </c>
      <c r="H148" s="138" t="s">
        <v>30</v>
      </c>
      <c r="I148" s="31"/>
      <c r="J148" s="31">
        <v>63.3</v>
      </c>
      <c r="K148" s="31">
        <v>61.54</v>
      </c>
      <c r="L148" s="31">
        <v>59.83</v>
      </c>
      <c r="M148" s="31"/>
      <c r="N148" s="31"/>
      <c r="O148" s="31"/>
      <c r="P148" s="31"/>
      <c r="Q148" s="31"/>
      <c r="R148" s="31"/>
      <c r="S148" s="31"/>
      <c r="T148" s="31"/>
      <c r="U148" s="31"/>
      <c r="V148" s="31"/>
      <c r="W148" s="31"/>
      <c r="X148" s="31"/>
      <c r="Y148" s="32"/>
      <c r="Z148" s="20"/>
      <c r="AA148" s="21"/>
      <c r="AB148" s="21"/>
      <c r="AC148" s="195">
        <f t="shared" ref="AC148:AC180" si="26">A148</f>
        <v>-18</v>
      </c>
      <c r="AD148" s="195">
        <f t="shared" ref="AD148:AD180" si="27">E148</f>
        <v>59.83</v>
      </c>
      <c r="AE148" s="195">
        <f t="shared" ref="AE148:AE180" si="28">F148</f>
        <v>61.54</v>
      </c>
      <c r="AF148" s="195">
        <f t="shared" ref="AF148:AF180" si="29">G148</f>
        <v>63.3</v>
      </c>
      <c r="AG148" s="195">
        <f>Table9[[#This Row],[RTH(min) (kΩ)]]*RT2_TH_MIN/(RT2_TH_MIN+Table9[[#This Row],[RTH(min) (kΩ)]])</f>
        <v>20.19057944274757</v>
      </c>
      <c r="AH148" s="195">
        <f>Table9[[#This Row],[RTH(nom) (kΩ)]]*RT2_TH_S/(RT2_TH_S+Table9[[#This Row],[RTH(nom) (kΩ)]])</f>
        <v>20.395341141346325</v>
      </c>
      <c r="AI148" s="195">
        <f>Table9[[#This Row],[RTH(max) (kΩ)]]*RT2_TH_S_MAX/(RT2_TH_S_MAX+Table9[[#This Row],[RTH(max) (kΩ)]])</f>
        <v>20.598912830028269</v>
      </c>
      <c r="AJ148" s="195">
        <f>Table9[[#This Row],[RLower(min) (kΩ)]]/(Table9[[#This Row],[RLower(min) (kΩ)]]+RT1_TH_S_MAX)*100</f>
        <v>79.400430219471446</v>
      </c>
      <c r="AK148" s="195">
        <f>Table9[[#This Row],[RLower(nom) (kΩ)]]/(Table9[[#This Row],[RLower(nom) (kΩ)]]+RT1_TH_S)*100</f>
        <v>79.581226402186644</v>
      </c>
      <c r="AL148" s="195">
        <f>Table9[[#This Row],[RLower(max) (kΩ)]]/(Table9[[#This Row],[RLower(max) (kΩ)]]+RT1_TH_S_MIN)*100</f>
        <v>79.758296535533262</v>
      </c>
      <c r="AM148" s="195">
        <f>IF(Table9[[#This Row],[Vmin (%)]]&lt;$BA$14, 0, IF(Table9[[#This Row],[Vmin (%)]]&lt;$BA$12, 4, IF(Table9[[#This Row],[Vmin (%)]]&lt;$BA$9, 3, IF(Table9[[#This Row],[Vmin (%)]]&lt;$BA$7, 2, 0))))</f>
        <v>0</v>
      </c>
      <c r="AN148" s="195">
        <f>IF(Table9[[#This Row],[Vmin (%)]]&lt;$BA$13, 0, IF(Table9[[#This Row],[Vmin (%)]]&lt;$BA$11, 4, IF(Table9[[#This Row],[Vmin (%)]]&lt;$BA$10, 3, IF(Table9[[#This Row],[Vmin (%)]]&lt;$BA$8, 2, 0))))</f>
        <v>0</v>
      </c>
      <c r="AO148" s="197" t="str">
        <f>IF(Table9[[#This Row],[Vmin (%)]]&lt;$BA$14, "Hot", IF(Table9[[#This Row],[Vmin (%)]]&lt;$BA$12, "Warm", IF(Table9[[#This Row],[Vmin (%)]]&lt;$BA$9, "Normal", IF(Table9[[#This Row],[Vmin (%)]]&lt;$BA$7, "Cool", "Cold"))))</f>
        <v>Cold</v>
      </c>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c r="FH148" s="21"/>
      <c r="FI148" s="21"/>
      <c r="FJ148" s="21"/>
      <c r="FK148" s="21"/>
      <c r="FL148" s="21"/>
      <c r="FM148" s="21"/>
      <c r="FN148" s="21"/>
      <c r="FO148" s="21"/>
      <c r="FP148" s="21"/>
      <c r="FQ148" s="21"/>
      <c r="FR148" s="21"/>
      <c r="FS148" s="21"/>
      <c r="FT148" s="21"/>
      <c r="FU148" s="21"/>
      <c r="FV148" s="21"/>
      <c r="FW148" s="21"/>
      <c r="FX148" s="21"/>
      <c r="FY148" s="21"/>
      <c r="FZ148" s="21"/>
      <c r="GA148" s="21"/>
      <c r="GB148" s="21"/>
      <c r="GC148" s="21"/>
      <c r="GD148" s="21"/>
      <c r="GE148" s="21"/>
      <c r="GF148" s="21"/>
      <c r="GG148" s="21"/>
      <c r="GH148" s="21"/>
      <c r="GI148" s="21"/>
      <c r="GJ148" s="21"/>
      <c r="GK148" s="21"/>
      <c r="GL148" s="21"/>
      <c r="GM148" s="21"/>
      <c r="GN148" s="21"/>
      <c r="GO148" s="21"/>
      <c r="GP148" s="21"/>
      <c r="GQ148" s="21"/>
      <c r="GR148" s="21"/>
      <c r="GS148" s="21"/>
      <c r="GT148" s="21"/>
      <c r="GU148" s="21"/>
      <c r="GV148" s="21"/>
      <c r="GW148" s="21"/>
      <c r="GX148" s="21"/>
      <c r="GY148" s="21"/>
      <c r="GZ148" s="21"/>
      <c r="HA148" s="21"/>
      <c r="HB148" s="21"/>
    </row>
    <row r="149" spans="1:210" x14ac:dyDescent="0.25">
      <c r="A149" s="118">
        <f t="shared" si="17"/>
        <v>-19</v>
      </c>
      <c r="B149" s="179"/>
      <c r="C149" s="188" t="str">
        <f t="shared" si="25"/>
        <v>RTH at -19 °C</v>
      </c>
      <c r="D149" s="219">
        <f t="shared" si="19"/>
        <v>2.9066666666666667</v>
      </c>
      <c r="E149" s="220">
        <v>62.74</v>
      </c>
      <c r="F149" s="221">
        <v>64.569999999999993</v>
      </c>
      <c r="G149" s="222">
        <v>66.44</v>
      </c>
      <c r="H149" s="138" t="s">
        <v>30</v>
      </c>
      <c r="I149" s="31"/>
      <c r="J149" s="31">
        <v>66.44</v>
      </c>
      <c r="K149" s="31">
        <v>64.569999999999993</v>
      </c>
      <c r="L149" s="31">
        <v>62.74</v>
      </c>
      <c r="M149" s="31"/>
      <c r="N149" s="31"/>
      <c r="O149" s="31"/>
      <c r="P149" s="31"/>
      <c r="Q149" s="31"/>
      <c r="R149" s="31"/>
      <c r="S149" s="31"/>
      <c r="T149" s="31"/>
      <c r="U149" s="31"/>
      <c r="V149" s="31"/>
      <c r="W149" s="31"/>
      <c r="X149" s="31"/>
      <c r="Y149" s="32"/>
      <c r="Z149" s="20"/>
      <c r="AA149" s="21"/>
      <c r="AB149" s="21"/>
      <c r="AC149" s="195">
        <f t="shared" si="26"/>
        <v>-19</v>
      </c>
      <c r="AD149" s="195">
        <f t="shared" si="27"/>
        <v>62.74</v>
      </c>
      <c r="AE149" s="195">
        <f t="shared" si="28"/>
        <v>64.569999999999993</v>
      </c>
      <c r="AF149" s="195">
        <f t="shared" si="29"/>
        <v>66.44</v>
      </c>
      <c r="AG149" s="195">
        <f>Table9[[#This Row],[RTH(min) (kΩ)]]*RT2_TH_MIN/(RT2_TH_MIN+Table9[[#This Row],[RTH(min) (kΩ)]])</f>
        <v>20.511633755313508</v>
      </c>
      <c r="AH149" s="195">
        <f>Table9[[#This Row],[RTH(nom) (kΩ)]]*RT2_TH_S/(RT2_TH_S+Table9[[#This Row],[RTH(nom) (kΩ)]])</f>
        <v>20.71753963258789</v>
      </c>
      <c r="AI149" s="195">
        <f>Table9[[#This Row],[RTH(max) (kΩ)]]*RT2_TH_S_MAX/(RT2_TH_S_MAX+Table9[[#This Row],[RTH(max) (kΩ)]])</f>
        <v>20.920660947944278</v>
      </c>
      <c r="AJ149" s="195">
        <f>Table9[[#This Row],[RLower(min) (kΩ)]]/(Table9[[#This Row],[RLower(min) (kΩ)]]+RT1_TH_S_MAX)*100</f>
        <v>79.657269722914648</v>
      </c>
      <c r="AK149" s="195">
        <f>Table9[[#This Row],[RLower(nom) (kΩ)]]/(Table9[[#This Row],[RLower(nom) (kΩ)]]+RT1_TH_S)*100</f>
        <v>79.834743299476486</v>
      </c>
      <c r="AL149" s="195">
        <f>Table9[[#This Row],[RLower(max) (kΩ)]]/(Table9[[#This Row],[RLower(max) (kΩ)]]+RT1_TH_S_MIN)*100</f>
        <v>80.007364365114071</v>
      </c>
      <c r="AM149" s="195">
        <f>IF(Table9[[#This Row],[Vmin (%)]]&lt;$BA$14, 0, IF(Table9[[#This Row],[Vmin (%)]]&lt;$BA$12, 4, IF(Table9[[#This Row],[Vmin (%)]]&lt;$BA$9, 3, IF(Table9[[#This Row],[Vmin (%)]]&lt;$BA$7, 2, 0))))</f>
        <v>0</v>
      </c>
      <c r="AN149" s="195">
        <f>IF(Table9[[#This Row],[Vmin (%)]]&lt;$BA$13, 0, IF(Table9[[#This Row],[Vmin (%)]]&lt;$BA$11, 4, IF(Table9[[#This Row],[Vmin (%)]]&lt;$BA$10, 3, IF(Table9[[#This Row],[Vmin (%)]]&lt;$BA$8, 2, 0))))</f>
        <v>0</v>
      </c>
      <c r="AO149" s="197" t="str">
        <f>IF(Table9[[#This Row],[Vmin (%)]]&lt;$BA$14, "Hot", IF(Table9[[#This Row],[Vmin (%)]]&lt;$BA$12, "Warm", IF(Table9[[#This Row],[Vmin (%)]]&lt;$BA$9, "Normal", IF(Table9[[#This Row],[Vmin (%)]]&lt;$BA$7, "Cool", "Cold"))))</f>
        <v>Cold</v>
      </c>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c r="FH149" s="21"/>
      <c r="FI149" s="21"/>
      <c r="FJ149" s="21"/>
      <c r="FK149" s="21"/>
      <c r="FL149" s="21"/>
      <c r="FM149" s="21"/>
      <c r="FN149" s="21"/>
      <c r="FO149" s="21"/>
      <c r="FP149" s="21"/>
      <c r="FQ149" s="21"/>
      <c r="FR149" s="21"/>
      <c r="FS149" s="21"/>
      <c r="FT149" s="21"/>
      <c r="FU149" s="21"/>
      <c r="FV149" s="21"/>
      <c r="FW149" s="21"/>
      <c r="FX149" s="21"/>
      <c r="FY149" s="21"/>
      <c r="FZ149" s="21"/>
      <c r="GA149" s="21"/>
      <c r="GB149" s="21"/>
      <c r="GC149" s="21"/>
      <c r="GD149" s="21"/>
      <c r="GE149" s="21"/>
      <c r="GF149" s="21"/>
      <c r="GG149" s="21"/>
      <c r="GH149" s="21"/>
      <c r="GI149" s="21"/>
      <c r="GJ149" s="21"/>
      <c r="GK149" s="21"/>
      <c r="GL149" s="21"/>
      <c r="GM149" s="21"/>
      <c r="GN149" s="21"/>
      <c r="GO149" s="21"/>
      <c r="GP149" s="21"/>
      <c r="GQ149" s="21"/>
      <c r="GR149" s="21"/>
      <c r="GS149" s="21"/>
      <c r="GT149" s="21"/>
      <c r="GU149" s="21"/>
      <c r="GV149" s="21"/>
      <c r="GW149" s="21"/>
      <c r="GX149" s="21"/>
      <c r="GY149" s="21"/>
      <c r="GZ149" s="21"/>
      <c r="HA149" s="21"/>
      <c r="HB149" s="21"/>
    </row>
    <row r="150" spans="1:210" x14ac:dyDescent="0.25">
      <c r="A150" s="118">
        <f t="shared" ref="A150:A180" si="30">A149-1</f>
        <v>-20</v>
      </c>
      <c r="B150" s="179"/>
      <c r="C150" s="188" t="str">
        <f t="shared" si="25"/>
        <v>RTH at -20 °C</v>
      </c>
      <c r="D150" s="219">
        <f t="shared" si="19"/>
        <v>2.95</v>
      </c>
      <c r="E150" s="220">
        <v>65.819999999999993</v>
      </c>
      <c r="F150" s="221">
        <v>67.77</v>
      </c>
      <c r="G150" s="222">
        <v>69.77</v>
      </c>
      <c r="H150" s="138" t="s">
        <v>30</v>
      </c>
      <c r="I150" s="31"/>
      <c r="J150" s="31">
        <v>69.77</v>
      </c>
      <c r="K150" s="31">
        <v>67.77</v>
      </c>
      <c r="L150" s="31">
        <v>65.819999999999993</v>
      </c>
      <c r="M150" s="31"/>
      <c r="N150" s="31"/>
      <c r="O150" s="31"/>
      <c r="P150" s="31"/>
      <c r="Q150" s="31"/>
      <c r="R150" s="31"/>
      <c r="S150" s="31"/>
      <c r="T150" s="31"/>
      <c r="U150" s="31"/>
      <c r="V150" s="31"/>
      <c r="W150" s="31"/>
      <c r="X150" s="31"/>
      <c r="Y150" s="32"/>
      <c r="Z150" s="20"/>
      <c r="AA150" s="21"/>
      <c r="AB150" s="21"/>
      <c r="AC150" s="195">
        <f t="shared" si="26"/>
        <v>-20</v>
      </c>
      <c r="AD150" s="195">
        <f t="shared" si="27"/>
        <v>65.819999999999993</v>
      </c>
      <c r="AE150" s="195">
        <f t="shared" si="28"/>
        <v>67.77</v>
      </c>
      <c r="AF150" s="195">
        <f t="shared" si="29"/>
        <v>69.77</v>
      </c>
      <c r="AG150" s="195">
        <f>Table9[[#This Row],[RTH(min) (kΩ)]]*RT2_TH_MIN/(RT2_TH_MIN+Table9[[#This Row],[RTH(min) (kΩ)]])</f>
        <v>20.830305990991977</v>
      </c>
      <c r="AH150" s="195">
        <f>Table9[[#This Row],[RTH(nom) (kΩ)]]*RT2_TH_S/(RT2_TH_S+Table9[[#This Row],[RTH(nom) (kΩ)]])</f>
        <v>21.036244051583058</v>
      </c>
      <c r="AI150" s="195">
        <f>Table9[[#This Row],[RTH(max) (kΩ)]]*RT2_TH_S_MAX/(RT2_TH_S_MAX+Table9[[#This Row],[RTH(max) (kΩ)]])</f>
        <v>21.239868465528943</v>
      </c>
      <c r="AJ150" s="195">
        <f>Table9[[#This Row],[RLower(min) (kΩ)]]/(Table9[[#This Row],[RLower(min) (kΩ)]]+RT1_TH_S_MAX)*100</f>
        <v>79.905947469804659</v>
      </c>
      <c r="AK150" s="195">
        <f>Table9[[#This Row],[RLower(nom) (kΩ)]]/(Table9[[#This Row],[RLower(nom) (kΩ)]]+RT1_TH_S)*100</f>
        <v>80.079392843785286</v>
      </c>
      <c r="AL150" s="195">
        <f>Table9[[#This Row],[RLower(max) (kΩ)]]/(Table9[[#This Row],[RLower(max) (kΩ)]]+RT1_TH_S_MIN)*100</f>
        <v>80.248481548846584</v>
      </c>
      <c r="AM150" s="195">
        <f>IF(Table9[[#This Row],[Vmin (%)]]&lt;$BA$14, 0, IF(Table9[[#This Row],[Vmin (%)]]&lt;$BA$12, 4, IF(Table9[[#This Row],[Vmin (%)]]&lt;$BA$9, 3, IF(Table9[[#This Row],[Vmin (%)]]&lt;$BA$7, 2, 0))))</f>
        <v>0</v>
      </c>
      <c r="AN150" s="195">
        <f>IF(Table9[[#This Row],[Vmin (%)]]&lt;$BA$13, 0, IF(Table9[[#This Row],[Vmin (%)]]&lt;$BA$11, 4, IF(Table9[[#This Row],[Vmin (%)]]&lt;$BA$10, 3, IF(Table9[[#This Row],[Vmin (%)]]&lt;$BA$8, 2, 0))))</f>
        <v>0</v>
      </c>
      <c r="AO150" s="197" t="str">
        <f>IF(Table9[[#This Row],[Vmin (%)]]&lt;$BA$14, "Hot", IF(Table9[[#This Row],[Vmin (%)]]&lt;$BA$12, "Warm", IF(Table9[[#This Row],[Vmin (%)]]&lt;$BA$9, "Normal", IF(Table9[[#This Row],[Vmin (%)]]&lt;$BA$7, "Cool", "Cold"))))</f>
        <v>Cold</v>
      </c>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c r="FH150" s="21"/>
      <c r="FI150" s="21"/>
      <c r="FJ150" s="21"/>
      <c r="FK150" s="21"/>
      <c r="FL150" s="21"/>
      <c r="FM150" s="21"/>
      <c r="FN150" s="21"/>
      <c r="FO150" s="21"/>
      <c r="FP150" s="21"/>
      <c r="FQ150" s="21"/>
      <c r="FR150" s="21"/>
      <c r="FS150" s="21"/>
      <c r="FT150" s="21"/>
      <c r="FU150" s="21"/>
      <c r="FV150" s="21"/>
      <c r="FW150" s="21"/>
      <c r="FX150" s="21"/>
      <c r="FY150" s="21"/>
      <c r="FZ150" s="21"/>
      <c r="GA150" s="21"/>
      <c r="GB150" s="21"/>
      <c r="GC150" s="21"/>
      <c r="GD150" s="21"/>
      <c r="GE150" s="21"/>
      <c r="GF150" s="21"/>
      <c r="GG150" s="21"/>
      <c r="GH150" s="21"/>
      <c r="GI150" s="21"/>
      <c r="GJ150" s="21"/>
      <c r="GK150" s="21"/>
      <c r="GL150" s="21"/>
      <c r="GM150" s="21"/>
      <c r="GN150" s="21"/>
      <c r="GO150" s="21"/>
      <c r="GP150" s="21"/>
      <c r="GQ150" s="21"/>
      <c r="GR150" s="21"/>
      <c r="GS150" s="21"/>
      <c r="GT150" s="21"/>
      <c r="GU150" s="21"/>
      <c r="GV150" s="21"/>
      <c r="GW150" s="21"/>
      <c r="GX150" s="21"/>
      <c r="GY150" s="21"/>
      <c r="GZ150" s="21"/>
      <c r="HA150" s="21"/>
      <c r="HB150" s="21"/>
    </row>
    <row r="151" spans="1:210" x14ac:dyDescent="0.25">
      <c r="A151" s="118">
        <f t="shared" si="30"/>
        <v>-21</v>
      </c>
      <c r="B151" s="179"/>
      <c r="C151" s="188" t="str">
        <f t="shared" si="25"/>
        <v>RTH at -21 °C</v>
      </c>
      <c r="D151" s="219">
        <f t="shared" si="19"/>
        <v>2.9933333333333332</v>
      </c>
      <c r="E151" s="232">
        <v>9.9999999999999997E+98</v>
      </c>
      <c r="F151" s="233">
        <v>9.9999999999999997E+98</v>
      </c>
      <c r="G151" s="234">
        <v>9.9999999999999997E+98</v>
      </c>
      <c r="H151" s="138" t="s">
        <v>30</v>
      </c>
      <c r="I151" s="31"/>
      <c r="J151" s="31">
        <v>73.23</v>
      </c>
      <c r="K151" s="31">
        <v>71.099999999999994</v>
      </c>
      <c r="L151" s="31">
        <v>69.010000000000005</v>
      </c>
      <c r="M151" s="31"/>
      <c r="N151" s="31"/>
      <c r="O151" s="31"/>
      <c r="P151" s="31"/>
      <c r="Q151" s="31"/>
      <c r="R151" s="31"/>
      <c r="S151" s="31"/>
      <c r="T151" s="31"/>
      <c r="U151" s="31"/>
      <c r="V151" s="31"/>
      <c r="W151" s="31"/>
      <c r="X151" s="31"/>
      <c r="Y151" s="32"/>
      <c r="Z151" s="20"/>
      <c r="AA151" s="21"/>
      <c r="AB151" s="21"/>
      <c r="AC151" s="195">
        <f t="shared" si="26"/>
        <v>-21</v>
      </c>
      <c r="AD151" s="195">
        <f t="shared" si="27"/>
        <v>9.9999999999999997E+98</v>
      </c>
      <c r="AE151" s="195">
        <f t="shared" si="28"/>
        <v>9.9999999999999997E+98</v>
      </c>
      <c r="AF151" s="195">
        <f t="shared" si="29"/>
        <v>9.9999999999999997E+98</v>
      </c>
      <c r="AG151" s="195">
        <f>Table9[[#This Row],[RTH(min) (kΩ)]]*RT2_TH_MIN/(RT2_TH_MIN+Table9[[#This Row],[RTH(min) (kΩ)]])</f>
        <v>30.474773623767586</v>
      </c>
      <c r="AH151" s="195">
        <f>Table9[[#This Row],[RTH(nom) (kΩ)]]*RT2_TH_S/(RT2_TH_S+Table9[[#This Row],[RTH(nom) (kΩ)]])</f>
        <v>30.505278902670256</v>
      </c>
      <c r="AI151" s="195">
        <f>Table9[[#This Row],[RTH(max) (kΩ)]]*RT2_TH_S_MAX/(RT2_TH_S_MAX+Table9[[#This Row],[RTH(max) (kΩ)]])</f>
        <v>30.535784181572922</v>
      </c>
      <c r="AJ151" s="195">
        <f>Table9[[#This Row],[RLower(min) (kΩ)]]/(Table9[[#This Row],[RLower(min) (kΩ)]]+RT1_TH_S_MAX)*100</f>
        <v>85.332443462432792</v>
      </c>
      <c r="AK151" s="195">
        <f>Table9[[#This Row],[RLower(nom) (kΩ)]]/(Table9[[#This Row],[RLower(nom) (kΩ)]]+RT1_TH_S)*100</f>
        <v>85.357458154608338</v>
      </c>
      <c r="AL151" s="195">
        <f>Table9[[#This Row],[RLower(max) (kΩ)]]/(Table9[[#This Row],[RLower(max) (kΩ)]]+RT1_TH_S_MIN)*100</f>
        <v>85.382437493546604</v>
      </c>
      <c r="AM151" s="195">
        <f>IF(Table9[[#This Row],[Vmin (%)]]&lt;$BA$14, 0, IF(Table9[[#This Row],[Vmin (%)]]&lt;$BA$12, 4, IF(Table9[[#This Row],[Vmin (%)]]&lt;$BA$9, 3, IF(Table9[[#This Row],[Vmin (%)]]&lt;$BA$7, 2, 0))))</f>
        <v>0</v>
      </c>
      <c r="AN151" s="195">
        <f>IF(Table9[[#This Row],[Vmin (%)]]&lt;$BA$13, 0, IF(Table9[[#This Row],[Vmin (%)]]&lt;$BA$11, 4, IF(Table9[[#This Row],[Vmin (%)]]&lt;$BA$10, 3, IF(Table9[[#This Row],[Vmin (%)]]&lt;$BA$8, 2, 0))))</f>
        <v>0</v>
      </c>
      <c r="AO151" s="197" t="str">
        <f>IF(Table9[[#This Row],[Vmin (%)]]&lt;$BA$14, "Hot", IF(Table9[[#This Row],[Vmin (%)]]&lt;$BA$12, "Warm", IF(Table9[[#This Row],[Vmin (%)]]&lt;$BA$9, "Normal", IF(Table9[[#This Row],[Vmin (%)]]&lt;$BA$7, "Cool", "Cold"))))</f>
        <v>Cold</v>
      </c>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c r="FH151" s="21"/>
      <c r="FI151" s="21"/>
      <c r="FJ151" s="21"/>
      <c r="FK151" s="21"/>
      <c r="FL151" s="21"/>
      <c r="FM151" s="21"/>
      <c r="FN151" s="21"/>
      <c r="FO151" s="21"/>
      <c r="FP151" s="21"/>
      <c r="FQ151" s="21"/>
      <c r="FR151" s="21"/>
      <c r="FS151" s="21"/>
      <c r="FT151" s="21"/>
      <c r="FU151" s="21"/>
      <c r="FV151" s="21"/>
      <c r="FW151" s="21"/>
      <c r="FX151" s="21"/>
      <c r="FY151" s="21"/>
      <c r="FZ151" s="21"/>
      <c r="GA151" s="21"/>
      <c r="GB151" s="21"/>
      <c r="GC151" s="21"/>
      <c r="GD151" s="21"/>
      <c r="GE151" s="21"/>
      <c r="GF151" s="21"/>
      <c r="GG151" s="21"/>
      <c r="GH151" s="21"/>
      <c r="GI151" s="21"/>
      <c r="GJ151" s="21"/>
      <c r="GK151" s="21"/>
      <c r="GL151" s="21"/>
      <c r="GM151" s="21"/>
      <c r="GN151" s="21"/>
      <c r="GO151" s="21"/>
      <c r="GP151" s="21"/>
      <c r="GQ151" s="21"/>
      <c r="GR151" s="21"/>
      <c r="GS151" s="21"/>
      <c r="GT151" s="21"/>
      <c r="GU151" s="21"/>
      <c r="GV151" s="21"/>
      <c r="GW151" s="21"/>
      <c r="GX151" s="21"/>
      <c r="GY151" s="21"/>
      <c r="GZ151" s="21"/>
      <c r="HA151" s="21"/>
      <c r="HB151" s="21"/>
    </row>
    <row r="152" spans="1:210" x14ac:dyDescent="0.25">
      <c r="A152" s="118">
        <f t="shared" si="30"/>
        <v>-22</v>
      </c>
      <c r="B152" s="179"/>
      <c r="C152" s="188" t="str">
        <f t="shared" si="25"/>
        <v>RTH at -22 °C</v>
      </c>
      <c r="D152" s="219">
        <f t="shared" si="19"/>
        <v>3.0366666666666666</v>
      </c>
      <c r="E152" s="232">
        <v>9.9999999999999997E+98</v>
      </c>
      <c r="F152" s="233">
        <v>9.9999999999999997E+98</v>
      </c>
      <c r="G152" s="234">
        <v>9.9999999999999997E+98</v>
      </c>
      <c r="H152" s="138" t="s">
        <v>30</v>
      </c>
      <c r="I152" s="31"/>
      <c r="J152" s="31">
        <v>76.89</v>
      </c>
      <c r="K152" s="31">
        <v>74.61</v>
      </c>
      <c r="L152" s="31">
        <v>72.39</v>
      </c>
      <c r="M152" s="31"/>
      <c r="N152" s="31"/>
      <c r="O152" s="31"/>
      <c r="P152" s="31"/>
      <c r="Q152" s="31"/>
      <c r="R152" s="31"/>
      <c r="S152" s="31"/>
      <c r="T152" s="31"/>
      <c r="U152" s="31"/>
      <c r="V152" s="31"/>
      <c r="W152" s="31"/>
      <c r="X152" s="31"/>
      <c r="Y152" s="32"/>
      <c r="Z152" s="20"/>
      <c r="AA152" s="21"/>
      <c r="AB152" s="21"/>
      <c r="AC152" s="195">
        <f t="shared" si="26"/>
        <v>-22</v>
      </c>
      <c r="AD152" s="195">
        <f t="shared" si="27"/>
        <v>9.9999999999999997E+98</v>
      </c>
      <c r="AE152" s="195">
        <f t="shared" si="28"/>
        <v>9.9999999999999997E+98</v>
      </c>
      <c r="AF152" s="195">
        <f t="shared" si="29"/>
        <v>9.9999999999999997E+98</v>
      </c>
      <c r="AG152" s="195">
        <f>Table9[[#This Row],[RTH(min) (kΩ)]]*RT2_TH_MIN/(RT2_TH_MIN+Table9[[#This Row],[RTH(min) (kΩ)]])</f>
        <v>30.474773623767586</v>
      </c>
      <c r="AH152" s="195">
        <f>Table9[[#This Row],[RTH(nom) (kΩ)]]*RT2_TH_S/(RT2_TH_S+Table9[[#This Row],[RTH(nom) (kΩ)]])</f>
        <v>30.505278902670256</v>
      </c>
      <c r="AI152" s="195">
        <f>Table9[[#This Row],[RTH(max) (kΩ)]]*RT2_TH_S_MAX/(RT2_TH_S_MAX+Table9[[#This Row],[RTH(max) (kΩ)]])</f>
        <v>30.535784181572922</v>
      </c>
      <c r="AJ152" s="195">
        <f>Table9[[#This Row],[RLower(min) (kΩ)]]/(Table9[[#This Row],[RLower(min) (kΩ)]]+RT1_TH_S_MAX)*100</f>
        <v>85.332443462432792</v>
      </c>
      <c r="AK152" s="195">
        <f>Table9[[#This Row],[RLower(nom) (kΩ)]]/(Table9[[#This Row],[RLower(nom) (kΩ)]]+RT1_TH_S)*100</f>
        <v>85.357458154608338</v>
      </c>
      <c r="AL152" s="195">
        <f>Table9[[#This Row],[RLower(max) (kΩ)]]/(Table9[[#This Row],[RLower(max) (kΩ)]]+RT1_TH_S_MIN)*100</f>
        <v>85.382437493546604</v>
      </c>
      <c r="AM152" s="195">
        <f>IF(Table9[[#This Row],[Vmin (%)]]&lt;$BA$14, 0, IF(Table9[[#This Row],[Vmin (%)]]&lt;$BA$12, 4, IF(Table9[[#This Row],[Vmin (%)]]&lt;$BA$9, 3, IF(Table9[[#This Row],[Vmin (%)]]&lt;$BA$7, 2, 0))))</f>
        <v>0</v>
      </c>
      <c r="AN152" s="195">
        <f>IF(Table9[[#This Row],[Vmin (%)]]&lt;$BA$13, 0, IF(Table9[[#This Row],[Vmin (%)]]&lt;$BA$11, 4, IF(Table9[[#This Row],[Vmin (%)]]&lt;$BA$10, 3, IF(Table9[[#This Row],[Vmin (%)]]&lt;$BA$8, 2, 0))))</f>
        <v>0</v>
      </c>
      <c r="AO152" s="197" t="str">
        <f>IF(Table9[[#This Row],[Vmin (%)]]&lt;$BA$14, "Hot", IF(Table9[[#This Row],[Vmin (%)]]&lt;$BA$12, "Warm", IF(Table9[[#This Row],[Vmin (%)]]&lt;$BA$9, "Normal", IF(Table9[[#This Row],[Vmin (%)]]&lt;$BA$7, "Cool", "Cold"))))</f>
        <v>Cold</v>
      </c>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c r="FH152" s="21"/>
      <c r="FI152" s="21"/>
      <c r="FJ152" s="21"/>
      <c r="FK152" s="21"/>
      <c r="FL152" s="21"/>
      <c r="FM152" s="21"/>
      <c r="FN152" s="21"/>
      <c r="FO152" s="21"/>
      <c r="FP152" s="21"/>
      <c r="FQ152" s="21"/>
      <c r="FR152" s="21"/>
      <c r="FS152" s="21"/>
      <c r="FT152" s="21"/>
      <c r="FU152" s="21"/>
      <c r="FV152" s="21"/>
      <c r="FW152" s="21"/>
      <c r="FX152" s="21"/>
      <c r="FY152" s="21"/>
      <c r="FZ152" s="21"/>
      <c r="GA152" s="21"/>
      <c r="GB152" s="21"/>
      <c r="GC152" s="21"/>
      <c r="GD152" s="21"/>
      <c r="GE152" s="21"/>
      <c r="GF152" s="21"/>
      <c r="GG152" s="21"/>
      <c r="GH152" s="21"/>
      <c r="GI152" s="21"/>
      <c r="GJ152" s="21"/>
      <c r="GK152" s="21"/>
      <c r="GL152" s="21"/>
      <c r="GM152" s="21"/>
      <c r="GN152" s="21"/>
      <c r="GO152" s="21"/>
      <c r="GP152" s="21"/>
      <c r="GQ152" s="21"/>
      <c r="GR152" s="21"/>
      <c r="GS152" s="21"/>
      <c r="GT152" s="21"/>
      <c r="GU152" s="21"/>
      <c r="GV152" s="21"/>
      <c r="GW152" s="21"/>
      <c r="GX152" s="21"/>
      <c r="GY152" s="21"/>
      <c r="GZ152" s="21"/>
      <c r="HA152" s="21"/>
      <c r="HB152" s="21"/>
    </row>
    <row r="153" spans="1:210" x14ac:dyDescent="0.25">
      <c r="A153" s="118">
        <f t="shared" si="30"/>
        <v>-23</v>
      </c>
      <c r="B153" s="179"/>
      <c r="C153" s="188" t="str">
        <f t="shared" si="25"/>
        <v>RTH at -23 °C</v>
      </c>
      <c r="D153" s="219">
        <f t="shared" si="19"/>
        <v>3.08</v>
      </c>
      <c r="E153" s="232">
        <v>9.9999999999999997E+98</v>
      </c>
      <c r="F153" s="233">
        <v>9.9999999999999997E+98</v>
      </c>
      <c r="G153" s="234">
        <v>9.9999999999999997E+98</v>
      </c>
      <c r="H153" s="138" t="s">
        <v>30</v>
      </c>
      <c r="I153" s="31"/>
      <c r="J153" s="31">
        <v>80.760000000000005</v>
      </c>
      <c r="K153" s="31">
        <v>78.33</v>
      </c>
      <c r="L153" s="31">
        <v>75.959999999999994</v>
      </c>
      <c r="M153" s="31"/>
      <c r="N153" s="31"/>
      <c r="O153" s="31"/>
      <c r="P153" s="31"/>
      <c r="Q153" s="31"/>
      <c r="R153" s="31"/>
      <c r="S153" s="31"/>
      <c r="T153" s="31"/>
      <c r="U153" s="31"/>
      <c r="V153" s="31"/>
      <c r="W153" s="31"/>
      <c r="X153" s="31"/>
      <c r="Y153" s="32"/>
      <c r="Z153" s="20"/>
      <c r="AA153" s="21"/>
      <c r="AB153" s="21"/>
      <c r="AC153" s="195">
        <f t="shared" si="26"/>
        <v>-23</v>
      </c>
      <c r="AD153" s="195">
        <f t="shared" si="27"/>
        <v>9.9999999999999997E+98</v>
      </c>
      <c r="AE153" s="195">
        <f t="shared" si="28"/>
        <v>9.9999999999999997E+98</v>
      </c>
      <c r="AF153" s="195">
        <f t="shared" si="29"/>
        <v>9.9999999999999997E+98</v>
      </c>
      <c r="AG153" s="195">
        <f>Table9[[#This Row],[RTH(min) (kΩ)]]*RT2_TH_MIN/(RT2_TH_MIN+Table9[[#This Row],[RTH(min) (kΩ)]])</f>
        <v>30.474773623767586</v>
      </c>
      <c r="AH153" s="195">
        <f>Table9[[#This Row],[RTH(nom) (kΩ)]]*RT2_TH_S/(RT2_TH_S+Table9[[#This Row],[RTH(nom) (kΩ)]])</f>
        <v>30.505278902670256</v>
      </c>
      <c r="AI153" s="195">
        <f>Table9[[#This Row],[RTH(max) (kΩ)]]*RT2_TH_S_MAX/(RT2_TH_S_MAX+Table9[[#This Row],[RTH(max) (kΩ)]])</f>
        <v>30.535784181572922</v>
      </c>
      <c r="AJ153" s="195">
        <f>Table9[[#This Row],[RLower(min) (kΩ)]]/(Table9[[#This Row],[RLower(min) (kΩ)]]+RT1_TH_S_MAX)*100</f>
        <v>85.332443462432792</v>
      </c>
      <c r="AK153" s="195">
        <f>Table9[[#This Row],[RLower(nom) (kΩ)]]/(Table9[[#This Row],[RLower(nom) (kΩ)]]+RT1_TH_S)*100</f>
        <v>85.357458154608338</v>
      </c>
      <c r="AL153" s="195">
        <f>Table9[[#This Row],[RLower(max) (kΩ)]]/(Table9[[#This Row],[RLower(max) (kΩ)]]+RT1_TH_S_MIN)*100</f>
        <v>85.382437493546604</v>
      </c>
      <c r="AM153" s="195">
        <f>IF(Table9[[#This Row],[Vmin (%)]]&lt;$BA$14, 0, IF(Table9[[#This Row],[Vmin (%)]]&lt;$BA$12, 4, IF(Table9[[#This Row],[Vmin (%)]]&lt;$BA$9, 3, IF(Table9[[#This Row],[Vmin (%)]]&lt;$BA$7, 2, 0))))</f>
        <v>0</v>
      </c>
      <c r="AN153" s="195">
        <f>IF(Table9[[#This Row],[Vmin (%)]]&lt;$BA$13, 0, IF(Table9[[#This Row],[Vmin (%)]]&lt;$BA$11, 4, IF(Table9[[#This Row],[Vmin (%)]]&lt;$BA$10, 3, IF(Table9[[#This Row],[Vmin (%)]]&lt;$BA$8, 2, 0))))</f>
        <v>0</v>
      </c>
      <c r="AO153" s="197" t="str">
        <f>IF(Table9[[#This Row],[Vmin (%)]]&lt;$BA$14, "Hot", IF(Table9[[#This Row],[Vmin (%)]]&lt;$BA$12, "Warm", IF(Table9[[#This Row],[Vmin (%)]]&lt;$BA$9, "Normal", IF(Table9[[#This Row],[Vmin (%)]]&lt;$BA$7, "Cool", "Cold"))))</f>
        <v>Cold</v>
      </c>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c r="FH153" s="21"/>
      <c r="FI153" s="21"/>
      <c r="FJ153" s="21"/>
      <c r="FK153" s="21"/>
      <c r="FL153" s="21"/>
      <c r="FM153" s="21"/>
      <c r="FN153" s="21"/>
      <c r="FO153" s="21"/>
      <c r="FP153" s="21"/>
      <c r="FQ153" s="21"/>
      <c r="FR153" s="21"/>
      <c r="FS153" s="21"/>
      <c r="FT153" s="21"/>
      <c r="FU153" s="21"/>
      <c r="FV153" s="21"/>
      <c r="FW153" s="21"/>
      <c r="FX153" s="21"/>
      <c r="FY153" s="21"/>
      <c r="FZ153" s="21"/>
      <c r="GA153" s="21"/>
      <c r="GB153" s="21"/>
      <c r="GC153" s="21"/>
      <c r="GD153" s="21"/>
      <c r="GE153" s="21"/>
      <c r="GF153" s="21"/>
      <c r="GG153" s="21"/>
      <c r="GH153" s="21"/>
      <c r="GI153" s="21"/>
      <c r="GJ153" s="21"/>
      <c r="GK153" s="21"/>
      <c r="GL153" s="21"/>
      <c r="GM153" s="21"/>
      <c r="GN153" s="21"/>
      <c r="GO153" s="21"/>
      <c r="GP153" s="21"/>
      <c r="GQ153" s="21"/>
      <c r="GR153" s="21"/>
      <c r="GS153" s="21"/>
      <c r="GT153" s="21"/>
      <c r="GU153" s="21"/>
      <c r="GV153" s="21"/>
      <c r="GW153" s="21"/>
      <c r="GX153" s="21"/>
      <c r="GY153" s="21"/>
      <c r="GZ153" s="21"/>
      <c r="HA153" s="21"/>
      <c r="HB153" s="21"/>
    </row>
    <row r="154" spans="1:210" x14ac:dyDescent="0.25">
      <c r="A154" s="118">
        <f t="shared" si="30"/>
        <v>-24</v>
      </c>
      <c r="B154" s="179"/>
      <c r="C154" s="188" t="str">
        <f t="shared" si="25"/>
        <v>RTH at -24 °C</v>
      </c>
      <c r="D154" s="219">
        <f t="shared" si="19"/>
        <v>3.1233333333333335</v>
      </c>
      <c r="E154" s="232">
        <v>9.9999999999999997E+98</v>
      </c>
      <c r="F154" s="233">
        <v>9.9999999999999997E+98</v>
      </c>
      <c r="G154" s="234">
        <v>9.9999999999999997E+98</v>
      </c>
      <c r="H154" s="138" t="s">
        <v>30</v>
      </c>
      <c r="I154" s="31"/>
      <c r="J154" s="31">
        <v>84.85</v>
      </c>
      <c r="K154" s="31">
        <v>82.26</v>
      </c>
      <c r="L154" s="31">
        <v>79.739999999999995</v>
      </c>
      <c r="M154" s="31"/>
      <c r="N154" s="31"/>
      <c r="O154" s="31"/>
      <c r="P154" s="31"/>
      <c r="Q154" s="31"/>
      <c r="R154" s="31"/>
      <c r="S154" s="31"/>
      <c r="T154" s="31"/>
      <c r="U154" s="31"/>
      <c r="V154" s="31"/>
      <c r="W154" s="31"/>
      <c r="X154" s="31"/>
      <c r="Y154" s="32"/>
      <c r="Z154" s="20"/>
      <c r="AA154" s="21"/>
      <c r="AB154" s="21"/>
      <c r="AC154" s="195">
        <f t="shared" si="26"/>
        <v>-24</v>
      </c>
      <c r="AD154" s="195">
        <f t="shared" si="27"/>
        <v>9.9999999999999997E+98</v>
      </c>
      <c r="AE154" s="195">
        <f t="shared" si="28"/>
        <v>9.9999999999999997E+98</v>
      </c>
      <c r="AF154" s="195">
        <f t="shared" si="29"/>
        <v>9.9999999999999997E+98</v>
      </c>
      <c r="AG154" s="195">
        <f>Table9[[#This Row],[RTH(min) (kΩ)]]*RT2_TH_MIN/(RT2_TH_MIN+Table9[[#This Row],[RTH(min) (kΩ)]])</f>
        <v>30.474773623767586</v>
      </c>
      <c r="AH154" s="195">
        <f>Table9[[#This Row],[RTH(nom) (kΩ)]]*RT2_TH_S/(RT2_TH_S+Table9[[#This Row],[RTH(nom) (kΩ)]])</f>
        <v>30.505278902670256</v>
      </c>
      <c r="AI154" s="195">
        <f>Table9[[#This Row],[RTH(max) (kΩ)]]*RT2_TH_S_MAX/(RT2_TH_S_MAX+Table9[[#This Row],[RTH(max) (kΩ)]])</f>
        <v>30.535784181572922</v>
      </c>
      <c r="AJ154" s="195">
        <f>Table9[[#This Row],[RLower(min) (kΩ)]]/(Table9[[#This Row],[RLower(min) (kΩ)]]+RT1_TH_S_MAX)*100</f>
        <v>85.332443462432792</v>
      </c>
      <c r="AK154" s="195">
        <f>Table9[[#This Row],[RLower(nom) (kΩ)]]/(Table9[[#This Row],[RLower(nom) (kΩ)]]+RT1_TH_S)*100</f>
        <v>85.357458154608338</v>
      </c>
      <c r="AL154" s="195">
        <f>Table9[[#This Row],[RLower(max) (kΩ)]]/(Table9[[#This Row],[RLower(max) (kΩ)]]+RT1_TH_S_MIN)*100</f>
        <v>85.382437493546604</v>
      </c>
      <c r="AM154" s="195">
        <f>IF(Table9[[#This Row],[Vmin (%)]]&lt;$BA$14, 0, IF(Table9[[#This Row],[Vmin (%)]]&lt;$BA$12, 4, IF(Table9[[#This Row],[Vmin (%)]]&lt;$BA$9, 3, IF(Table9[[#This Row],[Vmin (%)]]&lt;$BA$7, 2, 0))))</f>
        <v>0</v>
      </c>
      <c r="AN154" s="195">
        <f>IF(Table9[[#This Row],[Vmin (%)]]&lt;$BA$13, 0, IF(Table9[[#This Row],[Vmin (%)]]&lt;$BA$11, 4, IF(Table9[[#This Row],[Vmin (%)]]&lt;$BA$10, 3, IF(Table9[[#This Row],[Vmin (%)]]&lt;$BA$8, 2, 0))))</f>
        <v>0</v>
      </c>
      <c r="AO154" s="197" t="str">
        <f>IF(Table9[[#This Row],[Vmin (%)]]&lt;$BA$14, "Hot", IF(Table9[[#This Row],[Vmin (%)]]&lt;$BA$12, "Warm", IF(Table9[[#This Row],[Vmin (%)]]&lt;$BA$9, "Normal", IF(Table9[[#This Row],[Vmin (%)]]&lt;$BA$7, "Cool", "Cold"))))</f>
        <v>Cold</v>
      </c>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c r="FH154" s="21"/>
      <c r="FI154" s="21"/>
      <c r="FJ154" s="21"/>
      <c r="FK154" s="21"/>
      <c r="FL154" s="21"/>
      <c r="FM154" s="21"/>
      <c r="FN154" s="21"/>
      <c r="FO154" s="21"/>
      <c r="FP154" s="21"/>
      <c r="FQ154" s="21"/>
      <c r="FR154" s="21"/>
      <c r="FS154" s="21"/>
      <c r="FT154" s="21"/>
      <c r="FU154" s="21"/>
      <c r="FV154" s="21"/>
      <c r="FW154" s="21"/>
      <c r="FX154" s="21"/>
      <c r="FY154" s="21"/>
      <c r="FZ154" s="21"/>
      <c r="GA154" s="21"/>
      <c r="GB154" s="21"/>
      <c r="GC154" s="21"/>
      <c r="GD154" s="21"/>
      <c r="GE154" s="21"/>
      <c r="GF154" s="21"/>
      <c r="GG154" s="21"/>
      <c r="GH154" s="21"/>
      <c r="GI154" s="21"/>
      <c r="GJ154" s="21"/>
      <c r="GK154" s="21"/>
      <c r="GL154" s="21"/>
      <c r="GM154" s="21"/>
      <c r="GN154" s="21"/>
      <c r="GO154" s="21"/>
      <c r="GP154" s="21"/>
      <c r="GQ154" s="21"/>
      <c r="GR154" s="21"/>
      <c r="GS154" s="21"/>
      <c r="GT154" s="21"/>
      <c r="GU154" s="21"/>
      <c r="GV154" s="21"/>
      <c r="GW154" s="21"/>
      <c r="GX154" s="21"/>
      <c r="GY154" s="21"/>
      <c r="GZ154" s="21"/>
      <c r="HA154" s="21"/>
      <c r="HB154" s="21"/>
    </row>
    <row r="155" spans="1:210" ht="15.75" thickBot="1" x14ac:dyDescent="0.3">
      <c r="A155" s="118">
        <f t="shared" si="30"/>
        <v>-25</v>
      </c>
      <c r="B155" s="179"/>
      <c r="C155" s="188" t="str">
        <f t="shared" si="25"/>
        <v>RTH at -25 °C</v>
      </c>
      <c r="D155" s="219">
        <f t="shared" si="19"/>
        <v>3.1666666666666665</v>
      </c>
      <c r="E155" s="232">
        <v>9.9999999999999997E+98</v>
      </c>
      <c r="F155" s="233">
        <v>9.9999999999999997E+98</v>
      </c>
      <c r="G155" s="234">
        <v>9.9999999999999997E+98</v>
      </c>
      <c r="H155" s="138" t="s">
        <v>30</v>
      </c>
      <c r="I155" s="31"/>
      <c r="J155" s="31">
        <v>89.2</v>
      </c>
      <c r="K155" s="31">
        <v>86.43</v>
      </c>
      <c r="L155" s="31">
        <v>83.73</v>
      </c>
      <c r="M155" s="31"/>
      <c r="N155" s="31"/>
      <c r="O155" s="31"/>
      <c r="P155" s="31"/>
      <c r="Q155" s="31"/>
      <c r="R155" s="31"/>
      <c r="S155" s="31"/>
      <c r="T155" s="31"/>
      <c r="U155" s="31"/>
      <c r="V155" s="31"/>
      <c r="W155" s="31"/>
      <c r="X155" s="31"/>
      <c r="Y155" s="32"/>
      <c r="Z155" s="20"/>
      <c r="AA155" s="21"/>
      <c r="AB155" s="21"/>
      <c r="AC155" s="195">
        <f t="shared" si="26"/>
        <v>-25</v>
      </c>
      <c r="AD155" s="195">
        <f t="shared" si="27"/>
        <v>9.9999999999999997E+98</v>
      </c>
      <c r="AE155" s="195">
        <f t="shared" si="28"/>
        <v>9.9999999999999997E+98</v>
      </c>
      <c r="AF155" s="195">
        <f t="shared" si="29"/>
        <v>9.9999999999999997E+98</v>
      </c>
      <c r="AG155" s="195">
        <f>Table9[[#This Row],[RTH(min) (kΩ)]]*RT2_TH_MIN/(RT2_TH_MIN+Table9[[#This Row],[RTH(min) (kΩ)]])</f>
        <v>30.474773623767586</v>
      </c>
      <c r="AH155" s="195">
        <f>Table9[[#This Row],[RTH(nom) (kΩ)]]*RT2_TH_S/(RT2_TH_S+Table9[[#This Row],[RTH(nom) (kΩ)]])</f>
        <v>30.505278902670256</v>
      </c>
      <c r="AI155" s="195">
        <f>Table9[[#This Row],[RTH(max) (kΩ)]]*RT2_TH_S_MAX/(RT2_TH_S_MAX+Table9[[#This Row],[RTH(max) (kΩ)]])</f>
        <v>30.535784181572922</v>
      </c>
      <c r="AJ155" s="195">
        <f>Table9[[#This Row],[RLower(min) (kΩ)]]/(Table9[[#This Row],[RLower(min) (kΩ)]]+RT1_TH_S_MAX)*100</f>
        <v>85.332443462432792</v>
      </c>
      <c r="AK155" s="195">
        <f>Table9[[#This Row],[RLower(nom) (kΩ)]]/(Table9[[#This Row],[RLower(nom) (kΩ)]]+RT1_TH_S)*100</f>
        <v>85.357458154608338</v>
      </c>
      <c r="AL155" s="195">
        <f>Table9[[#This Row],[RLower(max) (kΩ)]]/(Table9[[#This Row],[RLower(max) (kΩ)]]+RT1_TH_S_MIN)*100</f>
        <v>85.382437493546604</v>
      </c>
      <c r="AM155" s="195">
        <f>IF(Table9[[#This Row],[Vmin (%)]]&lt;$BA$14, 0, IF(Table9[[#This Row],[Vmin (%)]]&lt;$BA$12, 4, IF(Table9[[#This Row],[Vmin (%)]]&lt;$BA$9, 3, IF(Table9[[#This Row],[Vmin (%)]]&lt;$BA$7, 2, 0))))</f>
        <v>0</v>
      </c>
      <c r="AN155" s="195">
        <f>IF(Table9[[#This Row],[Vmin (%)]]&lt;$BA$13, 0, IF(Table9[[#This Row],[Vmin (%)]]&lt;$BA$11, 4, IF(Table9[[#This Row],[Vmin (%)]]&lt;$BA$10, 3, IF(Table9[[#This Row],[Vmin (%)]]&lt;$BA$8, 2, 0))))</f>
        <v>0</v>
      </c>
      <c r="AO155" s="197" t="str">
        <f>IF(Table9[[#This Row],[Vmin (%)]]&lt;$BA$14, "Hot", IF(Table9[[#This Row],[Vmin (%)]]&lt;$BA$12, "Warm", IF(Table9[[#This Row],[Vmin (%)]]&lt;$BA$9, "Normal", IF(Table9[[#This Row],[Vmin (%)]]&lt;$BA$7, "Cool", "Cold"))))</f>
        <v>Cold</v>
      </c>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c r="FH155" s="21"/>
      <c r="FI155" s="21"/>
      <c r="FJ155" s="21"/>
      <c r="FK155" s="21"/>
      <c r="FL155" s="21"/>
      <c r="FM155" s="21"/>
      <c r="FN155" s="21"/>
      <c r="FO155" s="21"/>
      <c r="FP155" s="21"/>
      <c r="FQ155" s="21"/>
      <c r="FR155" s="21"/>
      <c r="FS155" s="21"/>
      <c r="FT155" s="21"/>
      <c r="FU155" s="21"/>
      <c r="FV155" s="21"/>
      <c r="FW155" s="21"/>
      <c r="FX155" s="21"/>
      <c r="FY155" s="21"/>
      <c r="FZ155" s="21"/>
      <c r="GA155" s="21"/>
      <c r="GB155" s="21"/>
      <c r="GC155" s="21"/>
      <c r="GD155" s="21"/>
      <c r="GE155" s="21"/>
      <c r="GF155" s="21"/>
      <c r="GG155" s="21"/>
      <c r="GH155" s="21"/>
      <c r="GI155" s="21"/>
      <c r="GJ155" s="21"/>
      <c r="GK155" s="21"/>
      <c r="GL155" s="21"/>
      <c r="GM155" s="21"/>
      <c r="GN155" s="21"/>
      <c r="GO155" s="21"/>
      <c r="GP155" s="21"/>
      <c r="GQ155" s="21"/>
      <c r="GR155" s="21"/>
      <c r="GS155" s="21"/>
      <c r="GT155" s="21"/>
      <c r="GU155" s="21"/>
      <c r="GV155" s="21"/>
      <c r="GW155" s="21"/>
      <c r="GX155" s="21"/>
      <c r="GY155" s="21"/>
      <c r="GZ155" s="21"/>
      <c r="HA155" s="21"/>
      <c r="HB155" s="21"/>
    </row>
    <row r="156" spans="1:210" hidden="1" x14ac:dyDescent="0.25">
      <c r="A156" s="118">
        <f t="shared" si="30"/>
        <v>-26</v>
      </c>
      <c r="B156" s="179"/>
      <c r="C156" s="188" t="str">
        <f t="shared" si="25"/>
        <v>RTH at -26 °C</v>
      </c>
      <c r="D156" s="219">
        <f t="shared" si="19"/>
        <v>3.21</v>
      </c>
      <c r="E156" s="232">
        <v>9.9999999999999997E+98</v>
      </c>
      <c r="F156" s="233">
        <v>9.9999999999999997E+98</v>
      </c>
      <c r="G156" s="234">
        <v>9.9999999999999997E+98</v>
      </c>
      <c r="H156" s="138" t="s">
        <v>30</v>
      </c>
      <c r="I156" s="31"/>
      <c r="J156" s="31">
        <v>93.8</v>
      </c>
      <c r="K156" s="31">
        <v>90.84</v>
      </c>
      <c r="L156" s="31">
        <v>87.97</v>
      </c>
      <c r="M156" s="31"/>
      <c r="N156" s="31"/>
      <c r="O156" s="31"/>
      <c r="P156" s="31"/>
      <c r="Q156" s="31"/>
      <c r="R156" s="31"/>
      <c r="S156" s="31"/>
      <c r="T156" s="31"/>
      <c r="U156" s="31"/>
      <c r="V156" s="31"/>
      <c r="W156" s="31"/>
      <c r="X156" s="31"/>
      <c r="Y156" s="32"/>
      <c r="Z156" s="20"/>
      <c r="AA156" s="21"/>
      <c r="AB156" s="21"/>
      <c r="AC156" s="195">
        <f t="shared" si="26"/>
        <v>-26</v>
      </c>
      <c r="AD156" s="195">
        <f t="shared" si="27"/>
        <v>9.9999999999999997E+98</v>
      </c>
      <c r="AE156" s="195">
        <f t="shared" si="28"/>
        <v>9.9999999999999997E+98</v>
      </c>
      <c r="AF156" s="195">
        <f t="shared" si="29"/>
        <v>9.9999999999999997E+98</v>
      </c>
      <c r="AG156" s="195">
        <f>Table9[[#This Row],[RTH(min) (kΩ)]]*RT2_TH_MIN/(RT2_TH_MIN+Table9[[#This Row],[RTH(min) (kΩ)]])</f>
        <v>30.474773623767586</v>
      </c>
      <c r="AH156" s="195">
        <f>Table9[[#This Row],[RTH(nom) (kΩ)]]*RT2_TH_S/(RT2_TH_S+Table9[[#This Row],[RTH(nom) (kΩ)]])</f>
        <v>30.505278902670256</v>
      </c>
      <c r="AI156" s="195">
        <f>Table9[[#This Row],[RTH(max) (kΩ)]]*RT2_TH_S_MAX/(RT2_TH_S_MAX+Table9[[#This Row],[RTH(max) (kΩ)]])</f>
        <v>30.535784181572922</v>
      </c>
      <c r="AJ156" s="195">
        <f>Table9[[#This Row],[RLower(min) (kΩ)]]/(Table9[[#This Row],[RLower(min) (kΩ)]]+RT1_TH_S_MAX)*100</f>
        <v>85.332443462432792</v>
      </c>
      <c r="AK156" s="195">
        <f>Table9[[#This Row],[RLower(nom) (kΩ)]]/(Table9[[#This Row],[RLower(nom) (kΩ)]]+RT1_TH_S)*100</f>
        <v>85.357458154608338</v>
      </c>
      <c r="AL156" s="195">
        <f>Table9[[#This Row],[RLower(max) (kΩ)]]/(Table9[[#This Row],[RLower(max) (kΩ)]]+RT1_TH_S_MIN)*100</f>
        <v>85.382437493546604</v>
      </c>
      <c r="AM156" s="195">
        <f>IF(Table9[[#This Row],[Vmin (%)]]&lt;$BA$14, 0, IF(Table9[[#This Row],[Vmin (%)]]&lt;$BA$12, 4, IF(Table9[[#This Row],[Vmin (%)]]&lt;$BA$9, 3, IF(Table9[[#This Row],[Vmin (%)]]&lt;$BA$7, 2, 0))))</f>
        <v>0</v>
      </c>
      <c r="AN156" s="195">
        <f>IF(Table9[[#This Row],[Vmin (%)]]&lt;$BA$13, 0, IF(Table9[[#This Row],[Vmin (%)]]&lt;$BA$11, 4, IF(Table9[[#This Row],[Vmin (%)]]&lt;$BA$10, 3, IF(Table9[[#This Row],[Vmin (%)]]&lt;$BA$8, 2, 0))))</f>
        <v>0</v>
      </c>
      <c r="AO156" s="197" t="str">
        <f>IF(Table9[[#This Row],[Vmin (%)]]&lt;$BA$14, "Hot", IF(Table9[[#This Row],[Vmin (%)]]&lt;$BA$12, "Warm", IF(Table9[[#This Row],[Vmin (%)]]&lt;$BA$9, "Normal", IF(Table9[[#This Row],[Vmin (%)]]&lt;$BA$7, "Cool", "Cold"))))</f>
        <v>Cold</v>
      </c>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c r="FH156" s="21"/>
      <c r="FI156" s="21"/>
      <c r="FJ156" s="21"/>
      <c r="FK156" s="21"/>
      <c r="FL156" s="21"/>
      <c r="FM156" s="21"/>
      <c r="FN156" s="21"/>
      <c r="FO156" s="21"/>
      <c r="FP156" s="21"/>
      <c r="FQ156" s="21"/>
      <c r="FR156" s="21"/>
      <c r="FS156" s="21"/>
      <c r="FT156" s="21"/>
      <c r="FU156" s="21"/>
      <c r="FV156" s="21"/>
      <c r="FW156" s="21"/>
      <c r="FX156" s="21"/>
      <c r="FY156" s="21"/>
      <c r="FZ156" s="21"/>
      <c r="GA156" s="21"/>
      <c r="GB156" s="21"/>
      <c r="GC156" s="21"/>
      <c r="GD156" s="21"/>
      <c r="GE156" s="21"/>
      <c r="GF156" s="21"/>
      <c r="GG156" s="21"/>
      <c r="GH156" s="21"/>
      <c r="GI156" s="21"/>
      <c r="GJ156" s="21"/>
      <c r="GK156" s="21"/>
      <c r="GL156" s="21"/>
      <c r="GM156" s="21"/>
      <c r="GN156" s="21"/>
      <c r="GO156" s="21"/>
      <c r="GP156" s="21"/>
      <c r="GQ156" s="21"/>
      <c r="GR156" s="21"/>
      <c r="GS156" s="21"/>
      <c r="GT156" s="21"/>
      <c r="GU156" s="21"/>
      <c r="GV156" s="21"/>
      <c r="GW156" s="21"/>
      <c r="GX156" s="21"/>
      <c r="GY156" s="21"/>
      <c r="GZ156" s="21"/>
      <c r="HA156" s="21"/>
      <c r="HB156" s="21"/>
    </row>
    <row r="157" spans="1:210" hidden="1" x14ac:dyDescent="0.25">
      <c r="A157" s="118">
        <f t="shared" si="30"/>
        <v>-27</v>
      </c>
      <c r="B157" s="179"/>
      <c r="C157" s="188" t="str">
        <f t="shared" si="25"/>
        <v>RTH at -27 °C</v>
      </c>
      <c r="D157" s="219">
        <f t="shared" si="19"/>
        <v>3.2533333333333334</v>
      </c>
      <c r="E157" s="232">
        <v>9.9999999999999997E+98</v>
      </c>
      <c r="F157" s="233">
        <v>9.9999999999999997E+98</v>
      </c>
      <c r="G157" s="234">
        <v>9.9999999999999997E+98</v>
      </c>
      <c r="H157" s="138" t="s">
        <v>30</v>
      </c>
      <c r="I157" s="31"/>
      <c r="J157" s="31">
        <v>98.68</v>
      </c>
      <c r="K157" s="31">
        <v>95.52</v>
      </c>
      <c r="L157" s="31">
        <v>92.45</v>
      </c>
      <c r="M157" s="31"/>
      <c r="N157" s="31"/>
      <c r="O157" s="31"/>
      <c r="P157" s="31"/>
      <c r="Q157" s="31"/>
      <c r="R157" s="31"/>
      <c r="S157" s="31"/>
      <c r="T157" s="31"/>
      <c r="U157" s="31"/>
      <c r="V157" s="31"/>
      <c r="W157" s="31"/>
      <c r="X157" s="31"/>
      <c r="Y157" s="32"/>
      <c r="Z157" s="20"/>
      <c r="AA157" s="21"/>
      <c r="AB157" s="21"/>
      <c r="AC157" s="195">
        <f t="shared" si="26"/>
        <v>-27</v>
      </c>
      <c r="AD157" s="195">
        <f t="shared" si="27"/>
        <v>9.9999999999999997E+98</v>
      </c>
      <c r="AE157" s="195">
        <f t="shared" si="28"/>
        <v>9.9999999999999997E+98</v>
      </c>
      <c r="AF157" s="195">
        <f t="shared" si="29"/>
        <v>9.9999999999999997E+98</v>
      </c>
      <c r="AG157" s="195">
        <f>Table9[[#This Row],[RTH(min) (kΩ)]]*RT2_TH_MIN/(RT2_TH_MIN+Table9[[#This Row],[RTH(min) (kΩ)]])</f>
        <v>30.474773623767586</v>
      </c>
      <c r="AH157" s="195">
        <f>Table9[[#This Row],[RTH(nom) (kΩ)]]*RT2_TH_S/(RT2_TH_S+Table9[[#This Row],[RTH(nom) (kΩ)]])</f>
        <v>30.505278902670256</v>
      </c>
      <c r="AI157" s="195">
        <f>Table9[[#This Row],[RTH(max) (kΩ)]]*RT2_TH_S_MAX/(RT2_TH_S_MAX+Table9[[#This Row],[RTH(max) (kΩ)]])</f>
        <v>30.535784181572922</v>
      </c>
      <c r="AJ157" s="195">
        <f>Table9[[#This Row],[RLower(min) (kΩ)]]/(Table9[[#This Row],[RLower(min) (kΩ)]]+RT1_TH_S_MAX)*100</f>
        <v>85.332443462432792</v>
      </c>
      <c r="AK157" s="195">
        <f>Table9[[#This Row],[RLower(nom) (kΩ)]]/(Table9[[#This Row],[RLower(nom) (kΩ)]]+RT1_TH_S)*100</f>
        <v>85.357458154608338</v>
      </c>
      <c r="AL157" s="195">
        <f>Table9[[#This Row],[RLower(max) (kΩ)]]/(Table9[[#This Row],[RLower(max) (kΩ)]]+RT1_TH_S_MIN)*100</f>
        <v>85.382437493546604</v>
      </c>
      <c r="AM157" s="195">
        <f>IF(Table9[[#This Row],[Vmin (%)]]&lt;$BA$14, 0, IF(Table9[[#This Row],[Vmin (%)]]&lt;$BA$12, 4, IF(Table9[[#This Row],[Vmin (%)]]&lt;$BA$9, 3, IF(Table9[[#This Row],[Vmin (%)]]&lt;$BA$7, 2, 0))))</f>
        <v>0</v>
      </c>
      <c r="AN157" s="195">
        <f>IF(Table9[[#This Row],[Vmin (%)]]&lt;$BA$13, 0, IF(Table9[[#This Row],[Vmin (%)]]&lt;$BA$11, 4, IF(Table9[[#This Row],[Vmin (%)]]&lt;$BA$10, 3, IF(Table9[[#This Row],[Vmin (%)]]&lt;$BA$8, 2, 0))))</f>
        <v>0</v>
      </c>
      <c r="AO157" s="197" t="str">
        <f>IF(Table9[[#This Row],[Vmin (%)]]&lt;$BA$14, "Hot", IF(Table9[[#This Row],[Vmin (%)]]&lt;$BA$12, "Warm", IF(Table9[[#This Row],[Vmin (%)]]&lt;$BA$9, "Normal", IF(Table9[[#This Row],[Vmin (%)]]&lt;$BA$7, "Cool", "Cold"))))</f>
        <v>Cold</v>
      </c>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c r="DB157" s="21"/>
      <c r="DC157" s="21"/>
      <c r="DD157" s="21"/>
      <c r="DE157" s="21"/>
      <c r="DF157" s="21"/>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c r="FH157" s="21"/>
      <c r="FI157" s="21"/>
      <c r="FJ157" s="21"/>
      <c r="FK157" s="21"/>
      <c r="FL157" s="21"/>
      <c r="FM157" s="21"/>
      <c r="FN157" s="21"/>
      <c r="FO157" s="21"/>
      <c r="FP157" s="21"/>
      <c r="FQ157" s="21"/>
      <c r="FR157" s="21"/>
      <c r="FS157" s="21"/>
      <c r="FT157" s="21"/>
      <c r="FU157" s="21"/>
      <c r="FV157" s="21"/>
      <c r="FW157" s="21"/>
      <c r="FX157" s="21"/>
      <c r="FY157" s="21"/>
      <c r="FZ157" s="21"/>
      <c r="GA157" s="21"/>
      <c r="GB157" s="21"/>
      <c r="GC157" s="21"/>
      <c r="GD157" s="21"/>
      <c r="GE157" s="21"/>
      <c r="GF157" s="21"/>
      <c r="GG157" s="21"/>
      <c r="GH157" s="21"/>
      <c r="GI157" s="21"/>
      <c r="GJ157" s="21"/>
      <c r="GK157" s="21"/>
      <c r="GL157" s="21"/>
      <c r="GM157" s="21"/>
      <c r="GN157" s="21"/>
      <c r="GO157" s="21"/>
      <c r="GP157" s="21"/>
      <c r="GQ157" s="21"/>
      <c r="GR157" s="21"/>
      <c r="GS157" s="21"/>
      <c r="GT157" s="21"/>
      <c r="GU157" s="21"/>
      <c r="GV157" s="21"/>
      <c r="GW157" s="21"/>
      <c r="GX157" s="21"/>
      <c r="GY157" s="21"/>
      <c r="GZ157" s="21"/>
      <c r="HA157" s="21"/>
      <c r="HB157" s="21"/>
    </row>
    <row r="158" spans="1:210" hidden="1" x14ac:dyDescent="0.25">
      <c r="A158" s="118">
        <f t="shared" si="30"/>
        <v>-28</v>
      </c>
      <c r="B158" s="179"/>
      <c r="C158" s="188" t="str">
        <f t="shared" si="25"/>
        <v>RTH at -28 °C</v>
      </c>
      <c r="D158" s="219">
        <f t="shared" si="19"/>
        <v>3.2966666666666669</v>
      </c>
      <c r="E158" s="232">
        <v>9.9999999999999997E+98</v>
      </c>
      <c r="F158" s="233">
        <v>9.9999999999999997E+98</v>
      </c>
      <c r="G158" s="234">
        <v>9.9999999999999997E+98</v>
      </c>
      <c r="H158" s="138" t="s">
        <v>30</v>
      </c>
      <c r="I158" s="31"/>
      <c r="J158" s="31">
        <v>103.9</v>
      </c>
      <c r="K158" s="31">
        <v>100.5</v>
      </c>
      <c r="L158" s="31">
        <v>97.2</v>
      </c>
      <c r="M158" s="31"/>
      <c r="N158" s="31"/>
      <c r="O158" s="31"/>
      <c r="P158" s="31"/>
      <c r="Q158" s="31"/>
      <c r="R158" s="31"/>
      <c r="S158" s="31"/>
      <c r="T158" s="31"/>
      <c r="U158" s="31"/>
      <c r="V158" s="31"/>
      <c r="W158" s="31"/>
      <c r="X158" s="31"/>
      <c r="Y158" s="32"/>
      <c r="Z158" s="20"/>
      <c r="AA158" s="21"/>
      <c r="AB158" s="21"/>
      <c r="AC158" s="195">
        <f t="shared" si="26"/>
        <v>-28</v>
      </c>
      <c r="AD158" s="195">
        <f t="shared" si="27"/>
        <v>9.9999999999999997E+98</v>
      </c>
      <c r="AE158" s="195">
        <f t="shared" si="28"/>
        <v>9.9999999999999997E+98</v>
      </c>
      <c r="AF158" s="195">
        <f t="shared" si="29"/>
        <v>9.9999999999999997E+98</v>
      </c>
      <c r="AG158" s="195">
        <f>Table9[[#This Row],[RTH(min) (kΩ)]]*RT2_TH_MIN/(RT2_TH_MIN+Table9[[#This Row],[RTH(min) (kΩ)]])</f>
        <v>30.474773623767586</v>
      </c>
      <c r="AH158" s="195">
        <f>Table9[[#This Row],[RTH(nom) (kΩ)]]*RT2_TH_S/(RT2_TH_S+Table9[[#This Row],[RTH(nom) (kΩ)]])</f>
        <v>30.505278902670256</v>
      </c>
      <c r="AI158" s="195">
        <f>Table9[[#This Row],[RTH(max) (kΩ)]]*RT2_TH_S_MAX/(RT2_TH_S_MAX+Table9[[#This Row],[RTH(max) (kΩ)]])</f>
        <v>30.535784181572922</v>
      </c>
      <c r="AJ158" s="195">
        <f>Table9[[#This Row],[RLower(min) (kΩ)]]/(Table9[[#This Row],[RLower(min) (kΩ)]]+RT1_TH_S_MAX)*100</f>
        <v>85.332443462432792</v>
      </c>
      <c r="AK158" s="195">
        <f>Table9[[#This Row],[RLower(nom) (kΩ)]]/(Table9[[#This Row],[RLower(nom) (kΩ)]]+RT1_TH_S)*100</f>
        <v>85.357458154608338</v>
      </c>
      <c r="AL158" s="195">
        <f>Table9[[#This Row],[RLower(max) (kΩ)]]/(Table9[[#This Row],[RLower(max) (kΩ)]]+RT1_TH_S_MIN)*100</f>
        <v>85.382437493546604</v>
      </c>
      <c r="AM158" s="195">
        <f>IF(Table9[[#This Row],[Vmin (%)]]&lt;$BA$14, 0, IF(Table9[[#This Row],[Vmin (%)]]&lt;$BA$12, 4, IF(Table9[[#This Row],[Vmin (%)]]&lt;$BA$9, 3, IF(Table9[[#This Row],[Vmin (%)]]&lt;$BA$7, 2, 0))))</f>
        <v>0</v>
      </c>
      <c r="AN158" s="195">
        <f>IF(Table9[[#This Row],[Vmin (%)]]&lt;$BA$13, 0, IF(Table9[[#This Row],[Vmin (%)]]&lt;$BA$11, 4, IF(Table9[[#This Row],[Vmin (%)]]&lt;$BA$10, 3, IF(Table9[[#This Row],[Vmin (%)]]&lt;$BA$8, 2, 0))))</f>
        <v>0</v>
      </c>
      <c r="AO158" s="197" t="str">
        <f>IF(Table9[[#This Row],[Vmin (%)]]&lt;$BA$14, "Hot", IF(Table9[[#This Row],[Vmin (%)]]&lt;$BA$12, "Warm", IF(Table9[[#This Row],[Vmin (%)]]&lt;$BA$9, "Normal", IF(Table9[[#This Row],[Vmin (%)]]&lt;$BA$7, "Cool", "Cold"))))</f>
        <v>Cold</v>
      </c>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c r="FH158" s="21"/>
      <c r="FI158" s="21"/>
      <c r="FJ158" s="21"/>
      <c r="FK158" s="21"/>
      <c r="FL158" s="21"/>
      <c r="FM158" s="21"/>
      <c r="FN158" s="21"/>
      <c r="FO158" s="21"/>
      <c r="FP158" s="21"/>
      <c r="FQ158" s="21"/>
      <c r="FR158" s="21"/>
      <c r="FS158" s="21"/>
      <c r="FT158" s="21"/>
      <c r="FU158" s="21"/>
      <c r="FV158" s="21"/>
      <c r="FW158" s="21"/>
      <c r="FX158" s="21"/>
      <c r="FY158" s="21"/>
      <c r="FZ158" s="21"/>
      <c r="GA158" s="21"/>
      <c r="GB158" s="21"/>
      <c r="GC158" s="21"/>
      <c r="GD158" s="21"/>
      <c r="GE158" s="21"/>
      <c r="GF158" s="21"/>
      <c r="GG158" s="21"/>
      <c r="GH158" s="21"/>
      <c r="GI158" s="21"/>
      <c r="GJ158" s="21"/>
      <c r="GK158" s="21"/>
      <c r="GL158" s="21"/>
      <c r="GM158" s="21"/>
      <c r="GN158" s="21"/>
      <c r="GO158" s="21"/>
      <c r="GP158" s="21"/>
      <c r="GQ158" s="21"/>
      <c r="GR158" s="21"/>
      <c r="GS158" s="21"/>
      <c r="GT158" s="21"/>
      <c r="GU158" s="21"/>
      <c r="GV158" s="21"/>
      <c r="GW158" s="21"/>
      <c r="GX158" s="21"/>
      <c r="GY158" s="21"/>
      <c r="GZ158" s="21"/>
      <c r="HA158" s="21"/>
      <c r="HB158" s="21"/>
    </row>
    <row r="159" spans="1:210" hidden="1" x14ac:dyDescent="0.25">
      <c r="A159" s="118">
        <f t="shared" si="30"/>
        <v>-29</v>
      </c>
      <c r="B159" s="179"/>
      <c r="C159" s="188" t="str">
        <f t="shared" si="25"/>
        <v>RTH at -29 °C</v>
      </c>
      <c r="D159" s="219">
        <f t="shared" si="19"/>
        <v>3.34</v>
      </c>
      <c r="E159" s="232">
        <v>9.9999999999999997E+98</v>
      </c>
      <c r="F159" s="233">
        <v>9.9999999999999997E+98</v>
      </c>
      <c r="G159" s="234">
        <v>9.9999999999999997E+98</v>
      </c>
      <c r="H159" s="138" t="s">
        <v>30</v>
      </c>
      <c r="I159" s="31"/>
      <c r="J159" s="31">
        <v>109.4</v>
      </c>
      <c r="K159" s="31">
        <v>105.7</v>
      </c>
      <c r="L159" s="31">
        <v>102.2</v>
      </c>
      <c r="M159" s="31"/>
      <c r="N159" s="31"/>
      <c r="O159" s="31"/>
      <c r="P159" s="31"/>
      <c r="Q159" s="31"/>
      <c r="R159" s="31"/>
      <c r="S159" s="31"/>
      <c r="T159" s="31"/>
      <c r="U159" s="31"/>
      <c r="V159" s="31"/>
      <c r="W159" s="31"/>
      <c r="X159" s="31"/>
      <c r="Y159" s="32"/>
      <c r="Z159" s="20"/>
      <c r="AA159" s="21"/>
      <c r="AB159" s="21"/>
      <c r="AC159" s="195">
        <f t="shared" si="26"/>
        <v>-29</v>
      </c>
      <c r="AD159" s="195">
        <f t="shared" si="27"/>
        <v>9.9999999999999997E+98</v>
      </c>
      <c r="AE159" s="195">
        <f t="shared" si="28"/>
        <v>9.9999999999999997E+98</v>
      </c>
      <c r="AF159" s="195">
        <f t="shared" si="29"/>
        <v>9.9999999999999997E+98</v>
      </c>
      <c r="AG159" s="195">
        <f>Table9[[#This Row],[RTH(min) (kΩ)]]*RT2_TH_MIN/(RT2_TH_MIN+Table9[[#This Row],[RTH(min) (kΩ)]])</f>
        <v>30.474773623767586</v>
      </c>
      <c r="AH159" s="195">
        <f>Table9[[#This Row],[RTH(nom) (kΩ)]]*RT2_TH_S/(RT2_TH_S+Table9[[#This Row],[RTH(nom) (kΩ)]])</f>
        <v>30.505278902670256</v>
      </c>
      <c r="AI159" s="195">
        <f>Table9[[#This Row],[RTH(max) (kΩ)]]*RT2_TH_S_MAX/(RT2_TH_S_MAX+Table9[[#This Row],[RTH(max) (kΩ)]])</f>
        <v>30.535784181572922</v>
      </c>
      <c r="AJ159" s="195">
        <f>Table9[[#This Row],[RLower(min) (kΩ)]]/(Table9[[#This Row],[RLower(min) (kΩ)]]+RT1_TH_S_MAX)*100</f>
        <v>85.332443462432792</v>
      </c>
      <c r="AK159" s="195">
        <f>Table9[[#This Row],[RLower(nom) (kΩ)]]/(Table9[[#This Row],[RLower(nom) (kΩ)]]+RT1_TH_S)*100</f>
        <v>85.357458154608338</v>
      </c>
      <c r="AL159" s="195">
        <f>Table9[[#This Row],[RLower(max) (kΩ)]]/(Table9[[#This Row],[RLower(max) (kΩ)]]+RT1_TH_S_MIN)*100</f>
        <v>85.382437493546604</v>
      </c>
      <c r="AM159" s="195">
        <f>IF(Table9[[#This Row],[Vmin (%)]]&lt;$BA$14, 0, IF(Table9[[#This Row],[Vmin (%)]]&lt;$BA$12, 4, IF(Table9[[#This Row],[Vmin (%)]]&lt;$BA$9, 3, IF(Table9[[#This Row],[Vmin (%)]]&lt;$BA$7, 2, 0))))</f>
        <v>0</v>
      </c>
      <c r="AN159" s="195">
        <f>IF(Table9[[#This Row],[Vmin (%)]]&lt;$BA$13, 0, IF(Table9[[#This Row],[Vmin (%)]]&lt;$BA$11, 4, IF(Table9[[#This Row],[Vmin (%)]]&lt;$BA$10, 3, IF(Table9[[#This Row],[Vmin (%)]]&lt;$BA$8, 2, 0))))</f>
        <v>0</v>
      </c>
      <c r="AO159" s="197" t="str">
        <f>IF(Table9[[#This Row],[Vmin (%)]]&lt;$BA$14, "Hot", IF(Table9[[#This Row],[Vmin (%)]]&lt;$BA$12, "Warm", IF(Table9[[#This Row],[Vmin (%)]]&lt;$BA$9, "Normal", IF(Table9[[#This Row],[Vmin (%)]]&lt;$BA$7, "Cool", "Cold"))))</f>
        <v>Cold</v>
      </c>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c r="FH159" s="21"/>
      <c r="FI159" s="21"/>
      <c r="FJ159" s="21"/>
      <c r="FK159" s="21"/>
      <c r="FL159" s="21"/>
      <c r="FM159" s="21"/>
      <c r="FN159" s="21"/>
      <c r="FO159" s="21"/>
      <c r="FP159" s="21"/>
      <c r="FQ159" s="21"/>
      <c r="FR159" s="21"/>
      <c r="FS159" s="21"/>
      <c r="FT159" s="21"/>
      <c r="FU159" s="21"/>
      <c r="FV159" s="21"/>
      <c r="FW159" s="21"/>
      <c r="FX159" s="21"/>
      <c r="FY159" s="21"/>
      <c r="FZ159" s="21"/>
      <c r="GA159" s="21"/>
      <c r="GB159" s="21"/>
      <c r="GC159" s="21"/>
      <c r="GD159" s="21"/>
      <c r="GE159" s="21"/>
      <c r="GF159" s="21"/>
      <c r="GG159" s="21"/>
      <c r="GH159" s="21"/>
      <c r="GI159" s="21"/>
      <c r="GJ159" s="21"/>
      <c r="GK159" s="21"/>
      <c r="GL159" s="21"/>
      <c r="GM159" s="21"/>
      <c r="GN159" s="21"/>
      <c r="GO159" s="21"/>
      <c r="GP159" s="21"/>
      <c r="GQ159" s="21"/>
      <c r="GR159" s="21"/>
      <c r="GS159" s="21"/>
      <c r="GT159" s="21"/>
      <c r="GU159" s="21"/>
      <c r="GV159" s="21"/>
      <c r="GW159" s="21"/>
      <c r="GX159" s="21"/>
      <c r="GY159" s="21"/>
      <c r="GZ159" s="21"/>
      <c r="HA159" s="21"/>
      <c r="HB159" s="21"/>
    </row>
    <row r="160" spans="1:210" hidden="1" x14ac:dyDescent="0.25">
      <c r="A160" s="118">
        <f t="shared" si="30"/>
        <v>-30</v>
      </c>
      <c r="B160" s="179"/>
      <c r="C160" s="188" t="str">
        <f t="shared" si="25"/>
        <v>RTH at -30 °C</v>
      </c>
      <c r="D160" s="219">
        <f t="shared" si="19"/>
        <v>3.3833333333333333</v>
      </c>
      <c r="E160" s="232">
        <v>9.9999999999999997E+98</v>
      </c>
      <c r="F160" s="233">
        <v>9.9999999999999997E+98</v>
      </c>
      <c r="G160" s="234">
        <v>9.9999999999999997E+98</v>
      </c>
      <c r="H160" s="138" t="s">
        <v>30</v>
      </c>
      <c r="I160" s="31"/>
      <c r="J160" s="31">
        <v>115.2</v>
      </c>
      <c r="K160" s="31">
        <v>111.3</v>
      </c>
      <c r="L160" s="31">
        <v>107.5</v>
      </c>
      <c r="M160" s="31"/>
      <c r="N160" s="31"/>
      <c r="O160" s="31"/>
      <c r="P160" s="31"/>
      <c r="Q160" s="31"/>
      <c r="R160" s="31"/>
      <c r="S160" s="31"/>
      <c r="T160" s="31"/>
      <c r="U160" s="31"/>
      <c r="V160" s="31"/>
      <c r="W160" s="31"/>
      <c r="X160" s="31"/>
      <c r="Y160" s="32"/>
      <c r="Z160" s="20"/>
      <c r="AA160" s="21"/>
      <c r="AB160" s="21"/>
      <c r="AC160" s="195">
        <f t="shared" si="26"/>
        <v>-30</v>
      </c>
      <c r="AD160" s="195">
        <f t="shared" si="27"/>
        <v>9.9999999999999997E+98</v>
      </c>
      <c r="AE160" s="195">
        <f t="shared" si="28"/>
        <v>9.9999999999999997E+98</v>
      </c>
      <c r="AF160" s="195">
        <f t="shared" si="29"/>
        <v>9.9999999999999997E+98</v>
      </c>
      <c r="AG160" s="195">
        <f>Table9[[#This Row],[RTH(min) (kΩ)]]*RT2_TH_MIN/(RT2_TH_MIN+Table9[[#This Row],[RTH(min) (kΩ)]])</f>
        <v>30.474773623767586</v>
      </c>
      <c r="AH160" s="195">
        <f>Table9[[#This Row],[RTH(nom) (kΩ)]]*RT2_TH_S/(RT2_TH_S+Table9[[#This Row],[RTH(nom) (kΩ)]])</f>
        <v>30.505278902670256</v>
      </c>
      <c r="AI160" s="195">
        <f>Table9[[#This Row],[RTH(max) (kΩ)]]*RT2_TH_S_MAX/(RT2_TH_S_MAX+Table9[[#This Row],[RTH(max) (kΩ)]])</f>
        <v>30.535784181572922</v>
      </c>
      <c r="AJ160" s="195">
        <f>Table9[[#This Row],[RLower(min) (kΩ)]]/(Table9[[#This Row],[RLower(min) (kΩ)]]+RT1_TH_S_MAX)*100</f>
        <v>85.332443462432792</v>
      </c>
      <c r="AK160" s="195">
        <f>Table9[[#This Row],[RLower(nom) (kΩ)]]/(Table9[[#This Row],[RLower(nom) (kΩ)]]+RT1_TH_S)*100</f>
        <v>85.357458154608338</v>
      </c>
      <c r="AL160" s="195">
        <f>Table9[[#This Row],[RLower(max) (kΩ)]]/(Table9[[#This Row],[RLower(max) (kΩ)]]+RT1_TH_S_MIN)*100</f>
        <v>85.382437493546604</v>
      </c>
      <c r="AM160" s="195">
        <f>IF(Table9[[#This Row],[Vmin (%)]]&lt;$BA$14, 0, IF(Table9[[#This Row],[Vmin (%)]]&lt;$BA$12, 4, IF(Table9[[#This Row],[Vmin (%)]]&lt;$BA$9, 3, IF(Table9[[#This Row],[Vmin (%)]]&lt;$BA$7, 2, 0))))</f>
        <v>0</v>
      </c>
      <c r="AN160" s="195">
        <f>IF(Table9[[#This Row],[Vmin (%)]]&lt;$BA$13, 0, IF(Table9[[#This Row],[Vmin (%)]]&lt;$BA$11, 4, IF(Table9[[#This Row],[Vmin (%)]]&lt;$BA$10, 3, IF(Table9[[#This Row],[Vmin (%)]]&lt;$BA$8, 2, 0))))</f>
        <v>0</v>
      </c>
      <c r="AO160" s="197" t="str">
        <f>IF(Table9[[#This Row],[Vmin (%)]]&lt;$BA$14, "Hot", IF(Table9[[#This Row],[Vmin (%)]]&lt;$BA$12, "Warm", IF(Table9[[#This Row],[Vmin (%)]]&lt;$BA$9, "Normal", IF(Table9[[#This Row],[Vmin (%)]]&lt;$BA$7, "Cool", "Cold"))))</f>
        <v>Cold</v>
      </c>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c r="FH160" s="21"/>
      <c r="FI160" s="21"/>
      <c r="FJ160" s="21"/>
      <c r="FK160" s="21"/>
      <c r="FL160" s="21"/>
      <c r="FM160" s="21"/>
      <c r="FN160" s="21"/>
      <c r="FO160" s="21"/>
      <c r="FP160" s="21"/>
      <c r="FQ160" s="21"/>
      <c r="FR160" s="21"/>
      <c r="FS160" s="21"/>
      <c r="FT160" s="21"/>
      <c r="FU160" s="21"/>
      <c r="FV160" s="21"/>
      <c r="FW160" s="21"/>
      <c r="FX160" s="21"/>
      <c r="FY160" s="21"/>
      <c r="FZ160" s="21"/>
      <c r="GA160" s="21"/>
      <c r="GB160" s="21"/>
      <c r="GC160" s="21"/>
      <c r="GD160" s="21"/>
      <c r="GE160" s="21"/>
      <c r="GF160" s="21"/>
      <c r="GG160" s="21"/>
      <c r="GH160" s="21"/>
      <c r="GI160" s="21"/>
      <c r="GJ160" s="21"/>
      <c r="GK160" s="21"/>
      <c r="GL160" s="21"/>
      <c r="GM160" s="21"/>
      <c r="GN160" s="21"/>
      <c r="GO160" s="21"/>
      <c r="GP160" s="21"/>
      <c r="GQ160" s="21"/>
      <c r="GR160" s="21"/>
      <c r="GS160" s="21"/>
      <c r="GT160" s="21"/>
      <c r="GU160" s="21"/>
      <c r="GV160" s="21"/>
      <c r="GW160" s="21"/>
      <c r="GX160" s="21"/>
      <c r="GY160" s="21"/>
      <c r="GZ160" s="21"/>
      <c r="HA160" s="21"/>
      <c r="HB160" s="21"/>
    </row>
    <row r="161" spans="1:210" hidden="1" x14ac:dyDescent="0.25">
      <c r="A161" s="118">
        <f t="shared" si="30"/>
        <v>-31</v>
      </c>
      <c r="B161" s="179"/>
      <c r="C161" s="188" t="str">
        <f t="shared" si="25"/>
        <v>RTH at -31 °C</v>
      </c>
      <c r="D161" s="219">
        <f t="shared" si="19"/>
        <v>3.4266666666666667</v>
      </c>
      <c r="E161" s="232">
        <v>9.9999999999999997E+98</v>
      </c>
      <c r="F161" s="233">
        <v>9.9999999999999997E+98</v>
      </c>
      <c r="G161" s="234">
        <v>9.9999999999999997E+98</v>
      </c>
      <c r="H161" s="138" t="s">
        <v>30</v>
      </c>
      <c r="I161" s="31"/>
      <c r="J161" s="31">
        <v>121.2</v>
      </c>
      <c r="K161" s="31">
        <v>117.1</v>
      </c>
      <c r="L161" s="31">
        <v>113.1</v>
      </c>
      <c r="M161" s="31"/>
      <c r="N161" s="31"/>
      <c r="O161" s="31"/>
      <c r="P161" s="31"/>
      <c r="Q161" s="31"/>
      <c r="R161" s="31"/>
      <c r="S161" s="31"/>
      <c r="T161" s="31"/>
      <c r="U161" s="31"/>
      <c r="V161" s="31"/>
      <c r="W161" s="31"/>
      <c r="X161" s="31"/>
      <c r="Y161" s="32"/>
      <c r="Z161" s="20"/>
      <c r="AA161" s="21"/>
      <c r="AB161" s="21"/>
      <c r="AC161" s="195">
        <f t="shared" si="26"/>
        <v>-31</v>
      </c>
      <c r="AD161" s="195">
        <f t="shared" si="27"/>
        <v>9.9999999999999997E+98</v>
      </c>
      <c r="AE161" s="195">
        <f t="shared" si="28"/>
        <v>9.9999999999999997E+98</v>
      </c>
      <c r="AF161" s="195">
        <f t="shared" si="29"/>
        <v>9.9999999999999997E+98</v>
      </c>
      <c r="AG161" s="195">
        <f>Table9[[#This Row],[RTH(min) (kΩ)]]*RT2_TH_MIN/(RT2_TH_MIN+Table9[[#This Row],[RTH(min) (kΩ)]])</f>
        <v>30.474773623767586</v>
      </c>
      <c r="AH161" s="195">
        <f>Table9[[#This Row],[RTH(nom) (kΩ)]]*RT2_TH_S/(RT2_TH_S+Table9[[#This Row],[RTH(nom) (kΩ)]])</f>
        <v>30.505278902670256</v>
      </c>
      <c r="AI161" s="195">
        <f>Table9[[#This Row],[RTH(max) (kΩ)]]*RT2_TH_S_MAX/(RT2_TH_S_MAX+Table9[[#This Row],[RTH(max) (kΩ)]])</f>
        <v>30.535784181572922</v>
      </c>
      <c r="AJ161" s="195">
        <f>Table9[[#This Row],[RLower(min) (kΩ)]]/(Table9[[#This Row],[RLower(min) (kΩ)]]+RT1_TH_S_MAX)*100</f>
        <v>85.332443462432792</v>
      </c>
      <c r="AK161" s="195">
        <f>Table9[[#This Row],[RLower(nom) (kΩ)]]/(Table9[[#This Row],[RLower(nom) (kΩ)]]+RT1_TH_S)*100</f>
        <v>85.357458154608338</v>
      </c>
      <c r="AL161" s="195">
        <f>Table9[[#This Row],[RLower(max) (kΩ)]]/(Table9[[#This Row],[RLower(max) (kΩ)]]+RT1_TH_S_MIN)*100</f>
        <v>85.382437493546604</v>
      </c>
      <c r="AM161" s="195">
        <f>IF(Table9[[#This Row],[Vmin (%)]]&lt;$BA$14, 0, IF(Table9[[#This Row],[Vmin (%)]]&lt;$BA$12, 4, IF(Table9[[#This Row],[Vmin (%)]]&lt;$BA$9, 3, IF(Table9[[#This Row],[Vmin (%)]]&lt;$BA$7, 2, 0))))</f>
        <v>0</v>
      </c>
      <c r="AN161" s="195">
        <f>IF(Table9[[#This Row],[Vmin (%)]]&lt;$BA$13, 0, IF(Table9[[#This Row],[Vmin (%)]]&lt;$BA$11, 4, IF(Table9[[#This Row],[Vmin (%)]]&lt;$BA$10, 3, IF(Table9[[#This Row],[Vmin (%)]]&lt;$BA$8, 2, 0))))</f>
        <v>0</v>
      </c>
      <c r="AO161" s="197" t="str">
        <f>IF(Table9[[#This Row],[Vmin (%)]]&lt;$BA$14, "Hot", IF(Table9[[#This Row],[Vmin (%)]]&lt;$BA$12, "Warm", IF(Table9[[#This Row],[Vmin (%)]]&lt;$BA$9, "Normal", IF(Table9[[#This Row],[Vmin (%)]]&lt;$BA$7, "Cool", "Cold"))))</f>
        <v>Cold</v>
      </c>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c r="FH161" s="21"/>
      <c r="FI161" s="21"/>
      <c r="FJ161" s="21"/>
      <c r="FK161" s="21"/>
      <c r="FL161" s="21"/>
      <c r="FM161" s="21"/>
      <c r="FN161" s="21"/>
      <c r="FO161" s="21"/>
      <c r="FP161" s="21"/>
      <c r="FQ161" s="21"/>
      <c r="FR161" s="21"/>
      <c r="FS161" s="21"/>
      <c r="FT161" s="21"/>
      <c r="FU161" s="21"/>
      <c r="FV161" s="21"/>
      <c r="FW161" s="21"/>
      <c r="FX161" s="21"/>
      <c r="FY161" s="21"/>
      <c r="FZ161" s="21"/>
      <c r="GA161" s="21"/>
      <c r="GB161" s="21"/>
      <c r="GC161" s="21"/>
      <c r="GD161" s="21"/>
      <c r="GE161" s="21"/>
      <c r="GF161" s="21"/>
      <c r="GG161" s="21"/>
      <c r="GH161" s="21"/>
      <c r="GI161" s="21"/>
      <c r="GJ161" s="21"/>
      <c r="GK161" s="21"/>
      <c r="GL161" s="21"/>
      <c r="GM161" s="21"/>
      <c r="GN161" s="21"/>
      <c r="GO161" s="21"/>
      <c r="GP161" s="21"/>
      <c r="GQ161" s="21"/>
      <c r="GR161" s="21"/>
      <c r="GS161" s="21"/>
      <c r="GT161" s="21"/>
      <c r="GU161" s="21"/>
      <c r="GV161" s="21"/>
      <c r="GW161" s="21"/>
      <c r="GX161" s="21"/>
      <c r="GY161" s="21"/>
      <c r="GZ161" s="21"/>
      <c r="HA161" s="21"/>
      <c r="HB161" s="21"/>
    </row>
    <row r="162" spans="1:210" hidden="1" x14ac:dyDescent="0.25">
      <c r="A162" s="118">
        <f t="shared" si="30"/>
        <v>-32</v>
      </c>
      <c r="B162" s="179"/>
      <c r="C162" s="188" t="str">
        <f t="shared" si="25"/>
        <v>RTH at -32 °C</v>
      </c>
      <c r="D162" s="219">
        <f t="shared" si="19"/>
        <v>3.47</v>
      </c>
      <c r="E162" s="232">
        <v>9.9999999999999997E+98</v>
      </c>
      <c r="F162" s="233">
        <v>9.9999999999999997E+98</v>
      </c>
      <c r="G162" s="234">
        <v>9.9999999999999997E+98</v>
      </c>
      <c r="H162" s="138" t="s">
        <v>30</v>
      </c>
      <c r="I162" s="31"/>
      <c r="J162" s="31">
        <v>127.7</v>
      </c>
      <c r="K162" s="31">
        <v>123.3</v>
      </c>
      <c r="L162" s="31">
        <v>119</v>
      </c>
      <c r="M162" s="31"/>
      <c r="N162" s="31"/>
      <c r="O162" s="31"/>
      <c r="P162" s="31"/>
      <c r="Q162" s="31"/>
      <c r="R162" s="31"/>
      <c r="S162" s="31"/>
      <c r="T162" s="31"/>
      <c r="U162" s="31"/>
      <c r="V162" s="31"/>
      <c r="W162" s="31"/>
      <c r="X162" s="31"/>
      <c r="Y162" s="32"/>
      <c r="Z162" s="20"/>
      <c r="AA162" s="21"/>
      <c r="AB162" s="21"/>
      <c r="AC162" s="195">
        <f t="shared" si="26"/>
        <v>-32</v>
      </c>
      <c r="AD162" s="195">
        <f t="shared" si="27"/>
        <v>9.9999999999999997E+98</v>
      </c>
      <c r="AE162" s="195">
        <f t="shared" si="28"/>
        <v>9.9999999999999997E+98</v>
      </c>
      <c r="AF162" s="195">
        <f t="shared" si="29"/>
        <v>9.9999999999999997E+98</v>
      </c>
      <c r="AG162" s="195">
        <f>Table9[[#This Row],[RTH(min) (kΩ)]]*RT2_TH_MIN/(RT2_TH_MIN+Table9[[#This Row],[RTH(min) (kΩ)]])</f>
        <v>30.474773623767586</v>
      </c>
      <c r="AH162" s="195">
        <f>Table9[[#This Row],[RTH(nom) (kΩ)]]*RT2_TH_S/(RT2_TH_S+Table9[[#This Row],[RTH(nom) (kΩ)]])</f>
        <v>30.505278902670256</v>
      </c>
      <c r="AI162" s="195">
        <f>Table9[[#This Row],[RTH(max) (kΩ)]]*RT2_TH_S_MAX/(RT2_TH_S_MAX+Table9[[#This Row],[RTH(max) (kΩ)]])</f>
        <v>30.535784181572922</v>
      </c>
      <c r="AJ162" s="195">
        <f>Table9[[#This Row],[RLower(min) (kΩ)]]/(Table9[[#This Row],[RLower(min) (kΩ)]]+RT1_TH_S_MAX)*100</f>
        <v>85.332443462432792</v>
      </c>
      <c r="AK162" s="195">
        <f>Table9[[#This Row],[RLower(nom) (kΩ)]]/(Table9[[#This Row],[RLower(nom) (kΩ)]]+RT1_TH_S)*100</f>
        <v>85.357458154608338</v>
      </c>
      <c r="AL162" s="195">
        <f>Table9[[#This Row],[RLower(max) (kΩ)]]/(Table9[[#This Row],[RLower(max) (kΩ)]]+RT1_TH_S_MIN)*100</f>
        <v>85.382437493546604</v>
      </c>
      <c r="AM162" s="195">
        <f>IF(Table9[[#This Row],[Vmin (%)]]&lt;$BA$14, 0, IF(Table9[[#This Row],[Vmin (%)]]&lt;$BA$12, 4, IF(Table9[[#This Row],[Vmin (%)]]&lt;$BA$9, 3, IF(Table9[[#This Row],[Vmin (%)]]&lt;$BA$7, 2, 0))))</f>
        <v>0</v>
      </c>
      <c r="AN162" s="195">
        <f>IF(Table9[[#This Row],[Vmin (%)]]&lt;$BA$13, 0, IF(Table9[[#This Row],[Vmin (%)]]&lt;$BA$11, 4, IF(Table9[[#This Row],[Vmin (%)]]&lt;$BA$10, 3, IF(Table9[[#This Row],[Vmin (%)]]&lt;$BA$8, 2, 0))))</f>
        <v>0</v>
      </c>
      <c r="AO162" s="197" t="str">
        <f>IF(Table9[[#This Row],[Vmin (%)]]&lt;$BA$14, "Hot", IF(Table9[[#This Row],[Vmin (%)]]&lt;$BA$12, "Warm", IF(Table9[[#This Row],[Vmin (%)]]&lt;$BA$9, "Normal", IF(Table9[[#This Row],[Vmin (%)]]&lt;$BA$7, "Cool", "Cold"))))</f>
        <v>Cold</v>
      </c>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c r="FH162" s="21"/>
      <c r="FI162" s="21"/>
      <c r="FJ162" s="21"/>
      <c r="FK162" s="21"/>
      <c r="FL162" s="21"/>
      <c r="FM162" s="21"/>
      <c r="FN162" s="21"/>
      <c r="FO162" s="21"/>
      <c r="FP162" s="21"/>
      <c r="FQ162" s="21"/>
      <c r="FR162" s="21"/>
      <c r="FS162" s="21"/>
      <c r="FT162" s="21"/>
      <c r="FU162" s="21"/>
      <c r="FV162" s="21"/>
      <c r="FW162" s="21"/>
      <c r="FX162" s="21"/>
      <c r="FY162" s="21"/>
      <c r="FZ162" s="21"/>
      <c r="GA162" s="21"/>
      <c r="GB162" s="21"/>
      <c r="GC162" s="21"/>
      <c r="GD162" s="21"/>
      <c r="GE162" s="21"/>
      <c r="GF162" s="21"/>
      <c r="GG162" s="21"/>
      <c r="GH162" s="21"/>
      <c r="GI162" s="21"/>
      <c r="GJ162" s="21"/>
      <c r="GK162" s="21"/>
      <c r="GL162" s="21"/>
      <c r="GM162" s="21"/>
      <c r="GN162" s="21"/>
      <c r="GO162" s="21"/>
      <c r="GP162" s="21"/>
      <c r="GQ162" s="21"/>
      <c r="GR162" s="21"/>
      <c r="GS162" s="21"/>
      <c r="GT162" s="21"/>
      <c r="GU162" s="21"/>
      <c r="GV162" s="21"/>
      <c r="GW162" s="21"/>
      <c r="GX162" s="21"/>
      <c r="GY162" s="21"/>
      <c r="GZ162" s="21"/>
      <c r="HA162" s="21"/>
      <c r="HB162" s="21"/>
    </row>
    <row r="163" spans="1:210" hidden="1" x14ac:dyDescent="0.25">
      <c r="A163" s="118">
        <f t="shared" si="30"/>
        <v>-33</v>
      </c>
      <c r="B163" s="179"/>
      <c r="C163" s="188" t="str">
        <f t="shared" si="25"/>
        <v>RTH at -33 °C</v>
      </c>
      <c r="D163" s="219">
        <f t="shared" si="19"/>
        <v>3.5133333333333332</v>
      </c>
      <c r="E163" s="232">
        <v>9.9999999999999997E+98</v>
      </c>
      <c r="F163" s="233">
        <v>9.9999999999999997E+98</v>
      </c>
      <c r="G163" s="234">
        <v>9.9999999999999997E+98</v>
      </c>
      <c r="H163" s="138" t="s">
        <v>30</v>
      </c>
      <c r="I163" s="31"/>
      <c r="J163" s="31">
        <v>134.5</v>
      </c>
      <c r="K163" s="31">
        <v>129.80000000000001</v>
      </c>
      <c r="L163" s="31">
        <v>125.2</v>
      </c>
      <c r="M163" s="31"/>
      <c r="N163" s="31"/>
      <c r="O163" s="31"/>
      <c r="P163" s="31"/>
      <c r="Q163" s="31"/>
      <c r="R163" s="31"/>
      <c r="S163" s="31"/>
      <c r="T163" s="31"/>
      <c r="U163" s="31"/>
      <c r="V163" s="31"/>
      <c r="W163" s="31"/>
      <c r="X163" s="31"/>
      <c r="Y163" s="32"/>
      <c r="Z163" s="20"/>
      <c r="AA163" s="21"/>
      <c r="AB163" s="21"/>
      <c r="AC163" s="195">
        <f t="shared" si="26"/>
        <v>-33</v>
      </c>
      <c r="AD163" s="195">
        <f t="shared" si="27"/>
        <v>9.9999999999999997E+98</v>
      </c>
      <c r="AE163" s="195">
        <f t="shared" si="28"/>
        <v>9.9999999999999997E+98</v>
      </c>
      <c r="AF163" s="195">
        <f t="shared" si="29"/>
        <v>9.9999999999999997E+98</v>
      </c>
      <c r="AG163" s="195">
        <f>Table9[[#This Row],[RTH(min) (kΩ)]]*RT2_TH_MIN/(RT2_TH_MIN+Table9[[#This Row],[RTH(min) (kΩ)]])</f>
        <v>30.474773623767586</v>
      </c>
      <c r="AH163" s="195">
        <f>Table9[[#This Row],[RTH(nom) (kΩ)]]*RT2_TH_S/(RT2_TH_S+Table9[[#This Row],[RTH(nom) (kΩ)]])</f>
        <v>30.505278902670256</v>
      </c>
      <c r="AI163" s="195">
        <f>Table9[[#This Row],[RTH(max) (kΩ)]]*RT2_TH_S_MAX/(RT2_TH_S_MAX+Table9[[#This Row],[RTH(max) (kΩ)]])</f>
        <v>30.535784181572922</v>
      </c>
      <c r="AJ163" s="195">
        <f>Table9[[#This Row],[RLower(min) (kΩ)]]/(Table9[[#This Row],[RLower(min) (kΩ)]]+RT1_TH_S_MAX)*100</f>
        <v>85.332443462432792</v>
      </c>
      <c r="AK163" s="195">
        <f>Table9[[#This Row],[RLower(nom) (kΩ)]]/(Table9[[#This Row],[RLower(nom) (kΩ)]]+RT1_TH_S)*100</f>
        <v>85.357458154608338</v>
      </c>
      <c r="AL163" s="195">
        <f>Table9[[#This Row],[RLower(max) (kΩ)]]/(Table9[[#This Row],[RLower(max) (kΩ)]]+RT1_TH_S_MIN)*100</f>
        <v>85.382437493546604</v>
      </c>
      <c r="AM163" s="195">
        <f>IF(Table9[[#This Row],[Vmin (%)]]&lt;$BA$14, 0, IF(Table9[[#This Row],[Vmin (%)]]&lt;$BA$12, 4, IF(Table9[[#This Row],[Vmin (%)]]&lt;$BA$9, 3, IF(Table9[[#This Row],[Vmin (%)]]&lt;$BA$7, 2, 0))))</f>
        <v>0</v>
      </c>
      <c r="AN163" s="195">
        <f>IF(Table9[[#This Row],[Vmin (%)]]&lt;$BA$13, 0, IF(Table9[[#This Row],[Vmin (%)]]&lt;$BA$11, 4, IF(Table9[[#This Row],[Vmin (%)]]&lt;$BA$10, 3, IF(Table9[[#This Row],[Vmin (%)]]&lt;$BA$8, 2, 0))))</f>
        <v>0</v>
      </c>
      <c r="AO163" s="197" t="str">
        <f>IF(Table9[[#This Row],[Vmin (%)]]&lt;$BA$14, "Hot", IF(Table9[[#This Row],[Vmin (%)]]&lt;$BA$12, "Warm", IF(Table9[[#This Row],[Vmin (%)]]&lt;$BA$9, "Normal", IF(Table9[[#This Row],[Vmin (%)]]&lt;$BA$7, "Cool", "Cold"))))</f>
        <v>Cold</v>
      </c>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c r="FH163" s="21"/>
      <c r="FI163" s="21"/>
      <c r="FJ163" s="21"/>
      <c r="FK163" s="21"/>
      <c r="FL163" s="21"/>
      <c r="FM163" s="21"/>
      <c r="FN163" s="21"/>
      <c r="FO163" s="21"/>
      <c r="FP163" s="21"/>
      <c r="FQ163" s="21"/>
      <c r="FR163" s="21"/>
      <c r="FS163" s="21"/>
      <c r="FT163" s="21"/>
      <c r="FU163" s="21"/>
      <c r="FV163" s="21"/>
      <c r="FW163" s="21"/>
      <c r="FX163" s="21"/>
      <c r="FY163" s="21"/>
      <c r="FZ163" s="21"/>
      <c r="GA163" s="21"/>
      <c r="GB163" s="21"/>
      <c r="GC163" s="21"/>
      <c r="GD163" s="21"/>
      <c r="GE163" s="21"/>
      <c r="GF163" s="21"/>
      <c r="GG163" s="21"/>
      <c r="GH163" s="21"/>
      <c r="GI163" s="21"/>
      <c r="GJ163" s="21"/>
      <c r="GK163" s="21"/>
      <c r="GL163" s="21"/>
      <c r="GM163" s="21"/>
      <c r="GN163" s="21"/>
      <c r="GO163" s="21"/>
      <c r="GP163" s="21"/>
      <c r="GQ163" s="21"/>
      <c r="GR163" s="21"/>
      <c r="GS163" s="21"/>
      <c r="GT163" s="21"/>
      <c r="GU163" s="21"/>
      <c r="GV163" s="21"/>
      <c r="GW163" s="21"/>
      <c r="GX163" s="21"/>
      <c r="GY163" s="21"/>
      <c r="GZ163" s="21"/>
      <c r="HA163" s="21"/>
      <c r="HB163" s="21"/>
    </row>
    <row r="164" spans="1:210" hidden="1" x14ac:dyDescent="0.25">
      <c r="A164" s="118">
        <f t="shared" si="30"/>
        <v>-34</v>
      </c>
      <c r="B164" s="179"/>
      <c r="C164" s="188" t="str">
        <f t="shared" si="25"/>
        <v>RTH at -34 °C</v>
      </c>
      <c r="D164" s="219">
        <f t="shared" si="19"/>
        <v>3.5566666666666666</v>
      </c>
      <c r="E164" s="232">
        <v>9.9999999999999997E+98</v>
      </c>
      <c r="F164" s="233">
        <v>9.9999999999999997E+98</v>
      </c>
      <c r="G164" s="234">
        <v>9.9999999999999997E+98</v>
      </c>
      <c r="H164" s="138" t="s">
        <v>30</v>
      </c>
      <c r="I164" s="31"/>
      <c r="J164" s="31">
        <v>141.69999999999999</v>
      </c>
      <c r="K164" s="31">
        <v>136.69999999999999</v>
      </c>
      <c r="L164" s="31">
        <v>131.80000000000001</v>
      </c>
      <c r="M164" s="31"/>
      <c r="N164" s="31"/>
      <c r="O164" s="31"/>
      <c r="P164" s="31"/>
      <c r="Q164" s="31"/>
      <c r="R164" s="31"/>
      <c r="S164" s="31"/>
      <c r="T164" s="31"/>
      <c r="U164" s="31"/>
      <c r="V164" s="31"/>
      <c r="W164" s="31"/>
      <c r="X164" s="31"/>
      <c r="Y164" s="32"/>
      <c r="Z164" s="20"/>
      <c r="AA164" s="21"/>
      <c r="AB164" s="21"/>
      <c r="AC164" s="195">
        <f t="shared" si="26"/>
        <v>-34</v>
      </c>
      <c r="AD164" s="195">
        <f t="shared" si="27"/>
        <v>9.9999999999999997E+98</v>
      </c>
      <c r="AE164" s="195">
        <f t="shared" si="28"/>
        <v>9.9999999999999997E+98</v>
      </c>
      <c r="AF164" s="195">
        <f t="shared" si="29"/>
        <v>9.9999999999999997E+98</v>
      </c>
      <c r="AG164" s="195">
        <f>Table9[[#This Row],[RTH(min) (kΩ)]]*RT2_TH_MIN/(RT2_TH_MIN+Table9[[#This Row],[RTH(min) (kΩ)]])</f>
        <v>30.474773623767586</v>
      </c>
      <c r="AH164" s="195">
        <f>Table9[[#This Row],[RTH(nom) (kΩ)]]*RT2_TH_S/(RT2_TH_S+Table9[[#This Row],[RTH(nom) (kΩ)]])</f>
        <v>30.505278902670256</v>
      </c>
      <c r="AI164" s="195">
        <f>Table9[[#This Row],[RTH(max) (kΩ)]]*RT2_TH_S_MAX/(RT2_TH_S_MAX+Table9[[#This Row],[RTH(max) (kΩ)]])</f>
        <v>30.535784181572922</v>
      </c>
      <c r="AJ164" s="195">
        <f>Table9[[#This Row],[RLower(min) (kΩ)]]/(Table9[[#This Row],[RLower(min) (kΩ)]]+RT1_TH_S_MAX)*100</f>
        <v>85.332443462432792</v>
      </c>
      <c r="AK164" s="195">
        <f>Table9[[#This Row],[RLower(nom) (kΩ)]]/(Table9[[#This Row],[RLower(nom) (kΩ)]]+RT1_TH_S)*100</f>
        <v>85.357458154608338</v>
      </c>
      <c r="AL164" s="195">
        <f>Table9[[#This Row],[RLower(max) (kΩ)]]/(Table9[[#This Row],[RLower(max) (kΩ)]]+RT1_TH_S_MIN)*100</f>
        <v>85.382437493546604</v>
      </c>
      <c r="AM164" s="195">
        <f>IF(Table9[[#This Row],[Vmin (%)]]&lt;$BA$14, 0, IF(Table9[[#This Row],[Vmin (%)]]&lt;$BA$12, 4, IF(Table9[[#This Row],[Vmin (%)]]&lt;$BA$9, 3, IF(Table9[[#This Row],[Vmin (%)]]&lt;$BA$7, 2, 0))))</f>
        <v>0</v>
      </c>
      <c r="AN164" s="195">
        <f>IF(Table9[[#This Row],[Vmin (%)]]&lt;$BA$13, 0, IF(Table9[[#This Row],[Vmin (%)]]&lt;$BA$11, 4, IF(Table9[[#This Row],[Vmin (%)]]&lt;$BA$10, 3, IF(Table9[[#This Row],[Vmin (%)]]&lt;$BA$8, 2, 0))))</f>
        <v>0</v>
      </c>
      <c r="AO164" s="197" t="str">
        <f>IF(Table9[[#This Row],[Vmin (%)]]&lt;$BA$14, "Hot", IF(Table9[[#This Row],[Vmin (%)]]&lt;$BA$12, "Warm", IF(Table9[[#This Row],[Vmin (%)]]&lt;$BA$9, "Normal", IF(Table9[[#This Row],[Vmin (%)]]&lt;$BA$7, "Cool", "Cold"))))</f>
        <v>Cold</v>
      </c>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c r="FH164" s="21"/>
      <c r="FI164" s="21"/>
      <c r="FJ164" s="21"/>
      <c r="FK164" s="21"/>
      <c r="FL164" s="21"/>
      <c r="FM164" s="21"/>
      <c r="FN164" s="21"/>
      <c r="FO164" s="21"/>
      <c r="FP164" s="21"/>
      <c r="FQ164" s="21"/>
      <c r="FR164" s="21"/>
      <c r="FS164" s="21"/>
      <c r="FT164" s="21"/>
      <c r="FU164" s="21"/>
      <c r="FV164" s="21"/>
      <c r="FW164" s="21"/>
      <c r="FX164" s="21"/>
      <c r="FY164" s="21"/>
      <c r="FZ164" s="21"/>
      <c r="GA164" s="21"/>
      <c r="GB164" s="21"/>
      <c r="GC164" s="21"/>
      <c r="GD164" s="21"/>
      <c r="GE164" s="21"/>
      <c r="GF164" s="21"/>
      <c r="GG164" s="21"/>
      <c r="GH164" s="21"/>
      <c r="GI164" s="21"/>
      <c r="GJ164" s="21"/>
      <c r="GK164" s="21"/>
      <c r="GL164" s="21"/>
      <c r="GM164" s="21"/>
      <c r="GN164" s="21"/>
      <c r="GO164" s="21"/>
      <c r="GP164" s="21"/>
      <c r="GQ164" s="21"/>
      <c r="GR164" s="21"/>
      <c r="GS164" s="21"/>
      <c r="GT164" s="21"/>
      <c r="GU164" s="21"/>
      <c r="GV164" s="21"/>
      <c r="GW164" s="21"/>
      <c r="GX164" s="21"/>
      <c r="GY164" s="21"/>
      <c r="GZ164" s="21"/>
      <c r="HA164" s="21"/>
      <c r="HB164" s="21"/>
    </row>
    <row r="165" spans="1:210" hidden="1" x14ac:dyDescent="0.25">
      <c r="A165" s="118">
        <f t="shared" si="30"/>
        <v>-35</v>
      </c>
      <c r="B165" s="179"/>
      <c r="C165" s="188" t="str">
        <f t="shared" si="25"/>
        <v>RTH at -35 °C</v>
      </c>
      <c r="D165" s="219">
        <f t="shared" si="19"/>
        <v>3.6</v>
      </c>
      <c r="E165" s="232">
        <v>9.9999999999999997E+98</v>
      </c>
      <c r="F165" s="233">
        <v>9.9999999999999997E+98</v>
      </c>
      <c r="G165" s="234">
        <v>9.9999999999999997E+98</v>
      </c>
      <c r="H165" s="138" t="s">
        <v>30</v>
      </c>
      <c r="I165" s="31"/>
      <c r="J165" s="31">
        <v>149.4</v>
      </c>
      <c r="K165" s="31">
        <v>144.1</v>
      </c>
      <c r="L165" s="31">
        <v>138.80000000000001</v>
      </c>
      <c r="M165" s="31"/>
      <c r="N165" s="31"/>
      <c r="O165" s="31"/>
      <c r="P165" s="31"/>
      <c r="Q165" s="31"/>
      <c r="R165" s="31"/>
      <c r="S165" s="31"/>
      <c r="T165" s="31"/>
      <c r="U165" s="31"/>
      <c r="V165" s="31"/>
      <c r="W165" s="31"/>
      <c r="X165" s="31"/>
      <c r="Y165" s="32"/>
      <c r="Z165" s="20"/>
      <c r="AA165" s="21"/>
      <c r="AB165" s="21"/>
      <c r="AC165" s="195">
        <f t="shared" si="26"/>
        <v>-35</v>
      </c>
      <c r="AD165" s="195">
        <f t="shared" si="27"/>
        <v>9.9999999999999997E+98</v>
      </c>
      <c r="AE165" s="195">
        <f t="shared" si="28"/>
        <v>9.9999999999999997E+98</v>
      </c>
      <c r="AF165" s="195">
        <f t="shared" si="29"/>
        <v>9.9999999999999997E+98</v>
      </c>
      <c r="AG165" s="195">
        <f>Table9[[#This Row],[RTH(min) (kΩ)]]*RT2_TH_MIN/(RT2_TH_MIN+Table9[[#This Row],[RTH(min) (kΩ)]])</f>
        <v>30.474773623767586</v>
      </c>
      <c r="AH165" s="195">
        <f>Table9[[#This Row],[RTH(nom) (kΩ)]]*RT2_TH_S/(RT2_TH_S+Table9[[#This Row],[RTH(nom) (kΩ)]])</f>
        <v>30.505278902670256</v>
      </c>
      <c r="AI165" s="195">
        <f>Table9[[#This Row],[RTH(max) (kΩ)]]*RT2_TH_S_MAX/(RT2_TH_S_MAX+Table9[[#This Row],[RTH(max) (kΩ)]])</f>
        <v>30.535784181572922</v>
      </c>
      <c r="AJ165" s="195">
        <f>Table9[[#This Row],[RLower(min) (kΩ)]]/(Table9[[#This Row],[RLower(min) (kΩ)]]+RT1_TH_S_MAX)*100</f>
        <v>85.332443462432792</v>
      </c>
      <c r="AK165" s="195">
        <f>Table9[[#This Row],[RLower(nom) (kΩ)]]/(Table9[[#This Row],[RLower(nom) (kΩ)]]+RT1_TH_S)*100</f>
        <v>85.357458154608338</v>
      </c>
      <c r="AL165" s="195">
        <f>Table9[[#This Row],[RLower(max) (kΩ)]]/(Table9[[#This Row],[RLower(max) (kΩ)]]+RT1_TH_S_MIN)*100</f>
        <v>85.382437493546604</v>
      </c>
      <c r="AM165" s="195">
        <f>IF(Table9[[#This Row],[Vmin (%)]]&lt;$BA$14, 0, IF(Table9[[#This Row],[Vmin (%)]]&lt;$BA$12, 4, IF(Table9[[#This Row],[Vmin (%)]]&lt;$BA$9, 3, IF(Table9[[#This Row],[Vmin (%)]]&lt;$BA$7, 2, 0))))</f>
        <v>0</v>
      </c>
      <c r="AN165" s="195">
        <f>IF(Table9[[#This Row],[Vmin (%)]]&lt;$BA$13, 0, IF(Table9[[#This Row],[Vmin (%)]]&lt;$BA$11, 4, IF(Table9[[#This Row],[Vmin (%)]]&lt;$BA$10, 3, IF(Table9[[#This Row],[Vmin (%)]]&lt;$BA$8, 2, 0))))</f>
        <v>0</v>
      </c>
      <c r="AO165" s="197" t="str">
        <f>IF(Table9[[#This Row],[Vmin (%)]]&lt;$BA$14, "Hot", IF(Table9[[#This Row],[Vmin (%)]]&lt;$BA$12, "Warm", IF(Table9[[#This Row],[Vmin (%)]]&lt;$BA$9, "Normal", IF(Table9[[#This Row],[Vmin (%)]]&lt;$BA$7, "Cool", "Cold"))))</f>
        <v>Cold</v>
      </c>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c r="FH165" s="21"/>
      <c r="FI165" s="21"/>
      <c r="FJ165" s="21"/>
      <c r="FK165" s="21"/>
      <c r="FL165" s="21"/>
      <c r="FM165" s="21"/>
      <c r="FN165" s="21"/>
      <c r="FO165" s="21"/>
      <c r="FP165" s="21"/>
      <c r="FQ165" s="21"/>
      <c r="FR165" s="21"/>
      <c r="FS165" s="21"/>
      <c r="FT165" s="21"/>
      <c r="FU165" s="21"/>
      <c r="FV165" s="21"/>
      <c r="FW165" s="21"/>
      <c r="FX165" s="21"/>
      <c r="FY165" s="21"/>
      <c r="FZ165" s="21"/>
      <c r="GA165" s="21"/>
      <c r="GB165" s="21"/>
      <c r="GC165" s="21"/>
      <c r="GD165" s="21"/>
      <c r="GE165" s="21"/>
      <c r="GF165" s="21"/>
      <c r="GG165" s="21"/>
      <c r="GH165" s="21"/>
      <c r="GI165" s="21"/>
      <c r="GJ165" s="21"/>
      <c r="GK165" s="21"/>
      <c r="GL165" s="21"/>
      <c r="GM165" s="21"/>
      <c r="GN165" s="21"/>
      <c r="GO165" s="21"/>
      <c r="GP165" s="21"/>
      <c r="GQ165" s="21"/>
      <c r="GR165" s="21"/>
      <c r="GS165" s="21"/>
      <c r="GT165" s="21"/>
      <c r="GU165" s="21"/>
      <c r="GV165" s="21"/>
      <c r="GW165" s="21"/>
      <c r="GX165" s="21"/>
      <c r="GY165" s="21"/>
      <c r="GZ165" s="21"/>
      <c r="HA165" s="21"/>
      <c r="HB165" s="21"/>
    </row>
    <row r="166" spans="1:210" hidden="1" x14ac:dyDescent="0.25">
      <c r="A166" s="118">
        <f t="shared" si="30"/>
        <v>-36</v>
      </c>
      <c r="B166" s="179"/>
      <c r="C166" s="188" t="str">
        <f t="shared" si="25"/>
        <v>RTH at -36 °C</v>
      </c>
      <c r="D166" s="219">
        <f t="shared" si="19"/>
        <v>3.6433333333333335</v>
      </c>
      <c r="E166" s="232">
        <v>9.9999999999999997E+98</v>
      </c>
      <c r="F166" s="233">
        <v>9.9999999999999997E+98</v>
      </c>
      <c r="G166" s="234">
        <v>9.9999999999999997E+98</v>
      </c>
      <c r="H166" s="138" t="s">
        <v>30</v>
      </c>
      <c r="I166" s="31"/>
      <c r="J166" s="31">
        <v>157.6</v>
      </c>
      <c r="K166" s="31">
        <v>151.9</v>
      </c>
      <c r="L166" s="31">
        <v>146.30000000000001</v>
      </c>
      <c r="M166" s="31"/>
      <c r="N166" s="31"/>
      <c r="O166" s="31"/>
      <c r="P166" s="31"/>
      <c r="Q166" s="31"/>
      <c r="R166" s="31"/>
      <c r="S166" s="31"/>
      <c r="T166" s="31"/>
      <c r="U166" s="31"/>
      <c r="V166" s="31"/>
      <c r="W166" s="31"/>
      <c r="X166" s="31"/>
      <c r="Y166" s="32"/>
      <c r="Z166" s="20"/>
      <c r="AA166" s="21"/>
      <c r="AB166" s="21"/>
      <c r="AC166" s="195">
        <f t="shared" si="26"/>
        <v>-36</v>
      </c>
      <c r="AD166" s="195">
        <f t="shared" si="27"/>
        <v>9.9999999999999997E+98</v>
      </c>
      <c r="AE166" s="195">
        <f t="shared" si="28"/>
        <v>9.9999999999999997E+98</v>
      </c>
      <c r="AF166" s="195">
        <f t="shared" si="29"/>
        <v>9.9999999999999997E+98</v>
      </c>
      <c r="AG166" s="195">
        <f>Table9[[#This Row],[RTH(min) (kΩ)]]*RT2_TH_MIN/(RT2_TH_MIN+Table9[[#This Row],[RTH(min) (kΩ)]])</f>
        <v>30.474773623767586</v>
      </c>
      <c r="AH166" s="195">
        <f>Table9[[#This Row],[RTH(nom) (kΩ)]]*RT2_TH_S/(RT2_TH_S+Table9[[#This Row],[RTH(nom) (kΩ)]])</f>
        <v>30.505278902670256</v>
      </c>
      <c r="AI166" s="195">
        <f>Table9[[#This Row],[RTH(max) (kΩ)]]*RT2_TH_S_MAX/(RT2_TH_S_MAX+Table9[[#This Row],[RTH(max) (kΩ)]])</f>
        <v>30.535784181572922</v>
      </c>
      <c r="AJ166" s="195">
        <f>Table9[[#This Row],[RLower(min) (kΩ)]]/(Table9[[#This Row],[RLower(min) (kΩ)]]+RT1_TH_S_MAX)*100</f>
        <v>85.332443462432792</v>
      </c>
      <c r="AK166" s="195">
        <f>Table9[[#This Row],[RLower(nom) (kΩ)]]/(Table9[[#This Row],[RLower(nom) (kΩ)]]+RT1_TH_S)*100</f>
        <v>85.357458154608338</v>
      </c>
      <c r="AL166" s="195">
        <f>Table9[[#This Row],[RLower(max) (kΩ)]]/(Table9[[#This Row],[RLower(max) (kΩ)]]+RT1_TH_S_MIN)*100</f>
        <v>85.382437493546604</v>
      </c>
      <c r="AM166" s="195">
        <f>IF(Table9[[#This Row],[Vmin (%)]]&lt;$BA$14, 0, IF(Table9[[#This Row],[Vmin (%)]]&lt;$BA$12, 4, IF(Table9[[#This Row],[Vmin (%)]]&lt;$BA$9, 3, IF(Table9[[#This Row],[Vmin (%)]]&lt;$BA$7, 2, 0))))</f>
        <v>0</v>
      </c>
      <c r="AN166" s="195">
        <f>IF(Table9[[#This Row],[Vmin (%)]]&lt;$BA$13, 0, IF(Table9[[#This Row],[Vmin (%)]]&lt;$BA$11, 4, IF(Table9[[#This Row],[Vmin (%)]]&lt;$BA$10, 3, IF(Table9[[#This Row],[Vmin (%)]]&lt;$BA$8, 2, 0))))</f>
        <v>0</v>
      </c>
      <c r="AO166" s="197" t="str">
        <f>IF(Table9[[#This Row],[Vmin (%)]]&lt;$BA$14, "Hot", IF(Table9[[#This Row],[Vmin (%)]]&lt;$BA$12, "Warm", IF(Table9[[#This Row],[Vmin (%)]]&lt;$BA$9, "Normal", IF(Table9[[#This Row],[Vmin (%)]]&lt;$BA$7, "Cool", "Cold"))))</f>
        <v>Cold</v>
      </c>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c r="FH166" s="21"/>
      <c r="FI166" s="21"/>
      <c r="FJ166" s="21"/>
      <c r="FK166" s="21"/>
      <c r="FL166" s="21"/>
      <c r="FM166" s="21"/>
      <c r="FN166" s="21"/>
      <c r="FO166" s="21"/>
      <c r="FP166" s="21"/>
      <c r="FQ166" s="21"/>
      <c r="FR166" s="21"/>
      <c r="FS166" s="21"/>
      <c r="FT166" s="21"/>
      <c r="FU166" s="21"/>
      <c r="FV166" s="21"/>
      <c r="FW166" s="21"/>
      <c r="FX166" s="21"/>
      <c r="FY166" s="21"/>
      <c r="FZ166" s="21"/>
      <c r="GA166" s="21"/>
      <c r="GB166" s="21"/>
      <c r="GC166" s="21"/>
      <c r="GD166" s="21"/>
      <c r="GE166" s="21"/>
      <c r="GF166" s="21"/>
      <c r="GG166" s="21"/>
      <c r="GH166" s="21"/>
      <c r="GI166" s="21"/>
      <c r="GJ166" s="21"/>
      <c r="GK166" s="21"/>
      <c r="GL166" s="21"/>
      <c r="GM166" s="21"/>
      <c r="GN166" s="21"/>
      <c r="GO166" s="21"/>
      <c r="GP166" s="21"/>
      <c r="GQ166" s="21"/>
      <c r="GR166" s="21"/>
      <c r="GS166" s="21"/>
      <c r="GT166" s="21"/>
      <c r="GU166" s="21"/>
      <c r="GV166" s="21"/>
      <c r="GW166" s="21"/>
      <c r="GX166" s="21"/>
      <c r="GY166" s="21"/>
      <c r="GZ166" s="21"/>
      <c r="HA166" s="21"/>
      <c r="HB166" s="21"/>
    </row>
    <row r="167" spans="1:210" hidden="1" x14ac:dyDescent="0.25">
      <c r="A167" s="118">
        <f t="shared" si="30"/>
        <v>-37</v>
      </c>
      <c r="B167" s="179"/>
      <c r="C167" s="188" t="str">
        <f t="shared" si="25"/>
        <v>RTH at -37 °C</v>
      </c>
      <c r="D167" s="219">
        <f t="shared" si="19"/>
        <v>3.6866666666666665</v>
      </c>
      <c r="E167" s="232">
        <v>9.9999999999999997E+98</v>
      </c>
      <c r="F167" s="233">
        <v>9.9999999999999997E+98</v>
      </c>
      <c r="G167" s="234">
        <v>9.9999999999999997E+98</v>
      </c>
      <c r="H167" s="138" t="s">
        <v>30</v>
      </c>
      <c r="I167" s="31"/>
      <c r="J167" s="31">
        <v>166.3</v>
      </c>
      <c r="K167" s="31">
        <v>160.19999999999999</v>
      </c>
      <c r="L167" s="31">
        <v>154.19999999999999</v>
      </c>
      <c r="M167" s="31"/>
      <c r="N167" s="31"/>
      <c r="O167" s="31"/>
      <c r="P167" s="31"/>
      <c r="Q167" s="31"/>
      <c r="R167" s="31"/>
      <c r="S167" s="31"/>
      <c r="T167" s="31"/>
      <c r="U167" s="31"/>
      <c r="V167" s="31"/>
      <c r="W167" s="31"/>
      <c r="X167" s="31"/>
      <c r="Y167" s="32"/>
      <c r="Z167" s="20"/>
      <c r="AA167" s="21"/>
      <c r="AB167" s="21"/>
      <c r="AC167" s="195">
        <f t="shared" si="26"/>
        <v>-37</v>
      </c>
      <c r="AD167" s="195">
        <f t="shared" si="27"/>
        <v>9.9999999999999997E+98</v>
      </c>
      <c r="AE167" s="195">
        <f t="shared" si="28"/>
        <v>9.9999999999999997E+98</v>
      </c>
      <c r="AF167" s="195">
        <f t="shared" si="29"/>
        <v>9.9999999999999997E+98</v>
      </c>
      <c r="AG167" s="195">
        <f>Table9[[#This Row],[RTH(min) (kΩ)]]*RT2_TH_MIN/(RT2_TH_MIN+Table9[[#This Row],[RTH(min) (kΩ)]])</f>
        <v>30.474773623767586</v>
      </c>
      <c r="AH167" s="195">
        <f>Table9[[#This Row],[RTH(nom) (kΩ)]]*RT2_TH_S/(RT2_TH_S+Table9[[#This Row],[RTH(nom) (kΩ)]])</f>
        <v>30.505278902670256</v>
      </c>
      <c r="AI167" s="195">
        <f>Table9[[#This Row],[RTH(max) (kΩ)]]*RT2_TH_S_MAX/(RT2_TH_S_MAX+Table9[[#This Row],[RTH(max) (kΩ)]])</f>
        <v>30.535784181572922</v>
      </c>
      <c r="AJ167" s="195">
        <f>Table9[[#This Row],[RLower(min) (kΩ)]]/(Table9[[#This Row],[RLower(min) (kΩ)]]+RT1_TH_S_MAX)*100</f>
        <v>85.332443462432792</v>
      </c>
      <c r="AK167" s="195">
        <f>Table9[[#This Row],[RLower(nom) (kΩ)]]/(Table9[[#This Row],[RLower(nom) (kΩ)]]+RT1_TH_S)*100</f>
        <v>85.357458154608338</v>
      </c>
      <c r="AL167" s="195">
        <f>Table9[[#This Row],[RLower(max) (kΩ)]]/(Table9[[#This Row],[RLower(max) (kΩ)]]+RT1_TH_S_MIN)*100</f>
        <v>85.382437493546604</v>
      </c>
      <c r="AM167" s="195">
        <f>IF(Table9[[#This Row],[Vmin (%)]]&lt;$BA$14, 0, IF(Table9[[#This Row],[Vmin (%)]]&lt;$BA$12, 4, IF(Table9[[#This Row],[Vmin (%)]]&lt;$BA$9, 3, IF(Table9[[#This Row],[Vmin (%)]]&lt;$BA$7, 2, 0))))</f>
        <v>0</v>
      </c>
      <c r="AN167" s="195">
        <f>IF(Table9[[#This Row],[Vmin (%)]]&lt;$BA$13, 0, IF(Table9[[#This Row],[Vmin (%)]]&lt;$BA$11, 4, IF(Table9[[#This Row],[Vmin (%)]]&lt;$BA$10, 3, IF(Table9[[#This Row],[Vmin (%)]]&lt;$BA$8, 2, 0))))</f>
        <v>0</v>
      </c>
      <c r="AO167" s="197" t="str">
        <f>IF(Table9[[#This Row],[Vmin (%)]]&lt;$BA$14, "Hot", IF(Table9[[#This Row],[Vmin (%)]]&lt;$BA$12, "Warm", IF(Table9[[#This Row],[Vmin (%)]]&lt;$BA$9, "Normal", IF(Table9[[#This Row],[Vmin (%)]]&lt;$BA$7, "Cool", "Cold"))))</f>
        <v>Cold</v>
      </c>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c r="FH167" s="21"/>
      <c r="FI167" s="21"/>
      <c r="FJ167" s="21"/>
      <c r="FK167" s="21"/>
      <c r="FL167" s="21"/>
      <c r="FM167" s="21"/>
      <c r="FN167" s="21"/>
      <c r="FO167" s="21"/>
      <c r="FP167" s="21"/>
      <c r="FQ167" s="21"/>
      <c r="FR167" s="21"/>
      <c r="FS167" s="21"/>
      <c r="FT167" s="21"/>
      <c r="FU167" s="21"/>
      <c r="FV167" s="21"/>
      <c r="FW167" s="21"/>
      <c r="FX167" s="21"/>
      <c r="FY167" s="21"/>
      <c r="FZ167" s="21"/>
      <c r="GA167" s="21"/>
      <c r="GB167" s="21"/>
      <c r="GC167" s="21"/>
      <c r="GD167" s="21"/>
      <c r="GE167" s="21"/>
      <c r="GF167" s="21"/>
      <c r="GG167" s="21"/>
      <c r="GH167" s="21"/>
      <c r="GI167" s="21"/>
      <c r="GJ167" s="21"/>
      <c r="GK167" s="21"/>
      <c r="GL167" s="21"/>
      <c r="GM167" s="21"/>
      <c r="GN167" s="21"/>
      <c r="GO167" s="21"/>
      <c r="GP167" s="21"/>
      <c r="GQ167" s="21"/>
      <c r="GR167" s="21"/>
      <c r="GS167" s="21"/>
      <c r="GT167" s="21"/>
      <c r="GU167" s="21"/>
      <c r="GV167" s="21"/>
      <c r="GW167" s="21"/>
      <c r="GX167" s="21"/>
      <c r="GY167" s="21"/>
      <c r="GZ167" s="21"/>
      <c r="HA167" s="21"/>
      <c r="HB167" s="21"/>
    </row>
    <row r="168" spans="1:210" hidden="1" x14ac:dyDescent="0.25">
      <c r="A168" s="118">
        <f t="shared" si="30"/>
        <v>-38</v>
      </c>
      <c r="B168" s="179"/>
      <c r="C168" s="188" t="str">
        <f t="shared" si="25"/>
        <v>RTH at -38 °C</v>
      </c>
      <c r="D168" s="219">
        <f t="shared" si="19"/>
        <v>3.73</v>
      </c>
      <c r="E168" s="232">
        <v>9.9999999999999997E+98</v>
      </c>
      <c r="F168" s="233">
        <v>9.9999999999999997E+98</v>
      </c>
      <c r="G168" s="234">
        <v>9.9999999999999997E+98</v>
      </c>
      <c r="H168" s="138" t="s">
        <v>30</v>
      </c>
      <c r="I168" s="31"/>
      <c r="J168" s="31">
        <v>175.6</v>
      </c>
      <c r="K168" s="31">
        <v>169</v>
      </c>
      <c r="L168" s="31">
        <v>162.6</v>
      </c>
      <c r="M168" s="31"/>
      <c r="N168" s="31"/>
      <c r="O168" s="31"/>
      <c r="P168" s="31"/>
      <c r="Q168" s="31"/>
      <c r="R168" s="31"/>
      <c r="S168" s="31"/>
      <c r="T168" s="31"/>
      <c r="U168" s="31"/>
      <c r="V168" s="31"/>
      <c r="W168" s="31"/>
      <c r="X168" s="31"/>
      <c r="Y168" s="32"/>
      <c r="Z168" s="20"/>
      <c r="AA168" s="21"/>
      <c r="AB168" s="21"/>
      <c r="AC168" s="195">
        <f t="shared" si="26"/>
        <v>-38</v>
      </c>
      <c r="AD168" s="195">
        <f t="shared" si="27"/>
        <v>9.9999999999999997E+98</v>
      </c>
      <c r="AE168" s="195">
        <f t="shared" si="28"/>
        <v>9.9999999999999997E+98</v>
      </c>
      <c r="AF168" s="195">
        <f t="shared" si="29"/>
        <v>9.9999999999999997E+98</v>
      </c>
      <c r="AG168" s="195">
        <f>Table9[[#This Row],[RTH(min) (kΩ)]]*RT2_TH_MIN/(RT2_TH_MIN+Table9[[#This Row],[RTH(min) (kΩ)]])</f>
        <v>30.474773623767586</v>
      </c>
      <c r="AH168" s="195">
        <f>Table9[[#This Row],[RTH(nom) (kΩ)]]*RT2_TH_S/(RT2_TH_S+Table9[[#This Row],[RTH(nom) (kΩ)]])</f>
        <v>30.505278902670256</v>
      </c>
      <c r="AI168" s="195">
        <f>Table9[[#This Row],[RTH(max) (kΩ)]]*RT2_TH_S_MAX/(RT2_TH_S_MAX+Table9[[#This Row],[RTH(max) (kΩ)]])</f>
        <v>30.535784181572922</v>
      </c>
      <c r="AJ168" s="195">
        <f>Table9[[#This Row],[RLower(min) (kΩ)]]/(Table9[[#This Row],[RLower(min) (kΩ)]]+RT1_TH_S_MAX)*100</f>
        <v>85.332443462432792</v>
      </c>
      <c r="AK168" s="195">
        <f>Table9[[#This Row],[RLower(nom) (kΩ)]]/(Table9[[#This Row],[RLower(nom) (kΩ)]]+RT1_TH_S)*100</f>
        <v>85.357458154608338</v>
      </c>
      <c r="AL168" s="195">
        <f>Table9[[#This Row],[RLower(max) (kΩ)]]/(Table9[[#This Row],[RLower(max) (kΩ)]]+RT1_TH_S_MIN)*100</f>
        <v>85.382437493546604</v>
      </c>
      <c r="AM168" s="195">
        <f>IF(Table9[[#This Row],[Vmin (%)]]&lt;$BA$14, 0, IF(Table9[[#This Row],[Vmin (%)]]&lt;$BA$12, 4, IF(Table9[[#This Row],[Vmin (%)]]&lt;$BA$9, 3, IF(Table9[[#This Row],[Vmin (%)]]&lt;$BA$7, 2, 0))))</f>
        <v>0</v>
      </c>
      <c r="AN168" s="195">
        <f>IF(Table9[[#This Row],[Vmin (%)]]&lt;$BA$13, 0, IF(Table9[[#This Row],[Vmin (%)]]&lt;$BA$11, 4, IF(Table9[[#This Row],[Vmin (%)]]&lt;$BA$10, 3, IF(Table9[[#This Row],[Vmin (%)]]&lt;$BA$8, 2, 0))))</f>
        <v>0</v>
      </c>
      <c r="AO168" s="197" t="str">
        <f>IF(Table9[[#This Row],[Vmin (%)]]&lt;$BA$14, "Hot", IF(Table9[[#This Row],[Vmin (%)]]&lt;$BA$12, "Warm", IF(Table9[[#This Row],[Vmin (%)]]&lt;$BA$9, "Normal", IF(Table9[[#This Row],[Vmin (%)]]&lt;$BA$7, "Cool", "Cold"))))</f>
        <v>Cold</v>
      </c>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c r="FH168" s="21"/>
      <c r="FI168" s="21"/>
      <c r="FJ168" s="21"/>
      <c r="FK168" s="21"/>
      <c r="FL168" s="21"/>
      <c r="FM168" s="21"/>
      <c r="FN168" s="21"/>
      <c r="FO168" s="21"/>
      <c r="FP168" s="21"/>
      <c r="FQ168" s="21"/>
      <c r="FR168" s="21"/>
      <c r="FS168" s="21"/>
      <c r="FT168" s="21"/>
      <c r="FU168" s="21"/>
      <c r="FV168" s="21"/>
      <c r="FW168" s="21"/>
      <c r="FX168" s="21"/>
      <c r="FY168" s="21"/>
      <c r="FZ168" s="21"/>
      <c r="GA168" s="21"/>
      <c r="GB168" s="21"/>
      <c r="GC168" s="21"/>
      <c r="GD168" s="21"/>
      <c r="GE168" s="21"/>
      <c r="GF168" s="21"/>
      <c r="GG168" s="21"/>
      <c r="GH168" s="21"/>
      <c r="GI168" s="21"/>
      <c r="GJ168" s="21"/>
      <c r="GK168" s="21"/>
      <c r="GL168" s="21"/>
      <c r="GM168" s="21"/>
      <c r="GN168" s="21"/>
      <c r="GO168" s="21"/>
      <c r="GP168" s="21"/>
      <c r="GQ168" s="21"/>
      <c r="GR168" s="21"/>
      <c r="GS168" s="21"/>
      <c r="GT168" s="21"/>
      <c r="GU168" s="21"/>
      <c r="GV168" s="21"/>
      <c r="GW168" s="21"/>
      <c r="GX168" s="21"/>
      <c r="GY168" s="21"/>
      <c r="GZ168" s="21"/>
      <c r="HA168" s="21"/>
      <c r="HB168" s="21"/>
    </row>
    <row r="169" spans="1:210" hidden="1" x14ac:dyDescent="0.25">
      <c r="A169" s="118">
        <f t="shared" si="30"/>
        <v>-39</v>
      </c>
      <c r="B169" s="179"/>
      <c r="C169" s="188" t="str">
        <f t="shared" si="25"/>
        <v>RTH at -39 °C</v>
      </c>
      <c r="D169" s="219">
        <f t="shared" si="19"/>
        <v>3.7733333333333334</v>
      </c>
      <c r="E169" s="232">
        <v>9.9999999999999997E+98</v>
      </c>
      <c r="F169" s="233">
        <v>9.9999999999999997E+98</v>
      </c>
      <c r="G169" s="234">
        <v>9.9999999999999997E+98</v>
      </c>
      <c r="H169" s="138" t="s">
        <v>30</v>
      </c>
      <c r="I169" s="31"/>
      <c r="J169" s="31">
        <v>185.5</v>
      </c>
      <c r="K169" s="31">
        <v>178.5</v>
      </c>
      <c r="L169" s="31">
        <v>171.6</v>
      </c>
      <c r="M169" s="31"/>
      <c r="N169" s="31"/>
      <c r="O169" s="31"/>
      <c r="P169" s="31"/>
      <c r="Q169" s="31"/>
      <c r="R169" s="31"/>
      <c r="S169" s="31"/>
      <c r="T169" s="31"/>
      <c r="U169" s="31"/>
      <c r="V169" s="31"/>
      <c r="W169" s="31"/>
      <c r="X169" s="31"/>
      <c r="Y169" s="32"/>
      <c r="Z169" s="20"/>
      <c r="AA169" s="21"/>
      <c r="AB169" s="21"/>
      <c r="AC169" s="195">
        <f t="shared" si="26"/>
        <v>-39</v>
      </c>
      <c r="AD169" s="195">
        <f t="shared" si="27"/>
        <v>9.9999999999999997E+98</v>
      </c>
      <c r="AE169" s="195">
        <f t="shared" si="28"/>
        <v>9.9999999999999997E+98</v>
      </c>
      <c r="AF169" s="195">
        <f t="shared" si="29"/>
        <v>9.9999999999999997E+98</v>
      </c>
      <c r="AG169" s="195">
        <f>Table9[[#This Row],[RTH(min) (kΩ)]]*RT2_TH_MIN/(RT2_TH_MIN+Table9[[#This Row],[RTH(min) (kΩ)]])</f>
        <v>30.474773623767586</v>
      </c>
      <c r="AH169" s="195">
        <f>Table9[[#This Row],[RTH(nom) (kΩ)]]*RT2_TH_S/(RT2_TH_S+Table9[[#This Row],[RTH(nom) (kΩ)]])</f>
        <v>30.505278902670256</v>
      </c>
      <c r="AI169" s="195">
        <f>Table9[[#This Row],[RTH(max) (kΩ)]]*RT2_TH_S_MAX/(RT2_TH_S_MAX+Table9[[#This Row],[RTH(max) (kΩ)]])</f>
        <v>30.535784181572922</v>
      </c>
      <c r="AJ169" s="195">
        <f>Table9[[#This Row],[RLower(min) (kΩ)]]/(Table9[[#This Row],[RLower(min) (kΩ)]]+RT1_TH_S_MAX)*100</f>
        <v>85.332443462432792</v>
      </c>
      <c r="AK169" s="195">
        <f>Table9[[#This Row],[RLower(nom) (kΩ)]]/(Table9[[#This Row],[RLower(nom) (kΩ)]]+RT1_TH_S)*100</f>
        <v>85.357458154608338</v>
      </c>
      <c r="AL169" s="195">
        <f>Table9[[#This Row],[RLower(max) (kΩ)]]/(Table9[[#This Row],[RLower(max) (kΩ)]]+RT1_TH_S_MIN)*100</f>
        <v>85.382437493546604</v>
      </c>
      <c r="AM169" s="195">
        <f>IF(Table9[[#This Row],[Vmin (%)]]&lt;$BA$14, 0, IF(Table9[[#This Row],[Vmin (%)]]&lt;$BA$12, 4, IF(Table9[[#This Row],[Vmin (%)]]&lt;$BA$9, 3, IF(Table9[[#This Row],[Vmin (%)]]&lt;$BA$7, 2, 0))))</f>
        <v>0</v>
      </c>
      <c r="AN169" s="195">
        <f>IF(Table9[[#This Row],[Vmin (%)]]&lt;$BA$13, 0, IF(Table9[[#This Row],[Vmin (%)]]&lt;$BA$11, 4, IF(Table9[[#This Row],[Vmin (%)]]&lt;$BA$10, 3, IF(Table9[[#This Row],[Vmin (%)]]&lt;$BA$8, 2, 0))))</f>
        <v>0</v>
      </c>
      <c r="AO169" s="197" t="str">
        <f>IF(Table9[[#This Row],[Vmin (%)]]&lt;$BA$14, "Hot", IF(Table9[[#This Row],[Vmin (%)]]&lt;$BA$12, "Warm", IF(Table9[[#This Row],[Vmin (%)]]&lt;$BA$9, "Normal", IF(Table9[[#This Row],[Vmin (%)]]&lt;$BA$7, "Cool", "Cold"))))</f>
        <v>Cold</v>
      </c>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c r="FH169" s="21"/>
      <c r="FI169" s="21"/>
      <c r="FJ169" s="21"/>
      <c r="FK169" s="21"/>
      <c r="FL169" s="21"/>
      <c r="FM169" s="21"/>
      <c r="FN169" s="21"/>
      <c r="FO169" s="21"/>
      <c r="FP169" s="21"/>
      <c r="FQ169" s="21"/>
      <c r="FR169" s="21"/>
      <c r="FS169" s="21"/>
      <c r="FT169" s="21"/>
      <c r="FU169" s="21"/>
      <c r="FV169" s="21"/>
      <c r="FW169" s="21"/>
      <c r="FX169" s="21"/>
      <c r="FY169" s="21"/>
      <c r="FZ169" s="21"/>
      <c r="GA169" s="21"/>
      <c r="GB169" s="21"/>
      <c r="GC169" s="21"/>
      <c r="GD169" s="21"/>
      <c r="GE169" s="21"/>
      <c r="GF169" s="21"/>
      <c r="GG169" s="21"/>
      <c r="GH169" s="21"/>
      <c r="GI169" s="21"/>
      <c r="GJ169" s="21"/>
      <c r="GK169" s="21"/>
      <c r="GL169" s="21"/>
      <c r="GM169" s="21"/>
      <c r="GN169" s="21"/>
      <c r="GO169" s="21"/>
      <c r="GP169" s="21"/>
      <c r="GQ169" s="21"/>
      <c r="GR169" s="21"/>
      <c r="GS169" s="21"/>
      <c r="GT169" s="21"/>
      <c r="GU169" s="21"/>
      <c r="GV169" s="21"/>
      <c r="GW169" s="21"/>
      <c r="GX169" s="21"/>
      <c r="GY169" s="21"/>
      <c r="GZ169" s="21"/>
      <c r="HA169" s="21"/>
      <c r="HB169" s="21"/>
    </row>
    <row r="170" spans="1:210" hidden="1" x14ac:dyDescent="0.25">
      <c r="A170" s="118">
        <f t="shared" si="30"/>
        <v>-40</v>
      </c>
      <c r="B170" s="179"/>
      <c r="C170" s="188" t="str">
        <f t="shared" si="25"/>
        <v>RTH at -40 °C</v>
      </c>
      <c r="D170" s="219">
        <f t="shared" si="19"/>
        <v>3.8166666666666669</v>
      </c>
      <c r="E170" s="232">
        <v>9.9999999999999997E+98</v>
      </c>
      <c r="F170" s="233">
        <v>9.9999999999999997E+98</v>
      </c>
      <c r="G170" s="234">
        <v>9.9999999999999997E+98</v>
      </c>
      <c r="H170" s="138" t="s">
        <v>30</v>
      </c>
      <c r="I170" s="31"/>
      <c r="J170" s="31">
        <v>196</v>
      </c>
      <c r="K170" s="31">
        <v>188.5</v>
      </c>
      <c r="L170" s="31">
        <v>181.1</v>
      </c>
      <c r="M170" s="31"/>
      <c r="N170" s="31"/>
      <c r="O170" s="31"/>
      <c r="P170" s="31"/>
      <c r="Q170" s="31"/>
      <c r="R170" s="31"/>
      <c r="S170" s="31"/>
      <c r="T170" s="31"/>
      <c r="U170" s="31"/>
      <c r="V170" s="31"/>
      <c r="W170" s="31"/>
      <c r="X170" s="31"/>
      <c r="Y170" s="32"/>
      <c r="Z170" s="20"/>
      <c r="AA170" s="21"/>
      <c r="AB170" s="21"/>
      <c r="AC170" s="195">
        <f t="shared" si="26"/>
        <v>-40</v>
      </c>
      <c r="AD170" s="195">
        <f t="shared" si="27"/>
        <v>9.9999999999999997E+98</v>
      </c>
      <c r="AE170" s="195">
        <f t="shared" si="28"/>
        <v>9.9999999999999997E+98</v>
      </c>
      <c r="AF170" s="195">
        <f t="shared" si="29"/>
        <v>9.9999999999999997E+98</v>
      </c>
      <c r="AG170" s="195">
        <f>Table9[[#This Row],[RTH(min) (kΩ)]]*RT2_TH_MIN/(RT2_TH_MIN+Table9[[#This Row],[RTH(min) (kΩ)]])</f>
        <v>30.474773623767586</v>
      </c>
      <c r="AH170" s="195">
        <f>Table9[[#This Row],[RTH(nom) (kΩ)]]*RT2_TH_S/(RT2_TH_S+Table9[[#This Row],[RTH(nom) (kΩ)]])</f>
        <v>30.505278902670256</v>
      </c>
      <c r="AI170" s="195">
        <f>Table9[[#This Row],[RTH(max) (kΩ)]]*RT2_TH_S_MAX/(RT2_TH_S_MAX+Table9[[#This Row],[RTH(max) (kΩ)]])</f>
        <v>30.535784181572922</v>
      </c>
      <c r="AJ170" s="195">
        <f>Table9[[#This Row],[RLower(min) (kΩ)]]/(Table9[[#This Row],[RLower(min) (kΩ)]]+RT1_TH_S_MAX)*100</f>
        <v>85.332443462432792</v>
      </c>
      <c r="AK170" s="195">
        <f>Table9[[#This Row],[RLower(nom) (kΩ)]]/(Table9[[#This Row],[RLower(nom) (kΩ)]]+RT1_TH_S)*100</f>
        <v>85.357458154608338</v>
      </c>
      <c r="AL170" s="195">
        <f>Table9[[#This Row],[RLower(max) (kΩ)]]/(Table9[[#This Row],[RLower(max) (kΩ)]]+RT1_TH_S_MIN)*100</f>
        <v>85.382437493546604</v>
      </c>
      <c r="AM170" s="195">
        <f>IF(Table9[[#This Row],[Vmin (%)]]&lt;$BA$14, 0, IF(Table9[[#This Row],[Vmin (%)]]&lt;$BA$12, 4, IF(Table9[[#This Row],[Vmin (%)]]&lt;$BA$9, 3, IF(Table9[[#This Row],[Vmin (%)]]&lt;$BA$7, 2, 0))))</f>
        <v>0</v>
      </c>
      <c r="AN170" s="195">
        <f>IF(Table9[[#This Row],[Vmin (%)]]&lt;$BA$13, 0, IF(Table9[[#This Row],[Vmin (%)]]&lt;$BA$11, 4, IF(Table9[[#This Row],[Vmin (%)]]&lt;$BA$10, 3, IF(Table9[[#This Row],[Vmin (%)]]&lt;$BA$8, 2, 0))))</f>
        <v>0</v>
      </c>
      <c r="AO170" s="197" t="str">
        <f>IF(Table9[[#This Row],[Vmin (%)]]&lt;$BA$14, "Hot", IF(Table9[[#This Row],[Vmin (%)]]&lt;$BA$12, "Warm", IF(Table9[[#This Row],[Vmin (%)]]&lt;$BA$9, "Normal", IF(Table9[[#This Row],[Vmin (%)]]&lt;$BA$7, "Cool", "Cold"))))</f>
        <v>Cold</v>
      </c>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c r="FH170" s="21"/>
      <c r="FI170" s="21"/>
      <c r="FJ170" s="21"/>
      <c r="FK170" s="21"/>
      <c r="FL170" s="21"/>
      <c r="FM170" s="21"/>
      <c r="FN170" s="21"/>
      <c r="FO170" s="21"/>
      <c r="FP170" s="21"/>
      <c r="FQ170" s="21"/>
      <c r="FR170" s="21"/>
      <c r="FS170" s="21"/>
      <c r="FT170" s="21"/>
      <c r="FU170" s="21"/>
      <c r="FV170" s="21"/>
      <c r="FW170" s="21"/>
      <c r="FX170" s="21"/>
      <c r="FY170" s="21"/>
      <c r="FZ170" s="21"/>
      <c r="GA170" s="21"/>
      <c r="GB170" s="21"/>
      <c r="GC170" s="21"/>
      <c r="GD170" s="21"/>
      <c r="GE170" s="21"/>
      <c r="GF170" s="21"/>
      <c r="GG170" s="21"/>
      <c r="GH170" s="21"/>
      <c r="GI170" s="21"/>
      <c r="GJ170" s="21"/>
      <c r="GK170" s="21"/>
      <c r="GL170" s="21"/>
      <c r="GM170" s="21"/>
      <c r="GN170" s="21"/>
      <c r="GO170" s="21"/>
      <c r="GP170" s="21"/>
      <c r="GQ170" s="21"/>
      <c r="GR170" s="21"/>
      <c r="GS170" s="21"/>
      <c r="GT170" s="21"/>
      <c r="GU170" s="21"/>
      <c r="GV170" s="21"/>
      <c r="GW170" s="21"/>
      <c r="GX170" s="21"/>
      <c r="GY170" s="21"/>
      <c r="GZ170" s="21"/>
      <c r="HA170" s="21"/>
      <c r="HB170" s="21"/>
    </row>
    <row r="171" spans="1:210" hidden="1" x14ac:dyDescent="0.25">
      <c r="A171" s="118">
        <f t="shared" si="30"/>
        <v>-41</v>
      </c>
      <c r="B171" s="179"/>
      <c r="C171" s="188" t="str">
        <f t="shared" si="25"/>
        <v>RTH at -41 °C</v>
      </c>
      <c r="D171" s="219">
        <f t="shared" ref="D171:D179" si="31">$D$105+(ROW(D171)-ROW($D$105))*($D$180-$D$105)/(ROW($D$180)-ROW($D$105))</f>
        <v>3.86</v>
      </c>
      <c r="E171" s="232">
        <v>9.9999999999999997E+98</v>
      </c>
      <c r="F171" s="233">
        <v>9.9999999999999997E+98</v>
      </c>
      <c r="G171" s="234">
        <v>9.9999999999999997E+98</v>
      </c>
      <c r="H171" s="138" t="s">
        <v>30</v>
      </c>
      <c r="I171" s="31"/>
      <c r="J171" s="31">
        <v>207</v>
      </c>
      <c r="K171" s="31">
        <v>198.9</v>
      </c>
      <c r="L171" s="31">
        <v>191</v>
      </c>
      <c r="M171" s="31"/>
      <c r="N171" s="31"/>
      <c r="O171" s="31"/>
      <c r="P171" s="31"/>
      <c r="Q171" s="31"/>
      <c r="R171" s="31"/>
      <c r="S171" s="31"/>
      <c r="T171" s="31"/>
      <c r="U171" s="31"/>
      <c r="V171" s="31"/>
      <c r="W171" s="31"/>
      <c r="X171" s="31"/>
      <c r="Y171" s="32"/>
      <c r="Z171" s="20"/>
      <c r="AA171" s="21"/>
      <c r="AB171" s="21"/>
      <c r="AC171" s="195">
        <f t="shared" si="26"/>
        <v>-41</v>
      </c>
      <c r="AD171" s="195">
        <f t="shared" si="27"/>
        <v>9.9999999999999997E+98</v>
      </c>
      <c r="AE171" s="195">
        <f t="shared" si="28"/>
        <v>9.9999999999999997E+98</v>
      </c>
      <c r="AF171" s="195">
        <f t="shared" si="29"/>
        <v>9.9999999999999997E+98</v>
      </c>
      <c r="AG171" s="195">
        <f>Table9[[#This Row],[RTH(min) (kΩ)]]*RT2_TH_MIN/(RT2_TH_MIN+Table9[[#This Row],[RTH(min) (kΩ)]])</f>
        <v>30.474773623767586</v>
      </c>
      <c r="AH171" s="195">
        <f>Table9[[#This Row],[RTH(nom) (kΩ)]]*RT2_TH_S/(RT2_TH_S+Table9[[#This Row],[RTH(nom) (kΩ)]])</f>
        <v>30.505278902670256</v>
      </c>
      <c r="AI171" s="195">
        <f>Table9[[#This Row],[RTH(max) (kΩ)]]*RT2_TH_S_MAX/(RT2_TH_S_MAX+Table9[[#This Row],[RTH(max) (kΩ)]])</f>
        <v>30.535784181572922</v>
      </c>
      <c r="AJ171" s="195">
        <f>Table9[[#This Row],[RLower(min) (kΩ)]]/(Table9[[#This Row],[RLower(min) (kΩ)]]+RT1_TH_S_MAX)*100</f>
        <v>85.332443462432792</v>
      </c>
      <c r="AK171" s="195">
        <f>Table9[[#This Row],[RLower(nom) (kΩ)]]/(Table9[[#This Row],[RLower(nom) (kΩ)]]+RT1_TH_S)*100</f>
        <v>85.357458154608338</v>
      </c>
      <c r="AL171" s="195">
        <f>Table9[[#This Row],[RLower(max) (kΩ)]]/(Table9[[#This Row],[RLower(max) (kΩ)]]+RT1_TH_S_MIN)*100</f>
        <v>85.382437493546604</v>
      </c>
      <c r="AM171" s="195">
        <f>IF(Table9[[#This Row],[Vmin (%)]]&lt;$BA$14, 0, IF(Table9[[#This Row],[Vmin (%)]]&lt;$BA$12, 4, IF(Table9[[#This Row],[Vmin (%)]]&lt;$BA$9, 3, IF(Table9[[#This Row],[Vmin (%)]]&lt;$BA$7, 2, 0))))</f>
        <v>0</v>
      </c>
      <c r="AN171" s="195">
        <f>IF(Table9[[#This Row],[Vmin (%)]]&lt;$BA$13, 0, IF(Table9[[#This Row],[Vmin (%)]]&lt;$BA$11, 4, IF(Table9[[#This Row],[Vmin (%)]]&lt;$BA$10, 3, IF(Table9[[#This Row],[Vmin (%)]]&lt;$BA$8, 2, 0))))</f>
        <v>0</v>
      </c>
      <c r="AO171" s="197" t="str">
        <f>IF(Table9[[#This Row],[Vmin (%)]]&lt;$BA$14, "Hot", IF(Table9[[#This Row],[Vmin (%)]]&lt;$BA$12, "Warm", IF(Table9[[#This Row],[Vmin (%)]]&lt;$BA$9, "Normal", IF(Table9[[#This Row],[Vmin (%)]]&lt;$BA$7, "Cool", "Cold"))))</f>
        <v>Cold</v>
      </c>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c r="FH171" s="21"/>
      <c r="FI171" s="21"/>
      <c r="FJ171" s="21"/>
      <c r="FK171" s="21"/>
      <c r="FL171" s="21"/>
      <c r="FM171" s="21"/>
      <c r="FN171" s="21"/>
      <c r="FO171" s="21"/>
      <c r="FP171" s="21"/>
      <c r="FQ171" s="21"/>
      <c r="FR171" s="21"/>
      <c r="FS171" s="21"/>
      <c r="FT171" s="21"/>
      <c r="FU171" s="21"/>
      <c r="FV171" s="21"/>
      <c r="FW171" s="21"/>
      <c r="FX171" s="21"/>
      <c r="FY171" s="21"/>
      <c r="FZ171" s="21"/>
      <c r="GA171" s="21"/>
      <c r="GB171" s="21"/>
      <c r="GC171" s="21"/>
      <c r="GD171" s="21"/>
      <c r="GE171" s="21"/>
      <c r="GF171" s="21"/>
      <c r="GG171" s="21"/>
      <c r="GH171" s="21"/>
      <c r="GI171" s="21"/>
      <c r="GJ171" s="21"/>
      <c r="GK171" s="21"/>
      <c r="GL171" s="21"/>
      <c r="GM171" s="21"/>
      <c r="GN171" s="21"/>
      <c r="GO171" s="21"/>
      <c r="GP171" s="21"/>
      <c r="GQ171" s="21"/>
      <c r="GR171" s="21"/>
      <c r="GS171" s="21"/>
      <c r="GT171" s="21"/>
      <c r="GU171" s="21"/>
      <c r="GV171" s="21"/>
      <c r="GW171" s="21"/>
      <c r="GX171" s="21"/>
      <c r="GY171" s="21"/>
      <c r="GZ171" s="21"/>
      <c r="HA171" s="21"/>
      <c r="HB171" s="21"/>
    </row>
    <row r="172" spans="1:210" hidden="1" x14ac:dyDescent="0.25">
      <c r="A172" s="118">
        <f t="shared" si="30"/>
        <v>-42</v>
      </c>
      <c r="B172" s="179"/>
      <c r="C172" s="188" t="str">
        <f t="shared" si="25"/>
        <v>RTH at -42 °C</v>
      </c>
      <c r="D172" s="219">
        <f t="shared" si="31"/>
        <v>3.9033333333333333</v>
      </c>
      <c r="E172" s="232">
        <v>9.9999999999999997E+98</v>
      </c>
      <c r="F172" s="233">
        <v>9.9999999999999997E+98</v>
      </c>
      <c r="G172" s="234">
        <v>9.9999999999999997E+98</v>
      </c>
      <c r="H172" s="138" t="s">
        <v>30</v>
      </c>
      <c r="I172" s="31"/>
      <c r="J172" s="31">
        <v>218.6</v>
      </c>
      <c r="K172" s="31">
        <v>209.9</v>
      </c>
      <c r="L172" s="31">
        <v>201.6</v>
      </c>
      <c r="M172" s="31"/>
      <c r="N172" s="31"/>
      <c r="O172" s="31"/>
      <c r="P172" s="31"/>
      <c r="Q172" s="31"/>
      <c r="R172" s="31"/>
      <c r="S172" s="31"/>
      <c r="T172" s="31"/>
      <c r="U172" s="31"/>
      <c r="V172" s="31"/>
      <c r="W172" s="31"/>
      <c r="X172" s="31"/>
      <c r="Y172" s="32"/>
      <c r="Z172" s="20"/>
      <c r="AA172" s="21"/>
      <c r="AB172" s="21"/>
      <c r="AC172" s="195">
        <f t="shared" si="26"/>
        <v>-42</v>
      </c>
      <c r="AD172" s="195">
        <f t="shared" si="27"/>
        <v>9.9999999999999997E+98</v>
      </c>
      <c r="AE172" s="195">
        <f t="shared" si="28"/>
        <v>9.9999999999999997E+98</v>
      </c>
      <c r="AF172" s="195">
        <f t="shared" si="29"/>
        <v>9.9999999999999997E+98</v>
      </c>
      <c r="AG172" s="195">
        <f>Table9[[#This Row],[RTH(min) (kΩ)]]*RT2_TH_MIN/(RT2_TH_MIN+Table9[[#This Row],[RTH(min) (kΩ)]])</f>
        <v>30.474773623767586</v>
      </c>
      <c r="AH172" s="195">
        <f>Table9[[#This Row],[RTH(nom) (kΩ)]]*RT2_TH_S/(RT2_TH_S+Table9[[#This Row],[RTH(nom) (kΩ)]])</f>
        <v>30.505278902670256</v>
      </c>
      <c r="AI172" s="195">
        <f>Table9[[#This Row],[RTH(max) (kΩ)]]*RT2_TH_S_MAX/(RT2_TH_S_MAX+Table9[[#This Row],[RTH(max) (kΩ)]])</f>
        <v>30.535784181572922</v>
      </c>
      <c r="AJ172" s="195">
        <f>Table9[[#This Row],[RLower(min) (kΩ)]]/(Table9[[#This Row],[RLower(min) (kΩ)]]+RT1_TH_S_MAX)*100</f>
        <v>85.332443462432792</v>
      </c>
      <c r="AK172" s="195">
        <f>Table9[[#This Row],[RLower(nom) (kΩ)]]/(Table9[[#This Row],[RLower(nom) (kΩ)]]+RT1_TH_S)*100</f>
        <v>85.357458154608338</v>
      </c>
      <c r="AL172" s="195">
        <f>Table9[[#This Row],[RLower(max) (kΩ)]]/(Table9[[#This Row],[RLower(max) (kΩ)]]+RT1_TH_S_MIN)*100</f>
        <v>85.382437493546604</v>
      </c>
      <c r="AM172" s="195">
        <f>IF(Table9[[#This Row],[Vmin (%)]]&lt;$BA$14, 0, IF(Table9[[#This Row],[Vmin (%)]]&lt;$BA$12, 4, IF(Table9[[#This Row],[Vmin (%)]]&lt;$BA$9, 3, IF(Table9[[#This Row],[Vmin (%)]]&lt;$BA$7, 2, 0))))</f>
        <v>0</v>
      </c>
      <c r="AN172" s="195">
        <f>IF(Table9[[#This Row],[Vmin (%)]]&lt;$BA$13, 0, IF(Table9[[#This Row],[Vmin (%)]]&lt;$BA$11, 4, IF(Table9[[#This Row],[Vmin (%)]]&lt;$BA$10, 3, IF(Table9[[#This Row],[Vmin (%)]]&lt;$BA$8, 2, 0))))</f>
        <v>0</v>
      </c>
      <c r="AO172" s="197" t="str">
        <f>IF(Table9[[#This Row],[Vmin (%)]]&lt;$BA$14, "Hot", IF(Table9[[#This Row],[Vmin (%)]]&lt;$BA$12, "Warm", IF(Table9[[#This Row],[Vmin (%)]]&lt;$BA$9, "Normal", IF(Table9[[#This Row],[Vmin (%)]]&lt;$BA$7, "Cool", "Cold"))))</f>
        <v>Cold</v>
      </c>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c r="FH172" s="21"/>
      <c r="FI172" s="21"/>
      <c r="FJ172" s="21"/>
      <c r="FK172" s="21"/>
      <c r="FL172" s="21"/>
      <c r="FM172" s="21"/>
      <c r="FN172" s="21"/>
      <c r="FO172" s="21"/>
      <c r="FP172" s="21"/>
      <c r="FQ172" s="21"/>
      <c r="FR172" s="21"/>
      <c r="FS172" s="21"/>
      <c r="FT172" s="21"/>
      <c r="FU172" s="21"/>
      <c r="FV172" s="21"/>
      <c r="FW172" s="21"/>
      <c r="FX172" s="21"/>
      <c r="FY172" s="21"/>
      <c r="FZ172" s="21"/>
      <c r="GA172" s="21"/>
      <c r="GB172" s="21"/>
      <c r="GC172" s="21"/>
      <c r="GD172" s="21"/>
      <c r="GE172" s="21"/>
      <c r="GF172" s="21"/>
      <c r="GG172" s="21"/>
      <c r="GH172" s="21"/>
      <c r="GI172" s="21"/>
      <c r="GJ172" s="21"/>
      <c r="GK172" s="21"/>
      <c r="GL172" s="21"/>
      <c r="GM172" s="21"/>
      <c r="GN172" s="21"/>
      <c r="GO172" s="21"/>
      <c r="GP172" s="21"/>
      <c r="GQ172" s="21"/>
      <c r="GR172" s="21"/>
      <c r="GS172" s="21"/>
      <c r="GT172" s="21"/>
      <c r="GU172" s="21"/>
      <c r="GV172" s="21"/>
      <c r="GW172" s="21"/>
      <c r="GX172" s="21"/>
      <c r="GY172" s="21"/>
      <c r="GZ172" s="21"/>
      <c r="HA172" s="21"/>
      <c r="HB172" s="21"/>
    </row>
    <row r="173" spans="1:210" hidden="1" x14ac:dyDescent="0.25">
      <c r="A173" s="118">
        <f t="shared" si="30"/>
        <v>-43</v>
      </c>
      <c r="B173" s="179"/>
      <c r="C173" s="188" t="str">
        <f t="shared" si="25"/>
        <v>RTH at -43 °C</v>
      </c>
      <c r="D173" s="219">
        <f t="shared" si="31"/>
        <v>3.9466666666666668</v>
      </c>
      <c r="E173" s="232">
        <v>9.9999999999999997E+98</v>
      </c>
      <c r="F173" s="233">
        <v>9.9999999999999997E+98</v>
      </c>
      <c r="G173" s="234">
        <v>9.9999999999999997E+98</v>
      </c>
      <c r="H173" s="138" t="s">
        <v>30</v>
      </c>
      <c r="I173" s="31"/>
      <c r="J173" s="31">
        <v>231</v>
      </c>
      <c r="K173" s="31">
        <v>221.7</v>
      </c>
      <c r="L173" s="31">
        <v>212.8</v>
      </c>
      <c r="M173" s="31"/>
      <c r="N173" s="31"/>
      <c r="O173" s="31"/>
      <c r="P173" s="31"/>
      <c r="Q173" s="31"/>
      <c r="R173" s="31"/>
      <c r="S173" s="31"/>
      <c r="T173" s="31"/>
      <c r="U173" s="31"/>
      <c r="V173" s="31"/>
      <c r="W173" s="31"/>
      <c r="X173" s="31"/>
      <c r="Y173" s="32"/>
      <c r="Z173" s="20"/>
      <c r="AA173" s="21"/>
      <c r="AB173" s="21"/>
      <c r="AC173" s="195">
        <f t="shared" si="26"/>
        <v>-43</v>
      </c>
      <c r="AD173" s="195">
        <f t="shared" si="27"/>
        <v>9.9999999999999997E+98</v>
      </c>
      <c r="AE173" s="195">
        <f t="shared" si="28"/>
        <v>9.9999999999999997E+98</v>
      </c>
      <c r="AF173" s="195">
        <f t="shared" si="29"/>
        <v>9.9999999999999997E+98</v>
      </c>
      <c r="AG173" s="195">
        <f>Table9[[#This Row],[RTH(min) (kΩ)]]*RT2_TH_MIN/(RT2_TH_MIN+Table9[[#This Row],[RTH(min) (kΩ)]])</f>
        <v>30.474773623767586</v>
      </c>
      <c r="AH173" s="195">
        <f>Table9[[#This Row],[RTH(nom) (kΩ)]]*RT2_TH_S/(RT2_TH_S+Table9[[#This Row],[RTH(nom) (kΩ)]])</f>
        <v>30.505278902670256</v>
      </c>
      <c r="AI173" s="195">
        <f>Table9[[#This Row],[RTH(max) (kΩ)]]*RT2_TH_S_MAX/(RT2_TH_S_MAX+Table9[[#This Row],[RTH(max) (kΩ)]])</f>
        <v>30.535784181572922</v>
      </c>
      <c r="AJ173" s="195">
        <f>Table9[[#This Row],[RLower(min) (kΩ)]]/(Table9[[#This Row],[RLower(min) (kΩ)]]+RT1_TH_S_MAX)*100</f>
        <v>85.332443462432792</v>
      </c>
      <c r="AK173" s="195">
        <f>Table9[[#This Row],[RLower(nom) (kΩ)]]/(Table9[[#This Row],[RLower(nom) (kΩ)]]+RT1_TH_S)*100</f>
        <v>85.357458154608338</v>
      </c>
      <c r="AL173" s="195">
        <f>Table9[[#This Row],[RLower(max) (kΩ)]]/(Table9[[#This Row],[RLower(max) (kΩ)]]+RT1_TH_S_MIN)*100</f>
        <v>85.382437493546604</v>
      </c>
      <c r="AM173" s="195">
        <f>IF(Table9[[#This Row],[Vmin (%)]]&lt;$BA$14, 0, IF(Table9[[#This Row],[Vmin (%)]]&lt;$BA$12, 4, IF(Table9[[#This Row],[Vmin (%)]]&lt;$BA$9, 3, IF(Table9[[#This Row],[Vmin (%)]]&lt;$BA$7, 2, 0))))</f>
        <v>0</v>
      </c>
      <c r="AN173" s="195">
        <f>IF(Table9[[#This Row],[Vmin (%)]]&lt;$BA$13, 0, IF(Table9[[#This Row],[Vmin (%)]]&lt;$BA$11, 4, IF(Table9[[#This Row],[Vmin (%)]]&lt;$BA$10, 3, IF(Table9[[#This Row],[Vmin (%)]]&lt;$BA$8, 2, 0))))</f>
        <v>0</v>
      </c>
      <c r="AO173" s="197" t="str">
        <f>IF(Table9[[#This Row],[Vmin (%)]]&lt;$BA$14, "Hot", IF(Table9[[#This Row],[Vmin (%)]]&lt;$BA$12, "Warm", IF(Table9[[#This Row],[Vmin (%)]]&lt;$BA$9, "Normal", IF(Table9[[#This Row],[Vmin (%)]]&lt;$BA$7, "Cool", "Cold"))))</f>
        <v>Cold</v>
      </c>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c r="FJ173" s="21"/>
      <c r="FK173" s="21"/>
      <c r="FL173" s="21"/>
      <c r="FM173" s="21"/>
      <c r="FN173" s="21"/>
      <c r="FO173" s="21"/>
      <c r="FP173" s="21"/>
      <c r="FQ173" s="21"/>
      <c r="FR173" s="21"/>
      <c r="FS173" s="21"/>
      <c r="FT173" s="21"/>
      <c r="FU173" s="21"/>
      <c r="FV173" s="21"/>
      <c r="FW173" s="21"/>
      <c r="FX173" s="21"/>
      <c r="FY173" s="21"/>
      <c r="FZ173" s="21"/>
      <c r="GA173" s="21"/>
      <c r="GB173" s="21"/>
      <c r="GC173" s="21"/>
      <c r="GD173" s="21"/>
      <c r="GE173" s="21"/>
      <c r="GF173" s="21"/>
      <c r="GG173" s="21"/>
      <c r="GH173" s="21"/>
      <c r="GI173" s="21"/>
      <c r="GJ173" s="21"/>
      <c r="GK173" s="21"/>
      <c r="GL173" s="21"/>
      <c r="GM173" s="21"/>
      <c r="GN173" s="21"/>
      <c r="GO173" s="21"/>
      <c r="GP173" s="21"/>
      <c r="GQ173" s="21"/>
      <c r="GR173" s="21"/>
      <c r="GS173" s="21"/>
      <c r="GT173" s="21"/>
      <c r="GU173" s="21"/>
      <c r="GV173" s="21"/>
      <c r="GW173" s="21"/>
      <c r="GX173" s="21"/>
      <c r="GY173" s="21"/>
      <c r="GZ173" s="21"/>
      <c r="HA173" s="21"/>
      <c r="HB173" s="21"/>
    </row>
    <row r="174" spans="1:210" hidden="1" x14ac:dyDescent="0.25">
      <c r="A174" s="118">
        <f t="shared" si="30"/>
        <v>-44</v>
      </c>
      <c r="B174" s="179"/>
      <c r="C174" s="188" t="str">
        <f t="shared" si="25"/>
        <v>RTH at -44 °C</v>
      </c>
      <c r="D174" s="219">
        <f t="shared" si="31"/>
        <v>3.99</v>
      </c>
      <c r="E174" s="232">
        <v>9.9999999999999997E+98</v>
      </c>
      <c r="F174" s="233">
        <v>9.9999999999999997E+98</v>
      </c>
      <c r="G174" s="234">
        <v>9.9999999999999997E+98</v>
      </c>
      <c r="H174" s="138" t="s">
        <v>30</v>
      </c>
      <c r="I174" s="31"/>
      <c r="J174" s="31">
        <v>244.2</v>
      </c>
      <c r="K174" s="31">
        <v>234.3</v>
      </c>
      <c r="L174" s="31">
        <v>224.7</v>
      </c>
      <c r="M174" s="31"/>
      <c r="N174" s="31"/>
      <c r="O174" s="31"/>
      <c r="P174" s="31"/>
      <c r="Q174" s="31"/>
      <c r="R174" s="31"/>
      <c r="S174" s="31"/>
      <c r="T174" s="31"/>
      <c r="U174" s="31"/>
      <c r="V174" s="31"/>
      <c r="W174" s="31"/>
      <c r="X174" s="31"/>
      <c r="Y174" s="32"/>
      <c r="Z174" s="20"/>
      <c r="AA174" s="21"/>
      <c r="AB174" s="21"/>
      <c r="AC174" s="195">
        <f t="shared" si="26"/>
        <v>-44</v>
      </c>
      <c r="AD174" s="195">
        <f t="shared" si="27"/>
        <v>9.9999999999999997E+98</v>
      </c>
      <c r="AE174" s="195">
        <f t="shared" si="28"/>
        <v>9.9999999999999997E+98</v>
      </c>
      <c r="AF174" s="195">
        <f t="shared" si="29"/>
        <v>9.9999999999999997E+98</v>
      </c>
      <c r="AG174" s="195">
        <f>Table9[[#This Row],[RTH(min) (kΩ)]]*RT2_TH_MIN/(RT2_TH_MIN+Table9[[#This Row],[RTH(min) (kΩ)]])</f>
        <v>30.474773623767586</v>
      </c>
      <c r="AH174" s="195">
        <f>Table9[[#This Row],[RTH(nom) (kΩ)]]*RT2_TH_S/(RT2_TH_S+Table9[[#This Row],[RTH(nom) (kΩ)]])</f>
        <v>30.505278902670256</v>
      </c>
      <c r="AI174" s="195">
        <f>Table9[[#This Row],[RTH(max) (kΩ)]]*RT2_TH_S_MAX/(RT2_TH_S_MAX+Table9[[#This Row],[RTH(max) (kΩ)]])</f>
        <v>30.535784181572922</v>
      </c>
      <c r="AJ174" s="195">
        <f>Table9[[#This Row],[RLower(min) (kΩ)]]/(Table9[[#This Row],[RLower(min) (kΩ)]]+RT1_TH_S_MAX)*100</f>
        <v>85.332443462432792</v>
      </c>
      <c r="AK174" s="195">
        <f>Table9[[#This Row],[RLower(nom) (kΩ)]]/(Table9[[#This Row],[RLower(nom) (kΩ)]]+RT1_TH_S)*100</f>
        <v>85.357458154608338</v>
      </c>
      <c r="AL174" s="195">
        <f>Table9[[#This Row],[RLower(max) (kΩ)]]/(Table9[[#This Row],[RLower(max) (kΩ)]]+RT1_TH_S_MIN)*100</f>
        <v>85.382437493546604</v>
      </c>
      <c r="AM174" s="195">
        <f>IF(Table9[[#This Row],[Vmin (%)]]&lt;$BA$14, 0, IF(Table9[[#This Row],[Vmin (%)]]&lt;$BA$12, 4, IF(Table9[[#This Row],[Vmin (%)]]&lt;$BA$9, 3, IF(Table9[[#This Row],[Vmin (%)]]&lt;$BA$7, 2, 0))))</f>
        <v>0</v>
      </c>
      <c r="AN174" s="195">
        <f>IF(Table9[[#This Row],[Vmin (%)]]&lt;$BA$13, 0, IF(Table9[[#This Row],[Vmin (%)]]&lt;$BA$11, 4, IF(Table9[[#This Row],[Vmin (%)]]&lt;$BA$10, 3, IF(Table9[[#This Row],[Vmin (%)]]&lt;$BA$8, 2, 0))))</f>
        <v>0</v>
      </c>
      <c r="AO174" s="197" t="str">
        <f>IF(Table9[[#This Row],[Vmin (%)]]&lt;$BA$14, "Hot", IF(Table9[[#This Row],[Vmin (%)]]&lt;$BA$12, "Warm", IF(Table9[[#This Row],[Vmin (%)]]&lt;$BA$9, "Normal", IF(Table9[[#This Row],[Vmin (%)]]&lt;$BA$7, "Cool", "Cold"))))</f>
        <v>Cold</v>
      </c>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c r="FJ174" s="21"/>
      <c r="FK174" s="21"/>
      <c r="FL174" s="21"/>
      <c r="FM174" s="21"/>
      <c r="FN174" s="21"/>
      <c r="FO174" s="21"/>
      <c r="FP174" s="21"/>
      <c r="FQ174" s="21"/>
      <c r="FR174" s="21"/>
      <c r="FS174" s="21"/>
      <c r="FT174" s="21"/>
      <c r="FU174" s="21"/>
      <c r="FV174" s="21"/>
      <c r="FW174" s="21"/>
      <c r="FX174" s="21"/>
      <c r="FY174" s="21"/>
      <c r="FZ174" s="21"/>
      <c r="GA174" s="21"/>
      <c r="GB174" s="21"/>
      <c r="GC174" s="21"/>
      <c r="GD174" s="21"/>
      <c r="GE174" s="21"/>
      <c r="GF174" s="21"/>
      <c r="GG174" s="21"/>
      <c r="GH174" s="21"/>
      <c r="GI174" s="21"/>
      <c r="GJ174" s="21"/>
      <c r="GK174" s="21"/>
      <c r="GL174" s="21"/>
      <c r="GM174" s="21"/>
      <c r="GN174" s="21"/>
      <c r="GO174" s="21"/>
      <c r="GP174" s="21"/>
      <c r="GQ174" s="21"/>
      <c r="GR174" s="21"/>
      <c r="GS174" s="21"/>
      <c r="GT174" s="21"/>
      <c r="GU174" s="21"/>
      <c r="GV174" s="21"/>
      <c r="GW174" s="21"/>
      <c r="GX174" s="21"/>
      <c r="GY174" s="21"/>
      <c r="GZ174" s="21"/>
      <c r="HA174" s="21"/>
      <c r="HB174" s="21"/>
    </row>
    <row r="175" spans="1:210" hidden="1" x14ac:dyDescent="0.25">
      <c r="A175" s="118">
        <f t="shared" si="30"/>
        <v>-45</v>
      </c>
      <c r="B175" s="179"/>
      <c r="C175" s="188" t="str">
        <f t="shared" si="25"/>
        <v>RTH at -45 °C</v>
      </c>
      <c r="D175" s="219">
        <f t="shared" si="31"/>
        <v>4.0333333333333332</v>
      </c>
      <c r="E175" s="232">
        <v>9.9999999999999997E+98</v>
      </c>
      <c r="F175" s="233">
        <v>9.9999999999999997E+98</v>
      </c>
      <c r="G175" s="234">
        <v>9.9999999999999997E+98</v>
      </c>
      <c r="H175" s="138" t="s">
        <v>30</v>
      </c>
      <c r="I175" s="31"/>
      <c r="J175" s="31">
        <v>258.3</v>
      </c>
      <c r="K175" s="31">
        <v>247.7</v>
      </c>
      <c r="L175" s="31">
        <v>237.4</v>
      </c>
      <c r="M175" s="31"/>
      <c r="N175" s="31"/>
      <c r="O175" s="31"/>
      <c r="P175" s="31"/>
      <c r="Q175" s="31"/>
      <c r="R175" s="31"/>
      <c r="S175" s="31"/>
      <c r="T175" s="31"/>
      <c r="U175" s="31"/>
      <c r="V175" s="31"/>
      <c r="W175" s="31"/>
      <c r="X175" s="31"/>
      <c r="Y175" s="32"/>
      <c r="Z175" s="20"/>
      <c r="AA175" s="21"/>
      <c r="AB175" s="21"/>
      <c r="AC175" s="195">
        <f t="shared" si="26"/>
        <v>-45</v>
      </c>
      <c r="AD175" s="195">
        <f t="shared" si="27"/>
        <v>9.9999999999999997E+98</v>
      </c>
      <c r="AE175" s="195">
        <f t="shared" si="28"/>
        <v>9.9999999999999997E+98</v>
      </c>
      <c r="AF175" s="195">
        <f t="shared" si="29"/>
        <v>9.9999999999999997E+98</v>
      </c>
      <c r="AG175" s="195">
        <f>Table9[[#This Row],[RTH(min) (kΩ)]]*RT2_TH_MIN/(RT2_TH_MIN+Table9[[#This Row],[RTH(min) (kΩ)]])</f>
        <v>30.474773623767586</v>
      </c>
      <c r="AH175" s="195">
        <f>Table9[[#This Row],[RTH(nom) (kΩ)]]*RT2_TH_S/(RT2_TH_S+Table9[[#This Row],[RTH(nom) (kΩ)]])</f>
        <v>30.505278902670256</v>
      </c>
      <c r="AI175" s="195">
        <f>Table9[[#This Row],[RTH(max) (kΩ)]]*RT2_TH_S_MAX/(RT2_TH_S_MAX+Table9[[#This Row],[RTH(max) (kΩ)]])</f>
        <v>30.535784181572922</v>
      </c>
      <c r="AJ175" s="195">
        <f>Table9[[#This Row],[RLower(min) (kΩ)]]/(Table9[[#This Row],[RLower(min) (kΩ)]]+RT1_TH_S_MAX)*100</f>
        <v>85.332443462432792</v>
      </c>
      <c r="AK175" s="195">
        <f>Table9[[#This Row],[RLower(nom) (kΩ)]]/(Table9[[#This Row],[RLower(nom) (kΩ)]]+RT1_TH_S)*100</f>
        <v>85.357458154608338</v>
      </c>
      <c r="AL175" s="195">
        <f>Table9[[#This Row],[RLower(max) (kΩ)]]/(Table9[[#This Row],[RLower(max) (kΩ)]]+RT1_TH_S_MIN)*100</f>
        <v>85.382437493546604</v>
      </c>
      <c r="AM175" s="195">
        <f>IF(Table9[[#This Row],[Vmin (%)]]&lt;$BA$14, 0, IF(Table9[[#This Row],[Vmin (%)]]&lt;$BA$12, 4, IF(Table9[[#This Row],[Vmin (%)]]&lt;$BA$9, 3, IF(Table9[[#This Row],[Vmin (%)]]&lt;$BA$7, 2, 0))))</f>
        <v>0</v>
      </c>
      <c r="AN175" s="195">
        <f>IF(Table9[[#This Row],[Vmin (%)]]&lt;$BA$13, 0, IF(Table9[[#This Row],[Vmin (%)]]&lt;$BA$11, 4, IF(Table9[[#This Row],[Vmin (%)]]&lt;$BA$10, 3, IF(Table9[[#This Row],[Vmin (%)]]&lt;$BA$8, 2, 0))))</f>
        <v>0</v>
      </c>
      <c r="AO175" s="197" t="str">
        <f>IF(Table9[[#This Row],[Vmin (%)]]&lt;$BA$14, "Hot", IF(Table9[[#This Row],[Vmin (%)]]&lt;$BA$12, "Warm", IF(Table9[[#This Row],[Vmin (%)]]&lt;$BA$9, "Normal", IF(Table9[[#This Row],[Vmin (%)]]&lt;$BA$7, "Cool", "Cold"))))</f>
        <v>Cold</v>
      </c>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c r="FH175" s="21"/>
      <c r="FI175" s="21"/>
      <c r="FJ175" s="21"/>
      <c r="FK175" s="21"/>
      <c r="FL175" s="21"/>
      <c r="FM175" s="21"/>
      <c r="FN175" s="21"/>
      <c r="FO175" s="21"/>
      <c r="FP175" s="21"/>
      <c r="FQ175" s="21"/>
      <c r="FR175" s="21"/>
      <c r="FS175" s="21"/>
      <c r="FT175" s="21"/>
      <c r="FU175" s="21"/>
      <c r="FV175" s="21"/>
      <c r="FW175" s="21"/>
      <c r="FX175" s="21"/>
      <c r="FY175" s="21"/>
      <c r="FZ175" s="21"/>
      <c r="GA175" s="21"/>
      <c r="GB175" s="21"/>
      <c r="GC175" s="21"/>
      <c r="GD175" s="21"/>
      <c r="GE175" s="21"/>
      <c r="GF175" s="21"/>
      <c r="GG175" s="21"/>
      <c r="GH175" s="21"/>
      <c r="GI175" s="21"/>
      <c r="GJ175" s="21"/>
      <c r="GK175" s="21"/>
      <c r="GL175" s="21"/>
      <c r="GM175" s="21"/>
      <c r="GN175" s="21"/>
      <c r="GO175" s="21"/>
      <c r="GP175" s="21"/>
      <c r="GQ175" s="21"/>
      <c r="GR175" s="21"/>
      <c r="GS175" s="21"/>
      <c r="GT175" s="21"/>
      <c r="GU175" s="21"/>
      <c r="GV175" s="21"/>
      <c r="GW175" s="21"/>
      <c r="GX175" s="21"/>
      <c r="GY175" s="21"/>
      <c r="GZ175" s="21"/>
      <c r="HA175" s="21"/>
      <c r="HB175" s="21"/>
    </row>
    <row r="176" spans="1:210" hidden="1" x14ac:dyDescent="0.25">
      <c r="A176" s="118">
        <f t="shared" si="30"/>
        <v>-46</v>
      </c>
      <c r="B176" s="179"/>
      <c r="C176" s="188" t="str">
        <f t="shared" si="25"/>
        <v>RTH at -46 °C</v>
      </c>
      <c r="D176" s="219">
        <f t="shared" si="31"/>
        <v>4.0766666666666662</v>
      </c>
      <c r="E176" s="232">
        <v>9.9999999999999997E+98</v>
      </c>
      <c r="F176" s="233">
        <v>9.9999999999999997E+98</v>
      </c>
      <c r="G176" s="234">
        <v>9.9999999999999997E+98</v>
      </c>
      <c r="H176" s="138" t="s">
        <v>30</v>
      </c>
      <c r="I176" s="31"/>
      <c r="J176" s="31">
        <v>273.39999999999998</v>
      </c>
      <c r="K176" s="31">
        <v>262</v>
      </c>
      <c r="L176" s="31">
        <v>251</v>
      </c>
      <c r="M176" s="31"/>
      <c r="N176" s="31"/>
      <c r="O176" s="31"/>
      <c r="P176" s="31"/>
      <c r="Q176" s="31"/>
      <c r="R176" s="31"/>
      <c r="S176" s="31"/>
      <c r="T176" s="31"/>
      <c r="U176" s="31"/>
      <c r="V176" s="31"/>
      <c r="W176" s="31"/>
      <c r="X176" s="31"/>
      <c r="Y176" s="32"/>
      <c r="Z176" s="20"/>
      <c r="AA176" s="21"/>
      <c r="AB176" s="21"/>
      <c r="AC176" s="195">
        <f t="shared" si="26"/>
        <v>-46</v>
      </c>
      <c r="AD176" s="195">
        <f t="shared" si="27"/>
        <v>9.9999999999999997E+98</v>
      </c>
      <c r="AE176" s="195">
        <f t="shared" si="28"/>
        <v>9.9999999999999997E+98</v>
      </c>
      <c r="AF176" s="195">
        <f t="shared" si="29"/>
        <v>9.9999999999999997E+98</v>
      </c>
      <c r="AG176" s="195">
        <f>Table9[[#This Row],[RTH(min) (kΩ)]]*RT2_TH_MIN/(RT2_TH_MIN+Table9[[#This Row],[RTH(min) (kΩ)]])</f>
        <v>30.474773623767586</v>
      </c>
      <c r="AH176" s="195">
        <f>Table9[[#This Row],[RTH(nom) (kΩ)]]*RT2_TH_S/(RT2_TH_S+Table9[[#This Row],[RTH(nom) (kΩ)]])</f>
        <v>30.505278902670256</v>
      </c>
      <c r="AI176" s="195">
        <f>Table9[[#This Row],[RTH(max) (kΩ)]]*RT2_TH_S_MAX/(RT2_TH_S_MAX+Table9[[#This Row],[RTH(max) (kΩ)]])</f>
        <v>30.535784181572922</v>
      </c>
      <c r="AJ176" s="195">
        <f>Table9[[#This Row],[RLower(min) (kΩ)]]/(Table9[[#This Row],[RLower(min) (kΩ)]]+RT1_TH_S_MAX)*100</f>
        <v>85.332443462432792</v>
      </c>
      <c r="AK176" s="195">
        <f>Table9[[#This Row],[RLower(nom) (kΩ)]]/(Table9[[#This Row],[RLower(nom) (kΩ)]]+RT1_TH_S)*100</f>
        <v>85.357458154608338</v>
      </c>
      <c r="AL176" s="195">
        <f>Table9[[#This Row],[RLower(max) (kΩ)]]/(Table9[[#This Row],[RLower(max) (kΩ)]]+RT1_TH_S_MIN)*100</f>
        <v>85.382437493546604</v>
      </c>
      <c r="AM176" s="195">
        <f>IF(Table9[[#This Row],[Vmin (%)]]&lt;$BA$14, 0, IF(Table9[[#This Row],[Vmin (%)]]&lt;$BA$12, 4, IF(Table9[[#This Row],[Vmin (%)]]&lt;$BA$9, 3, IF(Table9[[#This Row],[Vmin (%)]]&lt;$BA$7, 2, 0))))</f>
        <v>0</v>
      </c>
      <c r="AN176" s="195">
        <f>IF(Table9[[#This Row],[Vmin (%)]]&lt;$BA$13, 0, IF(Table9[[#This Row],[Vmin (%)]]&lt;$BA$11, 4, IF(Table9[[#This Row],[Vmin (%)]]&lt;$BA$10, 3, IF(Table9[[#This Row],[Vmin (%)]]&lt;$BA$8, 2, 0))))</f>
        <v>0</v>
      </c>
      <c r="AO176" s="197" t="str">
        <f>IF(Table9[[#This Row],[Vmin (%)]]&lt;$BA$14, "Hot", IF(Table9[[#This Row],[Vmin (%)]]&lt;$BA$12, "Warm", IF(Table9[[#This Row],[Vmin (%)]]&lt;$BA$9, "Normal", IF(Table9[[#This Row],[Vmin (%)]]&lt;$BA$7, "Cool", "Cold"))))</f>
        <v>Cold</v>
      </c>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c r="FJ176" s="21"/>
      <c r="FK176" s="21"/>
      <c r="FL176" s="21"/>
      <c r="FM176" s="21"/>
      <c r="FN176" s="21"/>
      <c r="FO176" s="21"/>
      <c r="FP176" s="21"/>
      <c r="FQ176" s="21"/>
      <c r="FR176" s="21"/>
      <c r="FS176" s="21"/>
      <c r="FT176" s="21"/>
      <c r="FU176" s="21"/>
      <c r="FV176" s="21"/>
      <c r="FW176" s="21"/>
      <c r="FX176" s="21"/>
      <c r="FY176" s="21"/>
      <c r="FZ176" s="21"/>
      <c r="GA176" s="21"/>
      <c r="GB176" s="21"/>
      <c r="GC176" s="21"/>
      <c r="GD176" s="21"/>
      <c r="GE176" s="21"/>
      <c r="GF176" s="21"/>
      <c r="GG176" s="21"/>
      <c r="GH176" s="21"/>
      <c r="GI176" s="21"/>
      <c r="GJ176" s="21"/>
      <c r="GK176" s="21"/>
      <c r="GL176" s="21"/>
      <c r="GM176" s="21"/>
      <c r="GN176" s="21"/>
      <c r="GO176" s="21"/>
      <c r="GP176" s="21"/>
      <c r="GQ176" s="21"/>
      <c r="GR176" s="21"/>
      <c r="GS176" s="21"/>
      <c r="GT176" s="21"/>
      <c r="GU176" s="21"/>
      <c r="GV176" s="21"/>
      <c r="GW176" s="21"/>
      <c r="GX176" s="21"/>
      <c r="GY176" s="21"/>
      <c r="GZ176" s="21"/>
      <c r="HA176" s="21"/>
      <c r="HB176" s="21"/>
    </row>
    <row r="177" spans="1:210" hidden="1" x14ac:dyDescent="0.25">
      <c r="A177" s="118">
        <f t="shared" si="30"/>
        <v>-47</v>
      </c>
      <c r="B177" s="179"/>
      <c r="C177" s="188" t="str">
        <f t="shared" si="25"/>
        <v>RTH at -47 °C</v>
      </c>
      <c r="D177" s="219">
        <f t="shared" si="31"/>
        <v>4.12</v>
      </c>
      <c r="E177" s="232">
        <v>9.9999999999999997E+98</v>
      </c>
      <c r="F177" s="233">
        <v>9.9999999999999997E+98</v>
      </c>
      <c r="G177" s="234">
        <v>9.9999999999999997E+98</v>
      </c>
      <c r="H177" s="138" t="s">
        <v>30</v>
      </c>
      <c r="I177" s="31"/>
      <c r="J177" s="31">
        <v>289.39999999999998</v>
      </c>
      <c r="K177" s="31">
        <v>277.2</v>
      </c>
      <c r="L177" s="31">
        <v>265.39999999999998</v>
      </c>
      <c r="M177" s="31"/>
      <c r="N177" s="31"/>
      <c r="O177" s="31"/>
      <c r="P177" s="31"/>
      <c r="Q177" s="31"/>
      <c r="R177" s="31"/>
      <c r="S177" s="31"/>
      <c r="T177" s="31"/>
      <c r="U177" s="31"/>
      <c r="V177" s="31"/>
      <c r="W177" s="31"/>
      <c r="X177" s="31"/>
      <c r="Y177" s="32"/>
      <c r="Z177" s="20"/>
      <c r="AA177" s="21"/>
      <c r="AB177" s="21"/>
      <c r="AC177" s="195">
        <f t="shared" si="26"/>
        <v>-47</v>
      </c>
      <c r="AD177" s="195">
        <f t="shared" si="27"/>
        <v>9.9999999999999997E+98</v>
      </c>
      <c r="AE177" s="195">
        <f t="shared" si="28"/>
        <v>9.9999999999999997E+98</v>
      </c>
      <c r="AF177" s="195">
        <f t="shared" si="29"/>
        <v>9.9999999999999997E+98</v>
      </c>
      <c r="AG177" s="195">
        <f>Table9[[#This Row],[RTH(min) (kΩ)]]*RT2_TH_MIN/(RT2_TH_MIN+Table9[[#This Row],[RTH(min) (kΩ)]])</f>
        <v>30.474773623767586</v>
      </c>
      <c r="AH177" s="195">
        <f>Table9[[#This Row],[RTH(nom) (kΩ)]]*RT2_TH_S/(RT2_TH_S+Table9[[#This Row],[RTH(nom) (kΩ)]])</f>
        <v>30.505278902670256</v>
      </c>
      <c r="AI177" s="195">
        <f>Table9[[#This Row],[RTH(max) (kΩ)]]*RT2_TH_S_MAX/(RT2_TH_S_MAX+Table9[[#This Row],[RTH(max) (kΩ)]])</f>
        <v>30.535784181572922</v>
      </c>
      <c r="AJ177" s="195">
        <f>Table9[[#This Row],[RLower(min) (kΩ)]]/(Table9[[#This Row],[RLower(min) (kΩ)]]+RT1_TH_S_MAX)*100</f>
        <v>85.332443462432792</v>
      </c>
      <c r="AK177" s="195">
        <f>Table9[[#This Row],[RLower(nom) (kΩ)]]/(Table9[[#This Row],[RLower(nom) (kΩ)]]+RT1_TH_S)*100</f>
        <v>85.357458154608338</v>
      </c>
      <c r="AL177" s="195">
        <f>Table9[[#This Row],[RLower(max) (kΩ)]]/(Table9[[#This Row],[RLower(max) (kΩ)]]+RT1_TH_S_MIN)*100</f>
        <v>85.382437493546604</v>
      </c>
      <c r="AM177" s="195">
        <f>IF(Table9[[#This Row],[Vmin (%)]]&lt;$BA$14, 0, IF(Table9[[#This Row],[Vmin (%)]]&lt;$BA$12, 4, IF(Table9[[#This Row],[Vmin (%)]]&lt;$BA$9, 3, IF(Table9[[#This Row],[Vmin (%)]]&lt;$BA$7, 2, 0))))</f>
        <v>0</v>
      </c>
      <c r="AN177" s="195">
        <f>IF(Table9[[#This Row],[Vmin (%)]]&lt;$BA$13, 0, IF(Table9[[#This Row],[Vmin (%)]]&lt;$BA$11, 4, IF(Table9[[#This Row],[Vmin (%)]]&lt;$BA$10, 3, IF(Table9[[#This Row],[Vmin (%)]]&lt;$BA$8, 2, 0))))</f>
        <v>0</v>
      </c>
      <c r="AO177" s="197" t="str">
        <f>IF(Table9[[#This Row],[Vmin (%)]]&lt;$BA$14, "Hot", IF(Table9[[#This Row],[Vmin (%)]]&lt;$BA$12, "Warm", IF(Table9[[#This Row],[Vmin (%)]]&lt;$BA$9, "Normal", IF(Table9[[#This Row],[Vmin (%)]]&lt;$BA$7, "Cool", "Cold"))))</f>
        <v>Cold</v>
      </c>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c r="FH177" s="21"/>
      <c r="FI177" s="21"/>
      <c r="FJ177" s="21"/>
      <c r="FK177" s="21"/>
      <c r="FL177" s="21"/>
      <c r="FM177" s="21"/>
      <c r="FN177" s="21"/>
      <c r="FO177" s="21"/>
      <c r="FP177" s="21"/>
      <c r="FQ177" s="21"/>
      <c r="FR177" s="21"/>
      <c r="FS177" s="21"/>
      <c r="FT177" s="21"/>
      <c r="FU177" s="21"/>
      <c r="FV177" s="21"/>
      <c r="FW177" s="21"/>
      <c r="FX177" s="21"/>
      <c r="FY177" s="21"/>
      <c r="FZ177" s="21"/>
      <c r="GA177" s="21"/>
      <c r="GB177" s="21"/>
      <c r="GC177" s="21"/>
      <c r="GD177" s="21"/>
      <c r="GE177" s="21"/>
      <c r="GF177" s="21"/>
      <c r="GG177" s="21"/>
      <c r="GH177" s="21"/>
      <c r="GI177" s="21"/>
      <c r="GJ177" s="21"/>
      <c r="GK177" s="21"/>
      <c r="GL177" s="21"/>
      <c r="GM177" s="21"/>
      <c r="GN177" s="21"/>
      <c r="GO177" s="21"/>
      <c r="GP177" s="21"/>
      <c r="GQ177" s="21"/>
      <c r="GR177" s="21"/>
      <c r="GS177" s="21"/>
      <c r="GT177" s="21"/>
      <c r="GU177" s="21"/>
      <c r="GV177" s="21"/>
      <c r="GW177" s="21"/>
      <c r="GX177" s="21"/>
      <c r="GY177" s="21"/>
      <c r="GZ177" s="21"/>
      <c r="HA177" s="21"/>
      <c r="HB177" s="21"/>
    </row>
    <row r="178" spans="1:210" hidden="1" x14ac:dyDescent="0.25">
      <c r="A178" s="118">
        <f t="shared" si="30"/>
        <v>-48</v>
      </c>
      <c r="B178" s="179"/>
      <c r="C178" s="188" t="str">
        <f t="shared" si="25"/>
        <v>RTH at -48 °C</v>
      </c>
      <c r="D178" s="219">
        <f t="shared" si="31"/>
        <v>4.163333333333334</v>
      </c>
      <c r="E178" s="232">
        <v>9.9999999999999997E+98</v>
      </c>
      <c r="F178" s="233">
        <v>9.9999999999999997E+98</v>
      </c>
      <c r="G178" s="234">
        <v>9.9999999999999997E+98</v>
      </c>
      <c r="H178" s="138" t="s">
        <v>30</v>
      </c>
      <c r="I178" s="31"/>
      <c r="J178" s="31">
        <v>306.60000000000002</v>
      </c>
      <c r="K178" s="31">
        <v>293.5</v>
      </c>
      <c r="L178" s="31">
        <v>280.89999999999998</v>
      </c>
      <c r="M178" s="31"/>
      <c r="N178" s="31"/>
      <c r="O178" s="31"/>
      <c r="P178" s="31"/>
      <c r="Q178" s="31"/>
      <c r="R178" s="31"/>
      <c r="S178" s="31"/>
      <c r="T178" s="31"/>
      <c r="U178" s="31"/>
      <c r="V178" s="31"/>
      <c r="W178" s="31"/>
      <c r="X178" s="31"/>
      <c r="Y178" s="32"/>
      <c r="Z178" s="20"/>
      <c r="AA178" s="21"/>
      <c r="AB178" s="21"/>
      <c r="AC178" s="195">
        <f t="shared" si="26"/>
        <v>-48</v>
      </c>
      <c r="AD178" s="195">
        <f t="shared" si="27"/>
        <v>9.9999999999999997E+98</v>
      </c>
      <c r="AE178" s="195">
        <f t="shared" si="28"/>
        <v>9.9999999999999997E+98</v>
      </c>
      <c r="AF178" s="195">
        <f t="shared" si="29"/>
        <v>9.9999999999999997E+98</v>
      </c>
      <c r="AG178" s="195">
        <f>Table9[[#This Row],[RTH(min) (kΩ)]]*RT2_TH_MIN/(RT2_TH_MIN+Table9[[#This Row],[RTH(min) (kΩ)]])</f>
        <v>30.474773623767586</v>
      </c>
      <c r="AH178" s="195">
        <f>Table9[[#This Row],[RTH(nom) (kΩ)]]*RT2_TH_S/(RT2_TH_S+Table9[[#This Row],[RTH(nom) (kΩ)]])</f>
        <v>30.505278902670256</v>
      </c>
      <c r="AI178" s="195">
        <f>Table9[[#This Row],[RTH(max) (kΩ)]]*RT2_TH_S_MAX/(RT2_TH_S_MAX+Table9[[#This Row],[RTH(max) (kΩ)]])</f>
        <v>30.535784181572922</v>
      </c>
      <c r="AJ178" s="195">
        <f>Table9[[#This Row],[RLower(min) (kΩ)]]/(Table9[[#This Row],[RLower(min) (kΩ)]]+RT1_TH_S_MAX)*100</f>
        <v>85.332443462432792</v>
      </c>
      <c r="AK178" s="195">
        <f>Table9[[#This Row],[RLower(nom) (kΩ)]]/(Table9[[#This Row],[RLower(nom) (kΩ)]]+RT1_TH_S)*100</f>
        <v>85.357458154608338</v>
      </c>
      <c r="AL178" s="195">
        <f>Table9[[#This Row],[RLower(max) (kΩ)]]/(Table9[[#This Row],[RLower(max) (kΩ)]]+RT1_TH_S_MIN)*100</f>
        <v>85.382437493546604</v>
      </c>
      <c r="AM178" s="195">
        <f>IF(Table9[[#This Row],[Vmin (%)]]&lt;$BA$14, 0, IF(Table9[[#This Row],[Vmin (%)]]&lt;$BA$12, 4, IF(Table9[[#This Row],[Vmin (%)]]&lt;$BA$9, 3, IF(Table9[[#This Row],[Vmin (%)]]&lt;$BA$7, 2, 0))))</f>
        <v>0</v>
      </c>
      <c r="AN178" s="195">
        <f>IF(Table9[[#This Row],[Vmin (%)]]&lt;$BA$13, 0, IF(Table9[[#This Row],[Vmin (%)]]&lt;$BA$11, 4, IF(Table9[[#This Row],[Vmin (%)]]&lt;$BA$10, 3, IF(Table9[[#This Row],[Vmin (%)]]&lt;$BA$8, 2, 0))))</f>
        <v>0</v>
      </c>
      <c r="AO178" s="197" t="str">
        <f>IF(Table9[[#This Row],[Vmin (%)]]&lt;$BA$14, "Hot", IF(Table9[[#This Row],[Vmin (%)]]&lt;$BA$12, "Warm", IF(Table9[[#This Row],[Vmin (%)]]&lt;$BA$9, "Normal", IF(Table9[[#This Row],[Vmin (%)]]&lt;$BA$7, "Cool", "Cold"))))</f>
        <v>Cold</v>
      </c>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c r="FH178" s="21"/>
      <c r="FI178" s="21"/>
      <c r="FJ178" s="21"/>
      <c r="FK178" s="21"/>
      <c r="FL178" s="21"/>
      <c r="FM178" s="21"/>
      <c r="FN178" s="21"/>
      <c r="FO178" s="21"/>
      <c r="FP178" s="21"/>
      <c r="FQ178" s="21"/>
      <c r="FR178" s="21"/>
      <c r="FS178" s="21"/>
      <c r="FT178" s="21"/>
      <c r="FU178" s="21"/>
      <c r="FV178" s="21"/>
      <c r="FW178" s="21"/>
      <c r="FX178" s="21"/>
      <c r="FY178" s="21"/>
      <c r="FZ178" s="21"/>
      <c r="GA178" s="21"/>
      <c r="GB178" s="21"/>
      <c r="GC178" s="21"/>
      <c r="GD178" s="21"/>
      <c r="GE178" s="21"/>
      <c r="GF178" s="21"/>
      <c r="GG178" s="21"/>
      <c r="GH178" s="21"/>
      <c r="GI178" s="21"/>
      <c r="GJ178" s="21"/>
      <c r="GK178" s="21"/>
      <c r="GL178" s="21"/>
      <c r="GM178" s="21"/>
      <c r="GN178" s="21"/>
      <c r="GO178" s="21"/>
      <c r="GP178" s="21"/>
      <c r="GQ178" s="21"/>
      <c r="GR178" s="21"/>
      <c r="GS178" s="21"/>
      <c r="GT178" s="21"/>
      <c r="GU178" s="21"/>
      <c r="GV178" s="21"/>
      <c r="GW178" s="21"/>
      <c r="GX178" s="21"/>
      <c r="GY178" s="21"/>
      <c r="GZ178" s="21"/>
      <c r="HA178" s="21"/>
      <c r="HB178" s="21"/>
    </row>
    <row r="179" spans="1:210" hidden="1" x14ac:dyDescent="0.25">
      <c r="A179" s="118">
        <f t="shared" si="30"/>
        <v>-49</v>
      </c>
      <c r="B179" s="179"/>
      <c r="C179" s="188" t="str">
        <f t="shared" si="25"/>
        <v>RTH at -49 °C</v>
      </c>
      <c r="D179" s="219">
        <f t="shared" si="31"/>
        <v>4.206666666666667</v>
      </c>
      <c r="E179" s="232">
        <v>9.9999999999999997E+98</v>
      </c>
      <c r="F179" s="233">
        <v>9.9999999999999997E+98</v>
      </c>
      <c r="G179" s="234">
        <v>9.9999999999999997E+98</v>
      </c>
      <c r="H179" s="138" t="s">
        <v>30</v>
      </c>
      <c r="I179" s="31"/>
      <c r="J179" s="31">
        <v>325</v>
      </c>
      <c r="K179" s="31">
        <v>310.89999999999998</v>
      </c>
      <c r="L179" s="31">
        <v>297.3</v>
      </c>
      <c r="M179" s="31"/>
      <c r="N179" s="31"/>
      <c r="O179" s="31"/>
      <c r="P179" s="31"/>
      <c r="Q179" s="31"/>
      <c r="R179" s="31"/>
      <c r="S179" s="31"/>
      <c r="T179" s="31"/>
      <c r="U179" s="31"/>
      <c r="V179" s="31"/>
      <c r="W179" s="31"/>
      <c r="X179" s="31"/>
      <c r="Y179" s="32"/>
      <c r="Z179" s="20"/>
      <c r="AA179" s="21"/>
      <c r="AB179" s="21"/>
      <c r="AC179" s="195">
        <f t="shared" si="26"/>
        <v>-49</v>
      </c>
      <c r="AD179" s="195">
        <f t="shared" si="27"/>
        <v>9.9999999999999997E+98</v>
      </c>
      <c r="AE179" s="195">
        <f t="shared" si="28"/>
        <v>9.9999999999999997E+98</v>
      </c>
      <c r="AF179" s="195">
        <f t="shared" si="29"/>
        <v>9.9999999999999997E+98</v>
      </c>
      <c r="AG179" s="195">
        <f>Table9[[#This Row],[RTH(min) (kΩ)]]*RT2_TH_MIN/(RT2_TH_MIN+Table9[[#This Row],[RTH(min) (kΩ)]])</f>
        <v>30.474773623767586</v>
      </c>
      <c r="AH179" s="195">
        <f>Table9[[#This Row],[RTH(nom) (kΩ)]]*RT2_TH_S/(RT2_TH_S+Table9[[#This Row],[RTH(nom) (kΩ)]])</f>
        <v>30.505278902670256</v>
      </c>
      <c r="AI179" s="195">
        <f>Table9[[#This Row],[RTH(max) (kΩ)]]*RT2_TH_S_MAX/(RT2_TH_S_MAX+Table9[[#This Row],[RTH(max) (kΩ)]])</f>
        <v>30.535784181572922</v>
      </c>
      <c r="AJ179" s="195">
        <f>Table9[[#This Row],[RLower(min) (kΩ)]]/(Table9[[#This Row],[RLower(min) (kΩ)]]+RT1_TH_S_MAX)*100</f>
        <v>85.332443462432792</v>
      </c>
      <c r="AK179" s="195">
        <f>Table9[[#This Row],[RLower(nom) (kΩ)]]/(Table9[[#This Row],[RLower(nom) (kΩ)]]+RT1_TH_S)*100</f>
        <v>85.357458154608338</v>
      </c>
      <c r="AL179" s="195">
        <f>Table9[[#This Row],[RLower(max) (kΩ)]]/(Table9[[#This Row],[RLower(max) (kΩ)]]+RT1_TH_S_MIN)*100</f>
        <v>85.382437493546604</v>
      </c>
      <c r="AM179" s="195">
        <f>IF(Table9[[#This Row],[Vmin (%)]]&lt;$BA$14, 0, IF(Table9[[#This Row],[Vmin (%)]]&lt;$BA$12, 4, IF(Table9[[#This Row],[Vmin (%)]]&lt;$BA$9, 3, IF(Table9[[#This Row],[Vmin (%)]]&lt;$BA$7, 2, 0))))</f>
        <v>0</v>
      </c>
      <c r="AN179" s="195">
        <f>IF(Table9[[#This Row],[Vmin (%)]]&lt;$BA$13, 0, IF(Table9[[#This Row],[Vmin (%)]]&lt;$BA$11, 4, IF(Table9[[#This Row],[Vmin (%)]]&lt;$BA$10, 3, IF(Table9[[#This Row],[Vmin (%)]]&lt;$BA$8, 2, 0))))</f>
        <v>0</v>
      </c>
      <c r="AO179" s="197" t="str">
        <f>IF(Table9[[#This Row],[Vmin (%)]]&lt;$BA$14, "Hot", IF(Table9[[#This Row],[Vmin (%)]]&lt;$BA$12, "Warm", IF(Table9[[#This Row],[Vmin (%)]]&lt;$BA$9, "Normal", IF(Table9[[#This Row],[Vmin (%)]]&lt;$BA$7, "Cool", "Cold"))))</f>
        <v>Cold</v>
      </c>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c r="FH179" s="21"/>
      <c r="FI179" s="21"/>
      <c r="FJ179" s="21"/>
      <c r="FK179" s="21"/>
      <c r="FL179" s="21"/>
      <c r="FM179" s="21"/>
      <c r="FN179" s="21"/>
      <c r="FO179" s="21"/>
      <c r="FP179" s="21"/>
      <c r="FQ179" s="21"/>
      <c r="FR179" s="21"/>
      <c r="FS179" s="21"/>
      <c r="FT179" s="21"/>
      <c r="FU179" s="21"/>
      <c r="FV179" s="21"/>
      <c r="FW179" s="21"/>
      <c r="FX179" s="21"/>
      <c r="FY179" s="21"/>
      <c r="FZ179" s="21"/>
      <c r="GA179" s="21"/>
      <c r="GB179" s="21"/>
      <c r="GC179" s="21"/>
      <c r="GD179" s="21"/>
      <c r="GE179" s="21"/>
      <c r="GF179" s="21"/>
      <c r="GG179" s="21"/>
      <c r="GH179" s="21"/>
      <c r="GI179" s="21"/>
      <c r="GJ179" s="21"/>
      <c r="GK179" s="21"/>
      <c r="GL179" s="21"/>
      <c r="GM179" s="21"/>
      <c r="GN179" s="21"/>
      <c r="GO179" s="21"/>
      <c r="GP179" s="21"/>
      <c r="GQ179" s="21"/>
      <c r="GR179" s="21"/>
      <c r="GS179" s="21"/>
      <c r="GT179" s="21"/>
      <c r="GU179" s="21"/>
      <c r="GV179" s="21"/>
      <c r="GW179" s="21"/>
      <c r="GX179" s="21"/>
      <c r="GY179" s="21"/>
      <c r="GZ179" s="21"/>
      <c r="HA179" s="21"/>
      <c r="HB179" s="21"/>
    </row>
    <row r="180" spans="1:210" ht="15.75" hidden="1" thickBot="1" x14ac:dyDescent="0.3">
      <c r="A180" s="189">
        <f t="shared" si="30"/>
        <v>-50</v>
      </c>
      <c r="B180" s="178"/>
      <c r="C180" s="190" t="str">
        <f t="shared" si="25"/>
        <v>RTH at -50 °C</v>
      </c>
      <c r="D180" s="223">
        <v>4.25</v>
      </c>
      <c r="E180" s="229">
        <v>9.9999999999999997E+98</v>
      </c>
      <c r="F180" s="230">
        <v>9.9999999999999997E+98</v>
      </c>
      <c r="G180" s="231">
        <v>9.9999999999999997E+98</v>
      </c>
      <c r="H180" s="144" t="s">
        <v>30</v>
      </c>
      <c r="I180" s="31"/>
      <c r="J180" s="31">
        <v>344.6</v>
      </c>
      <c r="K180" s="31">
        <v>329.5</v>
      </c>
      <c r="L180" s="31">
        <v>314.89999999999998</v>
      </c>
      <c r="M180" s="31"/>
      <c r="N180" s="31"/>
      <c r="O180" s="31"/>
      <c r="P180" s="31"/>
      <c r="Q180" s="31"/>
      <c r="R180" s="31"/>
      <c r="S180" s="31"/>
      <c r="T180" s="31"/>
      <c r="U180" s="31"/>
      <c r="V180" s="31"/>
      <c r="W180" s="31"/>
      <c r="X180" s="31"/>
      <c r="Y180" s="32"/>
      <c r="Z180" s="20"/>
      <c r="AA180" s="21"/>
      <c r="AB180" s="21"/>
      <c r="AC180" s="195">
        <f t="shared" si="26"/>
        <v>-50</v>
      </c>
      <c r="AD180" s="195">
        <f t="shared" si="27"/>
        <v>9.9999999999999997E+98</v>
      </c>
      <c r="AE180" s="195">
        <f t="shared" si="28"/>
        <v>9.9999999999999997E+98</v>
      </c>
      <c r="AF180" s="195">
        <f t="shared" si="29"/>
        <v>9.9999999999999997E+98</v>
      </c>
      <c r="AG180" s="195">
        <f>Table9[[#This Row],[RTH(min) (kΩ)]]*RT2_TH_MIN/(RT2_TH_MIN+Table9[[#This Row],[RTH(min) (kΩ)]])</f>
        <v>30.474773623767586</v>
      </c>
      <c r="AH180" s="195">
        <f>Table9[[#This Row],[RTH(nom) (kΩ)]]*RT2_TH_S/(RT2_TH_S+Table9[[#This Row],[RTH(nom) (kΩ)]])</f>
        <v>30.505278902670256</v>
      </c>
      <c r="AI180" s="195">
        <f>Table9[[#This Row],[RTH(max) (kΩ)]]*RT2_TH_S_MAX/(RT2_TH_S_MAX+Table9[[#This Row],[RTH(max) (kΩ)]])</f>
        <v>30.535784181572922</v>
      </c>
      <c r="AJ180" s="195">
        <f>Table9[[#This Row],[RLower(min) (kΩ)]]/(Table9[[#This Row],[RLower(min) (kΩ)]]+RT1_TH_S_MAX)*100</f>
        <v>85.332443462432792</v>
      </c>
      <c r="AK180" s="195">
        <f>Table9[[#This Row],[RLower(nom) (kΩ)]]/(Table9[[#This Row],[RLower(nom) (kΩ)]]+RT1_TH_S)*100</f>
        <v>85.357458154608338</v>
      </c>
      <c r="AL180" s="195">
        <f>Table9[[#This Row],[RLower(max) (kΩ)]]/(Table9[[#This Row],[RLower(max) (kΩ)]]+RT1_TH_S_MIN)*100</f>
        <v>85.382437493546604</v>
      </c>
      <c r="AM180" s="195">
        <f>IF(Table9[[#This Row],[Vmin (%)]]&lt;$BA$14, 0, IF(Table9[[#This Row],[Vmin (%)]]&lt;$BA$12, 4, IF(Table9[[#This Row],[Vmin (%)]]&lt;$BA$9, 3, IF(Table9[[#This Row],[Vmin (%)]]&lt;$BA$7, 2, 0))))</f>
        <v>0</v>
      </c>
      <c r="AN180" s="195">
        <f>IF(Table9[[#This Row],[Vmin (%)]]&lt;$BA$13, 0, IF(Table9[[#This Row],[Vmin (%)]]&lt;$BA$11, 4, IF(Table9[[#This Row],[Vmin (%)]]&lt;$BA$10, 3, IF(Table9[[#This Row],[Vmin (%)]]&lt;$BA$8, 2, 0))))</f>
        <v>0</v>
      </c>
      <c r="AO180" s="197" t="str">
        <f>IF(Table9[[#This Row],[Vmin (%)]]&lt;$BA$14, "Hot", IF(Table9[[#This Row],[Vmin (%)]]&lt;$BA$12, "Warm", IF(Table9[[#This Row],[Vmin (%)]]&lt;$BA$9, "Normal", IF(Table9[[#This Row],[Vmin (%)]]&lt;$BA$7, "Cool", "Cold"))))</f>
        <v>Cold</v>
      </c>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c r="FH180" s="21"/>
      <c r="FI180" s="21"/>
      <c r="FJ180" s="21"/>
      <c r="FK180" s="21"/>
      <c r="FL180" s="21"/>
      <c r="FM180" s="21"/>
      <c r="FN180" s="21"/>
      <c r="FO180" s="21"/>
      <c r="FP180" s="21"/>
      <c r="FQ180" s="21"/>
      <c r="FR180" s="21"/>
      <c r="FS180" s="21"/>
      <c r="FT180" s="21"/>
      <c r="FU180" s="21"/>
      <c r="FV180" s="21"/>
      <c r="FW180" s="21"/>
      <c r="FX180" s="21"/>
      <c r="FY180" s="21"/>
      <c r="FZ180" s="21"/>
      <c r="GA180" s="21"/>
      <c r="GB180" s="21"/>
      <c r="GC180" s="21"/>
      <c r="GD180" s="21"/>
      <c r="GE180" s="21"/>
      <c r="GF180" s="21"/>
      <c r="GG180" s="21"/>
      <c r="GH180" s="21"/>
      <c r="GI180" s="21"/>
      <c r="GJ180" s="21"/>
      <c r="GK180" s="21"/>
      <c r="GL180" s="21"/>
      <c r="GM180" s="21"/>
      <c r="GN180" s="21"/>
      <c r="GO180" s="21"/>
      <c r="GP180" s="21"/>
      <c r="GQ180" s="21"/>
      <c r="GR180" s="21"/>
      <c r="GS180" s="21"/>
      <c r="GT180" s="21"/>
      <c r="GU180" s="21"/>
      <c r="GV180" s="21"/>
      <c r="GW180" s="21"/>
      <c r="GX180" s="21"/>
      <c r="GY180" s="21"/>
      <c r="GZ180" s="21"/>
      <c r="HA180" s="21"/>
      <c r="HB180" s="21"/>
    </row>
    <row r="181" spans="1:210" x14ac:dyDescent="0.25">
      <c r="A181" s="117"/>
      <c r="B181" s="176"/>
      <c r="C181" s="176"/>
      <c r="D181" s="176"/>
      <c r="E181" s="176"/>
      <c r="F181" s="176"/>
      <c r="G181" s="27"/>
      <c r="H181" s="27"/>
      <c r="I181" s="31"/>
      <c r="J181" s="31"/>
      <c r="K181" s="31"/>
      <c r="L181" s="31"/>
      <c r="M181" s="31"/>
      <c r="N181" s="31"/>
      <c r="O181" s="31"/>
      <c r="P181" s="31"/>
      <c r="Q181" s="31"/>
      <c r="R181" s="31"/>
      <c r="S181" s="31"/>
      <c r="T181" s="31"/>
      <c r="U181" s="31"/>
      <c r="V181" s="31"/>
      <c r="W181" s="31"/>
      <c r="X181" s="31"/>
      <c r="Y181" s="32"/>
      <c r="Z181" s="20"/>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c r="FH181" s="21"/>
      <c r="FI181" s="21"/>
      <c r="FJ181" s="21"/>
      <c r="FK181" s="21"/>
      <c r="FL181" s="21"/>
      <c r="FM181" s="21"/>
      <c r="FN181" s="21"/>
      <c r="FO181" s="21"/>
      <c r="FP181" s="21"/>
      <c r="FQ181" s="21"/>
      <c r="FR181" s="21"/>
      <c r="FS181" s="21"/>
      <c r="FT181" s="21"/>
      <c r="FU181" s="21"/>
      <c r="FV181" s="21"/>
      <c r="FW181" s="21"/>
      <c r="FX181" s="21"/>
      <c r="FY181" s="21"/>
      <c r="FZ181" s="21"/>
      <c r="GA181" s="21"/>
      <c r="GB181" s="21"/>
      <c r="GC181" s="21"/>
      <c r="GD181" s="21"/>
      <c r="GE181" s="21"/>
      <c r="GF181" s="21"/>
      <c r="GG181" s="21"/>
      <c r="GH181" s="21"/>
      <c r="GI181" s="21"/>
      <c r="GJ181" s="21"/>
      <c r="GK181" s="21"/>
      <c r="GL181" s="21"/>
      <c r="GM181" s="21"/>
      <c r="GN181" s="21"/>
      <c r="GO181" s="21"/>
      <c r="GP181" s="21"/>
      <c r="GQ181" s="21"/>
      <c r="GR181" s="21"/>
      <c r="GS181" s="21"/>
      <c r="GT181" s="21"/>
      <c r="GU181" s="21"/>
      <c r="GV181" s="21"/>
      <c r="GW181" s="21"/>
      <c r="GX181" s="21"/>
      <c r="GY181" s="21"/>
      <c r="GZ181" s="21"/>
      <c r="HA181" s="21"/>
      <c r="HB181" s="21"/>
    </row>
    <row r="182" spans="1:210" ht="15.75" thickBot="1" x14ac:dyDescent="0.3">
      <c r="A182" s="189"/>
      <c r="B182" s="178"/>
      <c r="C182" s="178"/>
      <c r="D182" s="178"/>
      <c r="E182" s="178"/>
      <c r="F182" s="178"/>
      <c r="G182" s="119"/>
      <c r="H182" s="119"/>
      <c r="I182" s="119"/>
      <c r="J182" s="119"/>
      <c r="K182" s="119"/>
      <c r="L182" s="119"/>
      <c r="M182" s="119"/>
      <c r="N182" s="119"/>
      <c r="O182" s="119"/>
      <c r="P182" s="119"/>
      <c r="Q182" s="119"/>
      <c r="R182" s="119"/>
      <c r="S182" s="119"/>
      <c r="T182" s="119"/>
      <c r="U182" s="119"/>
      <c r="V182" s="119"/>
      <c r="W182" s="119"/>
      <c r="X182" s="119"/>
      <c r="Y182" s="120"/>
      <c r="Z182" s="20"/>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c r="FH182" s="21"/>
      <c r="FI182" s="21"/>
      <c r="FJ182" s="21"/>
      <c r="FK182" s="21"/>
      <c r="FL182" s="21"/>
      <c r="FM182" s="21"/>
      <c r="FN182" s="21"/>
      <c r="FO182" s="21"/>
      <c r="FP182" s="21"/>
      <c r="FQ182" s="21"/>
      <c r="FR182" s="21"/>
      <c r="FS182" s="21"/>
      <c r="FT182" s="21"/>
      <c r="FU182" s="21"/>
      <c r="FV182" s="21"/>
      <c r="FW182" s="21"/>
      <c r="FX182" s="21"/>
      <c r="FY182" s="21"/>
      <c r="FZ182" s="21"/>
      <c r="GA182" s="21"/>
      <c r="GB182" s="21"/>
      <c r="GC182" s="21"/>
      <c r="GD182" s="21"/>
      <c r="GE182" s="21"/>
      <c r="GF182" s="21"/>
      <c r="GG182" s="21"/>
      <c r="GH182" s="21"/>
      <c r="GI182" s="21"/>
      <c r="GJ182" s="21"/>
      <c r="GK182" s="21"/>
      <c r="GL182" s="21"/>
      <c r="GM182" s="21"/>
      <c r="GN182" s="21"/>
      <c r="GO182" s="21"/>
      <c r="GP182" s="21"/>
      <c r="GQ182" s="21"/>
      <c r="GR182" s="21"/>
      <c r="GS182" s="21"/>
      <c r="GT182" s="21"/>
      <c r="GU182" s="21"/>
      <c r="GV182" s="21"/>
      <c r="GW182" s="21"/>
      <c r="GX182" s="21"/>
      <c r="GY182" s="21"/>
      <c r="GZ182" s="21"/>
      <c r="HA182" s="21"/>
      <c r="HB182" s="21"/>
    </row>
    <row r="183" spans="1:210"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c r="FH183" s="21"/>
      <c r="FI183" s="21"/>
      <c r="FJ183" s="21"/>
      <c r="FK183" s="21"/>
      <c r="FL183" s="21"/>
      <c r="FM183" s="21"/>
      <c r="FN183" s="21"/>
      <c r="FO183" s="21"/>
      <c r="FP183" s="21"/>
      <c r="FQ183" s="21"/>
      <c r="FR183" s="21"/>
      <c r="FS183" s="21"/>
      <c r="FT183" s="21"/>
      <c r="FU183" s="21"/>
      <c r="FV183" s="21"/>
      <c r="FW183" s="21"/>
      <c r="FX183" s="21"/>
      <c r="FY183" s="21"/>
      <c r="FZ183" s="21"/>
      <c r="GA183" s="21"/>
      <c r="GB183" s="21"/>
      <c r="GC183" s="21"/>
      <c r="GD183" s="21"/>
      <c r="GE183" s="21"/>
      <c r="GF183" s="21"/>
      <c r="GG183" s="21"/>
      <c r="GH183" s="21"/>
      <c r="GI183" s="21"/>
      <c r="GJ183" s="21"/>
      <c r="GK183" s="21"/>
      <c r="GL183" s="21"/>
      <c r="GM183" s="21"/>
      <c r="GN183" s="21"/>
      <c r="GO183" s="21"/>
      <c r="GP183" s="21"/>
      <c r="GQ183" s="21"/>
      <c r="GR183" s="21"/>
      <c r="GS183" s="21"/>
      <c r="GT183" s="21"/>
      <c r="GU183" s="21"/>
      <c r="GV183" s="21"/>
      <c r="GW183" s="21"/>
      <c r="GX183" s="21"/>
      <c r="GY183" s="21"/>
      <c r="GZ183" s="21"/>
      <c r="HA183" s="21"/>
      <c r="HB183" s="21"/>
    </row>
    <row r="184" spans="1:210"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c r="FH184" s="21"/>
      <c r="FI184" s="21"/>
      <c r="FJ184" s="21"/>
      <c r="FK184" s="21"/>
      <c r="FL184" s="21"/>
      <c r="FM184" s="21"/>
      <c r="FN184" s="21"/>
      <c r="FO184" s="21"/>
      <c r="FP184" s="21"/>
      <c r="FQ184" s="21"/>
      <c r="FR184" s="21"/>
      <c r="FS184" s="21"/>
      <c r="FT184" s="21"/>
      <c r="FU184" s="21"/>
      <c r="FV184" s="21"/>
      <c r="FW184" s="21"/>
      <c r="FX184" s="21"/>
      <c r="FY184" s="21"/>
      <c r="FZ184" s="21"/>
      <c r="GA184" s="21"/>
      <c r="GB184" s="21"/>
      <c r="GC184" s="21"/>
      <c r="GD184" s="21"/>
      <c r="GE184" s="21"/>
      <c r="GF184" s="21"/>
      <c r="GG184" s="21"/>
      <c r="GH184" s="21"/>
      <c r="GI184" s="21"/>
      <c r="GJ184" s="21"/>
      <c r="GK184" s="21"/>
      <c r="GL184" s="21"/>
      <c r="GM184" s="21"/>
      <c r="GN184" s="21"/>
      <c r="GO184" s="21"/>
      <c r="GP184" s="21"/>
      <c r="GQ184" s="21"/>
      <c r="GR184" s="21"/>
      <c r="GS184" s="21"/>
      <c r="GT184" s="21"/>
      <c r="GU184" s="21"/>
      <c r="GV184" s="21"/>
      <c r="GW184" s="21"/>
      <c r="GX184" s="21"/>
      <c r="GY184" s="21"/>
      <c r="GZ184" s="21"/>
      <c r="HA184" s="21"/>
      <c r="HB184" s="21"/>
    </row>
    <row r="185" spans="1:210"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c r="FH185" s="21"/>
      <c r="FI185" s="21"/>
      <c r="FJ185" s="21"/>
      <c r="FK185" s="21"/>
      <c r="FL185" s="21"/>
      <c r="FM185" s="21"/>
      <c r="FN185" s="21"/>
      <c r="FO185" s="21"/>
      <c r="FP185" s="21"/>
      <c r="FQ185" s="21"/>
      <c r="FR185" s="21"/>
      <c r="FS185" s="21"/>
      <c r="FT185" s="21"/>
      <c r="FU185" s="21"/>
      <c r="FV185" s="21"/>
      <c r="FW185" s="21"/>
      <c r="FX185" s="21"/>
      <c r="FY185" s="21"/>
      <c r="FZ185" s="21"/>
      <c r="GA185" s="21"/>
      <c r="GB185" s="21"/>
      <c r="GC185" s="21"/>
      <c r="GD185" s="21"/>
      <c r="GE185" s="21"/>
      <c r="GF185" s="21"/>
      <c r="GG185" s="21"/>
      <c r="GH185" s="21"/>
      <c r="GI185" s="21"/>
      <c r="GJ185" s="21"/>
      <c r="GK185" s="21"/>
      <c r="GL185" s="21"/>
      <c r="GM185" s="21"/>
      <c r="GN185" s="21"/>
      <c r="GO185" s="21"/>
      <c r="GP185" s="21"/>
      <c r="GQ185" s="21"/>
      <c r="GR185" s="21"/>
      <c r="GS185" s="21"/>
      <c r="GT185" s="21"/>
      <c r="GU185" s="21"/>
      <c r="GV185" s="21"/>
      <c r="GW185" s="21"/>
      <c r="GX185" s="21"/>
      <c r="GY185" s="21"/>
      <c r="GZ185" s="21"/>
      <c r="HA185" s="21"/>
      <c r="HB185" s="21"/>
    </row>
    <row r="186" spans="1:210"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c r="FH186" s="21"/>
      <c r="FI186" s="21"/>
      <c r="FJ186" s="21"/>
      <c r="FK186" s="21"/>
      <c r="FL186" s="21"/>
      <c r="FM186" s="21"/>
      <c r="FN186" s="21"/>
      <c r="FO186" s="21"/>
      <c r="FP186" s="21"/>
      <c r="FQ186" s="21"/>
      <c r="FR186" s="21"/>
      <c r="FS186" s="21"/>
      <c r="FT186" s="21"/>
      <c r="FU186" s="21"/>
      <c r="FV186" s="21"/>
      <c r="FW186" s="21"/>
      <c r="FX186" s="21"/>
      <c r="FY186" s="21"/>
      <c r="FZ186" s="21"/>
      <c r="GA186" s="21"/>
      <c r="GB186" s="21"/>
      <c r="GC186" s="21"/>
      <c r="GD186" s="21"/>
      <c r="GE186" s="21"/>
      <c r="GF186" s="21"/>
      <c r="GG186" s="21"/>
      <c r="GH186" s="21"/>
      <c r="GI186" s="21"/>
      <c r="GJ186" s="21"/>
      <c r="GK186" s="21"/>
      <c r="GL186" s="21"/>
      <c r="GM186" s="21"/>
      <c r="GN186" s="21"/>
      <c r="GO186" s="21"/>
      <c r="GP186" s="21"/>
      <c r="GQ186" s="21"/>
      <c r="GR186" s="21"/>
      <c r="GS186" s="21"/>
      <c r="GT186" s="21"/>
      <c r="GU186" s="21"/>
      <c r="GV186" s="21"/>
      <c r="GW186" s="21"/>
      <c r="GX186" s="21"/>
      <c r="GY186" s="21"/>
      <c r="GZ186" s="21"/>
      <c r="HA186" s="21"/>
      <c r="HB186" s="21"/>
    </row>
    <row r="187" spans="1:210"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c r="FH187" s="21"/>
      <c r="FI187" s="21"/>
      <c r="FJ187" s="21"/>
      <c r="FK187" s="21"/>
      <c r="FL187" s="21"/>
      <c r="FM187" s="21"/>
      <c r="FN187" s="21"/>
      <c r="FO187" s="21"/>
      <c r="FP187" s="21"/>
      <c r="FQ187" s="21"/>
      <c r="FR187" s="21"/>
      <c r="FS187" s="21"/>
      <c r="FT187" s="21"/>
      <c r="FU187" s="21"/>
      <c r="FV187" s="21"/>
      <c r="FW187" s="21"/>
      <c r="FX187" s="21"/>
      <c r="FY187" s="21"/>
      <c r="FZ187" s="21"/>
      <c r="GA187" s="21"/>
      <c r="GB187" s="21"/>
      <c r="GC187" s="21"/>
      <c r="GD187" s="21"/>
      <c r="GE187" s="21"/>
      <c r="GF187" s="21"/>
      <c r="GG187" s="21"/>
      <c r="GH187" s="21"/>
      <c r="GI187" s="21"/>
      <c r="GJ187" s="21"/>
      <c r="GK187" s="21"/>
      <c r="GL187" s="21"/>
      <c r="GM187" s="21"/>
      <c r="GN187" s="21"/>
      <c r="GO187" s="21"/>
      <c r="GP187" s="21"/>
      <c r="GQ187" s="21"/>
      <c r="GR187" s="21"/>
      <c r="GS187" s="21"/>
      <c r="GT187" s="21"/>
      <c r="GU187" s="21"/>
      <c r="GV187" s="21"/>
      <c r="GW187" s="21"/>
      <c r="GX187" s="21"/>
      <c r="GY187" s="21"/>
      <c r="GZ187" s="21"/>
      <c r="HA187" s="21"/>
      <c r="HB187" s="21"/>
    </row>
    <row r="188" spans="1:210"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c r="FH188" s="21"/>
      <c r="FI188" s="21"/>
      <c r="FJ188" s="21"/>
      <c r="FK188" s="21"/>
      <c r="FL188" s="21"/>
      <c r="FM188" s="21"/>
      <c r="FN188" s="21"/>
      <c r="FO188" s="21"/>
      <c r="FP188" s="21"/>
      <c r="FQ188" s="21"/>
      <c r="FR188" s="21"/>
      <c r="FS188" s="21"/>
      <c r="FT188" s="21"/>
      <c r="FU188" s="21"/>
      <c r="FV188" s="21"/>
      <c r="FW188" s="21"/>
      <c r="FX188" s="21"/>
      <c r="FY188" s="21"/>
      <c r="FZ188" s="21"/>
      <c r="GA188" s="21"/>
      <c r="GB188" s="21"/>
      <c r="GC188" s="21"/>
      <c r="GD188" s="21"/>
      <c r="GE188" s="21"/>
      <c r="GF188" s="21"/>
      <c r="GG188" s="21"/>
      <c r="GH188" s="21"/>
      <c r="GI188" s="21"/>
      <c r="GJ188" s="21"/>
      <c r="GK188" s="21"/>
      <c r="GL188" s="21"/>
      <c r="GM188" s="21"/>
      <c r="GN188" s="21"/>
      <c r="GO188" s="21"/>
      <c r="GP188" s="21"/>
      <c r="GQ188" s="21"/>
      <c r="GR188" s="21"/>
      <c r="GS188" s="21"/>
      <c r="GT188" s="21"/>
      <c r="GU188" s="21"/>
      <c r="GV188" s="21"/>
      <c r="GW188" s="21"/>
      <c r="GX188" s="21"/>
      <c r="GY188" s="21"/>
      <c r="GZ188" s="21"/>
      <c r="HA188" s="21"/>
      <c r="HB188" s="21"/>
    </row>
    <row r="189" spans="1:210"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c r="FH189" s="21"/>
      <c r="FI189" s="21"/>
      <c r="FJ189" s="21"/>
      <c r="FK189" s="21"/>
      <c r="FL189" s="21"/>
      <c r="FM189" s="21"/>
      <c r="FN189" s="21"/>
      <c r="FO189" s="21"/>
      <c r="FP189" s="21"/>
      <c r="FQ189" s="21"/>
      <c r="FR189" s="21"/>
      <c r="FS189" s="21"/>
      <c r="FT189" s="21"/>
      <c r="FU189" s="21"/>
      <c r="FV189" s="21"/>
      <c r="FW189" s="21"/>
      <c r="FX189" s="21"/>
      <c r="FY189" s="21"/>
      <c r="FZ189" s="21"/>
      <c r="GA189" s="21"/>
      <c r="GB189" s="21"/>
      <c r="GC189" s="21"/>
      <c r="GD189" s="21"/>
      <c r="GE189" s="21"/>
      <c r="GF189" s="21"/>
      <c r="GG189" s="21"/>
      <c r="GH189" s="21"/>
      <c r="GI189" s="21"/>
      <c r="GJ189" s="21"/>
      <c r="GK189" s="21"/>
      <c r="GL189" s="21"/>
      <c r="GM189" s="21"/>
      <c r="GN189" s="21"/>
      <c r="GO189" s="21"/>
      <c r="GP189" s="21"/>
      <c r="GQ189" s="21"/>
      <c r="GR189" s="21"/>
      <c r="GS189" s="21"/>
      <c r="GT189" s="21"/>
      <c r="GU189" s="21"/>
      <c r="GV189" s="21"/>
      <c r="GW189" s="21"/>
      <c r="GX189" s="21"/>
      <c r="GY189" s="21"/>
      <c r="GZ189" s="21"/>
      <c r="HA189" s="21"/>
      <c r="HB189" s="21"/>
    </row>
    <row r="190" spans="1:210"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c r="FH190" s="21"/>
      <c r="FI190" s="21"/>
      <c r="FJ190" s="21"/>
      <c r="FK190" s="21"/>
      <c r="FL190" s="21"/>
      <c r="FM190" s="21"/>
      <c r="FN190" s="21"/>
      <c r="FO190" s="21"/>
      <c r="FP190" s="21"/>
      <c r="FQ190" s="21"/>
      <c r="FR190" s="21"/>
      <c r="FS190" s="21"/>
      <c r="FT190" s="21"/>
      <c r="FU190" s="21"/>
      <c r="FV190" s="21"/>
      <c r="FW190" s="21"/>
      <c r="FX190" s="21"/>
      <c r="FY190" s="21"/>
      <c r="FZ190" s="21"/>
      <c r="GA190" s="21"/>
      <c r="GB190" s="21"/>
      <c r="GC190" s="21"/>
      <c r="GD190" s="21"/>
      <c r="GE190" s="21"/>
      <c r="GF190" s="21"/>
      <c r="GG190" s="21"/>
      <c r="GH190" s="21"/>
      <c r="GI190" s="21"/>
      <c r="GJ190" s="21"/>
      <c r="GK190" s="21"/>
      <c r="GL190" s="21"/>
      <c r="GM190" s="21"/>
      <c r="GN190" s="21"/>
      <c r="GO190" s="21"/>
      <c r="GP190" s="21"/>
      <c r="GQ190" s="21"/>
      <c r="GR190" s="21"/>
      <c r="GS190" s="21"/>
      <c r="GT190" s="21"/>
      <c r="GU190" s="21"/>
      <c r="GV190" s="21"/>
      <c r="GW190" s="21"/>
      <c r="GX190" s="21"/>
      <c r="GY190" s="21"/>
      <c r="GZ190" s="21"/>
      <c r="HA190" s="21"/>
      <c r="HB190" s="21"/>
    </row>
    <row r="191" spans="1:210"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c r="FH191" s="21"/>
      <c r="FI191" s="21"/>
      <c r="FJ191" s="21"/>
      <c r="FK191" s="21"/>
      <c r="FL191" s="21"/>
      <c r="FM191" s="21"/>
      <c r="FN191" s="21"/>
      <c r="FO191" s="21"/>
      <c r="FP191" s="21"/>
      <c r="FQ191" s="21"/>
      <c r="FR191" s="21"/>
      <c r="FS191" s="21"/>
      <c r="FT191" s="21"/>
      <c r="FU191" s="21"/>
      <c r="FV191" s="21"/>
      <c r="FW191" s="21"/>
      <c r="FX191" s="21"/>
      <c r="FY191" s="21"/>
      <c r="FZ191" s="21"/>
      <c r="GA191" s="21"/>
      <c r="GB191" s="21"/>
      <c r="GC191" s="21"/>
      <c r="GD191" s="21"/>
      <c r="GE191" s="21"/>
      <c r="GF191" s="21"/>
      <c r="GG191" s="21"/>
      <c r="GH191" s="21"/>
      <c r="GI191" s="21"/>
      <c r="GJ191" s="21"/>
      <c r="GK191" s="21"/>
      <c r="GL191" s="21"/>
      <c r="GM191" s="21"/>
      <c r="GN191" s="21"/>
      <c r="GO191" s="21"/>
      <c r="GP191" s="21"/>
      <c r="GQ191" s="21"/>
      <c r="GR191" s="21"/>
      <c r="GS191" s="21"/>
      <c r="GT191" s="21"/>
      <c r="GU191" s="21"/>
      <c r="GV191" s="21"/>
      <c r="GW191" s="21"/>
      <c r="GX191" s="21"/>
      <c r="GY191" s="21"/>
      <c r="GZ191" s="21"/>
      <c r="HA191" s="21"/>
      <c r="HB191" s="21"/>
    </row>
    <row r="192" spans="1:210"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c r="FH192" s="21"/>
      <c r="FI192" s="21"/>
      <c r="FJ192" s="21"/>
      <c r="FK192" s="21"/>
      <c r="FL192" s="21"/>
      <c r="FM192" s="21"/>
      <c r="FN192" s="21"/>
      <c r="FO192" s="21"/>
      <c r="FP192" s="21"/>
      <c r="FQ192" s="21"/>
      <c r="FR192" s="21"/>
      <c r="FS192" s="21"/>
      <c r="FT192" s="21"/>
      <c r="FU192" s="21"/>
      <c r="FV192" s="21"/>
      <c r="FW192" s="21"/>
      <c r="FX192" s="21"/>
      <c r="FY192" s="21"/>
      <c r="FZ192" s="21"/>
      <c r="GA192" s="21"/>
      <c r="GB192" s="21"/>
      <c r="GC192" s="21"/>
      <c r="GD192" s="21"/>
      <c r="GE192" s="21"/>
      <c r="GF192" s="21"/>
      <c r="GG192" s="21"/>
      <c r="GH192" s="21"/>
      <c r="GI192" s="21"/>
      <c r="GJ192" s="21"/>
      <c r="GK192" s="21"/>
      <c r="GL192" s="21"/>
      <c r="GM192" s="21"/>
      <c r="GN192" s="21"/>
      <c r="GO192" s="21"/>
      <c r="GP192" s="21"/>
      <c r="GQ192" s="21"/>
      <c r="GR192" s="21"/>
      <c r="GS192" s="21"/>
      <c r="GT192" s="21"/>
      <c r="GU192" s="21"/>
      <c r="GV192" s="21"/>
      <c r="GW192" s="21"/>
      <c r="GX192" s="21"/>
      <c r="GY192" s="21"/>
      <c r="GZ192" s="21"/>
      <c r="HA192" s="21"/>
      <c r="HB192" s="21"/>
    </row>
    <row r="193" spans="1:210"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c r="FH193" s="21"/>
      <c r="FI193" s="21"/>
      <c r="FJ193" s="21"/>
      <c r="FK193" s="21"/>
      <c r="FL193" s="21"/>
      <c r="FM193" s="21"/>
      <c r="FN193" s="21"/>
      <c r="FO193" s="21"/>
      <c r="FP193" s="21"/>
      <c r="FQ193" s="21"/>
      <c r="FR193" s="21"/>
      <c r="FS193" s="21"/>
      <c r="FT193" s="21"/>
      <c r="FU193" s="21"/>
      <c r="FV193" s="21"/>
      <c r="FW193" s="21"/>
      <c r="FX193" s="21"/>
      <c r="FY193" s="21"/>
      <c r="FZ193" s="21"/>
      <c r="GA193" s="21"/>
      <c r="GB193" s="21"/>
      <c r="GC193" s="21"/>
      <c r="GD193" s="21"/>
      <c r="GE193" s="21"/>
      <c r="GF193" s="21"/>
      <c r="GG193" s="21"/>
      <c r="GH193" s="21"/>
      <c r="GI193" s="21"/>
      <c r="GJ193" s="21"/>
      <c r="GK193" s="21"/>
      <c r="GL193" s="21"/>
      <c r="GM193" s="21"/>
      <c r="GN193" s="21"/>
      <c r="GO193" s="21"/>
      <c r="GP193" s="21"/>
      <c r="GQ193" s="21"/>
      <c r="GR193" s="21"/>
      <c r="GS193" s="21"/>
      <c r="GT193" s="21"/>
      <c r="GU193" s="21"/>
      <c r="GV193" s="21"/>
      <c r="GW193" s="21"/>
      <c r="GX193" s="21"/>
      <c r="GY193" s="21"/>
      <c r="GZ193" s="21"/>
      <c r="HA193" s="21"/>
      <c r="HB193" s="21"/>
    </row>
    <row r="194" spans="1:210"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c r="FH194" s="21"/>
      <c r="FI194" s="21"/>
      <c r="FJ194" s="21"/>
      <c r="FK194" s="21"/>
      <c r="FL194" s="21"/>
      <c r="FM194" s="21"/>
      <c r="FN194" s="21"/>
      <c r="FO194" s="21"/>
      <c r="FP194" s="21"/>
      <c r="FQ194" s="21"/>
      <c r="FR194" s="21"/>
      <c r="FS194" s="21"/>
      <c r="FT194" s="21"/>
      <c r="FU194" s="21"/>
      <c r="FV194" s="21"/>
      <c r="FW194" s="21"/>
      <c r="FX194" s="21"/>
      <c r="FY194" s="21"/>
      <c r="FZ194" s="21"/>
      <c r="GA194" s="21"/>
      <c r="GB194" s="21"/>
      <c r="GC194" s="21"/>
      <c r="GD194" s="21"/>
      <c r="GE194" s="21"/>
      <c r="GF194" s="21"/>
      <c r="GG194" s="21"/>
      <c r="GH194" s="21"/>
      <c r="GI194" s="21"/>
      <c r="GJ194" s="21"/>
      <c r="GK194" s="21"/>
      <c r="GL194" s="21"/>
      <c r="GM194" s="21"/>
      <c r="GN194" s="21"/>
      <c r="GO194" s="21"/>
      <c r="GP194" s="21"/>
      <c r="GQ194" s="21"/>
      <c r="GR194" s="21"/>
      <c r="GS194" s="21"/>
      <c r="GT194" s="21"/>
      <c r="GU194" s="21"/>
      <c r="GV194" s="21"/>
      <c r="GW194" s="21"/>
      <c r="GX194" s="21"/>
      <c r="GY194" s="21"/>
      <c r="GZ194" s="21"/>
      <c r="HA194" s="21"/>
      <c r="HB194" s="21"/>
    </row>
    <row r="195" spans="1:210"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c r="FH195" s="21"/>
      <c r="FI195" s="21"/>
      <c r="FJ195" s="21"/>
      <c r="FK195" s="21"/>
      <c r="FL195" s="21"/>
      <c r="FM195" s="21"/>
      <c r="FN195" s="21"/>
      <c r="FO195" s="21"/>
      <c r="FP195" s="21"/>
      <c r="FQ195" s="21"/>
      <c r="FR195" s="21"/>
      <c r="FS195" s="21"/>
      <c r="FT195" s="21"/>
      <c r="FU195" s="21"/>
      <c r="FV195" s="21"/>
      <c r="FW195" s="21"/>
      <c r="FX195" s="21"/>
      <c r="FY195" s="21"/>
      <c r="FZ195" s="21"/>
      <c r="GA195" s="21"/>
      <c r="GB195" s="21"/>
      <c r="GC195" s="21"/>
      <c r="GD195" s="21"/>
      <c r="GE195" s="21"/>
      <c r="GF195" s="21"/>
      <c r="GG195" s="21"/>
      <c r="GH195" s="21"/>
      <c r="GI195" s="21"/>
      <c r="GJ195" s="21"/>
      <c r="GK195" s="21"/>
      <c r="GL195" s="21"/>
      <c r="GM195" s="21"/>
      <c r="GN195" s="21"/>
      <c r="GO195" s="21"/>
      <c r="GP195" s="21"/>
      <c r="GQ195" s="21"/>
      <c r="GR195" s="21"/>
      <c r="GS195" s="21"/>
      <c r="GT195" s="21"/>
      <c r="GU195" s="21"/>
      <c r="GV195" s="21"/>
      <c r="GW195" s="21"/>
      <c r="GX195" s="21"/>
      <c r="GY195" s="21"/>
      <c r="GZ195" s="21"/>
      <c r="HA195" s="21"/>
      <c r="HB195" s="21"/>
    </row>
    <row r="196" spans="1:210"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c r="FH196" s="21"/>
      <c r="FI196" s="21"/>
      <c r="FJ196" s="21"/>
      <c r="FK196" s="21"/>
      <c r="FL196" s="21"/>
      <c r="FM196" s="21"/>
      <c r="FN196" s="21"/>
      <c r="FO196" s="21"/>
      <c r="FP196" s="21"/>
      <c r="FQ196" s="21"/>
      <c r="FR196" s="21"/>
      <c r="FS196" s="21"/>
      <c r="FT196" s="21"/>
      <c r="FU196" s="21"/>
      <c r="FV196" s="21"/>
      <c r="FW196" s="21"/>
      <c r="FX196" s="21"/>
      <c r="FY196" s="21"/>
      <c r="FZ196" s="21"/>
      <c r="GA196" s="21"/>
      <c r="GB196" s="21"/>
      <c r="GC196" s="21"/>
      <c r="GD196" s="21"/>
      <c r="GE196" s="21"/>
      <c r="GF196" s="21"/>
      <c r="GG196" s="21"/>
      <c r="GH196" s="21"/>
      <c r="GI196" s="21"/>
      <c r="GJ196" s="21"/>
      <c r="GK196" s="21"/>
      <c r="GL196" s="21"/>
      <c r="GM196" s="21"/>
      <c r="GN196" s="21"/>
      <c r="GO196" s="21"/>
      <c r="GP196" s="21"/>
      <c r="GQ196" s="21"/>
      <c r="GR196" s="21"/>
      <c r="GS196" s="21"/>
      <c r="GT196" s="21"/>
      <c r="GU196" s="21"/>
      <c r="GV196" s="21"/>
      <c r="GW196" s="21"/>
      <c r="GX196" s="21"/>
      <c r="GY196" s="21"/>
      <c r="GZ196" s="21"/>
      <c r="HA196" s="21"/>
      <c r="HB196" s="21"/>
    </row>
    <row r="197" spans="1:210"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c r="FH197" s="21"/>
      <c r="FI197" s="21"/>
      <c r="FJ197" s="21"/>
      <c r="FK197" s="21"/>
      <c r="FL197" s="21"/>
      <c r="FM197" s="21"/>
      <c r="FN197" s="21"/>
      <c r="FO197" s="21"/>
      <c r="FP197" s="21"/>
      <c r="FQ197" s="21"/>
      <c r="FR197" s="21"/>
      <c r="FS197" s="21"/>
      <c r="FT197" s="21"/>
      <c r="FU197" s="21"/>
      <c r="FV197" s="21"/>
      <c r="FW197" s="21"/>
      <c r="FX197" s="21"/>
      <c r="FY197" s="21"/>
      <c r="FZ197" s="21"/>
      <c r="GA197" s="21"/>
      <c r="GB197" s="21"/>
      <c r="GC197" s="21"/>
      <c r="GD197" s="21"/>
      <c r="GE197" s="21"/>
      <c r="GF197" s="21"/>
      <c r="GG197" s="21"/>
      <c r="GH197" s="21"/>
      <c r="GI197" s="21"/>
      <c r="GJ197" s="21"/>
      <c r="GK197" s="21"/>
      <c r="GL197" s="21"/>
      <c r="GM197" s="21"/>
      <c r="GN197" s="21"/>
      <c r="GO197" s="21"/>
      <c r="GP197" s="21"/>
      <c r="GQ197" s="21"/>
      <c r="GR197" s="21"/>
      <c r="GS197" s="21"/>
      <c r="GT197" s="21"/>
      <c r="GU197" s="21"/>
      <c r="GV197" s="21"/>
      <c r="GW197" s="21"/>
      <c r="GX197" s="21"/>
      <c r="GY197" s="21"/>
      <c r="GZ197" s="21"/>
      <c r="HA197" s="21"/>
      <c r="HB197" s="21"/>
    </row>
    <row r="198" spans="1:210"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c r="FH198" s="21"/>
      <c r="FI198" s="21"/>
      <c r="FJ198" s="21"/>
      <c r="FK198" s="21"/>
      <c r="FL198" s="21"/>
      <c r="FM198" s="21"/>
      <c r="FN198" s="21"/>
      <c r="FO198" s="21"/>
      <c r="FP198" s="21"/>
      <c r="FQ198" s="21"/>
      <c r="FR198" s="21"/>
      <c r="FS198" s="21"/>
      <c r="FT198" s="21"/>
      <c r="FU198" s="21"/>
      <c r="FV198" s="21"/>
      <c r="FW198" s="21"/>
      <c r="FX198" s="21"/>
      <c r="FY198" s="21"/>
      <c r="FZ198" s="21"/>
      <c r="GA198" s="21"/>
      <c r="GB198" s="21"/>
      <c r="GC198" s="21"/>
      <c r="GD198" s="21"/>
      <c r="GE198" s="21"/>
      <c r="GF198" s="21"/>
      <c r="GG198" s="21"/>
      <c r="GH198" s="21"/>
      <c r="GI198" s="21"/>
      <c r="GJ198" s="21"/>
      <c r="GK198" s="21"/>
      <c r="GL198" s="21"/>
      <c r="GM198" s="21"/>
      <c r="GN198" s="21"/>
      <c r="GO198" s="21"/>
      <c r="GP198" s="21"/>
      <c r="GQ198" s="21"/>
      <c r="GR198" s="21"/>
      <c r="GS198" s="21"/>
      <c r="GT198" s="21"/>
      <c r="GU198" s="21"/>
      <c r="GV198" s="21"/>
      <c r="GW198" s="21"/>
      <c r="GX198" s="21"/>
      <c r="GY198" s="21"/>
      <c r="GZ198" s="21"/>
      <c r="HA198" s="21"/>
      <c r="HB198" s="21"/>
    </row>
    <row r="199" spans="1:210"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c r="FH199" s="21"/>
      <c r="FI199" s="21"/>
      <c r="FJ199" s="21"/>
      <c r="FK199" s="21"/>
      <c r="FL199" s="21"/>
      <c r="FM199" s="21"/>
      <c r="FN199" s="21"/>
      <c r="FO199" s="21"/>
      <c r="FP199" s="21"/>
      <c r="FQ199" s="21"/>
      <c r="FR199" s="21"/>
      <c r="FS199" s="21"/>
      <c r="FT199" s="21"/>
      <c r="FU199" s="21"/>
      <c r="FV199" s="21"/>
      <c r="FW199" s="21"/>
      <c r="FX199" s="21"/>
      <c r="FY199" s="21"/>
      <c r="FZ199" s="21"/>
      <c r="GA199" s="21"/>
      <c r="GB199" s="21"/>
      <c r="GC199" s="21"/>
      <c r="GD199" s="21"/>
      <c r="GE199" s="21"/>
      <c r="GF199" s="21"/>
      <c r="GG199" s="21"/>
      <c r="GH199" s="21"/>
      <c r="GI199" s="21"/>
      <c r="GJ199" s="21"/>
      <c r="GK199" s="21"/>
      <c r="GL199" s="21"/>
      <c r="GM199" s="21"/>
      <c r="GN199" s="21"/>
      <c r="GO199" s="21"/>
      <c r="GP199" s="21"/>
      <c r="GQ199" s="21"/>
      <c r="GR199" s="21"/>
      <c r="GS199" s="21"/>
      <c r="GT199" s="21"/>
      <c r="GU199" s="21"/>
      <c r="GV199" s="21"/>
      <c r="GW199" s="21"/>
      <c r="GX199" s="21"/>
      <c r="GY199" s="21"/>
      <c r="GZ199" s="21"/>
      <c r="HA199" s="21"/>
      <c r="HB199" s="21"/>
    </row>
    <row r="200" spans="1:210"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c r="FH200" s="21"/>
      <c r="FI200" s="21"/>
      <c r="FJ200" s="21"/>
      <c r="FK200" s="21"/>
      <c r="FL200" s="21"/>
      <c r="FM200" s="21"/>
      <c r="FN200" s="21"/>
      <c r="FO200" s="21"/>
      <c r="FP200" s="21"/>
      <c r="FQ200" s="21"/>
      <c r="FR200" s="21"/>
      <c r="FS200" s="21"/>
      <c r="FT200" s="21"/>
      <c r="FU200" s="21"/>
      <c r="FV200" s="21"/>
      <c r="FW200" s="21"/>
      <c r="FX200" s="21"/>
      <c r="FY200" s="21"/>
      <c r="FZ200" s="21"/>
      <c r="GA200" s="21"/>
      <c r="GB200" s="21"/>
      <c r="GC200" s="21"/>
      <c r="GD200" s="21"/>
      <c r="GE200" s="21"/>
      <c r="GF200" s="21"/>
      <c r="GG200" s="21"/>
      <c r="GH200" s="21"/>
      <c r="GI200" s="21"/>
      <c r="GJ200" s="21"/>
      <c r="GK200" s="21"/>
      <c r="GL200" s="21"/>
      <c r="GM200" s="21"/>
      <c r="GN200" s="21"/>
      <c r="GO200" s="21"/>
      <c r="GP200" s="21"/>
      <c r="GQ200" s="21"/>
      <c r="GR200" s="21"/>
      <c r="GS200" s="21"/>
      <c r="GT200" s="21"/>
      <c r="GU200" s="21"/>
      <c r="GV200" s="21"/>
      <c r="GW200" s="21"/>
      <c r="GX200" s="21"/>
      <c r="GY200" s="21"/>
      <c r="GZ200" s="21"/>
      <c r="HA200" s="21"/>
      <c r="HB200" s="21"/>
    </row>
    <row r="201" spans="1:210"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c r="DB201" s="21"/>
      <c r="DC201" s="21"/>
      <c r="DD201" s="21"/>
      <c r="DE201" s="21"/>
      <c r="DF201" s="21"/>
      <c r="DG201" s="21"/>
      <c r="DH201" s="21"/>
      <c r="DI201" s="21"/>
      <c r="DJ201" s="21"/>
      <c r="DK201" s="21"/>
      <c r="DL201" s="21"/>
      <c r="DM201" s="21"/>
      <c r="DN201" s="21"/>
      <c r="DO201" s="21"/>
      <c r="DP201" s="21"/>
      <c r="DQ201" s="21"/>
      <c r="DR201" s="21"/>
      <c r="DS201" s="21"/>
      <c r="DT201" s="21"/>
      <c r="DU201" s="21"/>
      <c r="DV201" s="21"/>
      <c r="DW201" s="21"/>
      <c r="DX201" s="21"/>
      <c r="DY201" s="21"/>
      <c r="DZ201" s="21"/>
      <c r="EA201" s="21"/>
      <c r="EB201" s="21"/>
      <c r="EC201" s="21"/>
      <c r="ED201" s="21"/>
      <c r="EE201" s="21"/>
      <c r="EF201" s="21"/>
      <c r="EG201" s="21"/>
      <c r="EH201" s="21"/>
      <c r="EI201" s="21"/>
      <c r="EJ201" s="21"/>
      <c r="EK201" s="21"/>
      <c r="EL201" s="21"/>
      <c r="EM201" s="21"/>
      <c r="EN201" s="21"/>
      <c r="EO201" s="21"/>
      <c r="EP201" s="21"/>
      <c r="EQ201" s="21"/>
      <c r="ER201" s="21"/>
      <c r="ES201" s="21"/>
      <c r="ET201" s="21"/>
      <c r="EU201" s="21"/>
      <c r="EV201" s="21"/>
      <c r="EW201" s="21"/>
      <c r="EX201" s="21"/>
      <c r="EY201" s="21"/>
      <c r="EZ201" s="21"/>
      <c r="FA201" s="21"/>
      <c r="FB201" s="21"/>
      <c r="FC201" s="21"/>
      <c r="FD201" s="21"/>
      <c r="FE201" s="21"/>
      <c r="FF201" s="21"/>
      <c r="FG201" s="21"/>
      <c r="FH201" s="21"/>
      <c r="FI201" s="21"/>
      <c r="FJ201" s="21"/>
      <c r="FK201" s="21"/>
      <c r="FL201" s="21"/>
      <c r="FM201" s="21"/>
      <c r="FN201" s="21"/>
      <c r="FO201" s="21"/>
      <c r="FP201" s="21"/>
      <c r="FQ201" s="21"/>
      <c r="FR201" s="21"/>
      <c r="FS201" s="21"/>
      <c r="FT201" s="21"/>
      <c r="FU201" s="21"/>
      <c r="FV201" s="21"/>
      <c r="FW201" s="21"/>
      <c r="FX201" s="21"/>
      <c r="FY201" s="21"/>
      <c r="FZ201" s="21"/>
      <c r="GA201" s="21"/>
      <c r="GB201" s="21"/>
      <c r="GC201" s="21"/>
      <c r="GD201" s="21"/>
      <c r="GE201" s="21"/>
      <c r="GF201" s="21"/>
      <c r="GG201" s="21"/>
      <c r="GH201" s="21"/>
      <c r="GI201" s="21"/>
      <c r="GJ201" s="21"/>
      <c r="GK201" s="21"/>
      <c r="GL201" s="21"/>
      <c r="GM201" s="21"/>
      <c r="GN201" s="21"/>
      <c r="GO201" s="21"/>
      <c r="GP201" s="21"/>
      <c r="GQ201" s="21"/>
      <c r="GR201" s="21"/>
      <c r="GS201" s="21"/>
      <c r="GT201" s="21"/>
      <c r="GU201" s="21"/>
      <c r="GV201" s="21"/>
      <c r="GW201" s="21"/>
      <c r="GX201" s="21"/>
      <c r="GY201" s="21"/>
      <c r="GZ201" s="21"/>
      <c r="HA201" s="21"/>
      <c r="HB201" s="21"/>
    </row>
    <row r="202" spans="1:210"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c r="FH202" s="21"/>
      <c r="FI202" s="21"/>
      <c r="FJ202" s="21"/>
      <c r="FK202" s="21"/>
      <c r="FL202" s="21"/>
      <c r="FM202" s="21"/>
      <c r="FN202" s="21"/>
      <c r="FO202" s="21"/>
      <c r="FP202" s="21"/>
      <c r="FQ202" s="21"/>
      <c r="FR202" s="21"/>
      <c r="FS202" s="21"/>
      <c r="FT202" s="21"/>
      <c r="FU202" s="21"/>
      <c r="FV202" s="21"/>
      <c r="FW202" s="21"/>
      <c r="FX202" s="21"/>
      <c r="FY202" s="21"/>
      <c r="FZ202" s="21"/>
      <c r="GA202" s="21"/>
      <c r="GB202" s="21"/>
      <c r="GC202" s="21"/>
      <c r="GD202" s="21"/>
      <c r="GE202" s="21"/>
      <c r="GF202" s="21"/>
      <c r="GG202" s="21"/>
      <c r="GH202" s="21"/>
      <c r="GI202" s="21"/>
      <c r="GJ202" s="21"/>
      <c r="GK202" s="21"/>
      <c r="GL202" s="21"/>
      <c r="GM202" s="21"/>
      <c r="GN202" s="21"/>
      <c r="GO202" s="21"/>
      <c r="GP202" s="21"/>
      <c r="GQ202" s="21"/>
      <c r="GR202" s="21"/>
      <c r="GS202" s="21"/>
      <c r="GT202" s="21"/>
      <c r="GU202" s="21"/>
      <c r="GV202" s="21"/>
      <c r="GW202" s="21"/>
      <c r="GX202" s="21"/>
      <c r="GY202" s="21"/>
      <c r="GZ202" s="21"/>
      <c r="HA202" s="21"/>
      <c r="HB202" s="21"/>
    </row>
    <row r="203" spans="1:210"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c r="FH203" s="21"/>
      <c r="FI203" s="21"/>
      <c r="FJ203" s="21"/>
      <c r="FK203" s="21"/>
      <c r="FL203" s="21"/>
      <c r="FM203" s="21"/>
      <c r="FN203" s="21"/>
      <c r="FO203" s="21"/>
      <c r="FP203" s="21"/>
      <c r="FQ203" s="21"/>
      <c r="FR203" s="21"/>
      <c r="FS203" s="21"/>
      <c r="FT203" s="21"/>
      <c r="FU203" s="21"/>
      <c r="FV203" s="21"/>
      <c r="FW203" s="21"/>
      <c r="FX203" s="21"/>
      <c r="FY203" s="21"/>
      <c r="FZ203" s="21"/>
      <c r="GA203" s="21"/>
      <c r="GB203" s="21"/>
      <c r="GC203" s="21"/>
      <c r="GD203" s="21"/>
      <c r="GE203" s="21"/>
      <c r="GF203" s="21"/>
      <c r="GG203" s="21"/>
      <c r="GH203" s="21"/>
      <c r="GI203" s="21"/>
      <c r="GJ203" s="21"/>
      <c r="GK203" s="21"/>
      <c r="GL203" s="21"/>
      <c r="GM203" s="21"/>
      <c r="GN203" s="21"/>
      <c r="GO203" s="21"/>
      <c r="GP203" s="21"/>
      <c r="GQ203" s="21"/>
      <c r="GR203" s="21"/>
      <c r="GS203" s="21"/>
      <c r="GT203" s="21"/>
      <c r="GU203" s="21"/>
      <c r="GV203" s="21"/>
      <c r="GW203" s="21"/>
      <c r="GX203" s="21"/>
      <c r="GY203" s="21"/>
      <c r="GZ203" s="21"/>
      <c r="HA203" s="21"/>
      <c r="HB203" s="21"/>
    </row>
    <row r="204" spans="1:210"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c r="FH204" s="21"/>
      <c r="FI204" s="21"/>
      <c r="FJ204" s="21"/>
      <c r="FK204" s="21"/>
      <c r="FL204" s="21"/>
      <c r="FM204" s="21"/>
      <c r="FN204" s="21"/>
      <c r="FO204" s="21"/>
      <c r="FP204" s="21"/>
      <c r="FQ204" s="21"/>
      <c r="FR204" s="21"/>
      <c r="FS204" s="21"/>
      <c r="FT204" s="21"/>
      <c r="FU204" s="21"/>
      <c r="FV204" s="21"/>
      <c r="FW204" s="21"/>
      <c r="FX204" s="21"/>
      <c r="FY204" s="21"/>
      <c r="FZ204" s="21"/>
      <c r="GA204" s="21"/>
      <c r="GB204" s="21"/>
      <c r="GC204" s="21"/>
      <c r="GD204" s="21"/>
      <c r="GE204" s="21"/>
      <c r="GF204" s="21"/>
      <c r="GG204" s="21"/>
      <c r="GH204" s="21"/>
      <c r="GI204" s="21"/>
      <c r="GJ204" s="21"/>
      <c r="GK204" s="21"/>
      <c r="GL204" s="21"/>
      <c r="GM204" s="21"/>
      <c r="GN204" s="21"/>
      <c r="GO204" s="21"/>
      <c r="GP204" s="21"/>
      <c r="GQ204" s="21"/>
      <c r="GR204" s="21"/>
      <c r="GS204" s="21"/>
      <c r="GT204" s="21"/>
      <c r="GU204" s="21"/>
      <c r="GV204" s="21"/>
      <c r="GW204" s="21"/>
      <c r="GX204" s="21"/>
      <c r="GY204" s="21"/>
      <c r="GZ204" s="21"/>
      <c r="HA204" s="21"/>
      <c r="HB204" s="21"/>
    </row>
    <row r="205" spans="1:210"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c r="FH205" s="21"/>
      <c r="FI205" s="21"/>
      <c r="FJ205" s="21"/>
      <c r="FK205" s="21"/>
      <c r="FL205" s="21"/>
      <c r="FM205" s="21"/>
      <c r="FN205" s="21"/>
      <c r="FO205" s="21"/>
      <c r="FP205" s="21"/>
      <c r="FQ205" s="21"/>
      <c r="FR205" s="21"/>
      <c r="FS205" s="21"/>
      <c r="FT205" s="21"/>
      <c r="FU205" s="21"/>
      <c r="FV205" s="21"/>
      <c r="FW205" s="21"/>
      <c r="FX205" s="21"/>
      <c r="FY205" s="21"/>
      <c r="FZ205" s="21"/>
      <c r="GA205" s="21"/>
      <c r="GB205" s="21"/>
      <c r="GC205" s="21"/>
      <c r="GD205" s="21"/>
      <c r="GE205" s="21"/>
      <c r="GF205" s="21"/>
      <c r="GG205" s="21"/>
      <c r="GH205" s="21"/>
      <c r="GI205" s="21"/>
      <c r="GJ205" s="21"/>
      <c r="GK205" s="21"/>
      <c r="GL205" s="21"/>
      <c r="GM205" s="21"/>
      <c r="GN205" s="21"/>
      <c r="GO205" s="21"/>
      <c r="GP205" s="21"/>
      <c r="GQ205" s="21"/>
      <c r="GR205" s="21"/>
      <c r="GS205" s="21"/>
      <c r="GT205" s="21"/>
      <c r="GU205" s="21"/>
      <c r="GV205" s="21"/>
      <c r="GW205" s="21"/>
      <c r="GX205" s="21"/>
      <c r="GY205" s="21"/>
      <c r="GZ205" s="21"/>
      <c r="HA205" s="21"/>
      <c r="HB205" s="21"/>
    </row>
    <row r="206" spans="1:210"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c r="FH206" s="21"/>
      <c r="FI206" s="21"/>
      <c r="FJ206" s="21"/>
      <c r="FK206" s="21"/>
      <c r="FL206" s="21"/>
      <c r="FM206" s="21"/>
      <c r="FN206" s="21"/>
      <c r="FO206" s="21"/>
      <c r="FP206" s="21"/>
      <c r="FQ206" s="21"/>
      <c r="FR206" s="21"/>
      <c r="FS206" s="21"/>
      <c r="FT206" s="21"/>
      <c r="FU206" s="21"/>
      <c r="FV206" s="21"/>
      <c r="FW206" s="21"/>
      <c r="FX206" s="21"/>
      <c r="FY206" s="21"/>
      <c r="FZ206" s="21"/>
      <c r="GA206" s="21"/>
      <c r="GB206" s="21"/>
      <c r="GC206" s="21"/>
      <c r="GD206" s="21"/>
      <c r="GE206" s="21"/>
      <c r="GF206" s="21"/>
      <c r="GG206" s="21"/>
      <c r="GH206" s="21"/>
      <c r="GI206" s="21"/>
      <c r="GJ206" s="21"/>
      <c r="GK206" s="21"/>
      <c r="GL206" s="21"/>
      <c r="GM206" s="21"/>
      <c r="GN206" s="21"/>
      <c r="GO206" s="21"/>
      <c r="GP206" s="21"/>
      <c r="GQ206" s="21"/>
      <c r="GR206" s="21"/>
      <c r="GS206" s="21"/>
      <c r="GT206" s="21"/>
      <c r="GU206" s="21"/>
      <c r="GV206" s="21"/>
      <c r="GW206" s="21"/>
      <c r="GX206" s="21"/>
      <c r="GY206" s="21"/>
      <c r="GZ206" s="21"/>
      <c r="HA206" s="21"/>
      <c r="HB206" s="21"/>
    </row>
    <row r="207" spans="1:210"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c r="FH207" s="21"/>
      <c r="FI207" s="21"/>
      <c r="FJ207" s="21"/>
      <c r="FK207" s="21"/>
      <c r="FL207" s="21"/>
      <c r="FM207" s="21"/>
      <c r="FN207" s="21"/>
      <c r="FO207" s="21"/>
      <c r="FP207" s="21"/>
      <c r="FQ207" s="21"/>
      <c r="FR207" s="21"/>
      <c r="FS207" s="21"/>
      <c r="FT207" s="21"/>
      <c r="FU207" s="21"/>
      <c r="FV207" s="21"/>
      <c r="FW207" s="21"/>
      <c r="FX207" s="21"/>
      <c r="FY207" s="21"/>
      <c r="FZ207" s="21"/>
      <c r="GA207" s="21"/>
      <c r="GB207" s="21"/>
      <c r="GC207" s="21"/>
      <c r="GD207" s="21"/>
      <c r="GE207" s="21"/>
      <c r="GF207" s="21"/>
      <c r="GG207" s="21"/>
      <c r="GH207" s="21"/>
      <c r="GI207" s="21"/>
      <c r="GJ207" s="21"/>
      <c r="GK207" s="21"/>
      <c r="GL207" s="21"/>
      <c r="GM207" s="21"/>
      <c r="GN207" s="21"/>
      <c r="GO207" s="21"/>
      <c r="GP207" s="21"/>
      <c r="GQ207" s="21"/>
      <c r="GR207" s="21"/>
      <c r="GS207" s="21"/>
      <c r="GT207" s="21"/>
      <c r="GU207" s="21"/>
      <c r="GV207" s="21"/>
      <c r="GW207" s="21"/>
      <c r="GX207" s="21"/>
      <c r="GY207" s="21"/>
      <c r="GZ207" s="21"/>
      <c r="HA207" s="21"/>
      <c r="HB207" s="21"/>
    </row>
    <row r="208" spans="1:210"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c r="FH208" s="21"/>
      <c r="FI208" s="21"/>
      <c r="FJ208" s="21"/>
      <c r="FK208" s="21"/>
      <c r="FL208" s="21"/>
      <c r="FM208" s="21"/>
      <c r="FN208" s="21"/>
      <c r="FO208" s="21"/>
      <c r="FP208" s="21"/>
      <c r="FQ208" s="21"/>
      <c r="FR208" s="21"/>
      <c r="FS208" s="21"/>
      <c r="FT208" s="21"/>
      <c r="FU208" s="21"/>
      <c r="FV208" s="21"/>
      <c r="FW208" s="21"/>
      <c r="FX208" s="21"/>
      <c r="FY208" s="21"/>
      <c r="FZ208" s="21"/>
      <c r="GA208" s="21"/>
      <c r="GB208" s="21"/>
      <c r="GC208" s="21"/>
      <c r="GD208" s="21"/>
      <c r="GE208" s="21"/>
      <c r="GF208" s="21"/>
      <c r="GG208" s="21"/>
      <c r="GH208" s="21"/>
      <c r="GI208" s="21"/>
      <c r="GJ208" s="21"/>
      <c r="GK208" s="21"/>
      <c r="GL208" s="21"/>
      <c r="GM208" s="21"/>
      <c r="GN208" s="21"/>
      <c r="GO208" s="21"/>
      <c r="GP208" s="21"/>
      <c r="GQ208" s="21"/>
      <c r="GR208" s="21"/>
      <c r="GS208" s="21"/>
      <c r="GT208" s="21"/>
      <c r="GU208" s="21"/>
      <c r="GV208" s="21"/>
      <c r="GW208" s="21"/>
      <c r="GX208" s="21"/>
      <c r="GY208" s="21"/>
      <c r="GZ208" s="21"/>
      <c r="HA208" s="21"/>
      <c r="HB208" s="21"/>
    </row>
    <row r="209" spans="1:210"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c r="FH209" s="21"/>
      <c r="FI209" s="21"/>
      <c r="FJ209" s="21"/>
      <c r="FK209" s="21"/>
      <c r="FL209" s="21"/>
      <c r="FM209" s="21"/>
      <c r="FN209" s="21"/>
      <c r="FO209" s="21"/>
      <c r="FP209" s="21"/>
      <c r="FQ209" s="21"/>
      <c r="FR209" s="21"/>
      <c r="FS209" s="21"/>
      <c r="FT209" s="21"/>
      <c r="FU209" s="21"/>
      <c r="FV209" s="21"/>
      <c r="FW209" s="21"/>
      <c r="FX209" s="21"/>
      <c r="FY209" s="21"/>
      <c r="FZ209" s="21"/>
      <c r="GA209" s="21"/>
      <c r="GB209" s="21"/>
      <c r="GC209" s="21"/>
      <c r="GD209" s="21"/>
      <c r="GE209" s="21"/>
      <c r="GF209" s="21"/>
      <c r="GG209" s="21"/>
      <c r="GH209" s="21"/>
      <c r="GI209" s="21"/>
      <c r="GJ209" s="21"/>
      <c r="GK209" s="21"/>
      <c r="GL209" s="21"/>
      <c r="GM209" s="21"/>
      <c r="GN209" s="21"/>
      <c r="GO209" s="21"/>
      <c r="GP209" s="21"/>
      <c r="GQ209" s="21"/>
      <c r="GR209" s="21"/>
      <c r="GS209" s="21"/>
      <c r="GT209" s="21"/>
      <c r="GU209" s="21"/>
      <c r="GV209" s="21"/>
      <c r="GW209" s="21"/>
      <c r="GX209" s="21"/>
      <c r="GY209" s="21"/>
      <c r="GZ209" s="21"/>
      <c r="HA209" s="21"/>
      <c r="HB209" s="21"/>
    </row>
    <row r="210" spans="1:210"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c r="FH210" s="21"/>
      <c r="FI210" s="21"/>
      <c r="FJ210" s="21"/>
      <c r="FK210" s="21"/>
      <c r="FL210" s="21"/>
      <c r="FM210" s="21"/>
      <c r="FN210" s="21"/>
      <c r="FO210" s="21"/>
      <c r="FP210" s="21"/>
      <c r="FQ210" s="21"/>
      <c r="FR210" s="21"/>
      <c r="FS210" s="21"/>
      <c r="FT210" s="21"/>
      <c r="FU210" s="21"/>
      <c r="FV210" s="21"/>
      <c r="FW210" s="21"/>
      <c r="FX210" s="21"/>
      <c r="FY210" s="21"/>
      <c r="FZ210" s="21"/>
      <c r="GA210" s="21"/>
      <c r="GB210" s="21"/>
      <c r="GC210" s="21"/>
      <c r="GD210" s="21"/>
      <c r="GE210" s="21"/>
      <c r="GF210" s="21"/>
      <c r="GG210" s="21"/>
      <c r="GH210" s="21"/>
      <c r="GI210" s="21"/>
      <c r="GJ210" s="21"/>
      <c r="GK210" s="21"/>
      <c r="GL210" s="21"/>
      <c r="GM210" s="21"/>
      <c r="GN210" s="21"/>
      <c r="GO210" s="21"/>
      <c r="GP210" s="21"/>
      <c r="GQ210" s="21"/>
      <c r="GR210" s="21"/>
      <c r="GS210" s="21"/>
      <c r="GT210" s="21"/>
      <c r="GU210" s="21"/>
      <c r="GV210" s="21"/>
      <c r="GW210" s="21"/>
      <c r="GX210" s="21"/>
      <c r="GY210" s="21"/>
      <c r="GZ210" s="21"/>
      <c r="HA210" s="21"/>
      <c r="HB210" s="21"/>
    </row>
    <row r="211" spans="1:210"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c r="FH211" s="21"/>
      <c r="FI211" s="21"/>
      <c r="FJ211" s="21"/>
      <c r="FK211" s="21"/>
      <c r="FL211" s="21"/>
      <c r="FM211" s="21"/>
      <c r="FN211" s="21"/>
      <c r="FO211" s="21"/>
      <c r="FP211" s="21"/>
      <c r="FQ211" s="21"/>
      <c r="FR211" s="21"/>
      <c r="FS211" s="21"/>
      <c r="FT211" s="21"/>
      <c r="FU211" s="21"/>
      <c r="FV211" s="21"/>
      <c r="FW211" s="21"/>
      <c r="FX211" s="21"/>
      <c r="FY211" s="21"/>
      <c r="FZ211" s="21"/>
      <c r="GA211" s="21"/>
      <c r="GB211" s="21"/>
      <c r="GC211" s="21"/>
      <c r="GD211" s="21"/>
      <c r="GE211" s="21"/>
      <c r="GF211" s="21"/>
      <c r="GG211" s="21"/>
      <c r="GH211" s="21"/>
      <c r="GI211" s="21"/>
      <c r="GJ211" s="21"/>
      <c r="GK211" s="21"/>
      <c r="GL211" s="21"/>
      <c r="GM211" s="21"/>
      <c r="GN211" s="21"/>
      <c r="GO211" s="21"/>
      <c r="GP211" s="21"/>
      <c r="GQ211" s="21"/>
      <c r="GR211" s="21"/>
      <c r="GS211" s="21"/>
      <c r="GT211" s="21"/>
      <c r="GU211" s="21"/>
      <c r="GV211" s="21"/>
      <c r="GW211" s="21"/>
      <c r="GX211" s="21"/>
      <c r="GY211" s="21"/>
      <c r="GZ211" s="21"/>
      <c r="HA211" s="21"/>
      <c r="HB211" s="21"/>
    </row>
    <row r="212" spans="1:210"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c r="FH212" s="21"/>
      <c r="FI212" s="21"/>
      <c r="FJ212" s="21"/>
      <c r="FK212" s="21"/>
      <c r="FL212" s="21"/>
      <c r="FM212" s="21"/>
      <c r="FN212" s="21"/>
      <c r="FO212" s="21"/>
      <c r="FP212" s="21"/>
      <c r="FQ212" s="21"/>
      <c r="FR212" s="21"/>
      <c r="FS212" s="21"/>
      <c r="FT212" s="21"/>
      <c r="FU212" s="21"/>
      <c r="FV212" s="21"/>
      <c r="FW212" s="21"/>
      <c r="FX212" s="21"/>
      <c r="FY212" s="21"/>
      <c r="FZ212" s="21"/>
      <c r="GA212" s="21"/>
      <c r="GB212" s="21"/>
      <c r="GC212" s="21"/>
      <c r="GD212" s="21"/>
      <c r="GE212" s="21"/>
      <c r="GF212" s="21"/>
      <c r="GG212" s="21"/>
      <c r="GH212" s="21"/>
      <c r="GI212" s="21"/>
      <c r="GJ212" s="21"/>
      <c r="GK212" s="21"/>
      <c r="GL212" s="21"/>
      <c r="GM212" s="21"/>
      <c r="GN212" s="21"/>
      <c r="GO212" s="21"/>
      <c r="GP212" s="21"/>
      <c r="GQ212" s="21"/>
      <c r="GR212" s="21"/>
      <c r="GS212" s="21"/>
      <c r="GT212" s="21"/>
      <c r="GU212" s="21"/>
      <c r="GV212" s="21"/>
      <c r="GW212" s="21"/>
      <c r="GX212" s="21"/>
      <c r="GY212" s="21"/>
      <c r="GZ212" s="21"/>
      <c r="HA212" s="21"/>
      <c r="HB212" s="21"/>
    </row>
    <row r="213" spans="1:210"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c r="FH213" s="21"/>
      <c r="FI213" s="21"/>
      <c r="FJ213" s="21"/>
      <c r="FK213" s="21"/>
      <c r="FL213" s="21"/>
      <c r="FM213" s="21"/>
      <c r="FN213" s="21"/>
      <c r="FO213" s="21"/>
      <c r="FP213" s="21"/>
      <c r="FQ213" s="21"/>
      <c r="FR213" s="21"/>
      <c r="FS213" s="21"/>
      <c r="FT213" s="21"/>
      <c r="FU213" s="21"/>
      <c r="FV213" s="21"/>
      <c r="FW213" s="21"/>
      <c r="FX213" s="21"/>
      <c r="FY213" s="21"/>
      <c r="FZ213" s="21"/>
      <c r="GA213" s="21"/>
      <c r="GB213" s="21"/>
      <c r="GC213" s="21"/>
      <c r="GD213" s="21"/>
      <c r="GE213" s="21"/>
      <c r="GF213" s="21"/>
      <c r="GG213" s="21"/>
      <c r="GH213" s="21"/>
      <c r="GI213" s="21"/>
      <c r="GJ213" s="21"/>
      <c r="GK213" s="21"/>
      <c r="GL213" s="21"/>
      <c r="GM213" s="21"/>
      <c r="GN213" s="21"/>
      <c r="GO213" s="21"/>
      <c r="GP213" s="21"/>
      <c r="GQ213" s="21"/>
      <c r="GR213" s="21"/>
      <c r="GS213" s="21"/>
      <c r="GT213" s="21"/>
      <c r="GU213" s="21"/>
      <c r="GV213" s="21"/>
      <c r="GW213" s="21"/>
      <c r="GX213" s="21"/>
      <c r="GY213" s="21"/>
      <c r="GZ213" s="21"/>
      <c r="HA213" s="21"/>
      <c r="HB213" s="21"/>
    </row>
    <row r="214" spans="1:210"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c r="FJ214" s="21"/>
      <c r="FK214" s="21"/>
      <c r="FL214" s="21"/>
      <c r="FM214" s="21"/>
      <c r="FN214" s="21"/>
      <c r="FO214" s="21"/>
      <c r="FP214" s="21"/>
      <c r="FQ214" s="21"/>
      <c r="FR214" s="21"/>
      <c r="FS214" s="21"/>
      <c r="FT214" s="21"/>
      <c r="FU214" s="21"/>
      <c r="FV214" s="21"/>
      <c r="FW214" s="21"/>
      <c r="FX214" s="21"/>
      <c r="FY214" s="21"/>
      <c r="FZ214" s="21"/>
      <c r="GA214" s="21"/>
      <c r="GB214" s="21"/>
      <c r="GC214" s="21"/>
      <c r="GD214" s="21"/>
      <c r="GE214" s="21"/>
      <c r="GF214" s="21"/>
      <c r="GG214" s="21"/>
      <c r="GH214" s="21"/>
      <c r="GI214" s="21"/>
      <c r="GJ214" s="21"/>
      <c r="GK214" s="21"/>
      <c r="GL214" s="21"/>
      <c r="GM214" s="21"/>
      <c r="GN214" s="21"/>
      <c r="GO214" s="21"/>
      <c r="GP214" s="21"/>
      <c r="GQ214" s="21"/>
      <c r="GR214" s="21"/>
      <c r="GS214" s="21"/>
      <c r="GT214" s="21"/>
      <c r="GU214" s="21"/>
      <c r="GV214" s="21"/>
      <c r="GW214" s="21"/>
      <c r="GX214" s="21"/>
      <c r="GY214" s="21"/>
      <c r="GZ214" s="21"/>
      <c r="HA214" s="21"/>
      <c r="HB214" s="21"/>
    </row>
    <row r="215" spans="1:210"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c r="FJ215" s="21"/>
      <c r="FK215" s="21"/>
      <c r="FL215" s="21"/>
      <c r="FM215" s="21"/>
      <c r="FN215" s="21"/>
      <c r="FO215" s="21"/>
      <c r="FP215" s="21"/>
      <c r="FQ215" s="21"/>
      <c r="FR215" s="21"/>
      <c r="FS215" s="21"/>
      <c r="FT215" s="21"/>
      <c r="FU215" s="21"/>
      <c r="FV215" s="21"/>
      <c r="FW215" s="21"/>
      <c r="FX215" s="21"/>
      <c r="FY215" s="21"/>
      <c r="FZ215" s="21"/>
      <c r="GA215" s="21"/>
      <c r="GB215" s="21"/>
      <c r="GC215" s="21"/>
      <c r="GD215" s="21"/>
      <c r="GE215" s="21"/>
      <c r="GF215" s="21"/>
      <c r="GG215" s="21"/>
      <c r="GH215" s="21"/>
      <c r="GI215" s="21"/>
      <c r="GJ215" s="21"/>
      <c r="GK215" s="21"/>
      <c r="GL215" s="21"/>
      <c r="GM215" s="21"/>
      <c r="GN215" s="21"/>
      <c r="GO215" s="21"/>
      <c r="GP215" s="21"/>
      <c r="GQ215" s="21"/>
      <c r="GR215" s="21"/>
      <c r="GS215" s="21"/>
      <c r="GT215" s="21"/>
      <c r="GU215" s="21"/>
      <c r="GV215" s="21"/>
      <c r="GW215" s="21"/>
      <c r="GX215" s="21"/>
      <c r="GY215" s="21"/>
      <c r="GZ215" s="21"/>
      <c r="HA215" s="21"/>
      <c r="HB215" s="21"/>
    </row>
    <row r="216" spans="1:210"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c r="FH216" s="21"/>
      <c r="FI216" s="21"/>
      <c r="FJ216" s="21"/>
      <c r="FK216" s="21"/>
      <c r="FL216" s="21"/>
      <c r="FM216" s="21"/>
      <c r="FN216" s="21"/>
      <c r="FO216" s="21"/>
      <c r="FP216" s="21"/>
      <c r="FQ216" s="21"/>
      <c r="FR216" s="21"/>
      <c r="FS216" s="21"/>
      <c r="FT216" s="21"/>
      <c r="FU216" s="21"/>
      <c r="FV216" s="21"/>
      <c r="FW216" s="21"/>
      <c r="FX216" s="21"/>
      <c r="FY216" s="21"/>
      <c r="FZ216" s="21"/>
      <c r="GA216" s="21"/>
      <c r="GB216" s="21"/>
      <c r="GC216" s="21"/>
      <c r="GD216" s="21"/>
      <c r="GE216" s="21"/>
      <c r="GF216" s="21"/>
      <c r="GG216" s="21"/>
      <c r="GH216" s="21"/>
      <c r="GI216" s="21"/>
      <c r="GJ216" s="21"/>
      <c r="GK216" s="21"/>
      <c r="GL216" s="21"/>
      <c r="GM216" s="21"/>
      <c r="GN216" s="21"/>
      <c r="GO216" s="21"/>
      <c r="GP216" s="21"/>
      <c r="GQ216" s="21"/>
      <c r="GR216" s="21"/>
      <c r="GS216" s="21"/>
      <c r="GT216" s="21"/>
      <c r="GU216" s="21"/>
      <c r="GV216" s="21"/>
      <c r="GW216" s="21"/>
      <c r="GX216" s="21"/>
      <c r="GY216" s="21"/>
      <c r="GZ216" s="21"/>
      <c r="HA216" s="21"/>
      <c r="HB216" s="21"/>
    </row>
    <row r="217" spans="1:210"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c r="DB217" s="21"/>
      <c r="DC217" s="21"/>
      <c r="DD217" s="21"/>
      <c r="DE217" s="21"/>
      <c r="DF217" s="21"/>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c r="FH217" s="21"/>
      <c r="FI217" s="21"/>
      <c r="FJ217" s="21"/>
      <c r="FK217" s="21"/>
      <c r="FL217" s="21"/>
      <c r="FM217" s="21"/>
      <c r="FN217" s="21"/>
      <c r="FO217" s="21"/>
      <c r="FP217" s="21"/>
      <c r="FQ217" s="21"/>
      <c r="FR217" s="21"/>
      <c r="FS217" s="21"/>
      <c r="FT217" s="21"/>
      <c r="FU217" s="21"/>
      <c r="FV217" s="21"/>
      <c r="FW217" s="21"/>
      <c r="FX217" s="21"/>
      <c r="FY217" s="21"/>
      <c r="FZ217" s="21"/>
      <c r="GA217" s="21"/>
      <c r="GB217" s="21"/>
      <c r="GC217" s="21"/>
      <c r="GD217" s="21"/>
      <c r="GE217" s="21"/>
      <c r="GF217" s="21"/>
      <c r="GG217" s="21"/>
      <c r="GH217" s="21"/>
      <c r="GI217" s="21"/>
      <c r="GJ217" s="21"/>
      <c r="GK217" s="21"/>
      <c r="GL217" s="21"/>
      <c r="GM217" s="21"/>
      <c r="GN217" s="21"/>
      <c r="GO217" s="21"/>
      <c r="GP217" s="21"/>
      <c r="GQ217" s="21"/>
      <c r="GR217" s="21"/>
      <c r="GS217" s="21"/>
      <c r="GT217" s="21"/>
      <c r="GU217" s="21"/>
      <c r="GV217" s="21"/>
      <c r="GW217" s="21"/>
      <c r="GX217" s="21"/>
      <c r="GY217" s="21"/>
      <c r="GZ217" s="21"/>
      <c r="HA217" s="21"/>
      <c r="HB217" s="21"/>
    </row>
    <row r="218" spans="1:210"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c r="FH218" s="21"/>
      <c r="FI218" s="21"/>
      <c r="FJ218" s="21"/>
      <c r="FK218" s="21"/>
      <c r="FL218" s="21"/>
      <c r="FM218" s="21"/>
      <c r="FN218" s="21"/>
      <c r="FO218" s="21"/>
      <c r="FP218" s="21"/>
      <c r="FQ218" s="21"/>
      <c r="FR218" s="21"/>
      <c r="FS218" s="21"/>
      <c r="FT218" s="21"/>
      <c r="FU218" s="21"/>
      <c r="FV218" s="21"/>
      <c r="FW218" s="21"/>
      <c r="FX218" s="21"/>
      <c r="FY218" s="21"/>
      <c r="FZ218" s="21"/>
      <c r="GA218" s="21"/>
      <c r="GB218" s="21"/>
      <c r="GC218" s="21"/>
      <c r="GD218" s="21"/>
      <c r="GE218" s="21"/>
      <c r="GF218" s="21"/>
      <c r="GG218" s="21"/>
      <c r="GH218" s="21"/>
      <c r="GI218" s="21"/>
      <c r="GJ218" s="21"/>
      <c r="GK218" s="21"/>
      <c r="GL218" s="21"/>
      <c r="GM218" s="21"/>
      <c r="GN218" s="21"/>
      <c r="GO218" s="21"/>
      <c r="GP218" s="21"/>
      <c r="GQ218" s="21"/>
      <c r="GR218" s="21"/>
      <c r="GS218" s="21"/>
      <c r="GT218" s="21"/>
      <c r="GU218" s="21"/>
      <c r="GV218" s="21"/>
      <c r="GW218" s="21"/>
      <c r="GX218" s="21"/>
      <c r="GY218" s="21"/>
      <c r="GZ218" s="21"/>
      <c r="HA218" s="21"/>
      <c r="HB218" s="21"/>
    </row>
    <row r="219" spans="1:210"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c r="FH219" s="21"/>
      <c r="FI219" s="21"/>
      <c r="FJ219" s="21"/>
      <c r="FK219" s="21"/>
      <c r="FL219" s="21"/>
      <c r="FM219" s="21"/>
      <c r="FN219" s="21"/>
      <c r="FO219" s="21"/>
      <c r="FP219" s="21"/>
      <c r="FQ219" s="21"/>
      <c r="FR219" s="21"/>
      <c r="FS219" s="21"/>
      <c r="FT219" s="21"/>
      <c r="FU219" s="21"/>
      <c r="FV219" s="21"/>
      <c r="FW219" s="21"/>
      <c r="FX219" s="21"/>
      <c r="FY219" s="21"/>
      <c r="FZ219" s="21"/>
      <c r="GA219" s="21"/>
      <c r="GB219" s="21"/>
      <c r="GC219" s="21"/>
      <c r="GD219" s="21"/>
      <c r="GE219" s="21"/>
      <c r="GF219" s="21"/>
      <c r="GG219" s="21"/>
      <c r="GH219" s="21"/>
      <c r="GI219" s="21"/>
      <c r="GJ219" s="21"/>
      <c r="GK219" s="21"/>
      <c r="GL219" s="21"/>
      <c r="GM219" s="21"/>
      <c r="GN219" s="21"/>
      <c r="GO219" s="21"/>
      <c r="GP219" s="21"/>
      <c r="GQ219" s="21"/>
      <c r="GR219" s="21"/>
      <c r="GS219" s="21"/>
      <c r="GT219" s="21"/>
      <c r="GU219" s="21"/>
      <c r="GV219" s="21"/>
      <c r="GW219" s="21"/>
      <c r="GX219" s="21"/>
      <c r="GY219" s="21"/>
      <c r="GZ219" s="21"/>
      <c r="HA219" s="21"/>
      <c r="HB219" s="21"/>
    </row>
    <row r="220" spans="1:210"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c r="FH220" s="21"/>
      <c r="FI220" s="21"/>
      <c r="FJ220" s="21"/>
      <c r="FK220" s="21"/>
      <c r="FL220" s="21"/>
      <c r="FM220" s="21"/>
      <c r="FN220" s="21"/>
      <c r="FO220" s="21"/>
      <c r="FP220" s="21"/>
      <c r="FQ220" s="21"/>
      <c r="FR220" s="21"/>
      <c r="FS220" s="21"/>
      <c r="FT220" s="21"/>
      <c r="FU220" s="21"/>
      <c r="FV220" s="21"/>
      <c r="FW220" s="21"/>
      <c r="FX220" s="21"/>
      <c r="FY220" s="21"/>
      <c r="FZ220" s="21"/>
      <c r="GA220" s="21"/>
      <c r="GB220" s="21"/>
      <c r="GC220" s="21"/>
      <c r="GD220" s="21"/>
      <c r="GE220" s="21"/>
      <c r="GF220" s="21"/>
      <c r="GG220" s="21"/>
      <c r="GH220" s="21"/>
      <c r="GI220" s="21"/>
      <c r="GJ220" s="21"/>
      <c r="GK220" s="21"/>
      <c r="GL220" s="21"/>
      <c r="GM220" s="21"/>
      <c r="GN220" s="21"/>
      <c r="GO220" s="21"/>
      <c r="GP220" s="21"/>
      <c r="GQ220" s="21"/>
      <c r="GR220" s="21"/>
      <c r="GS220" s="21"/>
      <c r="GT220" s="21"/>
      <c r="GU220" s="21"/>
      <c r="GV220" s="21"/>
      <c r="GW220" s="21"/>
      <c r="GX220" s="21"/>
      <c r="GY220" s="21"/>
      <c r="GZ220" s="21"/>
      <c r="HA220" s="21"/>
      <c r="HB220" s="21"/>
    </row>
    <row r="221" spans="1:210"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c r="FH221" s="21"/>
      <c r="FI221" s="21"/>
      <c r="FJ221" s="21"/>
      <c r="FK221" s="21"/>
      <c r="FL221" s="21"/>
      <c r="FM221" s="21"/>
      <c r="FN221" s="21"/>
      <c r="FO221" s="21"/>
      <c r="FP221" s="21"/>
      <c r="FQ221" s="21"/>
      <c r="FR221" s="21"/>
      <c r="FS221" s="21"/>
      <c r="FT221" s="21"/>
      <c r="FU221" s="21"/>
      <c r="FV221" s="21"/>
      <c r="FW221" s="21"/>
      <c r="FX221" s="21"/>
      <c r="FY221" s="21"/>
      <c r="FZ221" s="21"/>
      <c r="GA221" s="21"/>
      <c r="GB221" s="21"/>
      <c r="GC221" s="21"/>
      <c r="GD221" s="21"/>
      <c r="GE221" s="21"/>
      <c r="GF221" s="21"/>
      <c r="GG221" s="21"/>
      <c r="GH221" s="21"/>
      <c r="GI221" s="21"/>
      <c r="GJ221" s="21"/>
      <c r="GK221" s="21"/>
      <c r="GL221" s="21"/>
      <c r="GM221" s="21"/>
      <c r="GN221" s="21"/>
      <c r="GO221" s="21"/>
      <c r="GP221" s="21"/>
      <c r="GQ221" s="21"/>
      <c r="GR221" s="21"/>
      <c r="GS221" s="21"/>
      <c r="GT221" s="21"/>
      <c r="GU221" s="21"/>
      <c r="GV221" s="21"/>
      <c r="GW221" s="21"/>
      <c r="GX221" s="21"/>
      <c r="GY221" s="21"/>
      <c r="GZ221" s="21"/>
      <c r="HA221" s="21"/>
      <c r="HB221" s="21"/>
    </row>
    <row r="222" spans="1:210"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c r="FH222" s="21"/>
      <c r="FI222" s="21"/>
      <c r="FJ222" s="21"/>
      <c r="FK222" s="21"/>
      <c r="FL222" s="21"/>
      <c r="FM222" s="21"/>
      <c r="FN222" s="21"/>
      <c r="FO222" s="21"/>
      <c r="FP222" s="21"/>
      <c r="FQ222" s="21"/>
      <c r="FR222" s="21"/>
      <c r="FS222" s="21"/>
      <c r="FT222" s="21"/>
      <c r="FU222" s="21"/>
      <c r="FV222" s="21"/>
      <c r="FW222" s="21"/>
      <c r="FX222" s="21"/>
      <c r="FY222" s="21"/>
      <c r="FZ222" s="21"/>
      <c r="GA222" s="21"/>
      <c r="GB222" s="21"/>
      <c r="GC222" s="21"/>
      <c r="GD222" s="21"/>
      <c r="GE222" s="21"/>
      <c r="GF222" s="21"/>
      <c r="GG222" s="21"/>
      <c r="GH222" s="21"/>
      <c r="GI222" s="21"/>
      <c r="GJ222" s="21"/>
      <c r="GK222" s="21"/>
      <c r="GL222" s="21"/>
      <c r="GM222" s="21"/>
      <c r="GN222" s="21"/>
      <c r="GO222" s="21"/>
      <c r="GP222" s="21"/>
      <c r="GQ222" s="21"/>
      <c r="GR222" s="21"/>
      <c r="GS222" s="21"/>
      <c r="GT222" s="21"/>
      <c r="GU222" s="21"/>
      <c r="GV222" s="21"/>
      <c r="GW222" s="21"/>
      <c r="GX222" s="21"/>
      <c r="GY222" s="21"/>
      <c r="GZ222" s="21"/>
      <c r="HA222" s="21"/>
      <c r="HB222" s="21"/>
    </row>
    <row r="223" spans="1:210"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c r="FH223" s="21"/>
      <c r="FI223" s="21"/>
      <c r="FJ223" s="21"/>
      <c r="FK223" s="21"/>
      <c r="FL223" s="21"/>
      <c r="FM223" s="21"/>
      <c r="FN223" s="21"/>
      <c r="FO223" s="21"/>
      <c r="FP223" s="21"/>
      <c r="FQ223" s="21"/>
      <c r="FR223" s="21"/>
      <c r="FS223" s="21"/>
      <c r="FT223" s="21"/>
      <c r="FU223" s="21"/>
      <c r="FV223" s="21"/>
      <c r="FW223" s="21"/>
      <c r="FX223" s="21"/>
      <c r="FY223" s="21"/>
      <c r="FZ223" s="21"/>
      <c r="GA223" s="21"/>
      <c r="GB223" s="21"/>
      <c r="GC223" s="21"/>
      <c r="GD223" s="21"/>
      <c r="GE223" s="21"/>
      <c r="GF223" s="21"/>
      <c r="GG223" s="21"/>
      <c r="GH223" s="21"/>
      <c r="GI223" s="21"/>
      <c r="GJ223" s="21"/>
      <c r="GK223" s="21"/>
      <c r="GL223" s="21"/>
      <c r="GM223" s="21"/>
      <c r="GN223" s="21"/>
      <c r="GO223" s="21"/>
      <c r="GP223" s="21"/>
      <c r="GQ223" s="21"/>
      <c r="GR223" s="21"/>
      <c r="GS223" s="21"/>
      <c r="GT223" s="21"/>
      <c r="GU223" s="21"/>
      <c r="GV223" s="21"/>
      <c r="GW223" s="21"/>
      <c r="GX223" s="21"/>
      <c r="GY223" s="21"/>
      <c r="GZ223" s="21"/>
      <c r="HA223" s="21"/>
      <c r="HB223" s="21"/>
    </row>
    <row r="224" spans="1:210"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c r="FH224" s="21"/>
      <c r="FI224" s="21"/>
      <c r="FJ224" s="21"/>
      <c r="FK224" s="21"/>
      <c r="FL224" s="21"/>
      <c r="FM224" s="21"/>
      <c r="FN224" s="21"/>
      <c r="FO224" s="21"/>
      <c r="FP224" s="21"/>
      <c r="FQ224" s="21"/>
      <c r="FR224" s="21"/>
      <c r="FS224" s="21"/>
      <c r="FT224" s="21"/>
      <c r="FU224" s="21"/>
      <c r="FV224" s="21"/>
      <c r="FW224" s="21"/>
      <c r="FX224" s="21"/>
      <c r="FY224" s="21"/>
      <c r="FZ224" s="21"/>
      <c r="GA224" s="21"/>
      <c r="GB224" s="21"/>
      <c r="GC224" s="21"/>
      <c r="GD224" s="21"/>
      <c r="GE224" s="21"/>
      <c r="GF224" s="21"/>
      <c r="GG224" s="21"/>
      <c r="GH224" s="21"/>
      <c r="GI224" s="21"/>
      <c r="GJ224" s="21"/>
      <c r="GK224" s="21"/>
      <c r="GL224" s="21"/>
      <c r="GM224" s="21"/>
      <c r="GN224" s="21"/>
      <c r="GO224" s="21"/>
      <c r="GP224" s="21"/>
      <c r="GQ224" s="21"/>
      <c r="GR224" s="21"/>
      <c r="GS224" s="21"/>
      <c r="GT224" s="21"/>
      <c r="GU224" s="21"/>
      <c r="GV224" s="21"/>
      <c r="GW224" s="21"/>
      <c r="GX224" s="21"/>
      <c r="GY224" s="21"/>
      <c r="GZ224" s="21"/>
      <c r="HA224" s="21"/>
      <c r="HB224" s="21"/>
    </row>
    <row r="225" spans="1:210"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c r="FH225" s="21"/>
      <c r="FI225" s="21"/>
      <c r="FJ225" s="21"/>
      <c r="FK225" s="21"/>
      <c r="FL225" s="21"/>
      <c r="FM225" s="21"/>
      <c r="FN225" s="21"/>
      <c r="FO225" s="21"/>
      <c r="FP225" s="21"/>
      <c r="FQ225" s="21"/>
      <c r="FR225" s="21"/>
      <c r="FS225" s="21"/>
      <c r="FT225" s="21"/>
      <c r="FU225" s="21"/>
      <c r="FV225" s="21"/>
      <c r="FW225" s="21"/>
      <c r="FX225" s="21"/>
      <c r="FY225" s="21"/>
      <c r="FZ225" s="21"/>
      <c r="GA225" s="21"/>
      <c r="GB225" s="21"/>
      <c r="GC225" s="21"/>
      <c r="GD225" s="21"/>
      <c r="GE225" s="21"/>
      <c r="GF225" s="21"/>
      <c r="GG225" s="21"/>
      <c r="GH225" s="21"/>
      <c r="GI225" s="21"/>
      <c r="GJ225" s="21"/>
      <c r="GK225" s="21"/>
      <c r="GL225" s="21"/>
      <c r="GM225" s="21"/>
      <c r="GN225" s="21"/>
      <c r="GO225" s="21"/>
      <c r="GP225" s="21"/>
      <c r="GQ225" s="21"/>
      <c r="GR225" s="21"/>
      <c r="GS225" s="21"/>
      <c r="GT225" s="21"/>
      <c r="GU225" s="21"/>
      <c r="GV225" s="21"/>
      <c r="GW225" s="21"/>
      <c r="GX225" s="21"/>
      <c r="GY225" s="21"/>
      <c r="GZ225" s="21"/>
      <c r="HA225" s="21"/>
      <c r="HB225" s="21"/>
    </row>
    <row r="226" spans="1:210"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c r="FH226" s="21"/>
      <c r="FI226" s="21"/>
      <c r="FJ226" s="21"/>
      <c r="FK226" s="21"/>
      <c r="FL226" s="21"/>
      <c r="FM226" s="21"/>
      <c r="FN226" s="21"/>
      <c r="FO226" s="21"/>
      <c r="FP226" s="21"/>
      <c r="FQ226" s="21"/>
      <c r="FR226" s="21"/>
      <c r="FS226" s="21"/>
      <c r="FT226" s="21"/>
      <c r="FU226" s="21"/>
      <c r="FV226" s="21"/>
      <c r="FW226" s="21"/>
      <c r="FX226" s="21"/>
      <c r="FY226" s="21"/>
      <c r="FZ226" s="21"/>
      <c r="GA226" s="21"/>
      <c r="GB226" s="21"/>
      <c r="GC226" s="21"/>
      <c r="GD226" s="21"/>
      <c r="GE226" s="21"/>
      <c r="GF226" s="21"/>
      <c r="GG226" s="21"/>
      <c r="GH226" s="21"/>
      <c r="GI226" s="21"/>
      <c r="GJ226" s="21"/>
      <c r="GK226" s="21"/>
      <c r="GL226" s="21"/>
      <c r="GM226" s="21"/>
      <c r="GN226" s="21"/>
      <c r="GO226" s="21"/>
      <c r="GP226" s="21"/>
      <c r="GQ226" s="21"/>
      <c r="GR226" s="21"/>
      <c r="GS226" s="21"/>
      <c r="GT226" s="21"/>
      <c r="GU226" s="21"/>
      <c r="GV226" s="21"/>
      <c r="GW226" s="21"/>
      <c r="GX226" s="21"/>
      <c r="GY226" s="21"/>
      <c r="GZ226" s="21"/>
      <c r="HA226" s="21"/>
      <c r="HB226" s="21"/>
    </row>
    <row r="227" spans="1:210"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c r="FH227" s="21"/>
      <c r="FI227" s="21"/>
      <c r="FJ227" s="21"/>
      <c r="FK227" s="21"/>
      <c r="FL227" s="21"/>
      <c r="FM227" s="21"/>
      <c r="FN227" s="21"/>
      <c r="FO227" s="21"/>
      <c r="FP227" s="21"/>
      <c r="FQ227" s="21"/>
      <c r="FR227" s="21"/>
      <c r="FS227" s="21"/>
      <c r="FT227" s="21"/>
      <c r="FU227" s="21"/>
      <c r="FV227" s="21"/>
      <c r="FW227" s="21"/>
      <c r="FX227" s="21"/>
      <c r="FY227" s="21"/>
      <c r="FZ227" s="21"/>
      <c r="GA227" s="21"/>
      <c r="GB227" s="21"/>
      <c r="GC227" s="21"/>
      <c r="GD227" s="21"/>
      <c r="GE227" s="21"/>
      <c r="GF227" s="21"/>
      <c r="GG227" s="21"/>
      <c r="GH227" s="21"/>
      <c r="GI227" s="21"/>
      <c r="GJ227" s="21"/>
      <c r="GK227" s="21"/>
      <c r="GL227" s="21"/>
      <c r="GM227" s="21"/>
      <c r="GN227" s="21"/>
      <c r="GO227" s="21"/>
      <c r="GP227" s="21"/>
      <c r="GQ227" s="21"/>
      <c r="GR227" s="21"/>
      <c r="GS227" s="21"/>
      <c r="GT227" s="21"/>
      <c r="GU227" s="21"/>
      <c r="GV227" s="21"/>
      <c r="GW227" s="21"/>
      <c r="GX227" s="21"/>
      <c r="GY227" s="21"/>
      <c r="GZ227" s="21"/>
      <c r="HA227" s="21"/>
      <c r="HB227" s="21"/>
    </row>
    <row r="228" spans="1:210"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c r="FH228" s="21"/>
      <c r="FI228" s="21"/>
      <c r="FJ228" s="21"/>
      <c r="FK228" s="21"/>
      <c r="FL228" s="21"/>
      <c r="FM228" s="21"/>
      <c r="FN228" s="21"/>
      <c r="FO228" s="21"/>
      <c r="FP228" s="21"/>
      <c r="FQ228" s="21"/>
      <c r="FR228" s="21"/>
      <c r="FS228" s="21"/>
      <c r="FT228" s="21"/>
      <c r="FU228" s="21"/>
      <c r="FV228" s="21"/>
      <c r="FW228" s="21"/>
      <c r="FX228" s="21"/>
      <c r="FY228" s="21"/>
      <c r="FZ228" s="21"/>
      <c r="GA228" s="21"/>
      <c r="GB228" s="21"/>
      <c r="GC228" s="21"/>
      <c r="GD228" s="21"/>
      <c r="GE228" s="21"/>
      <c r="GF228" s="21"/>
      <c r="GG228" s="21"/>
      <c r="GH228" s="21"/>
      <c r="GI228" s="21"/>
      <c r="GJ228" s="21"/>
      <c r="GK228" s="21"/>
      <c r="GL228" s="21"/>
      <c r="GM228" s="21"/>
      <c r="GN228" s="21"/>
      <c r="GO228" s="21"/>
      <c r="GP228" s="21"/>
      <c r="GQ228" s="21"/>
      <c r="GR228" s="21"/>
      <c r="GS228" s="21"/>
      <c r="GT228" s="21"/>
      <c r="GU228" s="21"/>
      <c r="GV228" s="21"/>
      <c r="GW228" s="21"/>
      <c r="GX228" s="21"/>
      <c r="GY228" s="21"/>
      <c r="GZ228" s="21"/>
      <c r="HA228" s="21"/>
      <c r="HB228" s="21"/>
    </row>
    <row r="229" spans="1:210"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c r="FH229" s="21"/>
      <c r="FI229" s="21"/>
      <c r="FJ229" s="21"/>
      <c r="FK229" s="21"/>
      <c r="FL229" s="21"/>
      <c r="FM229" s="21"/>
      <c r="FN229" s="21"/>
      <c r="FO229" s="21"/>
      <c r="FP229" s="21"/>
      <c r="FQ229" s="21"/>
      <c r="FR229" s="21"/>
      <c r="FS229" s="21"/>
      <c r="FT229" s="21"/>
      <c r="FU229" s="21"/>
      <c r="FV229" s="21"/>
      <c r="FW229" s="21"/>
      <c r="FX229" s="21"/>
      <c r="FY229" s="21"/>
      <c r="FZ229" s="21"/>
      <c r="GA229" s="21"/>
      <c r="GB229" s="21"/>
      <c r="GC229" s="21"/>
      <c r="GD229" s="21"/>
      <c r="GE229" s="21"/>
      <c r="GF229" s="21"/>
      <c r="GG229" s="21"/>
      <c r="GH229" s="21"/>
      <c r="GI229" s="21"/>
      <c r="GJ229" s="21"/>
      <c r="GK229" s="21"/>
      <c r="GL229" s="21"/>
      <c r="GM229" s="21"/>
      <c r="GN229" s="21"/>
      <c r="GO229" s="21"/>
      <c r="GP229" s="21"/>
      <c r="GQ229" s="21"/>
      <c r="GR229" s="21"/>
      <c r="GS229" s="21"/>
      <c r="GT229" s="21"/>
      <c r="GU229" s="21"/>
      <c r="GV229" s="21"/>
      <c r="GW229" s="21"/>
      <c r="GX229" s="21"/>
      <c r="GY229" s="21"/>
      <c r="GZ229" s="21"/>
      <c r="HA229" s="21"/>
      <c r="HB229" s="21"/>
    </row>
    <row r="230" spans="1:210"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c r="FH230" s="21"/>
      <c r="FI230" s="21"/>
      <c r="FJ230" s="21"/>
      <c r="FK230" s="21"/>
      <c r="FL230" s="21"/>
      <c r="FM230" s="21"/>
      <c r="FN230" s="21"/>
      <c r="FO230" s="21"/>
      <c r="FP230" s="21"/>
      <c r="FQ230" s="21"/>
      <c r="FR230" s="21"/>
      <c r="FS230" s="21"/>
      <c r="FT230" s="21"/>
      <c r="FU230" s="21"/>
      <c r="FV230" s="21"/>
      <c r="FW230" s="21"/>
      <c r="FX230" s="21"/>
      <c r="FY230" s="21"/>
      <c r="FZ230" s="21"/>
      <c r="GA230" s="21"/>
      <c r="GB230" s="21"/>
      <c r="GC230" s="21"/>
      <c r="GD230" s="21"/>
      <c r="GE230" s="21"/>
      <c r="GF230" s="21"/>
      <c r="GG230" s="21"/>
      <c r="GH230" s="21"/>
      <c r="GI230" s="21"/>
      <c r="GJ230" s="21"/>
      <c r="GK230" s="21"/>
      <c r="GL230" s="21"/>
      <c r="GM230" s="21"/>
      <c r="GN230" s="21"/>
      <c r="GO230" s="21"/>
      <c r="GP230" s="21"/>
      <c r="GQ230" s="21"/>
      <c r="GR230" s="21"/>
      <c r="GS230" s="21"/>
      <c r="GT230" s="21"/>
      <c r="GU230" s="21"/>
      <c r="GV230" s="21"/>
      <c r="GW230" s="21"/>
      <c r="GX230" s="21"/>
      <c r="GY230" s="21"/>
      <c r="GZ230" s="21"/>
      <c r="HA230" s="21"/>
      <c r="HB230" s="21"/>
    </row>
    <row r="231" spans="1:210"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c r="FH231" s="21"/>
      <c r="FI231" s="21"/>
      <c r="FJ231" s="21"/>
      <c r="FK231" s="21"/>
      <c r="FL231" s="21"/>
      <c r="FM231" s="21"/>
      <c r="FN231" s="21"/>
      <c r="FO231" s="21"/>
      <c r="FP231" s="21"/>
      <c r="FQ231" s="21"/>
      <c r="FR231" s="21"/>
      <c r="FS231" s="21"/>
      <c r="FT231" s="21"/>
      <c r="FU231" s="21"/>
      <c r="FV231" s="21"/>
      <c r="FW231" s="21"/>
      <c r="FX231" s="21"/>
      <c r="FY231" s="21"/>
      <c r="FZ231" s="21"/>
      <c r="GA231" s="21"/>
      <c r="GB231" s="21"/>
      <c r="GC231" s="21"/>
      <c r="GD231" s="21"/>
      <c r="GE231" s="21"/>
      <c r="GF231" s="21"/>
      <c r="GG231" s="21"/>
      <c r="GH231" s="21"/>
      <c r="GI231" s="21"/>
      <c r="GJ231" s="21"/>
      <c r="GK231" s="21"/>
      <c r="GL231" s="21"/>
      <c r="GM231" s="21"/>
      <c r="GN231" s="21"/>
      <c r="GO231" s="21"/>
      <c r="GP231" s="21"/>
      <c r="GQ231" s="21"/>
      <c r="GR231" s="21"/>
      <c r="GS231" s="21"/>
      <c r="GT231" s="21"/>
      <c r="GU231" s="21"/>
      <c r="GV231" s="21"/>
      <c r="GW231" s="21"/>
      <c r="GX231" s="21"/>
      <c r="GY231" s="21"/>
      <c r="GZ231" s="21"/>
      <c r="HA231" s="21"/>
      <c r="HB231" s="21"/>
    </row>
    <row r="232" spans="1:210"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c r="EH232" s="21"/>
      <c r="EI232" s="21"/>
      <c r="EJ232" s="21"/>
      <c r="EK232" s="21"/>
      <c r="EL232" s="21"/>
      <c r="EM232" s="21"/>
      <c r="EN232" s="21"/>
      <c r="EO232" s="21"/>
      <c r="EP232" s="21"/>
      <c r="EQ232" s="21"/>
      <c r="ER232" s="21"/>
      <c r="ES232" s="21"/>
      <c r="ET232" s="21"/>
      <c r="EU232" s="21"/>
      <c r="EV232" s="21"/>
      <c r="EW232" s="21"/>
      <c r="EX232" s="21"/>
      <c r="EY232" s="21"/>
      <c r="EZ232" s="21"/>
      <c r="FA232" s="21"/>
      <c r="FB232" s="21"/>
      <c r="FC232" s="21"/>
      <c r="FD232" s="21"/>
      <c r="FE232" s="21"/>
      <c r="FF232" s="21"/>
      <c r="FG232" s="21"/>
      <c r="FH232" s="21"/>
      <c r="FI232" s="21"/>
      <c r="FJ232" s="21"/>
      <c r="FK232" s="21"/>
      <c r="FL232" s="21"/>
      <c r="FM232" s="21"/>
      <c r="FN232" s="21"/>
      <c r="FO232" s="21"/>
      <c r="FP232" s="21"/>
      <c r="FQ232" s="21"/>
      <c r="FR232" s="21"/>
      <c r="FS232" s="21"/>
      <c r="FT232" s="21"/>
      <c r="FU232" s="21"/>
      <c r="FV232" s="21"/>
      <c r="FW232" s="21"/>
      <c r="FX232" s="21"/>
      <c r="FY232" s="21"/>
      <c r="FZ232" s="21"/>
      <c r="GA232" s="21"/>
      <c r="GB232" s="21"/>
      <c r="GC232" s="21"/>
      <c r="GD232" s="21"/>
      <c r="GE232" s="21"/>
      <c r="GF232" s="21"/>
      <c r="GG232" s="21"/>
      <c r="GH232" s="21"/>
      <c r="GI232" s="21"/>
      <c r="GJ232" s="21"/>
      <c r="GK232" s="21"/>
      <c r="GL232" s="21"/>
      <c r="GM232" s="21"/>
      <c r="GN232" s="21"/>
      <c r="GO232" s="21"/>
      <c r="GP232" s="21"/>
      <c r="GQ232" s="21"/>
      <c r="GR232" s="21"/>
      <c r="GS232" s="21"/>
      <c r="GT232" s="21"/>
      <c r="GU232" s="21"/>
      <c r="GV232" s="21"/>
      <c r="GW232" s="21"/>
      <c r="GX232" s="21"/>
      <c r="GY232" s="21"/>
      <c r="GZ232" s="21"/>
      <c r="HA232" s="21"/>
      <c r="HB232" s="21"/>
    </row>
    <row r="233" spans="1:210"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c r="FH233" s="21"/>
      <c r="FI233" s="21"/>
      <c r="FJ233" s="21"/>
      <c r="FK233" s="21"/>
      <c r="FL233" s="21"/>
      <c r="FM233" s="21"/>
      <c r="FN233" s="21"/>
      <c r="FO233" s="21"/>
      <c r="FP233" s="21"/>
      <c r="FQ233" s="21"/>
      <c r="FR233" s="21"/>
      <c r="FS233" s="21"/>
      <c r="FT233" s="21"/>
      <c r="FU233" s="21"/>
      <c r="FV233" s="21"/>
      <c r="FW233" s="21"/>
      <c r="FX233" s="21"/>
      <c r="FY233" s="21"/>
      <c r="FZ233" s="21"/>
      <c r="GA233" s="21"/>
      <c r="GB233" s="21"/>
      <c r="GC233" s="21"/>
      <c r="GD233" s="21"/>
      <c r="GE233" s="21"/>
      <c r="GF233" s="21"/>
      <c r="GG233" s="21"/>
      <c r="GH233" s="21"/>
      <c r="GI233" s="21"/>
      <c r="GJ233" s="21"/>
      <c r="GK233" s="21"/>
      <c r="GL233" s="21"/>
      <c r="GM233" s="21"/>
      <c r="GN233" s="21"/>
      <c r="GO233" s="21"/>
      <c r="GP233" s="21"/>
      <c r="GQ233" s="21"/>
      <c r="GR233" s="21"/>
      <c r="GS233" s="21"/>
      <c r="GT233" s="21"/>
      <c r="GU233" s="21"/>
      <c r="GV233" s="21"/>
      <c r="GW233" s="21"/>
      <c r="GX233" s="21"/>
      <c r="GY233" s="21"/>
      <c r="GZ233" s="21"/>
      <c r="HA233" s="21"/>
      <c r="HB233" s="21"/>
    </row>
    <row r="234" spans="1:210"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c r="FH234" s="21"/>
      <c r="FI234" s="21"/>
      <c r="FJ234" s="21"/>
      <c r="FK234" s="21"/>
      <c r="FL234" s="21"/>
      <c r="FM234" s="21"/>
      <c r="FN234" s="21"/>
      <c r="FO234" s="21"/>
      <c r="FP234" s="21"/>
      <c r="FQ234" s="21"/>
      <c r="FR234" s="21"/>
      <c r="FS234" s="21"/>
      <c r="FT234" s="21"/>
      <c r="FU234" s="21"/>
      <c r="FV234" s="21"/>
      <c r="FW234" s="21"/>
      <c r="FX234" s="21"/>
      <c r="FY234" s="21"/>
      <c r="FZ234" s="21"/>
      <c r="GA234" s="21"/>
      <c r="GB234" s="21"/>
      <c r="GC234" s="21"/>
      <c r="GD234" s="21"/>
      <c r="GE234" s="21"/>
      <c r="GF234" s="21"/>
      <c r="GG234" s="21"/>
      <c r="GH234" s="21"/>
      <c r="GI234" s="21"/>
      <c r="GJ234" s="21"/>
      <c r="GK234" s="21"/>
      <c r="GL234" s="21"/>
      <c r="GM234" s="21"/>
      <c r="GN234" s="21"/>
      <c r="GO234" s="21"/>
      <c r="GP234" s="21"/>
      <c r="GQ234" s="21"/>
      <c r="GR234" s="21"/>
      <c r="GS234" s="21"/>
      <c r="GT234" s="21"/>
      <c r="GU234" s="21"/>
      <c r="GV234" s="21"/>
      <c r="GW234" s="21"/>
      <c r="GX234" s="21"/>
      <c r="GY234" s="21"/>
      <c r="GZ234" s="21"/>
      <c r="HA234" s="21"/>
      <c r="HB234" s="21"/>
    </row>
    <row r="235" spans="1:210"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c r="FH235" s="21"/>
      <c r="FI235" s="21"/>
      <c r="FJ235" s="21"/>
      <c r="FK235" s="21"/>
      <c r="FL235" s="21"/>
      <c r="FM235" s="21"/>
      <c r="FN235" s="21"/>
      <c r="FO235" s="21"/>
      <c r="FP235" s="21"/>
      <c r="FQ235" s="21"/>
      <c r="FR235" s="21"/>
      <c r="FS235" s="21"/>
      <c r="FT235" s="21"/>
      <c r="FU235" s="21"/>
      <c r="FV235" s="21"/>
      <c r="FW235" s="21"/>
      <c r="FX235" s="21"/>
      <c r="FY235" s="21"/>
      <c r="FZ235" s="21"/>
      <c r="GA235" s="21"/>
      <c r="GB235" s="21"/>
      <c r="GC235" s="21"/>
      <c r="GD235" s="21"/>
      <c r="GE235" s="21"/>
      <c r="GF235" s="21"/>
      <c r="GG235" s="21"/>
      <c r="GH235" s="21"/>
      <c r="GI235" s="21"/>
      <c r="GJ235" s="21"/>
      <c r="GK235" s="21"/>
      <c r="GL235" s="21"/>
      <c r="GM235" s="21"/>
      <c r="GN235" s="21"/>
      <c r="GO235" s="21"/>
      <c r="GP235" s="21"/>
      <c r="GQ235" s="21"/>
      <c r="GR235" s="21"/>
      <c r="GS235" s="21"/>
      <c r="GT235" s="21"/>
      <c r="GU235" s="21"/>
      <c r="GV235" s="21"/>
      <c r="GW235" s="21"/>
      <c r="GX235" s="21"/>
      <c r="GY235" s="21"/>
      <c r="GZ235" s="21"/>
      <c r="HA235" s="21"/>
      <c r="HB235" s="21"/>
    </row>
    <row r="236" spans="1:210"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c r="FH236" s="21"/>
      <c r="FI236" s="21"/>
      <c r="FJ236" s="21"/>
      <c r="FK236" s="21"/>
      <c r="FL236" s="21"/>
      <c r="FM236" s="21"/>
      <c r="FN236" s="21"/>
      <c r="FO236" s="21"/>
      <c r="FP236" s="21"/>
      <c r="FQ236" s="21"/>
      <c r="FR236" s="21"/>
      <c r="FS236" s="21"/>
      <c r="FT236" s="21"/>
      <c r="FU236" s="21"/>
      <c r="FV236" s="21"/>
      <c r="FW236" s="21"/>
      <c r="FX236" s="21"/>
      <c r="FY236" s="21"/>
      <c r="FZ236" s="21"/>
      <c r="GA236" s="21"/>
      <c r="GB236" s="21"/>
      <c r="GC236" s="21"/>
      <c r="GD236" s="21"/>
      <c r="GE236" s="21"/>
      <c r="GF236" s="21"/>
      <c r="GG236" s="21"/>
      <c r="GH236" s="21"/>
      <c r="GI236" s="21"/>
      <c r="GJ236" s="21"/>
      <c r="GK236" s="21"/>
      <c r="GL236" s="21"/>
      <c r="GM236" s="21"/>
      <c r="GN236" s="21"/>
      <c r="GO236" s="21"/>
      <c r="GP236" s="21"/>
      <c r="GQ236" s="21"/>
      <c r="GR236" s="21"/>
      <c r="GS236" s="21"/>
      <c r="GT236" s="21"/>
      <c r="GU236" s="21"/>
      <c r="GV236" s="21"/>
      <c r="GW236" s="21"/>
      <c r="GX236" s="21"/>
      <c r="GY236" s="21"/>
      <c r="GZ236" s="21"/>
      <c r="HA236" s="21"/>
      <c r="HB236" s="21"/>
    </row>
    <row r="237" spans="1:210"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c r="FJ237" s="21"/>
      <c r="FK237" s="21"/>
      <c r="FL237" s="21"/>
      <c r="FM237" s="21"/>
      <c r="FN237" s="21"/>
      <c r="FO237" s="21"/>
      <c r="FP237" s="21"/>
      <c r="FQ237" s="21"/>
      <c r="FR237" s="21"/>
      <c r="FS237" s="21"/>
      <c r="FT237" s="21"/>
      <c r="FU237" s="21"/>
      <c r="FV237" s="21"/>
      <c r="FW237" s="21"/>
      <c r="FX237" s="21"/>
      <c r="FY237" s="21"/>
      <c r="FZ237" s="21"/>
      <c r="GA237" s="21"/>
      <c r="GB237" s="21"/>
      <c r="GC237" s="21"/>
      <c r="GD237" s="21"/>
      <c r="GE237" s="21"/>
      <c r="GF237" s="21"/>
      <c r="GG237" s="21"/>
      <c r="GH237" s="21"/>
      <c r="GI237" s="21"/>
      <c r="GJ237" s="21"/>
      <c r="GK237" s="21"/>
      <c r="GL237" s="21"/>
      <c r="GM237" s="21"/>
      <c r="GN237" s="21"/>
      <c r="GO237" s="21"/>
      <c r="GP237" s="21"/>
      <c r="GQ237" s="21"/>
      <c r="GR237" s="21"/>
      <c r="GS237" s="21"/>
      <c r="GT237" s="21"/>
      <c r="GU237" s="21"/>
      <c r="GV237" s="21"/>
      <c r="GW237" s="21"/>
      <c r="GX237" s="21"/>
      <c r="GY237" s="21"/>
      <c r="GZ237" s="21"/>
      <c r="HA237" s="21"/>
      <c r="HB237" s="21"/>
    </row>
    <row r="238" spans="1:210"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1"/>
      <c r="FH238" s="21"/>
      <c r="FI238" s="21"/>
      <c r="FJ238" s="21"/>
      <c r="FK238" s="21"/>
      <c r="FL238" s="21"/>
      <c r="FM238" s="21"/>
      <c r="FN238" s="21"/>
      <c r="FO238" s="21"/>
      <c r="FP238" s="21"/>
      <c r="FQ238" s="21"/>
      <c r="FR238" s="21"/>
      <c r="FS238" s="21"/>
      <c r="FT238" s="21"/>
      <c r="FU238" s="21"/>
      <c r="FV238" s="21"/>
      <c r="FW238" s="21"/>
      <c r="FX238" s="21"/>
      <c r="FY238" s="21"/>
      <c r="FZ238" s="21"/>
      <c r="GA238" s="21"/>
      <c r="GB238" s="21"/>
      <c r="GC238" s="21"/>
      <c r="GD238" s="21"/>
      <c r="GE238" s="21"/>
      <c r="GF238" s="21"/>
      <c r="GG238" s="21"/>
      <c r="GH238" s="21"/>
      <c r="GI238" s="21"/>
      <c r="GJ238" s="21"/>
      <c r="GK238" s="21"/>
      <c r="GL238" s="21"/>
      <c r="GM238" s="21"/>
      <c r="GN238" s="21"/>
      <c r="GO238" s="21"/>
      <c r="GP238" s="21"/>
      <c r="GQ238" s="21"/>
      <c r="GR238" s="21"/>
      <c r="GS238" s="21"/>
      <c r="GT238" s="21"/>
      <c r="GU238" s="21"/>
      <c r="GV238" s="21"/>
      <c r="GW238" s="21"/>
      <c r="GX238" s="21"/>
      <c r="GY238" s="21"/>
      <c r="GZ238" s="21"/>
      <c r="HA238" s="21"/>
      <c r="HB238" s="21"/>
    </row>
    <row r="239" spans="1:210"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c r="FH239" s="21"/>
      <c r="FI239" s="21"/>
      <c r="FJ239" s="21"/>
      <c r="FK239" s="21"/>
      <c r="FL239" s="21"/>
      <c r="FM239" s="21"/>
      <c r="FN239" s="21"/>
      <c r="FO239" s="21"/>
      <c r="FP239" s="21"/>
      <c r="FQ239" s="21"/>
      <c r="FR239" s="21"/>
      <c r="FS239" s="21"/>
      <c r="FT239" s="21"/>
      <c r="FU239" s="21"/>
      <c r="FV239" s="21"/>
      <c r="FW239" s="21"/>
      <c r="FX239" s="21"/>
      <c r="FY239" s="21"/>
      <c r="FZ239" s="21"/>
      <c r="GA239" s="21"/>
      <c r="GB239" s="21"/>
      <c r="GC239" s="21"/>
      <c r="GD239" s="21"/>
      <c r="GE239" s="21"/>
      <c r="GF239" s="21"/>
      <c r="GG239" s="21"/>
      <c r="GH239" s="21"/>
      <c r="GI239" s="21"/>
      <c r="GJ239" s="21"/>
      <c r="GK239" s="21"/>
      <c r="GL239" s="21"/>
      <c r="GM239" s="21"/>
      <c r="GN239" s="21"/>
      <c r="GO239" s="21"/>
      <c r="GP239" s="21"/>
      <c r="GQ239" s="21"/>
      <c r="GR239" s="21"/>
      <c r="GS239" s="21"/>
      <c r="GT239" s="21"/>
      <c r="GU239" s="21"/>
      <c r="GV239" s="21"/>
      <c r="GW239" s="21"/>
      <c r="GX239" s="21"/>
      <c r="GY239" s="21"/>
      <c r="GZ239" s="21"/>
      <c r="HA239" s="21"/>
      <c r="HB239" s="21"/>
    </row>
    <row r="240" spans="1:210"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c r="FH240" s="21"/>
      <c r="FI240" s="21"/>
      <c r="FJ240" s="21"/>
      <c r="FK240" s="21"/>
      <c r="FL240" s="21"/>
      <c r="FM240" s="21"/>
      <c r="FN240" s="21"/>
      <c r="FO240" s="21"/>
      <c r="FP240" s="21"/>
      <c r="FQ240" s="21"/>
      <c r="FR240" s="21"/>
      <c r="FS240" s="21"/>
      <c r="FT240" s="21"/>
      <c r="FU240" s="21"/>
      <c r="FV240" s="21"/>
      <c r="FW240" s="21"/>
      <c r="FX240" s="21"/>
      <c r="FY240" s="21"/>
      <c r="FZ240" s="21"/>
      <c r="GA240" s="21"/>
      <c r="GB240" s="21"/>
      <c r="GC240" s="21"/>
      <c r="GD240" s="21"/>
      <c r="GE240" s="21"/>
      <c r="GF240" s="21"/>
      <c r="GG240" s="21"/>
      <c r="GH240" s="21"/>
      <c r="GI240" s="21"/>
      <c r="GJ240" s="21"/>
      <c r="GK240" s="21"/>
      <c r="GL240" s="21"/>
      <c r="GM240" s="21"/>
      <c r="GN240" s="21"/>
      <c r="GO240" s="21"/>
      <c r="GP240" s="21"/>
      <c r="GQ240" s="21"/>
      <c r="GR240" s="21"/>
      <c r="GS240" s="21"/>
      <c r="GT240" s="21"/>
      <c r="GU240" s="21"/>
      <c r="GV240" s="21"/>
      <c r="GW240" s="21"/>
      <c r="GX240" s="21"/>
      <c r="GY240" s="21"/>
      <c r="GZ240" s="21"/>
      <c r="HA240" s="21"/>
      <c r="HB240" s="21"/>
    </row>
    <row r="241" spans="1:210"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c r="FH241" s="21"/>
      <c r="FI241" s="21"/>
      <c r="FJ241" s="21"/>
      <c r="FK241" s="21"/>
      <c r="FL241" s="21"/>
      <c r="FM241" s="21"/>
      <c r="FN241" s="21"/>
      <c r="FO241" s="21"/>
      <c r="FP241" s="21"/>
      <c r="FQ241" s="21"/>
      <c r="FR241" s="21"/>
      <c r="FS241" s="21"/>
      <c r="FT241" s="21"/>
      <c r="FU241" s="21"/>
      <c r="FV241" s="21"/>
      <c r="FW241" s="21"/>
      <c r="FX241" s="21"/>
      <c r="FY241" s="21"/>
      <c r="FZ241" s="21"/>
      <c r="GA241" s="21"/>
      <c r="GB241" s="21"/>
      <c r="GC241" s="21"/>
      <c r="GD241" s="21"/>
      <c r="GE241" s="21"/>
      <c r="GF241" s="21"/>
      <c r="GG241" s="21"/>
      <c r="GH241" s="21"/>
      <c r="GI241" s="21"/>
      <c r="GJ241" s="21"/>
      <c r="GK241" s="21"/>
      <c r="GL241" s="21"/>
      <c r="GM241" s="21"/>
      <c r="GN241" s="21"/>
      <c r="GO241" s="21"/>
      <c r="GP241" s="21"/>
      <c r="GQ241" s="21"/>
      <c r="GR241" s="21"/>
      <c r="GS241" s="21"/>
      <c r="GT241" s="21"/>
      <c r="GU241" s="21"/>
      <c r="GV241" s="21"/>
      <c r="GW241" s="21"/>
      <c r="GX241" s="21"/>
      <c r="GY241" s="21"/>
      <c r="GZ241" s="21"/>
      <c r="HA241" s="21"/>
      <c r="HB241" s="21"/>
    </row>
    <row r="242" spans="1:210"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c r="GJ242" s="21"/>
      <c r="GK242" s="21"/>
      <c r="GL242" s="21"/>
      <c r="GM242" s="21"/>
      <c r="GN242" s="21"/>
      <c r="GO242" s="21"/>
      <c r="GP242" s="21"/>
      <c r="GQ242" s="21"/>
      <c r="GR242" s="21"/>
      <c r="GS242" s="21"/>
      <c r="GT242" s="21"/>
      <c r="GU242" s="21"/>
      <c r="GV242" s="21"/>
      <c r="GW242" s="21"/>
      <c r="GX242" s="21"/>
      <c r="GY242" s="21"/>
      <c r="GZ242" s="21"/>
      <c r="HA242" s="21"/>
      <c r="HB242" s="21"/>
    </row>
    <row r="243" spans="1:210"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c r="FH243" s="21"/>
      <c r="FI243" s="21"/>
      <c r="FJ243" s="21"/>
      <c r="FK243" s="21"/>
      <c r="FL243" s="21"/>
      <c r="FM243" s="21"/>
      <c r="FN243" s="21"/>
      <c r="FO243" s="21"/>
      <c r="FP243" s="21"/>
      <c r="FQ243" s="21"/>
      <c r="FR243" s="21"/>
      <c r="FS243" s="21"/>
      <c r="FT243" s="21"/>
      <c r="FU243" s="21"/>
      <c r="FV243" s="21"/>
      <c r="FW243" s="21"/>
      <c r="FX243" s="21"/>
      <c r="FY243" s="21"/>
      <c r="FZ243" s="21"/>
      <c r="GA243" s="21"/>
      <c r="GB243" s="21"/>
      <c r="GC243" s="21"/>
      <c r="GD243" s="21"/>
      <c r="GE243" s="21"/>
      <c r="GF243" s="21"/>
      <c r="GG243" s="21"/>
      <c r="GH243" s="21"/>
      <c r="GI243" s="21"/>
      <c r="GJ243" s="21"/>
      <c r="GK243" s="21"/>
      <c r="GL243" s="21"/>
      <c r="GM243" s="21"/>
      <c r="GN243" s="21"/>
      <c r="GO243" s="21"/>
      <c r="GP243" s="21"/>
      <c r="GQ243" s="21"/>
      <c r="GR243" s="21"/>
      <c r="GS243" s="21"/>
      <c r="GT243" s="21"/>
      <c r="GU243" s="21"/>
      <c r="GV243" s="21"/>
      <c r="GW243" s="21"/>
      <c r="GX243" s="21"/>
      <c r="GY243" s="21"/>
      <c r="GZ243" s="21"/>
      <c r="HA243" s="21"/>
      <c r="HB243" s="21"/>
    </row>
    <row r="244" spans="1:210"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c r="FH244" s="21"/>
      <c r="FI244" s="21"/>
      <c r="FJ244" s="21"/>
      <c r="FK244" s="21"/>
      <c r="FL244" s="21"/>
      <c r="FM244" s="21"/>
      <c r="FN244" s="21"/>
      <c r="FO244" s="21"/>
      <c r="FP244" s="21"/>
      <c r="FQ244" s="21"/>
      <c r="FR244" s="21"/>
      <c r="FS244" s="21"/>
      <c r="FT244" s="21"/>
      <c r="FU244" s="21"/>
      <c r="FV244" s="21"/>
      <c r="FW244" s="21"/>
      <c r="FX244" s="21"/>
      <c r="FY244" s="21"/>
      <c r="FZ244" s="21"/>
      <c r="GA244" s="21"/>
      <c r="GB244" s="21"/>
      <c r="GC244" s="21"/>
      <c r="GD244" s="21"/>
      <c r="GE244" s="21"/>
      <c r="GF244" s="21"/>
      <c r="GG244" s="21"/>
      <c r="GH244" s="21"/>
      <c r="GI244" s="21"/>
      <c r="GJ244" s="21"/>
      <c r="GK244" s="21"/>
      <c r="GL244" s="21"/>
      <c r="GM244" s="21"/>
      <c r="GN244" s="21"/>
      <c r="GO244" s="21"/>
      <c r="GP244" s="21"/>
      <c r="GQ244" s="21"/>
      <c r="GR244" s="21"/>
      <c r="GS244" s="21"/>
      <c r="GT244" s="21"/>
      <c r="GU244" s="21"/>
      <c r="GV244" s="21"/>
      <c r="GW244" s="21"/>
      <c r="GX244" s="21"/>
      <c r="GY244" s="21"/>
      <c r="GZ244" s="21"/>
      <c r="HA244" s="21"/>
      <c r="HB244" s="21"/>
    </row>
    <row r="245" spans="1:210"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c r="FH245" s="21"/>
      <c r="FI245" s="21"/>
      <c r="FJ245" s="21"/>
      <c r="FK245" s="21"/>
      <c r="FL245" s="21"/>
      <c r="FM245" s="21"/>
      <c r="FN245" s="21"/>
      <c r="FO245" s="21"/>
      <c r="FP245" s="21"/>
      <c r="FQ245" s="21"/>
      <c r="FR245" s="21"/>
      <c r="FS245" s="21"/>
      <c r="FT245" s="21"/>
      <c r="FU245" s="21"/>
      <c r="FV245" s="21"/>
      <c r="FW245" s="21"/>
      <c r="FX245" s="21"/>
      <c r="FY245" s="21"/>
      <c r="FZ245" s="21"/>
      <c r="GA245" s="21"/>
      <c r="GB245" s="21"/>
      <c r="GC245" s="21"/>
      <c r="GD245" s="21"/>
      <c r="GE245" s="21"/>
      <c r="GF245" s="21"/>
      <c r="GG245" s="21"/>
      <c r="GH245" s="21"/>
      <c r="GI245" s="21"/>
      <c r="GJ245" s="21"/>
      <c r="GK245" s="21"/>
      <c r="GL245" s="21"/>
      <c r="GM245" s="21"/>
      <c r="GN245" s="21"/>
      <c r="GO245" s="21"/>
      <c r="GP245" s="21"/>
      <c r="GQ245" s="21"/>
      <c r="GR245" s="21"/>
      <c r="GS245" s="21"/>
      <c r="GT245" s="21"/>
      <c r="GU245" s="21"/>
      <c r="GV245" s="21"/>
      <c r="GW245" s="21"/>
      <c r="GX245" s="21"/>
      <c r="GY245" s="21"/>
      <c r="GZ245" s="21"/>
      <c r="HA245" s="21"/>
      <c r="HB245" s="21"/>
    </row>
    <row r="246" spans="1:210"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c r="FH246" s="21"/>
      <c r="FI246" s="21"/>
      <c r="FJ246" s="21"/>
      <c r="FK246" s="21"/>
      <c r="FL246" s="21"/>
      <c r="FM246" s="21"/>
      <c r="FN246" s="21"/>
      <c r="FO246" s="21"/>
      <c r="FP246" s="21"/>
      <c r="FQ246" s="21"/>
      <c r="FR246" s="21"/>
      <c r="FS246" s="21"/>
      <c r="FT246" s="21"/>
      <c r="FU246" s="21"/>
      <c r="FV246" s="21"/>
      <c r="FW246" s="21"/>
      <c r="FX246" s="21"/>
      <c r="FY246" s="21"/>
      <c r="FZ246" s="21"/>
      <c r="GA246" s="21"/>
      <c r="GB246" s="21"/>
      <c r="GC246" s="21"/>
      <c r="GD246" s="21"/>
      <c r="GE246" s="21"/>
      <c r="GF246" s="21"/>
      <c r="GG246" s="21"/>
      <c r="GH246" s="21"/>
      <c r="GI246" s="21"/>
      <c r="GJ246" s="21"/>
      <c r="GK246" s="21"/>
      <c r="GL246" s="21"/>
      <c r="GM246" s="21"/>
      <c r="GN246" s="21"/>
      <c r="GO246" s="21"/>
      <c r="GP246" s="21"/>
      <c r="GQ246" s="21"/>
      <c r="GR246" s="21"/>
      <c r="GS246" s="21"/>
      <c r="GT246" s="21"/>
      <c r="GU246" s="21"/>
      <c r="GV246" s="21"/>
      <c r="GW246" s="21"/>
      <c r="GX246" s="21"/>
      <c r="GY246" s="21"/>
      <c r="GZ246" s="21"/>
      <c r="HA246" s="21"/>
      <c r="HB246" s="21"/>
    </row>
    <row r="247" spans="1:210"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c r="DE247" s="21"/>
      <c r="DF247" s="21"/>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c r="FH247" s="21"/>
      <c r="FI247" s="21"/>
      <c r="FJ247" s="21"/>
      <c r="FK247" s="21"/>
      <c r="FL247" s="21"/>
      <c r="FM247" s="21"/>
      <c r="FN247" s="21"/>
      <c r="FO247" s="21"/>
      <c r="FP247" s="21"/>
      <c r="FQ247" s="21"/>
      <c r="FR247" s="21"/>
      <c r="FS247" s="21"/>
      <c r="FT247" s="21"/>
      <c r="FU247" s="21"/>
      <c r="FV247" s="21"/>
      <c r="FW247" s="21"/>
      <c r="FX247" s="21"/>
      <c r="FY247" s="21"/>
      <c r="FZ247" s="21"/>
      <c r="GA247" s="21"/>
      <c r="GB247" s="21"/>
      <c r="GC247" s="21"/>
      <c r="GD247" s="21"/>
      <c r="GE247" s="21"/>
      <c r="GF247" s="21"/>
      <c r="GG247" s="21"/>
      <c r="GH247" s="21"/>
      <c r="GI247" s="21"/>
      <c r="GJ247" s="21"/>
      <c r="GK247" s="21"/>
      <c r="GL247" s="21"/>
      <c r="GM247" s="21"/>
      <c r="GN247" s="21"/>
      <c r="GO247" s="21"/>
      <c r="GP247" s="21"/>
      <c r="GQ247" s="21"/>
      <c r="GR247" s="21"/>
      <c r="GS247" s="21"/>
      <c r="GT247" s="21"/>
      <c r="GU247" s="21"/>
      <c r="GV247" s="21"/>
      <c r="GW247" s="21"/>
      <c r="GX247" s="21"/>
      <c r="GY247" s="21"/>
      <c r="GZ247" s="21"/>
      <c r="HA247" s="21"/>
      <c r="HB247" s="21"/>
    </row>
    <row r="248" spans="1:210"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c r="DE248" s="21"/>
      <c r="DF248" s="21"/>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c r="FH248" s="21"/>
      <c r="FI248" s="21"/>
      <c r="FJ248" s="21"/>
      <c r="FK248" s="21"/>
      <c r="FL248" s="21"/>
      <c r="FM248" s="21"/>
      <c r="FN248" s="21"/>
      <c r="FO248" s="21"/>
      <c r="FP248" s="21"/>
      <c r="FQ248" s="21"/>
      <c r="FR248" s="21"/>
      <c r="FS248" s="21"/>
      <c r="FT248" s="21"/>
      <c r="FU248" s="21"/>
      <c r="FV248" s="21"/>
      <c r="FW248" s="21"/>
      <c r="FX248" s="21"/>
      <c r="FY248" s="21"/>
      <c r="FZ248" s="21"/>
      <c r="GA248" s="21"/>
      <c r="GB248" s="21"/>
      <c r="GC248" s="21"/>
      <c r="GD248" s="21"/>
      <c r="GE248" s="21"/>
      <c r="GF248" s="21"/>
      <c r="GG248" s="21"/>
      <c r="GH248" s="21"/>
      <c r="GI248" s="21"/>
      <c r="GJ248" s="21"/>
      <c r="GK248" s="21"/>
      <c r="GL248" s="21"/>
      <c r="GM248" s="21"/>
      <c r="GN248" s="21"/>
      <c r="GO248" s="21"/>
      <c r="GP248" s="21"/>
      <c r="GQ248" s="21"/>
      <c r="GR248" s="21"/>
      <c r="GS248" s="21"/>
      <c r="GT248" s="21"/>
      <c r="GU248" s="21"/>
      <c r="GV248" s="21"/>
      <c r="GW248" s="21"/>
      <c r="GX248" s="21"/>
      <c r="GY248" s="21"/>
      <c r="GZ248" s="21"/>
      <c r="HA248" s="21"/>
      <c r="HB248" s="21"/>
    </row>
    <row r="249" spans="1:210"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c r="FJ249" s="21"/>
      <c r="FK249" s="21"/>
      <c r="FL249" s="21"/>
      <c r="FM249" s="21"/>
      <c r="FN249" s="21"/>
      <c r="FO249" s="21"/>
      <c r="FP249" s="21"/>
      <c r="FQ249" s="21"/>
      <c r="FR249" s="21"/>
      <c r="FS249" s="21"/>
      <c r="FT249" s="21"/>
      <c r="FU249" s="21"/>
      <c r="FV249" s="21"/>
      <c r="FW249" s="21"/>
      <c r="FX249" s="21"/>
      <c r="FY249" s="21"/>
      <c r="FZ249" s="21"/>
      <c r="GA249" s="21"/>
      <c r="GB249" s="21"/>
      <c r="GC249" s="21"/>
      <c r="GD249" s="21"/>
      <c r="GE249" s="21"/>
      <c r="GF249" s="21"/>
      <c r="GG249" s="21"/>
      <c r="GH249" s="21"/>
      <c r="GI249" s="21"/>
      <c r="GJ249" s="21"/>
      <c r="GK249" s="21"/>
      <c r="GL249" s="21"/>
      <c r="GM249" s="21"/>
      <c r="GN249" s="21"/>
      <c r="GO249" s="21"/>
      <c r="GP249" s="21"/>
      <c r="GQ249" s="21"/>
      <c r="GR249" s="21"/>
      <c r="GS249" s="21"/>
      <c r="GT249" s="21"/>
      <c r="GU249" s="21"/>
      <c r="GV249" s="21"/>
      <c r="GW249" s="21"/>
      <c r="GX249" s="21"/>
      <c r="GY249" s="21"/>
      <c r="GZ249" s="21"/>
      <c r="HA249" s="21"/>
      <c r="HB249" s="21"/>
    </row>
    <row r="250" spans="1:210"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c r="FH250" s="21"/>
      <c r="FI250" s="21"/>
      <c r="FJ250" s="21"/>
      <c r="FK250" s="21"/>
      <c r="FL250" s="21"/>
      <c r="FM250" s="21"/>
      <c r="FN250" s="21"/>
      <c r="FO250" s="21"/>
      <c r="FP250" s="21"/>
      <c r="FQ250" s="21"/>
      <c r="FR250" s="21"/>
      <c r="FS250" s="21"/>
      <c r="FT250" s="21"/>
      <c r="FU250" s="21"/>
      <c r="FV250" s="21"/>
      <c r="FW250" s="21"/>
      <c r="FX250" s="21"/>
      <c r="FY250" s="21"/>
      <c r="FZ250" s="21"/>
      <c r="GA250" s="21"/>
      <c r="GB250" s="21"/>
      <c r="GC250" s="21"/>
      <c r="GD250" s="21"/>
      <c r="GE250" s="21"/>
      <c r="GF250" s="21"/>
      <c r="GG250" s="21"/>
      <c r="GH250" s="21"/>
      <c r="GI250" s="21"/>
      <c r="GJ250" s="21"/>
      <c r="GK250" s="21"/>
      <c r="GL250" s="21"/>
      <c r="GM250" s="21"/>
      <c r="GN250" s="21"/>
      <c r="GO250" s="21"/>
      <c r="GP250" s="21"/>
      <c r="GQ250" s="21"/>
      <c r="GR250" s="21"/>
      <c r="GS250" s="21"/>
      <c r="GT250" s="21"/>
      <c r="GU250" s="21"/>
      <c r="GV250" s="21"/>
      <c r="GW250" s="21"/>
      <c r="GX250" s="21"/>
      <c r="GY250" s="21"/>
      <c r="GZ250" s="21"/>
      <c r="HA250" s="21"/>
      <c r="HB250" s="21"/>
    </row>
    <row r="251" spans="1:210"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c r="FJ251" s="21"/>
      <c r="FK251" s="21"/>
      <c r="FL251" s="21"/>
      <c r="FM251" s="21"/>
      <c r="FN251" s="21"/>
      <c r="FO251" s="21"/>
      <c r="FP251" s="21"/>
      <c r="FQ251" s="21"/>
      <c r="FR251" s="21"/>
      <c r="FS251" s="21"/>
      <c r="FT251" s="21"/>
      <c r="FU251" s="21"/>
      <c r="FV251" s="21"/>
      <c r="FW251" s="21"/>
      <c r="FX251" s="21"/>
      <c r="FY251" s="21"/>
      <c r="FZ251" s="21"/>
      <c r="GA251" s="21"/>
      <c r="GB251" s="21"/>
      <c r="GC251" s="21"/>
      <c r="GD251" s="21"/>
      <c r="GE251" s="21"/>
      <c r="GF251" s="21"/>
      <c r="GG251" s="21"/>
      <c r="GH251" s="21"/>
      <c r="GI251" s="21"/>
      <c r="GJ251" s="21"/>
      <c r="GK251" s="21"/>
      <c r="GL251" s="21"/>
      <c r="GM251" s="21"/>
      <c r="GN251" s="21"/>
      <c r="GO251" s="21"/>
      <c r="GP251" s="21"/>
      <c r="GQ251" s="21"/>
      <c r="GR251" s="21"/>
      <c r="GS251" s="21"/>
      <c r="GT251" s="21"/>
      <c r="GU251" s="21"/>
      <c r="GV251" s="21"/>
      <c r="GW251" s="21"/>
      <c r="GX251" s="21"/>
      <c r="GY251" s="21"/>
      <c r="GZ251" s="21"/>
      <c r="HA251" s="21"/>
      <c r="HB251" s="21"/>
    </row>
    <row r="252" spans="1:210"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c r="FJ252" s="21"/>
      <c r="FK252" s="21"/>
      <c r="FL252" s="21"/>
      <c r="FM252" s="21"/>
      <c r="FN252" s="21"/>
      <c r="FO252" s="21"/>
      <c r="FP252" s="21"/>
      <c r="FQ252" s="21"/>
      <c r="FR252" s="21"/>
      <c r="FS252" s="21"/>
      <c r="FT252" s="21"/>
      <c r="FU252" s="21"/>
      <c r="FV252" s="21"/>
      <c r="FW252" s="21"/>
      <c r="FX252" s="21"/>
      <c r="FY252" s="21"/>
      <c r="FZ252" s="21"/>
      <c r="GA252" s="21"/>
      <c r="GB252" s="21"/>
      <c r="GC252" s="21"/>
      <c r="GD252" s="21"/>
      <c r="GE252" s="21"/>
      <c r="GF252" s="21"/>
      <c r="GG252" s="21"/>
      <c r="GH252" s="21"/>
      <c r="GI252" s="21"/>
      <c r="GJ252" s="21"/>
      <c r="GK252" s="21"/>
      <c r="GL252" s="21"/>
      <c r="GM252" s="21"/>
      <c r="GN252" s="21"/>
      <c r="GO252" s="21"/>
      <c r="GP252" s="21"/>
      <c r="GQ252" s="21"/>
      <c r="GR252" s="21"/>
      <c r="GS252" s="21"/>
      <c r="GT252" s="21"/>
      <c r="GU252" s="21"/>
      <c r="GV252" s="21"/>
      <c r="GW252" s="21"/>
      <c r="GX252" s="21"/>
      <c r="GY252" s="21"/>
      <c r="GZ252" s="21"/>
      <c r="HA252" s="21"/>
      <c r="HB252" s="21"/>
    </row>
    <row r="253" spans="1:210"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c r="FJ253" s="21"/>
      <c r="FK253" s="21"/>
      <c r="FL253" s="21"/>
      <c r="FM253" s="21"/>
      <c r="FN253" s="21"/>
      <c r="FO253" s="21"/>
      <c r="FP253" s="21"/>
      <c r="FQ253" s="21"/>
      <c r="FR253" s="21"/>
      <c r="FS253" s="21"/>
      <c r="FT253" s="21"/>
      <c r="FU253" s="21"/>
      <c r="FV253" s="21"/>
      <c r="FW253" s="21"/>
      <c r="FX253" s="21"/>
      <c r="FY253" s="21"/>
      <c r="FZ253" s="21"/>
      <c r="GA253" s="21"/>
      <c r="GB253" s="21"/>
      <c r="GC253" s="21"/>
      <c r="GD253" s="21"/>
      <c r="GE253" s="21"/>
      <c r="GF253" s="21"/>
      <c r="GG253" s="21"/>
      <c r="GH253" s="21"/>
      <c r="GI253" s="21"/>
      <c r="GJ253" s="21"/>
      <c r="GK253" s="21"/>
      <c r="GL253" s="21"/>
      <c r="GM253" s="21"/>
      <c r="GN253" s="21"/>
      <c r="GO253" s="21"/>
      <c r="GP253" s="21"/>
      <c r="GQ253" s="21"/>
      <c r="GR253" s="21"/>
      <c r="GS253" s="21"/>
      <c r="GT253" s="21"/>
      <c r="GU253" s="21"/>
      <c r="GV253" s="21"/>
      <c r="GW253" s="21"/>
      <c r="GX253" s="21"/>
      <c r="GY253" s="21"/>
      <c r="GZ253" s="21"/>
      <c r="HA253" s="21"/>
      <c r="HB253" s="21"/>
    </row>
    <row r="254" spans="1:210"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c r="FJ254" s="21"/>
      <c r="FK254" s="21"/>
      <c r="FL254" s="21"/>
      <c r="FM254" s="21"/>
      <c r="FN254" s="21"/>
      <c r="FO254" s="21"/>
      <c r="FP254" s="21"/>
      <c r="FQ254" s="21"/>
      <c r="FR254" s="21"/>
      <c r="FS254" s="21"/>
      <c r="FT254" s="21"/>
      <c r="FU254" s="21"/>
      <c r="FV254" s="21"/>
      <c r="FW254" s="21"/>
      <c r="FX254" s="21"/>
      <c r="FY254" s="21"/>
      <c r="FZ254" s="21"/>
      <c r="GA254" s="21"/>
      <c r="GB254" s="21"/>
      <c r="GC254" s="21"/>
      <c r="GD254" s="21"/>
      <c r="GE254" s="21"/>
      <c r="GF254" s="21"/>
      <c r="GG254" s="21"/>
      <c r="GH254" s="21"/>
      <c r="GI254" s="21"/>
      <c r="GJ254" s="21"/>
      <c r="GK254" s="21"/>
      <c r="GL254" s="21"/>
      <c r="GM254" s="21"/>
      <c r="GN254" s="21"/>
      <c r="GO254" s="21"/>
      <c r="GP254" s="21"/>
      <c r="GQ254" s="21"/>
      <c r="GR254" s="21"/>
      <c r="GS254" s="21"/>
      <c r="GT254" s="21"/>
      <c r="GU254" s="21"/>
      <c r="GV254" s="21"/>
      <c r="GW254" s="21"/>
      <c r="GX254" s="21"/>
      <c r="GY254" s="21"/>
      <c r="GZ254" s="21"/>
      <c r="HA254" s="21"/>
      <c r="HB254" s="21"/>
    </row>
    <row r="255" spans="1:210"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c r="FJ255" s="21"/>
      <c r="FK255" s="21"/>
      <c r="FL255" s="21"/>
      <c r="FM255" s="21"/>
      <c r="FN255" s="21"/>
      <c r="FO255" s="21"/>
      <c r="FP255" s="21"/>
      <c r="FQ255" s="21"/>
      <c r="FR255" s="21"/>
      <c r="FS255" s="21"/>
      <c r="FT255" s="21"/>
      <c r="FU255" s="21"/>
      <c r="FV255" s="21"/>
      <c r="FW255" s="21"/>
      <c r="FX255" s="21"/>
      <c r="FY255" s="21"/>
      <c r="FZ255" s="21"/>
      <c r="GA255" s="21"/>
      <c r="GB255" s="21"/>
      <c r="GC255" s="21"/>
      <c r="GD255" s="21"/>
      <c r="GE255" s="21"/>
      <c r="GF255" s="21"/>
      <c r="GG255" s="21"/>
      <c r="GH255" s="21"/>
      <c r="GI255" s="21"/>
      <c r="GJ255" s="21"/>
      <c r="GK255" s="21"/>
      <c r="GL255" s="21"/>
      <c r="GM255" s="21"/>
      <c r="GN255" s="21"/>
      <c r="GO255" s="21"/>
      <c r="GP255" s="21"/>
      <c r="GQ255" s="21"/>
      <c r="GR255" s="21"/>
      <c r="GS255" s="21"/>
      <c r="GT255" s="21"/>
      <c r="GU255" s="21"/>
      <c r="GV255" s="21"/>
      <c r="GW255" s="21"/>
      <c r="GX255" s="21"/>
      <c r="GY255" s="21"/>
      <c r="GZ255" s="21"/>
      <c r="HA255" s="21"/>
      <c r="HB255" s="21"/>
    </row>
    <row r="256" spans="1:210"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c r="DE256" s="21"/>
      <c r="DF256" s="21"/>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c r="FH256" s="21"/>
      <c r="FI256" s="21"/>
      <c r="FJ256" s="21"/>
      <c r="FK256" s="21"/>
      <c r="FL256" s="21"/>
      <c r="FM256" s="21"/>
      <c r="FN256" s="21"/>
      <c r="FO256" s="21"/>
      <c r="FP256" s="21"/>
      <c r="FQ256" s="21"/>
      <c r="FR256" s="21"/>
      <c r="FS256" s="21"/>
      <c r="FT256" s="21"/>
      <c r="FU256" s="21"/>
      <c r="FV256" s="21"/>
      <c r="FW256" s="21"/>
      <c r="FX256" s="21"/>
      <c r="FY256" s="21"/>
      <c r="FZ256" s="21"/>
      <c r="GA256" s="21"/>
      <c r="GB256" s="21"/>
      <c r="GC256" s="21"/>
      <c r="GD256" s="21"/>
      <c r="GE256" s="21"/>
      <c r="GF256" s="21"/>
      <c r="GG256" s="21"/>
      <c r="GH256" s="21"/>
      <c r="GI256" s="21"/>
      <c r="GJ256" s="21"/>
      <c r="GK256" s="21"/>
      <c r="GL256" s="21"/>
      <c r="GM256" s="21"/>
      <c r="GN256" s="21"/>
      <c r="GO256" s="21"/>
      <c r="GP256" s="21"/>
      <c r="GQ256" s="21"/>
      <c r="GR256" s="21"/>
      <c r="GS256" s="21"/>
      <c r="GT256" s="21"/>
      <c r="GU256" s="21"/>
      <c r="GV256" s="21"/>
      <c r="GW256" s="21"/>
      <c r="GX256" s="21"/>
      <c r="GY256" s="21"/>
      <c r="GZ256" s="21"/>
      <c r="HA256" s="21"/>
      <c r="HB256" s="21"/>
    </row>
    <row r="257" spans="1:210"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c r="DE257" s="21"/>
      <c r="DF257" s="21"/>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c r="FH257" s="21"/>
      <c r="FI257" s="21"/>
      <c r="FJ257" s="21"/>
      <c r="FK257" s="21"/>
      <c r="FL257" s="21"/>
      <c r="FM257" s="21"/>
      <c r="FN257" s="21"/>
      <c r="FO257" s="21"/>
      <c r="FP257" s="21"/>
      <c r="FQ257" s="21"/>
      <c r="FR257" s="21"/>
      <c r="FS257" s="21"/>
      <c r="FT257" s="21"/>
      <c r="FU257" s="21"/>
      <c r="FV257" s="21"/>
      <c r="FW257" s="21"/>
      <c r="FX257" s="21"/>
      <c r="FY257" s="21"/>
      <c r="FZ257" s="21"/>
      <c r="GA257" s="21"/>
      <c r="GB257" s="21"/>
      <c r="GC257" s="21"/>
      <c r="GD257" s="21"/>
      <c r="GE257" s="21"/>
      <c r="GF257" s="21"/>
      <c r="GG257" s="21"/>
      <c r="GH257" s="21"/>
      <c r="GI257" s="21"/>
      <c r="GJ257" s="21"/>
      <c r="GK257" s="21"/>
      <c r="GL257" s="21"/>
      <c r="GM257" s="21"/>
      <c r="GN257" s="21"/>
      <c r="GO257" s="21"/>
      <c r="GP257" s="21"/>
      <c r="GQ257" s="21"/>
      <c r="GR257" s="21"/>
      <c r="GS257" s="21"/>
      <c r="GT257" s="21"/>
      <c r="GU257" s="21"/>
      <c r="GV257" s="21"/>
      <c r="GW257" s="21"/>
      <c r="GX257" s="21"/>
      <c r="GY257" s="21"/>
      <c r="GZ257" s="21"/>
      <c r="HA257" s="21"/>
      <c r="HB257" s="21"/>
    </row>
    <row r="258" spans="1:210"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c r="FJ258" s="21"/>
      <c r="FK258" s="21"/>
      <c r="FL258" s="21"/>
      <c r="FM258" s="21"/>
      <c r="FN258" s="21"/>
      <c r="FO258" s="21"/>
      <c r="FP258" s="21"/>
      <c r="FQ258" s="21"/>
      <c r="FR258" s="21"/>
      <c r="FS258" s="21"/>
      <c r="FT258" s="21"/>
      <c r="FU258" s="21"/>
      <c r="FV258" s="21"/>
      <c r="FW258" s="21"/>
      <c r="FX258" s="21"/>
      <c r="FY258" s="21"/>
      <c r="FZ258" s="21"/>
      <c r="GA258" s="21"/>
      <c r="GB258" s="21"/>
      <c r="GC258" s="21"/>
      <c r="GD258" s="21"/>
      <c r="GE258" s="21"/>
      <c r="GF258" s="21"/>
      <c r="GG258" s="21"/>
      <c r="GH258" s="21"/>
      <c r="GI258" s="21"/>
      <c r="GJ258" s="21"/>
      <c r="GK258" s="21"/>
      <c r="GL258" s="21"/>
      <c r="GM258" s="21"/>
      <c r="GN258" s="21"/>
      <c r="GO258" s="21"/>
      <c r="GP258" s="21"/>
      <c r="GQ258" s="21"/>
      <c r="GR258" s="21"/>
      <c r="GS258" s="21"/>
      <c r="GT258" s="21"/>
      <c r="GU258" s="21"/>
      <c r="GV258" s="21"/>
      <c r="GW258" s="21"/>
      <c r="GX258" s="21"/>
      <c r="GY258" s="21"/>
      <c r="GZ258" s="21"/>
      <c r="HA258" s="21"/>
      <c r="HB258" s="21"/>
    </row>
    <row r="259" spans="1:210"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c r="FJ259" s="21"/>
      <c r="FK259" s="21"/>
      <c r="FL259" s="21"/>
      <c r="FM259" s="21"/>
      <c r="FN259" s="21"/>
      <c r="FO259" s="21"/>
      <c r="FP259" s="21"/>
      <c r="FQ259" s="21"/>
      <c r="FR259" s="21"/>
      <c r="FS259" s="21"/>
      <c r="FT259" s="21"/>
      <c r="FU259" s="21"/>
      <c r="FV259" s="21"/>
      <c r="FW259" s="21"/>
      <c r="FX259" s="21"/>
      <c r="FY259" s="21"/>
      <c r="FZ259" s="21"/>
      <c r="GA259" s="21"/>
      <c r="GB259" s="21"/>
      <c r="GC259" s="21"/>
      <c r="GD259" s="21"/>
      <c r="GE259" s="21"/>
      <c r="GF259" s="21"/>
      <c r="GG259" s="21"/>
      <c r="GH259" s="21"/>
      <c r="GI259" s="21"/>
      <c r="GJ259" s="21"/>
      <c r="GK259" s="21"/>
      <c r="GL259" s="21"/>
      <c r="GM259" s="21"/>
      <c r="GN259" s="21"/>
      <c r="GO259" s="21"/>
      <c r="GP259" s="21"/>
      <c r="GQ259" s="21"/>
      <c r="GR259" s="21"/>
      <c r="GS259" s="21"/>
      <c r="GT259" s="21"/>
      <c r="GU259" s="21"/>
      <c r="GV259" s="21"/>
      <c r="GW259" s="21"/>
      <c r="GX259" s="21"/>
      <c r="GY259" s="21"/>
      <c r="GZ259" s="21"/>
      <c r="HA259" s="21"/>
      <c r="HB259" s="21"/>
    </row>
    <row r="260" spans="1:210"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c r="GJ260" s="21"/>
      <c r="GK260" s="21"/>
      <c r="GL260" s="21"/>
      <c r="GM260" s="21"/>
      <c r="GN260" s="21"/>
      <c r="GO260" s="21"/>
      <c r="GP260" s="21"/>
      <c r="GQ260" s="21"/>
      <c r="GR260" s="21"/>
      <c r="GS260" s="21"/>
      <c r="GT260" s="21"/>
      <c r="GU260" s="21"/>
      <c r="GV260" s="21"/>
      <c r="GW260" s="21"/>
      <c r="GX260" s="21"/>
      <c r="GY260" s="21"/>
      <c r="GZ260" s="21"/>
      <c r="HA260" s="21"/>
      <c r="HB260" s="21"/>
    </row>
    <row r="261" spans="1:210"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c r="FZ261" s="21"/>
      <c r="GA261" s="21"/>
      <c r="GB261" s="21"/>
      <c r="GC261" s="21"/>
      <c r="GD261" s="21"/>
      <c r="GE261" s="21"/>
      <c r="GF261" s="21"/>
      <c r="GG261" s="21"/>
      <c r="GH261" s="21"/>
      <c r="GI261" s="21"/>
      <c r="GJ261" s="21"/>
      <c r="GK261" s="21"/>
      <c r="GL261" s="21"/>
      <c r="GM261" s="21"/>
      <c r="GN261" s="21"/>
      <c r="GO261" s="21"/>
      <c r="GP261" s="21"/>
      <c r="GQ261" s="21"/>
      <c r="GR261" s="21"/>
      <c r="GS261" s="21"/>
      <c r="GT261" s="21"/>
      <c r="GU261" s="21"/>
      <c r="GV261" s="21"/>
      <c r="GW261" s="21"/>
      <c r="GX261" s="21"/>
      <c r="GY261" s="21"/>
      <c r="GZ261" s="21"/>
      <c r="HA261" s="21"/>
      <c r="HB261" s="21"/>
    </row>
    <row r="262" spans="1:210"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c r="FJ262" s="21"/>
      <c r="FK262" s="21"/>
      <c r="FL262" s="21"/>
      <c r="FM262" s="21"/>
      <c r="FN262" s="21"/>
      <c r="FO262" s="21"/>
      <c r="FP262" s="21"/>
      <c r="FQ262" s="21"/>
      <c r="FR262" s="21"/>
      <c r="FS262" s="21"/>
      <c r="FT262" s="21"/>
      <c r="FU262" s="21"/>
      <c r="FV262" s="21"/>
      <c r="FW262" s="21"/>
      <c r="FX262" s="21"/>
      <c r="FY262" s="21"/>
      <c r="FZ262" s="21"/>
      <c r="GA262" s="21"/>
      <c r="GB262" s="21"/>
      <c r="GC262" s="21"/>
      <c r="GD262" s="21"/>
      <c r="GE262" s="21"/>
      <c r="GF262" s="21"/>
      <c r="GG262" s="21"/>
      <c r="GH262" s="21"/>
      <c r="GI262" s="21"/>
      <c r="GJ262" s="21"/>
      <c r="GK262" s="21"/>
      <c r="GL262" s="21"/>
      <c r="GM262" s="21"/>
      <c r="GN262" s="21"/>
      <c r="GO262" s="21"/>
      <c r="GP262" s="21"/>
      <c r="GQ262" s="21"/>
      <c r="GR262" s="21"/>
      <c r="GS262" s="21"/>
      <c r="GT262" s="21"/>
      <c r="GU262" s="21"/>
      <c r="GV262" s="21"/>
      <c r="GW262" s="21"/>
      <c r="GX262" s="21"/>
      <c r="GY262" s="21"/>
      <c r="GZ262" s="21"/>
      <c r="HA262" s="21"/>
      <c r="HB262" s="21"/>
    </row>
    <row r="263" spans="1:210"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c r="FJ263" s="21"/>
      <c r="FK263" s="21"/>
      <c r="FL263" s="21"/>
      <c r="FM263" s="21"/>
      <c r="FN263" s="21"/>
      <c r="FO263" s="21"/>
      <c r="FP263" s="21"/>
      <c r="FQ263" s="21"/>
      <c r="FR263" s="21"/>
      <c r="FS263" s="21"/>
      <c r="FT263" s="21"/>
      <c r="FU263" s="21"/>
      <c r="FV263" s="21"/>
      <c r="FW263" s="21"/>
      <c r="FX263" s="21"/>
      <c r="FY263" s="21"/>
      <c r="FZ263" s="21"/>
      <c r="GA263" s="21"/>
      <c r="GB263" s="21"/>
      <c r="GC263" s="21"/>
      <c r="GD263" s="21"/>
      <c r="GE263" s="21"/>
      <c r="GF263" s="21"/>
      <c r="GG263" s="21"/>
      <c r="GH263" s="21"/>
      <c r="GI263" s="21"/>
      <c r="GJ263" s="21"/>
      <c r="GK263" s="21"/>
      <c r="GL263" s="21"/>
      <c r="GM263" s="21"/>
      <c r="GN263" s="21"/>
      <c r="GO263" s="21"/>
      <c r="GP263" s="21"/>
      <c r="GQ263" s="21"/>
      <c r="GR263" s="21"/>
      <c r="GS263" s="21"/>
      <c r="GT263" s="21"/>
      <c r="GU263" s="21"/>
      <c r="GV263" s="21"/>
      <c r="GW263" s="21"/>
      <c r="GX263" s="21"/>
      <c r="GY263" s="21"/>
      <c r="GZ263" s="21"/>
      <c r="HA263" s="21"/>
      <c r="HB263" s="21"/>
    </row>
    <row r="264" spans="1:210"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c r="FJ264" s="21"/>
      <c r="FK264" s="21"/>
      <c r="FL264" s="21"/>
      <c r="FM264" s="21"/>
      <c r="FN264" s="21"/>
      <c r="FO264" s="21"/>
      <c r="FP264" s="21"/>
      <c r="FQ264" s="21"/>
      <c r="FR264" s="21"/>
      <c r="FS264" s="21"/>
      <c r="FT264" s="21"/>
      <c r="FU264" s="21"/>
      <c r="FV264" s="21"/>
      <c r="FW264" s="21"/>
      <c r="FX264" s="21"/>
      <c r="FY264" s="21"/>
      <c r="FZ264" s="21"/>
      <c r="GA264" s="21"/>
      <c r="GB264" s="21"/>
      <c r="GC264" s="21"/>
      <c r="GD264" s="21"/>
      <c r="GE264" s="21"/>
      <c r="GF264" s="21"/>
      <c r="GG264" s="21"/>
      <c r="GH264" s="21"/>
      <c r="GI264" s="21"/>
      <c r="GJ264" s="21"/>
      <c r="GK264" s="21"/>
      <c r="GL264" s="21"/>
      <c r="GM264" s="21"/>
      <c r="GN264" s="21"/>
      <c r="GO264" s="21"/>
      <c r="GP264" s="21"/>
      <c r="GQ264" s="21"/>
      <c r="GR264" s="21"/>
      <c r="GS264" s="21"/>
      <c r="GT264" s="21"/>
      <c r="GU264" s="21"/>
      <c r="GV264" s="21"/>
      <c r="GW264" s="21"/>
      <c r="GX264" s="21"/>
      <c r="GY264" s="21"/>
      <c r="GZ264" s="21"/>
      <c r="HA264" s="21"/>
      <c r="HB264" s="21"/>
    </row>
    <row r="265" spans="1:210"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c r="FH265" s="21"/>
      <c r="FI265" s="21"/>
      <c r="FJ265" s="21"/>
      <c r="FK265" s="21"/>
      <c r="FL265" s="21"/>
      <c r="FM265" s="21"/>
      <c r="FN265" s="21"/>
      <c r="FO265" s="21"/>
      <c r="FP265" s="21"/>
      <c r="FQ265" s="21"/>
      <c r="FR265" s="21"/>
      <c r="FS265" s="21"/>
      <c r="FT265" s="21"/>
      <c r="FU265" s="21"/>
      <c r="FV265" s="21"/>
      <c r="FW265" s="21"/>
      <c r="FX265" s="21"/>
      <c r="FY265" s="21"/>
      <c r="FZ265" s="21"/>
      <c r="GA265" s="21"/>
      <c r="GB265" s="21"/>
      <c r="GC265" s="21"/>
      <c r="GD265" s="21"/>
      <c r="GE265" s="21"/>
      <c r="GF265" s="21"/>
      <c r="GG265" s="21"/>
      <c r="GH265" s="21"/>
      <c r="GI265" s="21"/>
      <c r="GJ265" s="21"/>
      <c r="GK265" s="21"/>
      <c r="GL265" s="21"/>
      <c r="GM265" s="21"/>
      <c r="GN265" s="21"/>
      <c r="GO265" s="21"/>
      <c r="GP265" s="21"/>
      <c r="GQ265" s="21"/>
      <c r="GR265" s="21"/>
      <c r="GS265" s="21"/>
      <c r="GT265" s="21"/>
      <c r="GU265" s="21"/>
      <c r="GV265" s="21"/>
      <c r="GW265" s="21"/>
      <c r="GX265" s="21"/>
      <c r="GY265" s="21"/>
      <c r="GZ265" s="21"/>
      <c r="HA265" s="21"/>
      <c r="HB265" s="21"/>
    </row>
    <row r="266" spans="1:210"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c r="FH266" s="21"/>
      <c r="FI266" s="21"/>
      <c r="FJ266" s="21"/>
      <c r="FK266" s="21"/>
      <c r="FL266" s="21"/>
      <c r="FM266" s="21"/>
      <c r="FN266" s="21"/>
      <c r="FO266" s="21"/>
      <c r="FP266" s="21"/>
      <c r="FQ266" s="21"/>
      <c r="FR266" s="21"/>
      <c r="FS266" s="21"/>
      <c r="FT266" s="21"/>
      <c r="FU266" s="21"/>
      <c r="FV266" s="21"/>
      <c r="FW266" s="21"/>
      <c r="FX266" s="21"/>
      <c r="FY266" s="21"/>
      <c r="FZ266" s="21"/>
      <c r="GA266" s="21"/>
      <c r="GB266" s="21"/>
      <c r="GC266" s="21"/>
      <c r="GD266" s="21"/>
      <c r="GE266" s="21"/>
      <c r="GF266" s="21"/>
      <c r="GG266" s="21"/>
      <c r="GH266" s="21"/>
      <c r="GI266" s="21"/>
      <c r="GJ266" s="21"/>
      <c r="GK266" s="21"/>
      <c r="GL266" s="21"/>
      <c r="GM266" s="21"/>
      <c r="GN266" s="21"/>
      <c r="GO266" s="21"/>
      <c r="GP266" s="21"/>
      <c r="GQ266" s="21"/>
      <c r="GR266" s="21"/>
      <c r="GS266" s="21"/>
      <c r="GT266" s="21"/>
      <c r="GU266" s="21"/>
      <c r="GV266" s="21"/>
      <c r="GW266" s="21"/>
      <c r="GX266" s="21"/>
      <c r="GY266" s="21"/>
      <c r="GZ266" s="21"/>
      <c r="HA266" s="21"/>
      <c r="HB266" s="21"/>
    </row>
    <row r="267" spans="1:210"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c r="GX267" s="21"/>
      <c r="GY267" s="21"/>
      <c r="GZ267" s="21"/>
      <c r="HA267" s="21"/>
      <c r="HB267" s="21"/>
    </row>
    <row r="268" spans="1:210"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c r="FJ268" s="21"/>
      <c r="FK268" s="21"/>
      <c r="FL268" s="21"/>
      <c r="FM268" s="21"/>
      <c r="FN268" s="21"/>
      <c r="FO268" s="21"/>
      <c r="FP268" s="21"/>
      <c r="FQ268" s="21"/>
      <c r="FR268" s="21"/>
      <c r="FS268" s="21"/>
      <c r="FT268" s="21"/>
      <c r="FU268" s="21"/>
      <c r="FV268" s="21"/>
      <c r="FW268" s="21"/>
      <c r="FX268" s="21"/>
      <c r="FY268" s="21"/>
      <c r="FZ268" s="21"/>
      <c r="GA268" s="21"/>
      <c r="GB268" s="21"/>
      <c r="GC268" s="21"/>
      <c r="GD268" s="21"/>
      <c r="GE268" s="21"/>
      <c r="GF268" s="21"/>
      <c r="GG268" s="21"/>
      <c r="GH268" s="21"/>
      <c r="GI268" s="21"/>
      <c r="GJ268" s="21"/>
      <c r="GK268" s="21"/>
      <c r="GL268" s="21"/>
      <c r="GM268" s="21"/>
      <c r="GN268" s="21"/>
      <c r="GO268" s="21"/>
      <c r="GP268" s="21"/>
      <c r="GQ268" s="21"/>
      <c r="GR268" s="21"/>
      <c r="GS268" s="21"/>
      <c r="GT268" s="21"/>
      <c r="GU268" s="21"/>
      <c r="GV268" s="21"/>
      <c r="GW268" s="21"/>
      <c r="GX268" s="21"/>
      <c r="GY268" s="21"/>
      <c r="GZ268" s="21"/>
      <c r="HA268" s="21"/>
      <c r="HB268" s="21"/>
    </row>
    <row r="269" spans="1:210"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c r="FJ269" s="21"/>
      <c r="FK269" s="21"/>
      <c r="FL269" s="21"/>
      <c r="FM269" s="21"/>
      <c r="FN269" s="21"/>
      <c r="FO269" s="21"/>
      <c r="FP269" s="21"/>
      <c r="FQ269" s="21"/>
      <c r="FR269" s="21"/>
      <c r="FS269" s="21"/>
      <c r="FT269" s="21"/>
      <c r="FU269" s="21"/>
      <c r="FV269" s="21"/>
      <c r="FW269" s="21"/>
      <c r="FX269" s="21"/>
      <c r="FY269" s="21"/>
      <c r="FZ269" s="21"/>
      <c r="GA269" s="21"/>
      <c r="GB269" s="21"/>
      <c r="GC269" s="21"/>
      <c r="GD269" s="21"/>
      <c r="GE269" s="21"/>
      <c r="GF269" s="21"/>
      <c r="GG269" s="21"/>
      <c r="GH269" s="21"/>
      <c r="GI269" s="21"/>
      <c r="GJ269" s="21"/>
      <c r="GK269" s="21"/>
      <c r="GL269" s="21"/>
      <c r="GM269" s="21"/>
      <c r="GN269" s="21"/>
      <c r="GO269" s="21"/>
      <c r="GP269" s="21"/>
      <c r="GQ269" s="21"/>
      <c r="GR269" s="21"/>
      <c r="GS269" s="21"/>
      <c r="GT269" s="21"/>
      <c r="GU269" s="21"/>
      <c r="GV269" s="21"/>
      <c r="GW269" s="21"/>
      <c r="GX269" s="21"/>
      <c r="GY269" s="21"/>
      <c r="GZ269" s="21"/>
      <c r="HA269" s="21"/>
      <c r="HB269" s="21"/>
    </row>
    <row r="270" spans="1:210"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c r="FJ270" s="21"/>
      <c r="FK270" s="21"/>
      <c r="FL270" s="21"/>
      <c r="FM270" s="21"/>
      <c r="FN270" s="21"/>
      <c r="FO270" s="21"/>
      <c r="FP270" s="21"/>
      <c r="FQ270" s="21"/>
      <c r="FR270" s="21"/>
      <c r="FS270" s="21"/>
      <c r="FT270" s="21"/>
      <c r="FU270" s="21"/>
      <c r="FV270" s="21"/>
      <c r="FW270" s="21"/>
      <c r="FX270" s="21"/>
      <c r="FY270" s="21"/>
      <c r="FZ270" s="21"/>
      <c r="GA270" s="21"/>
      <c r="GB270" s="21"/>
      <c r="GC270" s="21"/>
      <c r="GD270" s="21"/>
      <c r="GE270" s="21"/>
      <c r="GF270" s="21"/>
      <c r="GG270" s="21"/>
      <c r="GH270" s="21"/>
      <c r="GI270" s="21"/>
      <c r="GJ270" s="21"/>
      <c r="GK270" s="21"/>
      <c r="GL270" s="21"/>
      <c r="GM270" s="21"/>
      <c r="GN270" s="21"/>
      <c r="GO270" s="21"/>
      <c r="GP270" s="21"/>
      <c r="GQ270" s="21"/>
      <c r="GR270" s="21"/>
      <c r="GS270" s="21"/>
      <c r="GT270" s="21"/>
      <c r="GU270" s="21"/>
      <c r="GV270" s="21"/>
      <c r="GW270" s="21"/>
      <c r="GX270" s="21"/>
      <c r="GY270" s="21"/>
      <c r="GZ270" s="21"/>
      <c r="HA270" s="21"/>
      <c r="HB270" s="21"/>
    </row>
    <row r="271" spans="1:210"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c r="FJ271" s="21"/>
      <c r="FK271" s="21"/>
      <c r="FL271" s="21"/>
      <c r="FM271" s="21"/>
      <c r="FN271" s="21"/>
      <c r="FO271" s="21"/>
      <c r="FP271" s="21"/>
      <c r="FQ271" s="21"/>
      <c r="FR271" s="21"/>
      <c r="FS271" s="21"/>
      <c r="FT271" s="21"/>
      <c r="FU271" s="21"/>
      <c r="FV271" s="21"/>
      <c r="FW271" s="21"/>
      <c r="FX271" s="21"/>
      <c r="FY271" s="21"/>
      <c r="FZ271" s="21"/>
      <c r="GA271" s="21"/>
      <c r="GB271" s="21"/>
      <c r="GC271" s="21"/>
      <c r="GD271" s="21"/>
      <c r="GE271" s="21"/>
      <c r="GF271" s="21"/>
      <c r="GG271" s="21"/>
      <c r="GH271" s="21"/>
      <c r="GI271" s="21"/>
      <c r="GJ271" s="21"/>
      <c r="GK271" s="21"/>
      <c r="GL271" s="21"/>
      <c r="GM271" s="21"/>
      <c r="GN271" s="21"/>
      <c r="GO271" s="21"/>
      <c r="GP271" s="21"/>
      <c r="GQ271" s="21"/>
      <c r="GR271" s="21"/>
      <c r="GS271" s="21"/>
      <c r="GT271" s="21"/>
      <c r="GU271" s="21"/>
      <c r="GV271" s="21"/>
      <c r="GW271" s="21"/>
      <c r="GX271" s="21"/>
      <c r="GY271" s="21"/>
      <c r="GZ271" s="21"/>
      <c r="HA271" s="21"/>
      <c r="HB271" s="21"/>
    </row>
    <row r="272" spans="1:210"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c r="FJ272" s="21"/>
      <c r="FK272" s="21"/>
      <c r="FL272" s="21"/>
      <c r="FM272" s="21"/>
      <c r="FN272" s="21"/>
      <c r="FO272" s="21"/>
      <c r="FP272" s="21"/>
      <c r="FQ272" s="21"/>
      <c r="FR272" s="21"/>
      <c r="FS272" s="21"/>
      <c r="FT272" s="21"/>
      <c r="FU272" s="21"/>
      <c r="FV272" s="21"/>
      <c r="FW272" s="21"/>
      <c r="FX272" s="21"/>
      <c r="FY272" s="21"/>
      <c r="FZ272" s="21"/>
      <c r="GA272" s="21"/>
      <c r="GB272" s="21"/>
      <c r="GC272" s="21"/>
      <c r="GD272" s="21"/>
      <c r="GE272" s="21"/>
      <c r="GF272" s="21"/>
      <c r="GG272" s="21"/>
      <c r="GH272" s="21"/>
      <c r="GI272" s="21"/>
      <c r="GJ272" s="21"/>
      <c r="GK272" s="21"/>
      <c r="GL272" s="21"/>
      <c r="GM272" s="21"/>
      <c r="GN272" s="21"/>
      <c r="GO272" s="21"/>
      <c r="GP272" s="21"/>
      <c r="GQ272" s="21"/>
      <c r="GR272" s="21"/>
      <c r="GS272" s="21"/>
      <c r="GT272" s="21"/>
      <c r="GU272" s="21"/>
      <c r="GV272" s="21"/>
      <c r="GW272" s="21"/>
      <c r="GX272" s="21"/>
      <c r="GY272" s="21"/>
      <c r="GZ272" s="21"/>
      <c r="HA272" s="21"/>
      <c r="HB272" s="21"/>
    </row>
    <row r="273" spans="1:210"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c r="FJ273" s="21"/>
      <c r="FK273" s="21"/>
      <c r="FL273" s="21"/>
      <c r="FM273" s="21"/>
      <c r="FN273" s="21"/>
      <c r="FO273" s="21"/>
      <c r="FP273" s="21"/>
      <c r="FQ273" s="21"/>
      <c r="FR273" s="21"/>
      <c r="FS273" s="21"/>
      <c r="FT273" s="21"/>
      <c r="FU273" s="21"/>
      <c r="FV273" s="21"/>
      <c r="FW273" s="21"/>
      <c r="FX273" s="21"/>
      <c r="FY273" s="21"/>
      <c r="FZ273" s="21"/>
      <c r="GA273" s="21"/>
      <c r="GB273" s="21"/>
      <c r="GC273" s="21"/>
      <c r="GD273" s="21"/>
      <c r="GE273" s="21"/>
      <c r="GF273" s="21"/>
      <c r="GG273" s="21"/>
      <c r="GH273" s="21"/>
      <c r="GI273" s="21"/>
      <c r="GJ273" s="21"/>
      <c r="GK273" s="21"/>
      <c r="GL273" s="21"/>
      <c r="GM273" s="21"/>
      <c r="GN273" s="21"/>
      <c r="GO273" s="21"/>
      <c r="GP273" s="21"/>
      <c r="GQ273" s="21"/>
      <c r="GR273" s="21"/>
      <c r="GS273" s="21"/>
      <c r="GT273" s="21"/>
      <c r="GU273" s="21"/>
      <c r="GV273" s="21"/>
      <c r="GW273" s="21"/>
      <c r="GX273" s="21"/>
      <c r="GY273" s="21"/>
      <c r="GZ273" s="21"/>
      <c r="HA273" s="21"/>
      <c r="HB273" s="21"/>
    </row>
    <row r="274" spans="1:210"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c r="ED274" s="21"/>
      <c r="EE274" s="21"/>
      <c r="EF274" s="21"/>
      <c r="EG274" s="21"/>
      <c r="EH274" s="21"/>
      <c r="EI274" s="21"/>
      <c r="EJ274" s="21"/>
      <c r="EK274" s="21"/>
      <c r="EL274" s="21"/>
      <c r="EM274" s="21"/>
      <c r="EN274" s="21"/>
      <c r="EO274" s="21"/>
      <c r="EP274" s="21"/>
      <c r="EQ274" s="21"/>
      <c r="ER274" s="21"/>
      <c r="ES274" s="21"/>
      <c r="ET274" s="21"/>
      <c r="EU274" s="21"/>
      <c r="EV274" s="21"/>
      <c r="EW274" s="21"/>
      <c r="EX274" s="21"/>
      <c r="EY274" s="21"/>
      <c r="EZ274" s="21"/>
      <c r="FA274" s="21"/>
      <c r="FB274" s="21"/>
      <c r="FC274" s="21"/>
      <c r="FD274" s="21"/>
      <c r="FE274" s="21"/>
      <c r="FF274" s="21"/>
      <c r="FG274" s="21"/>
      <c r="FH274" s="21"/>
      <c r="FI274" s="21"/>
      <c r="FJ274" s="21"/>
      <c r="FK274" s="21"/>
      <c r="FL274" s="21"/>
      <c r="FM274" s="21"/>
      <c r="FN274" s="21"/>
      <c r="FO274" s="21"/>
      <c r="FP274" s="21"/>
      <c r="FQ274" s="21"/>
      <c r="FR274" s="21"/>
      <c r="FS274" s="21"/>
      <c r="FT274" s="21"/>
      <c r="FU274" s="21"/>
      <c r="FV274" s="21"/>
      <c r="FW274" s="21"/>
      <c r="FX274" s="21"/>
      <c r="FY274" s="21"/>
      <c r="FZ274" s="21"/>
      <c r="GA274" s="21"/>
      <c r="GB274" s="21"/>
      <c r="GC274" s="21"/>
      <c r="GD274" s="21"/>
      <c r="GE274" s="21"/>
      <c r="GF274" s="21"/>
      <c r="GG274" s="21"/>
      <c r="GH274" s="21"/>
      <c r="GI274" s="21"/>
      <c r="GJ274" s="21"/>
      <c r="GK274" s="21"/>
      <c r="GL274" s="21"/>
      <c r="GM274" s="21"/>
      <c r="GN274" s="21"/>
      <c r="GO274" s="21"/>
      <c r="GP274" s="21"/>
      <c r="GQ274" s="21"/>
      <c r="GR274" s="21"/>
      <c r="GS274" s="21"/>
      <c r="GT274" s="21"/>
      <c r="GU274" s="21"/>
      <c r="GV274" s="21"/>
      <c r="GW274" s="21"/>
      <c r="GX274" s="21"/>
      <c r="GY274" s="21"/>
      <c r="GZ274" s="21"/>
      <c r="HA274" s="21"/>
      <c r="HB274" s="21"/>
    </row>
    <row r="275" spans="1:210"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c r="FH275" s="21"/>
      <c r="FI275" s="21"/>
      <c r="FJ275" s="21"/>
      <c r="FK275" s="21"/>
      <c r="FL275" s="21"/>
      <c r="FM275" s="21"/>
      <c r="FN275" s="21"/>
      <c r="FO275" s="21"/>
      <c r="FP275" s="21"/>
      <c r="FQ275" s="21"/>
      <c r="FR275" s="21"/>
      <c r="FS275" s="21"/>
      <c r="FT275" s="21"/>
      <c r="FU275" s="21"/>
      <c r="FV275" s="21"/>
      <c r="FW275" s="21"/>
      <c r="FX275" s="21"/>
      <c r="FY275" s="21"/>
      <c r="FZ275" s="21"/>
      <c r="GA275" s="21"/>
      <c r="GB275" s="21"/>
      <c r="GC275" s="21"/>
      <c r="GD275" s="21"/>
      <c r="GE275" s="21"/>
      <c r="GF275" s="21"/>
      <c r="GG275" s="21"/>
      <c r="GH275" s="21"/>
      <c r="GI275" s="21"/>
      <c r="GJ275" s="21"/>
      <c r="GK275" s="21"/>
      <c r="GL275" s="21"/>
      <c r="GM275" s="21"/>
      <c r="GN275" s="21"/>
      <c r="GO275" s="21"/>
      <c r="GP275" s="21"/>
      <c r="GQ275" s="21"/>
      <c r="GR275" s="21"/>
      <c r="GS275" s="21"/>
      <c r="GT275" s="21"/>
      <c r="GU275" s="21"/>
      <c r="GV275" s="21"/>
      <c r="GW275" s="21"/>
      <c r="GX275" s="21"/>
      <c r="GY275" s="21"/>
      <c r="GZ275" s="21"/>
      <c r="HA275" s="21"/>
      <c r="HB275" s="21"/>
    </row>
    <row r="276" spans="1:210"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c r="FJ276" s="21"/>
      <c r="FK276" s="21"/>
      <c r="FL276" s="21"/>
      <c r="FM276" s="21"/>
      <c r="FN276" s="21"/>
      <c r="FO276" s="21"/>
      <c r="FP276" s="21"/>
      <c r="FQ276" s="21"/>
      <c r="FR276" s="21"/>
      <c r="FS276" s="21"/>
      <c r="FT276" s="21"/>
      <c r="FU276" s="21"/>
      <c r="FV276" s="21"/>
      <c r="FW276" s="21"/>
      <c r="FX276" s="21"/>
      <c r="FY276" s="21"/>
      <c r="FZ276" s="21"/>
      <c r="GA276" s="21"/>
      <c r="GB276" s="21"/>
      <c r="GC276" s="21"/>
      <c r="GD276" s="21"/>
      <c r="GE276" s="21"/>
      <c r="GF276" s="21"/>
      <c r="GG276" s="21"/>
      <c r="GH276" s="21"/>
      <c r="GI276" s="21"/>
      <c r="GJ276" s="21"/>
      <c r="GK276" s="21"/>
      <c r="GL276" s="21"/>
      <c r="GM276" s="21"/>
      <c r="GN276" s="21"/>
      <c r="GO276" s="21"/>
      <c r="GP276" s="21"/>
      <c r="GQ276" s="21"/>
      <c r="GR276" s="21"/>
      <c r="GS276" s="21"/>
      <c r="GT276" s="21"/>
      <c r="GU276" s="21"/>
      <c r="GV276" s="21"/>
      <c r="GW276" s="21"/>
      <c r="GX276" s="21"/>
      <c r="GY276" s="21"/>
      <c r="GZ276" s="21"/>
      <c r="HA276" s="21"/>
      <c r="HB276" s="21"/>
    </row>
    <row r="277" spans="1:210"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c r="FJ277" s="21"/>
      <c r="FK277" s="21"/>
      <c r="FL277" s="21"/>
      <c r="FM277" s="21"/>
      <c r="FN277" s="21"/>
      <c r="FO277" s="21"/>
      <c r="FP277" s="21"/>
      <c r="FQ277" s="21"/>
      <c r="FR277" s="21"/>
      <c r="FS277" s="21"/>
      <c r="FT277" s="21"/>
      <c r="FU277" s="21"/>
      <c r="FV277" s="21"/>
      <c r="FW277" s="21"/>
      <c r="FX277" s="21"/>
      <c r="FY277" s="21"/>
      <c r="FZ277" s="21"/>
      <c r="GA277" s="21"/>
      <c r="GB277" s="21"/>
      <c r="GC277" s="21"/>
      <c r="GD277" s="21"/>
      <c r="GE277" s="21"/>
      <c r="GF277" s="21"/>
      <c r="GG277" s="21"/>
      <c r="GH277" s="21"/>
      <c r="GI277" s="21"/>
      <c r="GJ277" s="21"/>
      <c r="GK277" s="21"/>
      <c r="GL277" s="21"/>
      <c r="GM277" s="21"/>
      <c r="GN277" s="21"/>
      <c r="GO277" s="21"/>
      <c r="GP277" s="21"/>
      <c r="GQ277" s="21"/>
      <c r="GR277" s="21"/>
      <c r="GS277" s="21"/>
      <c r="GT277" s="21"/>
      <c r="GU277" s="21"/>
      <c r="GV277" s="21"/>
      <c r="GW277" s="21"/>
      <c r="GX277" s="21"/>
      <c r="GY277" s="21"/>
      <c r="GZ277" s="21"/>
      <c r="HA277" s="21"/>
      <c r="HB277" s="21"/>
    </row>
    <row r="278" spans="1:210"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c r="FH278" s="21"/>
      <c r="FI278" s="21"/>
      <c r="FJ278" s="21"/>
      <c r="FK278" s="21"/>
      <c r="FL278" s="21"/>
      <c r="FM278" s="21"/>
      <c r="FN278" s="21"/>
      <c r="FO278" s="21"/>
      <c r="FP278" s="21"/>
      <c r="FQ278" s="21"/>
      <c r="FR278" s="21"/>
      <c r="FS278" s="21"/>
      <c r="FT278" s="21"/>
      <c r="FU278" s="21"/>
      <c r="FV278" s="21"/>
      <c r="FW278" s="21"/>
      <c r="FX278" s="21"/>
      <c r="FY278" s="21"/>
      <c r="FZ278" s="21"/>
      <c r="GA278" s="21"/>
      <c r="GB278" s="21"/>
      <c r="GC278" s="21"/>
      <c r="GD278" s="21"/>
      <c r="GE278" s="21"/>
      <c r="GF278" s="21"/>
      <c r="GG278" s="21"/>
      <c r="GH278" s="21"/>
      <c r="GI278" s="21"/>
      <c r="GJ278" s="21"/>
      <c r="GK278" s="21"/>
      <c r="GL278" s="21"/>
      <c r="GM278" s="21"/>
      <c r="GN278" s="21"/>
      <c r="GO278" s="21"/>
      <c r="GP278" s="21"/>
      <c r="GQ278" s="21"/>
      <c r="GR278" s="21"/>
      <c r="GS278" s="21"/>
      <c r="GT278" s="21"/>
      <c r="GU278" s="21"/>
      <c r="GV278" s="21"/>
      <c r="GW278" s="21"/>
      <c r="GX278" s="21"/>
      <c r="GY278" s="21"/>
      <c r="GZ278" s="21"/>
      <c r="HA278" s="21"/>
      <c r="HB278" s="21"/>
    </row>
    <row r="279" spans="1:210"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c r="DE279" s="21"/>
      <c r="DF279" s="21"/>
      <c r="DG279" s="21"/>
      <c r="DH279" s="21"/>
      <c r="DI279" s="21"/>
      <c r="DJ279" s="21"/>
      <c r="DK279" s="21"/>
      <c r="DL279" s="21"/>
      <c r="DM279" s="21"/>
      <c r="DN279" s="21"/>
      <c r="DO279" s="21"/>
      <c r="DP279" s="21"/>
      <c r="DQ279" s="21"/>
      <c r="DR279" s="21"/>
      <c r="DS279" s="21"/>
      <c r="DT279" s="21"/>
      <c r="DU279" s="21"/>
      <c r="DV279" s="21"/>
      <c r="DW279" s="21"/>
      <c r="DX279" s="21"/>
      <c r="DY279" s="21"/>
      <c r="DZ279" s="21"/>
      <c r="EA279" s="21"/>
      <c r="EB279" s="21"/>
      <c r="EC279" s="21"/>
      <c r="ED279" s="21"/>
      <c r="EE279" s="21"/>
      <c r="EF279" s="21"/>
      <c r="EG279" s="21"/>
      <c r="EH279" s="21"/>
      <c r="EI279" s="21"/>
      <c r="EJ279" s="21"/>
      <c r="EK279" s="21"/>
      <c r="EL279" s="21"/>
      <c r="EM279" s="21"/>
      <c r="EN279" s="21"/>
      <c r="EO279" s="21"/>
      <c r="EP279" s="21"/>
      <c r="EQ279" s="21"/>
      <c r="ER279" s="21"/>
      <c r="ES279" s="21"/>
      <c r="ET279" s="21"/>
      <c r="EU279" s="21"/>
      <c r="EV279" s="21"/>
      <c r="EW279" s="21"/>
      <c r="EX279" s="21"/>
      <c r="EY279" s="21"/>
      <c r="EZ279" s="21"/>
      <c r="FA279" s="21"/>
      <c r="FB279" s="21"/>
      <c r="FC279" s="21"/>
      <c r="FD279" s="21"/>
      <c r="FE279" s="21"/>
      <c r="FF279" s="21"/>
      <c r="FG279" s="21"/>
      <c r="FH279" s="21"/>
      <c r="FI279" s="21"/>
      <c r="FJ279" s="21"/>
      <c r="FK279" s="21"/>
      <c r="FL279" s="21"/>
      <c r="FM279" s="21"/>
      <c r="FN279" s="21"/>
      <c r="FO279" s="21"/>
      <c r="FP279" s="21"/>
      <c r="FQ279" s="21"/>
      <c r="FR279" s="21"/>
      <c r="FS279" s="21"/>
      <c r="FT279" s="21"/>
      <c r="FU279" s="21"/>
      <c r="FV279" s="21"/>
      <c r="FW279" s="21"/>
      <c r="FX279" s="21"/>
      <c r="FY279" s="21"/>
      <c r="FZ279" s="21"/>
      <c r="GA279" s="21"/>
      <c r="GB279" s="21"/>
      <c r="GC279" s="21"/>
      <c r="GD279" s="21"/>
      <c r="GE279" s="21"/>
      <c r="GF279" s="21"/>
      <c r="GG279" s="21"/>
      <c r="GH279" s="21"/>
      <c r="GI279" s="21"/>
      <c r="GJ279" s="21"/>
      <c r="GK279" s="21"/>
      <c r="GL279" s="21"/>
      <c r="GM279" s="21"/>
      <c r="GN279" s="21"/>
      <c r="GO279" s="21"/>
      <c r="GP279" s="21"/>
      <c r="GQ279" s="21"/>
      <c r="GR279" s="21"/>
      <c r="GS279" s="21"/>
      <c r="GT279" s="21"/>
      <c r="GU279" s="21"/>
      <c r="GV279" s="21"/>
      <c r="GW279" s="21"/>
      <c r="GX279" s="21"/>
      <c r="GY279" s="21"/>
      <c r="GZ279" s="21"/>
      <c r="HA279" s="21"/>
      <c r="HB279" s="21"/>
    </row>
    <row r="280" spans="1:210"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c r="DE280" s="21"/>
      <c r="DF280" s="21"/>
      <c r="DG280" s="21"/>
      <c r="DH280" s="21"/>
      <c r="DI280" s="21"/>
      <c r="DJ280" s="21"/>
      <c r="DK280" s="21"/>
      <c r="DL280" s="21"/>
      <c r="DM280" s="21"/>
      <c r="DN280" s="21"/>
      <c r="DO280" s="21"/>
      <c r="DP280" s="21"/>
      <c r="DQ280" s="21"/>
      <c r="DR280" s="21"/>
      <c r="DS280" s="21"/>
      <c r="DT280" s="21"/>
      <c r="DU280" s="21"/>
      <c r="DV280" s="21"/>
      <c r="DW280" s="21"/>
      <c r="DX280" s="21"/>
      <c r="DY280" s="21"/>
      <c r="DZ280" s="21"/>
      <c r="EA280" s="21"/>
      <c r="EB280" s="21"/>
      <c r="EC280" s="21"/>
      <c r="ED280" s="21"/>
      <c r="EE280" s="21"/>
      <c r="EF280" s="21"/>
      <c r="EG280" s="21"/>
      <c r="EH280" s="21"/>
      <c r="EI280" s="21"/>
      <c r="EJ280" s="21"/>
      <c r="EK280" s="21"/>
      <c r="EL280" s="21"/>
      <c r="EM280" s="21"/>
      <c r="EN280" s="21"/>
      <c r="EO280" s="21"/>
      <c r="EP280" s="21"/>
      <c r="EQ280" s="21"/>
      <c r="ER280" s="21"/>
      <c r="ES280" s="21"/>
      <c r="ET280" s="21"/>
      <c r="EU280" s="21"/>
      <c r="EV280" s="21"/>
      <c r="EW280" s="21"/>
      <c r="EX280" s="21"/>
      <c r="EY280" s="21"/>
      <c r="EZ280" s="21"/>
      <c r="FA280" s="21"/>
      <c r="FB280" s="21"/>
      <c r="FC280" s="21"/>
      <c r="FD280" s="21"/>
      <c r="FE280" s="21"/>
      <c r="FF280" s="21"/>
      <c r="FG280" s="21"/>
      <c r="FH280" s="21"/>
      <c r="FI280" s="21"/>
      <c r="FJ280" s="21"/>
      <c r="FK280" s="21"/>
      <c r="FL280" s="21"/>
      <c r="FM280" s="21"/>
      <c r="FN280" s="21"/>
      <c r="FO280" s="21"/>
      <c r="FP280" s="21"/>
      <c r="FQ280" s="21"/>
      <c r="FR280" s="21"/>
      <c r="FS280" s="21"/>
      <c r="FT280" s="21"/>
      <c r="FU280" s="21"/>
      <c r="FV280" s="21"/>
      <c r="FW280" s="21"/>
      <c r="FX280" s="21"/>
      <c r="FY280" s="21"/>
      <c r="FZ280" s="21"/>
      <c r="GA280" s="21"/>
      <c r="GB280" s="21"/>
      <c r="GC280" s="21"/>
      <c r="GD280" s="21"/>
      <c r="GE280" s="21"/>
      <c r="GF280" s="21"/>
      <c r="GG280" s="21"/>
      <c r="GH280" s="21"/>
      <c r="GI280" s="21"/>
      <c r="GJ280" s="21"/>
      <c r="GK280" s="21"/>
      <c r="GL280" s="21"/>
      <c r="GM280" s="21"/>
      <c r="GN280" s="21"/>
      <c r="GO280" s="21"/>
      <c r="GP280" s="21"/>
      <c r="GQ280" s="21"/>
      <c r="GR280" s="21"/>
      <c r="GS280" s="21"/>
      <c r="GT280" s="21"/>
      <c r="GU280" s="21"/>
      <c r="GV280" s="21"/>
      <c r="GW280" s="21"/>
      <c r="GX280" s="21"/>
      <c r="GY280" s="21"/>
      <c r="GZ280" s="21"/>
      <c r="HA280" s="21"/>
      <c r="HB280" s="21"/>
    </row>
    <row r="281" spans="1:210"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c r="DE281" s="21"/>
      <c r="DF281" s="21"/>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c r="FH281" s="21"/>
      <c r="FI281" s="21"/>
      <c r="FJ281" s="21"/>
      <c r="FK281" s="21"/>
      <c r="FL281" s="21"/>
      <c r="FM281" s="21"/>
      <c r="FN281" s="21"/>
      <c r="FO281" s="21"/>
      <c r="FP281" s="21"/>
      <c r="FQ281" s="21"/>
      <c r="FR281" s="21"/>
      <c r="FS281" s="21"/>
      <c r="FT281" s="21"/>
      <c r="FU281" s="21"/>
      <c r="FV281" s="21"/>
      <c r="FW281" s="21"/>
      <c r="FX281" s="21"/>
      <c r="FY281" s="21"/>
      <c r="FZ281" s="21"/>
      <c r="GA281" s="21"/>
      <c r="GB281" s="21"/>
      <c r="GC281" s="21"/>
      <c r="GD281" s="21"/>
      <c r="GE281" s="21"/>
      <c r="GF281" s="21"/>
      <c r="GG281" s="21"/>
      <c r="GH281" s="21"/>
      <c r="GI281" s="21"/>
      <c r="GJ281" s="21"/>
      <c r="GK281" s="21"/>
      <c r="GL281" s="21"/>
      <c r="GM281" s="21"/>
      <c r="GN281" s="21"/>
      <c r="GO281" s="21"/>
      <c r="GP281" s="21"/>
      <c r="GQ281" s="21"/>
      <c r="GR281" s="21"/>
      <c r="GS281" s="21"/>
      <c r="GT281" s="21"/>
      <c r="GU281" s="21"/>
      <c r="GV281" s="21"/>
      <c r="GW281" s="21"/>
      <c r="GX281" s="21"/>
      <c r="GY281" s="21"/>
      <c r="GZ281" s="21"/>
      <c r="HA281" s="21"/>
      <c r="HB281" s="21"/>
    </row>
    <row r="282" spans="1:210"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1"/>
      <c r="FM282" s="21"/>
      <c r="FN282" s="21"/>
      <c r="FO282" s="21"/>
      <c r="FP282" s="21"/>
      <c r="FQ282" s="21"/>
      <c r="FR282" s="21"/>
      <c r="FS282" s="21"/>
      <c r="FT282" s="21"/>
      <c r="FU282" s="21"/>
      <c r="FV282" s="21"/>
      <c r="FW282" s="21"/>
      <c r="FX282" s="21"/>
      <c r="FY282" s="21"/>
      <c r="FZ282" s="21"/>
      <c r="GA282" s="21"/>
      <c r="GB282" s="21"/>
      <c r="GC282" s="21"/>
      <c r="GD282" s="21"/>
      <c r="GE282" s="21"/>
      <c r="GF282" s="21"/>
      <c r="GG282" s="21"/>
      <c r="GH282" s="21"/>
      <c r="GI282" s="21"/>
      <c r="GJ282" s="21"/>
      <c r="GK282" s="21"/>
      <c r="GL282" s="21"/>
      <c r="GM282" s="21"/>
      <c r="GN282" s="21"/>
      <c r="GO282" s="21"/>
      <c r="GP282" s="21"/>
      <c r="GQ282" s="21"/>
      <c r="GR282" s="21"/>
      <c r="GS282" s="21"/>
      <c r="GT282" s="21"/>
      <c r="GU282" s="21"/>
      <c r="GV282" s="21"/>
      <c r="GW282" s="21"/>
      <c r="GX282" s="21"/>
      <c r="GY282" s="21"/>
      <c r="GZ282" s="21"/>
      <c r="HA282" s="21"/>
      <c r="HB282" s="21"/>
    </row>
    <row r="283" spans="1:210"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c r="DE283" s="21"/>
      <c r="DF283" s="21"/>
      <c r="DG283" s="21"/>
      <c r="DH283" s="21"/>
      <c r="DI283" s="21"/>
      <c r="DJ283" s="21"/>
      <c r="DK283" s="21"/>
      <c r="DL283" s="21"/>
      <c r="DM283" s="21"/>
      <c r="DN283" s="21"/>
      <c r="DO283" s="21"/>
      <c r="DP283" s="21"/>
      <c r="DQ283" s="21"/>
      <c r="DR283" s="21"/>
      <c r="DS283" s="21"/>
      <c r="DT283" s="21"/>
      <c r="DU283" s="21"/>
      <c r="DV283" s="21"/>
      <c r="DW283" s="21"/>
      <c r="DX283" s="21"/>
      <c r="DY283" s="21"/>
      <c r="DZ283" s="21"/>
      <c r="EA283" s="21"/>
      <c r="EB283" s="21"/>
      <c r="EC283" s="21"/>
      <c r="ED283" s="21"/>
      <c r="EE283" s="21"/>
      <c r="EF283" s="21"/>
      <c r="EG283" s="21"/>
      <c r="EH283" s="21"/>
      <c r="EI283" s="21"/>
      <c r="EJ283" s="21"/>
      <c r="EK283" s="21"/>
      <c r="EL283" s="21"/>
      <c r="EM283" s="21"/>
      <c r="EN283" s="21"/>
      <c r="EO283" s="21"/>
      <c r="EP283" s="21"/>
      <c r="EQ283" s="21"/>
      <c r="ER283" s="21"/>
      <c r="ES283" s="21"/>
      <c r="ET283" s="21"/>
      <c r="EU283" s="21"/>
      <c r="EV283" s="21"/>
      <c r="EW283" s="21"/>
      <c r="EX283" s="21"/>
      <c r="EY283" s="21"/>
      <c r="EZ283" s="21"/>
      <c r="FA283" s="21"/>
      <c r="FB283" s="21"/>
      <c r="FC283" s="21"/>
      <c r="FD283" s="21"/>
      <c r="FE283" s="21"/>
      <c r="FF283" s="21"/>
      <c r="FG283" s="21"/>
      <c r="FH283" s="21"/>
      <c r="FI283" s="21"/>
      <c r="FJ283" s="21"/>
      <c r="FK283" s="21"/>
      <c r="FL283" s="21"/>
      <c r="FM283" s="21"/>
      <c r="FN283" s="21"/>
      <c r="FO283" s="21"/>
      <c r="FP283" s="21"/>
      <c r="FQ283" s="21"/>
      <c r="FR283" s="21"/>
      <c r="FS283" s="21"/>
      <c r="FT283" s="21"/>
      <c r="FU283" s="21"/>
      <c r="FV283" s="21"/>
      <c r="FW283" s="21"/>
      <c r="FX283" s="21"/>
      <c r="FY283" s="21"/>
      <c r="FZ283" s="21"/>
      <c r="GA283" s="21"/>
      <c r="GB283" s="21"/>
      <c r="GC283" s="21"/>
      <c r="GD283" s="21"/>
      <c r="GE283" s="21"/>
      <c r="GF283" s="21"/>
      <c r="GG283" s="21"/>
      <c r="GH283" s="21"/>
      <c r="GI283" s="21"/>
      <c r="GJ283" s="21"/>
      <c r="GK283" s="21"/>
      <c r="GL283" s="21"/>
      <c r="GM283" s="21"/>
      <c r="GN283" s="21"/>
      <c r="GO283" s="21"/>
      <c r="GP283" s="21"/>
      <c r="GQ283" s="21"/>
      <c r="GR283" s="21"/>
      <c r="GS283" s="21"/>
      <c r="GT283" s="21"/>
      <c r="GU283" s="21"/>
      <c r="GV283" s="21"/>
      <c r="GW283" s="21"/>
      <c r="GX283" s="21"/>
      <c r="GY283" s="21"/>
      <c r="GZ283" s="21"/>
      <c r="HA283" s="21"/>
      <c r="HB283" s="21"/>
    </row>
    <row r="284" spans="1:210"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c r="DB284" s="21"/>
      <c r="DC284" s="21"/>
      <c r="DD284" s="21"/>
      <c r="DE284" s="21"/>
      <c r="DF284" s="21"/>
      <c r="DG284" s="21"/>
      <c r="DH284" s="21"/>
      <c r="DI284" s="21"/>
      <c r="DJ284" s="21"/>
      <c r="DK284" s="21"/>
      <c r="DL284" s="21"/>
      <c r="DM284" s="21"/>
      <c r="DN284" s="21"/>
      <c r="DO284" s="21"/>
      <c r="DP284" s="21"/>
      <c r="DQ284" s="21"/>
      <c r="DR284" s="21"/>
      <c r="DS284" s="21"/>
      <c r="DT284" s="21"/>
      <c r="DU284" s="21"/>
      <c r="DV284" s="21"/>
      <c r="DW284" s="21"/>
      <c r="DX284" s="21"/>
      <c r="DY284" s="21"/>
      <c r="DZ284" s="21"/>
      <c r="EA284" s="21"/>
      <c r="EB284" s="21"/>
      <c r="EC284" s="21"/>
      <c r="ED284" s="21"/>
      <c r="EE284" s="21"/>
      <c r="EF284" s="21"/>
      <c r="EG284" s="21"/>
      <c r="EH284" s="21"/>
      <c r="EI284" s="21"/>
      <c r="EJ284" s="21"/>
      <c r="EK284" s="21"/>
      <c r="EL284" s="21"/>
      <c r="EM284" s="21"/>
      <c r="EN284" s="21"/>
      <c r="EO284" s="21"/>
      <c r="EP284" s="21"/>
      <c r="EQ284" s="21"/>
      <c r="ER284" s="21"/>
      <c r="ES284" s="21"/>
      <c r="ET284" s="21"/>
      <c r="EU284" s="21"/>
      <c r="EV284" s="21"/>
      <c r="EW284" s="21"/>
      <c r="EX284" s="21"/>
      <c r="EY284" s="21"/>
      <c r="EZ284" s="21"/>
      <c r="FA284" s="21"/>
      <c r="FB284" s="21"/>
      <c r="FC284" s="21"/>
      <c r="FD284" s="21"/>
      <c r="FE284" s="21"/>
      <c r="FF284" s="21"/>
      <c r="FG284" s="21"/>
      <c r="FH284" s="21"/>
      <c r="FI284" s="21"/>
      <c r="FJ284" s="21"/>
      <c r="FK284" s="21"/>
      <c r="FL284" s="21"/>
      <c r="FM284" s="21"/>
      <c r="FN284" s="21"/>
      <c r="FO284" s="21"/>
      <c r="FP284" s="21"/>
      <c r="FQ284" s="21"/>
      <c r="FR284" s="21"/>
      <c r="FS284" s="21"/>
      <c r="FT284" s="21"/>
      <c r="FU284" s="21"/>
      <c r="FV284" s="21"/>
      <c r="FW284" s="21"/>
      <c r="FX284" s="21"/>
      <c r="FY284" s="21"/>
      <c r="FZ284" s="21"/>
      <c r="GA284" s="21"/>
      <c r="GB284" s="21"/>
      <c r="GC284" s="21"/>
      <c r="GD284" s="21"/>
      <c r="GE284" s="21"/>
      <c r="GF284" s="21"/>
      <c r="GG284" s="21"/>
      <c r="GH284" s="21"/>
      <c r="GI284" s="21"/>
      <c r="GJ284" s="21"/>
      <c r="GK284" s="21"/>
      <c r="GL284" s="21"/>
      <c r="GM284" s="21"/>
      <c r="GN284" s="21"/>
      <c r="GO284" s="21"/>
      <c r="GP284" s="21"/>
      <c r="GQ284" s="21"/>
      <c r="GR284" s="21"/>
      <c r="GS284" s="21"/>
      <c r="GT284" s="21"/>
      <c r="GU284" s="21"/>
      <c r="GV284" s="21"/>
      <c r="GW284" s="21"/>
      <c r="GX284" s="21"/>
      <c r="GY284" s="21"/>
      <c r="GZ284" s="21"/>
      <c r="HA284" s="21"/>
      <c r="HB284" s="21"/>
    </row>
    <row r="285" spans="1:210"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c r="FH285" s="21"/>
      <c r="FI285" s="21"/>
      <c r="FJ285" s="21"/>
      <c r="FK285" s="21"/>
      <c r="FL285" s="21"/>
      <c r="FM285" s="21"/>
      <c r="FN285" s="21"/>
      <c r="FO285" s="21"/>
      <c r="FP285" s="21"/>
      <c r="FQ285" s="21"/>
      <c r="FR285" s="21"/>
      <c r="FS285" s="21"/>
      <c r="FT285" s="21"/>
      <c r="FU285" s="21"/>
      <c r="FV285" s="21"/>
      <c r="FW285" s="21"/>
      <c r="FX285" s="21"/>
      <c r="FY285" s="21"/>
      <c r="FZ285" s="21"/>
      <c r="GA285" s="21"/>
      <c r="GB285" s="21"/>
      <c r="GC285" s="21"/>
      <c r="GD285" s="21"/>
      <c r="GE285" s="21"/>
      <c r="GF285" s="21"/>
      <c r="GG285" s="21"/>
      <c r="GH285" s="21"/>
      <c r="GI285" s="21"/>
      <c r="GJ285" s="21"/>
      <c r="GK285" s="21"/>
      <c r="GL285" s="21"/>
      <c r="GM285" s="21"/>
      <c r="GN285" s="21"/>
      <c r="GO285" s="21"/>
      <c r="GP285" s="21"/>
      <c r="GQ285" s="21"/>
      <c r="GR285" s="21"/>
      <c r="GS285" s="21"/>
      <c r="GT285" s="21"/>
      <c r="GU285" s="21"/>
      <c r="GV285" s="21"/>
      <c r="GW285" s="21"/>
      <c r="GX285" s="21"/>
      <c r="GY285" s="21"/>
      <c r="GZ285" s="21"/>
      <c r="HA285" s="21"/>
      <c r="HB285" s="21"/>
    </row>
    <row r="286" spans="1:210"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c r="FH286" s="21"/>
      <c r="FI286" s="21"/>
      <c r="FJ286" s="21"/>
      <c r="FK286" s="21"/>
      <c r="FL286" s="21"/>
      <c r="FM286" s="21"/>
      <c r="FN286" s="21"/>
      <c r="FO286" s="21"/>
      <c r="FP286" s="21"/>
      <c r="FQ286" s="21"/>
      <c r="FR286" s="21"/>
      <c r="FS286" s="21"/>
      <c r="FT286" s="21"/>
      <c r="FU286" s="21"/>
      <c r="FV286" s="21"/>
      <c r="FW286" s="21"/>
      <c r="FX286" s="21"/>
      <c r="FY286" s="21"/>
      <c r="FZ286" s="21"/>
      <c r="GA286" s="21"/>
      <c r="GB286" s="21"/>
      <c r="GC286" s="21"/>
      <c r="GD286" s="21"/>
      <c r="GE286" s="21"/>
      <c r="GF286" s="21"/>
      <c r="GG286" s="21"/>
      <c r="GH286" s="21"/>
      <c r="GI286" s="21"/>
      <c r="GJ286" s="21"/>
      <c r="GK286" s="21"/>
      <c r="GL286" s="21"/>
      <c r="GM286" s="21"/>
      <c r="GN286" s="21"/>
      <c r="GO286" s="21"/>
      <c r="GP286" s="21"/>
      <c r="GQ286" s="21"/>
      <c r="GR286" s="21"/>
      <c r="GS286" s="21"/>
      <c r="GT286" s="21"/>
      <c r="GU286" s="21"/>
      <c r="GV286" s="21"/>
      <c r="GW286" s="21"/>
      <c r="GX286" s="21"/>
      <c r="GY286" s="21"/>
      <c r="GZ286" s="21"/>
      <c r="HA286" s="21"/>
      <c r="HB286" s="21"/>
    </row>
    <row r="287" spans="1:210"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c r="FH287" s="21"/>
      <c r="FI287" s="21"/>
      <c r="FJ287" s="21"/>
      <c r="FK287" s="21"/>
      <c r="FL287" s="21"/>
      <c r="FM287" s="21"/>
      <c r="FN287" s="21"/>
      <c r="FO287" s="21"/>
      <c r="FP287" s="21"/>
      <c r="FQ287" s="21"/>
      <c r="FR287" s="21"/>
      <c r="FS287" s="21"/>
      <c r="FT287" s="21"/>
      <c r="FU287" s="21"/>
      <c r="FV287" s="21"/>
      <c r="FW287" s="21"/>
      <c r="FX287" s="21"/>
      <c r="FY287" s="21"/>
      <c r="FZ287" s="21"/>
      <c r="GA287" s="21"/>
      <c r="GB287" s="21"/>
      <c r="GC287" s="21"/>
      <c r="GD287" s="21"/>
      <c r="GE287" s="21"/>
      <c r="GF287" s="21"/>
      <c r="GG287" s="21"/>
      <c r="GH287" s="21"/>
      <c r="GI287" s="21"/>
      <c r="GJ287" s="21"/>
      <c r="GK287" s="21"/>
      <c r="GL287" s="21"/>
      <c r="GM287" s="21"/>
      <c r="GN287" s="21"/>
      <c r="GO287" s="21"/>
      <c r="GP287" s="21"/>
      <c r="GQ287" s="21"/>
      <c r="GR287" s="21"/>
      <c r="GS287" s="21"/>
      <c r="GT287" s="21"/>
      <c r="GU287" s="21"/>
      <c r="GV287" s="21"/>
      <c r="GW287" s="21"/>
      <c r="GX287" s="21"/>
      <c r="GY287" s="21"/>
      <c r="GZ287" s="21"/>
      <c r="HA287" s="21"/>
      <c r="HB287" s="21"/>
    </row>
    <row r="288" spans="1:210"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c r="DE288" s="21"/>
      <c r="DF288" s="21"/>
      <c r="DG288" s="21"/>
      <c r="DH288" s="21"/>
      <c r="DI288" s="21"/>
      <c r="DJ288" s="21"/>
      <c r="DK288" s="21"/>
      <c r="DL288" s="21"/>
      <c r="DM288" s="21"/>
      <c r="DN288" s="21"/>
      <c r="DO288" s="21"/>
      <c r="DP288" s="21"/>
      <c r="DQ288" s="21"/>
      <c r="DR288" s="21"/>
      <c r="DS288" s="21"/>
      <c r="DT288" s="21"/>
      <c r="DU288" s="21"/>
      <c r="DV288" s="21"/>
      <c r="DW288" s="21"/>
      <c r="DX288" s="21"/>
      <c r="DY288" s="21"/>
      <c r="DZ288" s="21"/>
      <c r="EA288" s="21"/>
      <c r="EB288" s="21"/>
      <c r="EC288" s="21"/>
      <c r="ED288" s="21"/>
      <c r="EE288" s="21"/>
      <c r="EF288" s="21"/>
      <c r="EG288" s="21"/>
      <c r="EH288" s="21"/>
      <c r="EI288" s="21"/>
      <c r="EJ288" s="21"/>
      <c r="EK288" s="21"/>
      <c r="EL288" s="21"/>
      <c r="EM288" s="21"/>
      <c r="EN288" s="21"/>
      <c r="EO288" s="21"/>
      <c r="EP288" s="21"/>
      <c r="EQ288" s="21"/>
      <c r="ER288" s="21"/>
      <c r="ES288" s="21"/>
      <c r="ET288" s="21"/>
      <c r="EU288" s="21"/>
      <c r="EV288" s="21"/>
      <c r="EW288" s="21"/>
      <c r="EX288" s="21"/>
      <c r="EY288" s="21"/>
      <c r="EZ288" s="21"/>
      <c r="FA288" s="21"/>
      <c r="FB288" s="21"/>
      <c r="FC288" s="21"/>
      <c r="FD288" s="21"/>
      <c r="FE288" s="21"/>
      <c r="FF288" s="21"/>
      <c r="FG288" s="21"/>
      <c r="FH288" s="21"/>
      <c r="FI288" s="21"/>
      <c r="FJ288" s="21"/>
      <c r="FK288" s="21"/>
      <c r="FL288" s="21"/>
      <c r="FM288" s="21"/>
      <c r="FN288" s="21"/>
      <c r="FO288" s="21"/>
      <c r="FP288" s="21"/>
      <c r="FQ288" s="21"/>
      <c r="FR288" s="21"/>
      <c r="FS288" s="21"/>
      <c r="FT288" s="21"/>
      <c r="FU288" s="21"/>
      <c r="FV288" s="21"/>
      <c r="FW288" s="21"/>
      <c r="FX288" s="21"/>
      <c r="FY288" s="21"/>
      <c r="FZ288" s="21"/>
      <c r="GA288" s="21"/>
      <c r="GB288" s="21"/>
      <c r="GC288" s="21"/>
      <c r="GD288" s="21"/>
      <c r="GE288" s="21"/>
      <c r="GF288" s="21"/>
      <c r="GG288" s="21"/>
      <c r="GH288" s="21"/>
      <c r="GI288" s="21"/>
      <c r="GJ288" s="21"/>
      <c r="GK288" s="21"/>
      <c r="GL288" s="21"/>
      <c r="GM288" s="21"/>
      <c r="GN288" s="21"/>
      <c r="GO288" s="21"/>
      <c r="GP288" s="21"/>
      <c r="GQ288" s="21"/>
      <c r="GR288" s="21"/>
      <c r="GS288" s="21"/>
      <c r="GT288" s="21"/>
      <c r="GU288" s="21"/>
      <c r="GV288" s="21"/>
      <c r="GW288" s="21"/>
      <c r="GX288" s="21"/>
      <c r="GY288" s="21"/>
      <c r="GZ288" s="21"/>
      <c r="HA288" s="21"/>
      <c r="HB288" s="21"/>
    </row>
    <row r="289" spans="1:210"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c r="FH289" s="21"/>
      <c r="FI289" s="21"/>
      <c r="FJ289" s="21"/>
      <c r="FK289" s="21"/>
      <c r="FL289" s="21"/>
      <c r="FM289" s="21"/>
      <c r="FN289" s="21"/>
      <c r="FO289" s="21"/>
      <c r="FP289" s="21"/>
      <c r="FQ289" s="21"/>
      <c r="FR289" s="21"/>
      <c r="FS289" s="21"/>
      <c r="FT289" s="21"/>
      <c r="FU289" s="21"/>
      <c r="FV289" s="21"/>
      <c r="FW289" s="21"/>
      <c r="FX289" s="21"/>
      <c r="FY289" s="21"/>
      <c r="FZ289" s="21"/>
      <c r="GA289" s="21"/>
      <c r="GB289" s="21"/>
      <c r="GC289" s="21"/>
      <c r="GD289" s="21"/>
      <c r="GE289" s="21"/>
      <c r="GF289" s="21"/>
      <c r="GG289" s="21"/>
      <c r="GH289" s="21"/>
      <c r="GI289" s="21"/>
      <c r="GJ289" s="21"/>
      <c r="GK289" s="21"/>
      <c r="GL289" s="21"/>
      <c r="GM289" s="21"/>
      <c r="GN289" s="21"/>
      <c r="GO289" s="21"/>
      <c r="GP289" s="21"/>
      <c r="GQ289" s="21"/>
      <c r="GR289" s="21"/>
      <c r="GS289" s="21"/>
      <c r="GT289" s="21"/>
      <c r="GU289" s="21"/>
      <c r="GV289" s="21"/>
      <c r="GW289" s="21"/>
      <c r="GX289" s="21"/>
      <c r="GY289" s="21"/>
      <c r="GZ289" s="21"/>
      <c r="HA289" s="21"/>
      <c r="HB289" s="21"/>
    </row>
    <row r="290" spans="1:210"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c r="DE290" s="21"/>
      <c r="DF290" s="21"/>
      <c r="DG290" s="21"/>
      <c r="DH290" s="21"/>
      <c r="DI290" s="21"/>
      <c r="DJ290" s="21"/>
      <c r="DK290" s="21"/>
      <c r="DL290" s="21"/>
      <c r="DM290" s="21"/>
      <c r="DN290" s="21"/>
      <c r="DO290" s="21"/>
      <c r="DP290" s="21"/>
      <c r="DQ290" s="21"/>
      <c r="DR290" s="21"/>
      <c r="DS290" s="21"/>
      <c r="DT290" s="21"/>
      <c r="DU290" s="21"/>
      <c r="DV290" s="21"/>
      <c r="DW290" s="21"/>
      <c r="DX290" s="21"/>
      <c r="DY290" s="21"/>
      <c r="DZ290" s="21"/>
      <c r="EA290" s="21"/>
      <c r="EB290" s="21"/>
      <c r="EC290" s="21"/>
      <c r="ED290" s="21"/>
      <c r="EE290" s="21"/>
      <c r="EF290" s="21"/>
      <c r="EG290" s="21"/>
      <c r="EH290" s="21"/>
      <c r="EI290" s="21"/>
      <c r="EJ290" s="21"/>
      <c r="EK290" s="21"/>
      <c r="EL290" s="21"/>
      <c r="EM290" s="21"/>
      <c r="EN290" s="21"/>
      <c r="EO290" s="21"/>
      <c r="EP290" s="21"/>
      <c r="EQ290" s="21"/>
      <c r="ER290" s="21"/>
      <c r="ES290" s="21"/>
      <c r="ET290" s="21"/>
      <c r="EU290" s="21"/>
      <c r="EV290" s="21"/>
      <c r="EW290" s="21"/>
      <c r="EX290" s="21"/>
      <c r="EY290" s="21"/>
      <c r="EZ290" s="21"/>
      <c r="FA290" s="21"/>
      <c r="FB290" s="21"/>
      <c r="FC290" s="21"/>
      <c r="FD290" s="21"/>
      <c r="FE290" s="21"/>
      <c r="FF290" s="21"/>
      <c r="FG290" s="21"/>
      <c r="FH290" s="21"/>
      <c r="FI290" s="21"/>
      <c r="FJ290" s="21"/>
      <c r="FK290" s="21"/>
      <c r="FL290" s="21"/>
      <c r="FM290" s="21"/>
      <c r="FN290" s="21"/>
      <c r="FO290" s="21"/>
      <c r="FP290" s="21"/>
      <c r="FQ290" s="21"/>
      <c r="FR290" s="21"/>
      <c r="FS290" s="21"/>
      <c r="FT290" s="21"/>
      <c r="FU290" s="21"/>
      <c r="FV290" s="21"/>
      <c r="FW290" s="21"/>
      <c r="FX290" s="21"/>
      <c r="FY290" s="21"/>
      <c r="FZ290" s="21"/>
      <c r="GA290" s="21"/>
      <c r="GB290" s="21"/>
      <c r="GC290" s="21"/>
      <c r="GD290" s="21"/>
      <c r="GE290" s="21"/>
      <c r="GF290" s="21"/>
      <c r="GG290" s="21"/>
      <c r="GH290" s="21"/>
      <c r="GI290" s="21"/>
      <c r="GJ290" s="21"/>
      <c r="GK290" s="21"/>
      <c r="GL290" s="21"/>
      <c r="GM290" s="21"/>
      <c r="GN290" s="21"/>
      <c r="GO290" s="21"/>
      <c r="GP290" s="21"/>
      <c r="GQ290" s="21"/>
      <c r="GR290" s="21"/>
      <c r="GS290" s="21"/>
      <c r="GT290" s="21"/>
      <c r="GU290" s="21"/>
      <c r="GV290" s="21"/>
      <c r="GW290" s="21"/>
      <c r="GX290" s="21"/>
      <c r="GY290" s="21"/>
      <c r="GZ290" s="21"/>
      <c r="HA290" s="21"/>
      <c r="HB290" s="21"/>
    </row>
    <row r="291" spans="1:210"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c r="FJ291" s="21"/>
      <c r="FK291" s="21"/>
      <c r="FL291" s="21"/>
      <c r="FM291" s="21"/>
      <c r="FN291" s="21"/>
      <c r="FO291" s="21"/>
      <c r="FP291" s="21"/>
      <c r="FQ291" s="21"/>
      <c r="FR291" s="21"/>
      <c r="FS291" s="21"/>
      <c r="FT291" s="21"/>
      <c r="FU291" s="21"/>
      <c r="FV291" s="21"/>
      <c r="FW291" s="21"/>
      <c r="FX291" s="21"/>
      <c r="FY291" s="21"/>
      <c r="FZ291" s="21"/>
      <c r="GA291" s="21"/>
      <c r="GB291" s="21"/>
      <c r="GC291" s="21"/>
      <c r="GD291" s="21"/>
      <c r="GE291" s="21"/>
      <c r="GF291" s="21"/>
      <c r="GG291" s="21"/>
      <c r="GH291" s="21"/>
      <c r="GI291" s="21"/>
      <c r="GJ291" s="21"/>
      <c r="GK291" s="21"/>
      <c r="GL291" s="21"/>
      <c r="GM291" s="21"/>
      <c r="GN291" s="21"/>
      <c r="GO291" s="21"/>
      <c r="GP291" s="21"/>
      <c r="GQ291" s="21"/>
      <c r="GR291" s="21"/>
      <c r="GS291" s="21"/>
      <c r="GT291" s="21"/>
      <c r="GU291" s="21"/>
      <c r="GV291" s="21"/>
      <c r="GW291" s="21"/>
      <c r="GX291" s="21"/>
      <c r="GY291" s="21"/>
      <c r="GZ291" s="21"/>
      <c r="HA291" s="21"/>
      <c r="HB291" s="21"/>
    </row>
    <row r="292" spans="1:210"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c r="DB292" s="21"/>
      <c r="DC292" s="21"/>
      <c r="DD292" s="21"/>
      <c r="DE292" s="21"/>
      <c r="DF292" s="21"/>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c r="FH292" s="21"/>
      <c r="FI292" s="21"/>
      <c r="FJ292" s="21"/>
      <c r="FK292" s="21"/>
      <c r="FL292" s="21"/>
      <c r="FM292" s="21"/>
      <c r="FN292" s="21"/>
      <c r="FO292" s="21"/>
      <c r="FP292" s="21"/>
      <c r="FQ292" s="21"/>
      <c r="FR292" s="21"/>
      <c r="FS292" s="21"/>
      <c r="FT292" s="21"/>
      <c r="FU292" s="21"/>
      <c r="FV292" s="21"/>
      <c r="FW292" s="21"/>
      <c r="FX292" s="21"/>
      <c r="FY292" s="21"/>
      <c r="FZ292" s="21"/>
      <c r="GA292" s="21"/>
      <c r="GB292" s="21"/>
      <c r="GC292" s="21"/>
      <c r="GD292" s="21"/>
      <c r="GE292" s="21"/>
      <c r="GF292" s="21"/>
      <c r="GG292" s="21"/>
      <c r="GH292" s="21"/>
      <c r="GI292" s="21"/>
      <c r="GJ292" s="21"/>
      <c r="GK292" s="21"/>
      <c r="GL292" s="21"/>
      <c r="GM292" s="21"/>
      <c r="GN292" s="21"/>
      <c r="GO292" s="21"/>
      <c r="GP292" s="21"/>
      <c r="GQ292" s="21"/>
      <c r="GR292" s="21"/>
      <c r="GS292" s="21"/>
      <c r="GT292" s="21"/>
      <c r="GU292" s="21"/>
      <c r="GV292" s="21"/>
      <c r="GW292" s="21"/>
      <c r="GX292" s="21"/>
      <c r="GY292" s="21"/>
      <c r="GZ292" s="21"/>
      <c r="HA292" s="21"/>
      <c r="HB292" s="21"/>
    </row>
    <row r="293" spans="1:210"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c r="DE293" s="21"/>
      <c r="DF293" s="21"/>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c r="FH293" s="21"/>
      <c r="FI293" s="21"/>
      <c r="FJ293" s="21"/>
      <c r="FK293" s="21"/>
      <c r="FL293" s="21"/>
      <c r="FM293" s="21"/>
      <c r="FN293" s="21"/>
      <c r="FO293" s="21"/>
      <c r="FP293" s="21"/>
      <c r="FQ293" s="21"/>
      <c r="FR293" s="21"/>
      <c r="FS293" s="21"/>
      <c r="FT293" s="21"/>
      <c r="FU293" s="21"/>
      <c r="FV293" s="21"/>
      <c r="FW293" s="21"/>
      <c r="FX293" s="21"/>
      <c r="FY293" s="21"/>
      <c r="FZ293" s="21"/>
      <c r="GA293" s="21"/>
      <c r="GB293" s="21"/>
      <c r="GC293" s="21"/>
      <c r="GD293" s="21"/>
      <c r="GE293" s="21"/>
      <c r="GF293" s="21"/>
      <c r="GG293" s="21"/>
      <c r="GH293" s="21"/>
      <c r="GI293" s="21"/>
      <c r="GJ293" s="21"/>
      <c r="GK293" s="21"/>
      <c r="GL293" s="21"/>
      <c r="GM293" s="21"/>
      <c r="GN293" s="21"/>
      <c r="GO293" s="21"/>
      <c r="GP293" s="21"/>
      <c r="GQ293" s="21"/>
      <c r="GR293" s="21"/>
      <c r="GS293" s="21"/>
      <c r="GT293" s="21"/>
      <c r="GU293" s="21"/>
      <c r="GV293" s="21"/>
      <c r="GW293" s="21"/>
      <c r="GX293" s="21"/>
      <c r="GY293" s="21"/>
      <c r="GZ293" s="21"/>
      <c r="HA293" s="21"/>
      <c r="HB293" s="21"/>
    </row>
    <row r="294" spans="1:210"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c r="FJ294" s="21"/>
      <c r="FK294" s="21"/>
      <c r="FL294" s="21"/>
      <c r="FM294" s="21"/>
      <c r="FN294" s="21"/>
      <c r="FO294" s="21"/>
      <c r="FP294" s="21"/>
      <c r="FQ294" s="21"/>
      <c r="FR294" s="21"/>
      <c r="FS294" s="21"/>
      <c r="FT294" s="21"/>
      <c r="FU294" s="21"/>
      <c r="FV294" s="21"/>
      <c r="FW294" s="21"/>
      <c r="FX294" s="21"/>
      <c r="FY294" s="21"/>
      <c r="FZ294" s="21"/>
      <c r="GA294" s="21"/>
      <c r="GB294" s="21"/>
      <c r="GC294" s="21"/>
      <c r="GD294" s="21"/>
      <c r="GE294" s="21"/>
      <c r="GF294" s="21"/>
      <c r="GG294" s="21"/>
      <c r="GH294" s="21"/>
      <c r="GI294" s="21"/>
      <c r="GJ294" s="21"/>
      <c r="GK294" s="21"/>
      <c r="GL294" s="21"/>
      <c r="GM294" s="21"/>
      <c r="GN294" s="21"/>
      <c r="GO294" s="21"/>
      <c r="GP294" s="21"/>
      <c r="GQ294" s="21"/>
      <c r="GR294" s="21"/>
      <c r="GS294" s="21"/>
      <c r="GT294" s="21"/>
      <c r="GU294" s="21"/>
      <c r="GV294" s="21"/>
      <c r="GW294" s="21"/>
      <c r="GX294" s="21"/>
      <c r="GY294" s="21"/>
      <c r="GZ294" s="21"/>
      <c r="HA294" s="21"/>
      <c r="HB294" s="21"/>
    </row>
    <row r="295" spans="1:210"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c r="FJ295" s="21"/>
      <c r="FK295" s="21"/>
      <c r="FL295" s="21"/>
      <c r="FM295" s="21"/>
      <c r="FN295" s="21"/>
      <c r="FO295" s="21"/>
      <c r="FP295" s="21"/>
      <c r="FQ295" s="21"/>
      <c r="FR295" s="21"/>
      <c r="FS295" s="21"/>
      <c r="FT295" s="21"/>
      <c r="FU295" s="21"/>
      <c r="FV295" s="21"/>
      <c r="FW295" s="21"/>
      <c r="FX295" s="21"/>
      <c r="FY295" s="21"/>
      <c r="FZ295" s="21"/>
      <c r="GA295" s="21"/>
      <c r="GB295" s="21"/>
      <c r="GC295" s="21"/>
      <c r="GD295" s="21"/>
      <c r="GE295" s="21"/>
      <c r="GF295" s="21"/>
      <c r="GG295" s="21"/>
      <c r="GH295" s="21"/>
      <c r="GI295" s="21"/>
      <c r="GJ295" s="21"/>
      <c r="GK295" s="21"/>
      <c r="GL295" s="21"/>
      <c r="GM295" s="21"/>
      <c r="GN295" s="21"/>
      <c r="GO295" s="21"/>
      <c r="GP295" s="21"/>
      <c r="GQ295" s="21"/>
      <c r="GR295" s="21"/>
      <c r="GS295" s="21"/>
      <c r="GT295" s="21"/>
      <c r="GU295" s="21"/>
      <c r="GV295" s="21"/>
      <c r="GW295" s="21"/>
      <c r="GX295" s="21"/>
      <c r="GY295" s="21"/>
      <c r="GZ295" s="21"/>
      <c r="HA295" s="21"/>
      <c r="HB295" s="21"/>
    </row>
    <row r="296" spans="1:210"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c r="FJ296" s="21"/>
      <c r="FK296" s="21"/>
      <c r="FL296" s="21"/>
      <c r="FM296" s="21"/>
      <c r="FN296" s="21"/>
      <c r="FO296" s="21"/>
      <c r="FP296" s="21"/>
      <c r="FQ296" s="21"/>
      <c r="FR296" s="21"/>
      <c r="FS296" s="21"/>
      <c r="FT296" s="21"/>
      <c r="FU296" s="21"/>
      <c r="FV296" s="21"/>
      <c r="FW296" s="21"/>
      <c r="FX296" s="21"/>
      <c r="FY296" s="21"/>
      <c r="FZ296" s="21"/>
      <c r="GA296" s="21"/>
      <c r="GB296" s="21"/>
      <c r="GC296" s="21"/>
      <c r="GD296" s="21"/>
      <c r="GE296" s="21"/>
      <c r="GF296" s="21"/>
      <c r="GG296" s="21"/>
      <c r="GH296" s="21"/>
      <c r="GI296" s="21"/>
      <c r="GJ296" s="21"/>
      <c r="GK296" s="21"/>
      <c r="GL296" s="21"/>
      <c r="GM296" s="21"/>
      <c r="GN296" s="21"/>
      <c r="GO296" s="21"/>
      <c r="GP296" s="21"/>
      <c r="GQ296" s="21"/>
      <c r="GR296" s="21"/>
      <c r="GS296" s="21"/>
      <c r="GT296" s="21"/>
      <c r="GU296" s="21"/>
      <c r="GV296" s="21"/>
      <c r="GW296" s="21"/>
      <c r="GX296" s="21"/>
      <c r="GY296" s="21"/>
      <c r="GZ296" s="21"/>
      <c r="HA296" s="21"/>
      <c r="HB296" s="21"/>
    </row>
    <row r="297" spans="1:210"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c r="FJ297" s="21"/>
      <c r="FK297" s="21"/>
      <c r="FL297" s="21"/>
      <c r="FM297" s="21"/>
      <c r="FN297" s="21"/>
      <c r="FO297" s="21"/>
      <c r="FP297" s="21"/>
      <c r="FQ297" s="21"/>
      <c r="FR297" s="21"/>
      <c r="FS297" s="21"/>
      <c r="FT297" s="21"/>
      <c r="FU297" s="21"/>
      <c r="FV297" s="21"/>
      <c r="FW297" s="21"/>
      <c r="FX297" s="21"/>
      <c r="FY297" s="21"/>
      <c r="FZ297" s="21"/>
      <c r="GA297" s="21"/>
      <c r="GB297" s="21"/>
      <c r="GC297" s="21"/>
      <c r="GD297" s="21"/>
      <c r="GE297" s="21"/>
      <c r="GF297" s="21"/>
      <c r="GG297" s="21"/>
      <c r="GH297" s="21"/>
      <c r="GI297" s="21"/>
      <c r="GJ297" s="21"/>
      <c r="GK297" s="21"/>
      <c r="GL297" s="21"/>
      <c r="GM297" s="21"/>
      <c r="GN297" s="21"/>
      <c r="GO297" s="21"/>
      <c r="GP297" s="21"/>
      <c r="GQ297" s="21"/>
      <c r="GR297" s="21"/>
      <c r="GS297" s="21"/>
      <c r="GT297" s="21"/>
      <c r="GU297" s="21"/>
      <c r="GV297" s="21"/>
      <c r="GW297" s="21"/>
      <c r="GX297" s="21"/>
      <c r="GY297" s="21"/>
      <c r="GZ297" s="21"/>
      <c r="HA297" s="21"/>
      <c r="HB297" s="21"/>
    </row>
    <row r="298" spans="1:210"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c r="FJ298" s="21"/>
      <c r="FK298" s="21"/>
      <c r="FL298" s="21"/>
      <c r="FM298" s="21"/>
      <c r="FN298" s="21"/>
      <c r="FO298" s="21"/>
      <c r="FP298" s="21"/>
      <c r="FQ298" s="21"/>
      <c r="FR298" s="21"/>
      <c r="FS298" s="21"/>
      <c r="FT298" s="21"/>
      <c r="FU298" s="21"/>
      <c r="FV298" s="21"/>
      <c r="FW298" s="21"/>
      <c r="FX298" s="21"/>
      <c r="FY298" s="21"/>
      <c r="FZ298" s="21"/>
      <c r="GA298" s="21"/>
      <c r="GB298" s="21"/>
      <c r="GC298" s="21"/>
      <c r="GD298" s="21"/>
      <c r="GE298" s="21"/>
      <c r="GF298" s="21"/>
      <c r="GG298" s="21"/>
      <c r="GH298" s="21"/>
      <c r="GI298" s="21"/>
      <c r="GJ298" s="21"/>
      <c r="GK298" s="21"/>
      <c r="GL298" s="21"/>
      <c r="GM298" s="21"/>
      <c r="GN298" s="21"/>
      <c r="GO298" s="21"/>
      <c r="GP298" s="21"/>
      <c r="GQ298" s="21"/>
      <c r="GR298" s="21"/>
      <c r="GS298" s="21"/>
      <c r="GT298" s="21"/>
      <c r="GU298" s="21"/>
      <c r="GV298" s="21"/>
      <c r="GW298" s="21"/>
      <c r="GX298" s="21"/>
      <c r="GY298" s="21"/>
      <c r="GZ298" s="21"/>
      <c r="HA298" s="21"/>
      <c r="HB298" s="21"/>
    </row>
    <row r="299" spans="1:210"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c r="FJ299" s="21"/>
      <c r="FK299" s="21"/>
      <c r="FL299" s="21"/>
      <c r="FM299" s="21"/>
      <c r="FN299" s="21"/>
      <c r="FO299" s="21"/>
      <c r="FP299" s="21"/>
      <c r="FQ299" s="21"/>
      <c r="FR299" s="21"/>
      <c r="FS299" s="21"/>
      <c r="FT299" s="21"/>
      <c r="FU299" s="21"/>
      <c r="FV299" s="21"/>
      <c r="FW299" s="21"/>
      <c r="FX299" s="21"/>
      <c r="FY299" s="21"/>
      <c r="FZ299" s="21"/>
      <c r="GA299" s="21"/>
      <c r="GB299" s="21"/>
      <c r="GC299" s="21"/>
      <c r="GD299" s="21"/>
      <c r="GE299" s="21"/>
      <c r="GF299" s="21"/>
      <c r="GG299" s="21"/>
      <c r="GH299" s="21"/>
      <c r="GI299" s="21"/>
      <c r="GJ299" s="21"/>
      <c r="GK299" s="21"/>
      <c r="GL299" s="21"/>
      <c r="GM299" s="21"/>
      <c r="GN299" s="21"/>
      <c r="GO299" s="21"/>
      <c r="GP299" s="21"/>
      <c r="GQ299" s="21"/>
      <c r="GR299" s="21"/>
      <c r="GS299" s="21"/>
      <c r="GT299" s="21"/>
      <c r="GU299" s="21"/>
      <c r="GV299" s="21"/>
      <c r="GW299" s="21"/>
      <c r="GX299" s="21"/>
      <c r="GY299" s="21"/>
      <c r="GZ299" s="21"/>
      <c r="HA299" s="21"/>
      <c r="HB299" s="21"/>
    </row>
    <row r="300" spans="1:210"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c r="DE300" s="21"/>
      <c r="DF300" s="21"/>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c r="FJ300" s="21"/>
      <c r="FK300" s="21"/>
      <c r="FL300" s="21"/>
      <c r="FM300" s="21"/>
      <c r="FN300" s="21"/>
      <c r="FO300" s="21"/>
      <c r="FP300" s="21"/>
      <c r="FQ300" s="21"/>
      <c r="FR300" s="21"/>
      <c r="FS300" s="21"/>
      <c r="FT300" s="21"/>
      <c r="FU300" s="21"/>
      <c r="FV300" s="21"/>
      <c r="FW300" s="21"/>
      <c r="FX300" s="21"/>
      <c r="FY300" s="21"/>
      <c r="FZ300" s="21"/>
      <c r="GA300" s="21"/>
      <c r="GB300" s="21"/>
      <c r="GC300" s="21"/>
      <c r="GD300" s="21"/>
      <c r="GE300" s="21"/>
      <c r="GF300" s="21"/>
      <c r="GG300" s="21"/>
      <c r="GH300" s="21"/>
      <c r="GI300" s="21"/>
      <c r="GJ300" s="21"/>
      <c r="GK300" s="21"/>
      <c r="GL300" s="21"/>
      <c r="GM300" s="21"/>
      <c r="GN300" s="21"/>
      <c r="GO300" s="21"/>
      <c r="GP300" s="21"/>
      <c r="GQ300" s="21"/>
      <c r="GR300" s="21"/>
      <c r="GS300" s="21"/>
      <c r="GT300" s="21"/>
      <c r="GU300" s="21"/>
      <c r="GV300" s="21"/>
      <c r="GW300" s="21"/>
      <c r="GX300" s="21"/>
      <c r="GY300" s="21"/>
      <c r="GZ300" s="21"/>
      <c r="HA300" s="21"/>
      <c r="HB300" s="21"/>
    </row>
    <row r="301" spans="1:210"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c r="DE301" s="21"/>
      <c r="DF301" s="21"/>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c r="FH301" s="21"/>
      <c r="FI301" s="21"/>
      <c r="FJ301" s="21"/>
      <c r="FK301" s="21"/>
      <c r="FL301" s="21"/>
      <c r="FM301" s="21"/>
      <c r="FN301" s="21"/>
      <c r="FO301" s="21"/>
      <c r="FP301" s="21"/>
      <c r="FQ301" s="21"/>
      <c r="FR301" s="21"/>
      <c r="FS301" s="21"/>
      <c r="FT301" s="21"/>
      <c r="FU301" s="21"/>
      <c r="FV301" s="21"/>
      <c r="FW301" s="21"/>
      <c r="FX301" s="21"/>
      <c r="FY301" s="21"/>
      <c r="FZ301" s="21"/>
      <c r="GA301" s="21"/>
      <c r="GB301" s="21"/>
      <c r="GC301" s="21"/>
      <c r="GD301" s="21"/>
      <c r="GE301" s="21"/>
      <c r="GF301" s="21"/>
      <c r="GG301" s="21"/>
      <c r="GH301" s="21"/>
      <c r="GI301" s="21"/>
      <c r="GJ301" s="21"/>
      <c r="GK301" s="21"/>
      <c r="GL301" s="21"/>
      <c r="GM301" s="21"/>
      <c r="GN301" s="21"/>
      <c r="GO301" s="21"/>
      <c r="GP301" s="21"/>
      <c r="GQ301" s="21"/>
      <c r="GR301" s="21"/>
      <c r="GS301" s="21"/>
      <c r="GT301" s="21"/>
      <c r="GU301" s="21"/>
      <c r="GV301" s="21"/>
      <c r="GW301" s="21"/>
      <c r="GX301" s="21"/>
      <c r="GY301" s="21"/>
      <c r="GZ301" s="21"/>
      <c r="HA301" s="21"/>
      <c r="HB301" s="21"/>
    </row>
    <row r="302" spans="1:210"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c r="FH302" s="21"/>
      <c r="FI302" s="21"/>
      <c r="FJ302" s="21"/>
      <c r="FK302" s="21"/>
      <c r="FL302" s="21"/>
      <c r="FM302" s="21"/>
      <c r="FN302" s="21"/>
      <c r="FO302" s="21"/>
      <c r="FP302" s="21"/>
      <c r="FQ302" s="21"/>
      <c r="FR302" s="21"/>
      <c r="FS302" s="21"/>
      <c r="FT302" s="21"/>
      <c r="FU302" s="21"/>
      <c r="FV302" s="21"/>
      <c r="FW302" s="21"/>
      <c r="FX302" s="21"/>
      <c r="FY302" s="21"/>
      <c r="FZ302" s="21"/>
      <c r="GA302" s="21"/>
      <c r="GB302" s="21"/>
      <c r="GC302" s="21"/>
      <c r="GD302" s="21"/>
      <c r="GE302" s="21"/>
      <c r="GF302" s="21"/>
      <c r="GG302" s="21"/>
      <c r="GH302" s="21"/>
      <c r="GI302" s="21"/>
      <c r="GJ302" s="21"/>
      <c r="GK302" s="21"/>
      <c r="GL302" s="21"/>
      <c r="GM302" s="21"/>
      <c r="GN302" s="21"/>
      <c r="GO302" s="21"/>
      <c r="GP302" s="21"/>
      <c r="GQ302" s="21"/>
      <c r="GR302" s="21"/>
      <c r="GS302" s="21"/>
      <c r="GT302" s="21"/>
      <c r="GU302" s="21"/>
      <c r="GV302" s="21"/>
      <c r="GW302" s="21"/>
      <c r="GX302" s="21"/>
      <c r="GY302" s="21"/>
      <c r="GZ302" s="21"/>
      <c r="HA302" s="21"/>
      <c r="HB302" s="21"/>
    </row>
    <row r="303" spans="1:210"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c r="FJ303" s="21"/>
      <c r="FK303" s="21"/>
      <c r="FL303" s="21"/>
      <c r="FM303" s="21"/>
      <c r="FN303" s="21"/>
      <c r="FO303" s="21"/>
      <c r="FP303" s="21"/>
      <c r="FQ303" s="21"/>
      <c r="FR303" s="21"/>
      <c r="FS303" s="21"/>
      <c r="FT303" s="21"/>
      <c r="FU303" s="21"/>
      <c r="FV303" s="21"/>
      <c r="FW303" s="21"/>
      <c r="FX303" s="21"/>
      <c r="FY303" s="21"/>
      <c r="FZ303" s="21"/>
      <c r="GA303" s="21"/>
      <c r="GB303" s="21"/>
      <c r="GC303" s="21"/>
      <c r="GD303" s="21"/>
      <c r="GE303" s="21"/>
      <c r="GF303" s="21"/>
      <c r="GG303" s="21"/>
      <c r="GH303" s="21"/>
      <c r="GI303" s="21"/>
      <c r="GJ303" s="21"/>
      <c r="GK303" s="21"/>
      <c r="GL303" s="21"/>
      <c r="GM303" s="21"/>
      <c r="GN303" s="21"/>
      <c r="GO303" s="21"/>
      <c r="GP303" s="21"/>
      <c r="GQ303" s="21"/>
      <c r="GR303" s="21"/>
      <c r="GS303" s="21"/>
      <c r="GT303" s="21"/>
      <c r="GU303" s="21"/>
      <c r="GV303" s="21"/>
      <c r="GW303" s="21"/>
      <c r="GX303" s="21"/>
      <c r="GY303" s="21"/>
      <c r="GZ303" s="21"/>
      <c r="HA303" s="21"/>
      <c r="HB303" s="21"/>
    </row>
    <row r="304" spans="1:210"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c r="FJ304" s="21"/>
      <c r="FK304" s="21"/>
      <c r="FL304" s="21"/>
      <c r="FM304" s="21"/>
      <c r="FN304" s="21"/>
      <c r="FO304" s="21"/>
      <c r="FP304" s="21"/>
      <c r="FQ304" s="21"/>
      <c r="FR304" s="21"/>
      <c r="FS304" s="21"/>
      <c r="FT304" s="21"/>
      <c r="FU304" s="21"/>
      <c r="FV304" s="21"/>
      <c r="FW304" s="21"/>
      <c r="FX304" s="21"/>
      <c r="FY304" s="21"/>
      <c r="FZ304" s="21"/>
      <c r="GA304" s="21"/>
      <c r="GB304" s="21"/>
      <c r="GC304" s="21"/>
      <c r="GD304" s="21"/>
      <c r="GE304" s="21"/>
      <c r="GF304" s="21"/>
      <c r="GG304" s="21"/>
      <c r="GH304" s="21"/>
      <c r="GI304" s="21"/>
      <c r="GJ304" s="21"/>
      <c r="GK304" s="21"/>
      <c r="GL304" s="21"/>
      <c r="GM304" s="21"/>
      <c r="GN304" s="21"/>
      <c r="GO304" s="21"/>
      <c r="GP304" s="21"/>
      <c r="GQ304" s="21"/>
      <c r="GR304" s="21"/>
      <c r="GS304" s="21"/>
      <c r="GT304" s="21"/>
      <c r="GU304" s="21"/>
      <c r="GV304" s="21"/>
      <c r="GW304" s="21"/>
      <c r="GX304" s="21"/>
      <c r="GY304" s="21"/>
      <c r="GZ304" s="21"/>
      <c r="HA304" s="21"/>
      <c r="HB304" s="21"/>
    </row>
    <row r="305" spans="1:210"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c r="FJ305" s="21"/>
      <c r="FK305" s="21"/>
      <c r="FL305" s="21"/>
      <c r="FM305" s="21"/>
      <c r="FN305" s="21"/>
      <c r="FO305" s="21"/>
      <c r="FP305" s="21"/>
      <c r="FQ305" s="21"/>
      <c r="FR305" s="21"/>
      <c r="FS305" s="21"/>
      <c r="FT305" s="21"/>
      <c r="FU305" s="21"/>
      <c r="FV305" s="21"/>
      <c r="FW305" s="21"/>
      <c r="FX305" s="21"/>
      <c r="FY305" s="21"/>
      <c r="FZ305" s="21"/>
      <c r="GA305" s="21"/>
      <c r="GB305" s="21"/>
      <c r="GC305" s="21"/>
      <c r="GD305" s="21"/>
      <c r="GE305" s="21"/>
      <c r="GF305" s="21"/>
      <c r="GG305" s="21"/>
      <c r="GH305" s="21"/>
      <c r="GI305" s="21"/>
      <c r="GJ305" s="21"/>
      <c r="GK305" s="21"/>
      <c r="GL305" s="21"/>
      <c r="GM305" s="21"/>
      <c r="GN305" s="21"/>
      <c r="GO305" s="21"/>
      <c r="GP305" s="21"/>
      <c r="GQ305" s="21"/>
      <c r="GR305" s="21"/>
      <c r="GS305" s="21"/>
      <c r="GT305" s="21"/>
      <c r="GU305" s="21"/>
      <c r="GV305" s="21"/>
      <c r="GW305" s="21"/>
      <c r="GX305" s="21"/>
      <c r="GY305" s="21"/>
      <c r="GZ305" s="21"/>
      <c r="HA305" s="21"/>
      <c r="HB305" s="21"/>
    </row>
    <row r="306" spans="1:210"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c r="DE306" s="21"/>
      <c r="DF306" s="21"/>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c r="FJ306" s="21"/>
      <c r="FK306" s="21"/>
      <c r="FL306" s="21"/>
      <c r="FM306" s="21"/>
      <c r="FN306" s="21"/>
      <c r="FO306" s="21"/>
      <c r="FP306" s="21"/>
      <c r="FQ306" s="21"/>
      <c r="FR306" s="21"/>
      <c r="FS306" s="21"/>
      <c r="FT306" s="21"/>
      <c r="FU306" s="21"/>
      <c r="FV306" s="21"/>
      <c r="FW306" s="21"/>
      <c r="FX306" s="21"/>
      <c r="FY306" s="21"/>
      <c r="FZ306" s="21"/>
      <c r="GA306" s="21"/>
      <c r="GB306" s="21"/>
      <c r="GC306" s="21"/>
      <c r="GD306" s="21"/>
      <c r="GE306" s="21"/>
      <c r="GF306" s="21"/>
      <c r="GG306" s="21"/>
      <c r="GH306" s="21"/>
      <c r="GI306" s="21"/>
      <c r="GJ306" s="21"/>
      <c r="GK306" s="21"/>
      <c r="GL306" s="21"/>
      <c r="GM306" s="21"/>
      <c r="GN306" s="21"/>
      <c r="GO306" s="21"/>
      <c r="GP306" s="21"/>
      <c r="GQ306" s="21"/>
      <c r="GR306" s="21"/>
      <c r="GS306" s="21"/>
      <c r="GT306" s="21"/>
      <c r="GU306" s="21"/>
      <c r="GV306" s="21"/>
      <c r="GW306" s="21"/>
      <c r="GX306" s="21"/>
      <c r="GY306" s="21"/>
      <c r="GZ306" s="21"/>
      <c r="HA306" s="21"/>
      <c r="HB306" s="21"/>
    </row>
    <row r="307" spans="1:210"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c r="GJ307" s="21"/>
      <c r="GK307" s="21"/>
      <c r="GL307" s="21"/>
      <c r="GM307" s="21"/>
      <c r="GN307" s="21"/>
      <c r="GO307" s="21"/>
      <c r="GP307" s="21"/>
      <c r="GQ307" s="21"/>
      <c r="GR307" s="21"/>
      <c r="GS307" s="21"/>
      <c r="GT307" s="21"/>
      <c r="GU307" s="21"/>
      <c r="GV307" s="21"/>
      <c r="GW307" s="21"/>
      <c r="GX307" s="21"/>
      <c r="GY307" s="21"/>
      <c r="GZ307" s="21"/>
      <c r="HA307" s="21"/>
      <c r="HB307" s="21"/>
    </row>
    <row r="308" spans="1:210"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c r="FJ308" s="21"/>
      <c r="FK308" s="21"/>
      <c r="FL308" s="21"/>
      <c r="FM308" s="21"/>
      <c r="FN308" s="21"/>
      <c r="FO308" s="21"/>
      <c r="FP308" s="21"/>
      <c r="FQ308" s="21"/>
      <c r="FR308" s="21"/>
      <c r="FS308" s="21"/>
      <c r="FT308" s="21"/>
      <c r="FU308" s="21"/>
      <c r="FV308" s="21"/>
      <c r="FW308" s="21"/>
      <c r="FX308" s="21"/>
      <c r="FY308" s="21"/>
      <c r="FZ308" s="21"/>
      <c r="GA308" s="21"/>
      <c r="GB308" s="21"/>
      <c r="GC308" s="21"/>
      <c r="GD308" s="21"/>
      <c r="GE308" s="21"/>
      <c r="GF308" s="21"/>
      <c r="GG308" s="21"/>
      <c r="GH308" s="21"/>
      <c r="GI308" s="21"/>
      <c r="GJ308" s="21"/>
      <c r="GK308" s="21"/>
      <c r="GL308" s="21"/>
      <c r="GM308" s="21"/>
      <c r="GN308" s="21"/>
      <c r="GO308" s="21"/>
      <c r="GP308" s="21"/>
      <c r="GQ308" s="21"/>
      <c r="GR308" s="21"/>
      <c r="GS308" s="21"/>
      <c r="GT308" s="21"/>
      <c r="GU308" s="21"/>
      <c r="GV308" s="21"/>
      <c r="GW308" s="21"/>
      <c r="GX308" s="21"/>
      <c r="GY308" s="21"/>
      <c r="GZ308" s="21"/>
      <c r="HA308" s="21"/>
      <c r="HB308" s="21"/>
    </row>
    <row r="309" spans="1:210"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c r="FJ309" s="21"/>
      <c r="FK309" s="21"/>
      <c r="FL309" s="21"/>
      <c r="FM309" s="21"/>
      <c r="FN309" s="21"/>
      <c r="FO309" s="21"/>
      <c r="FP309" s="21"/>
      <c r="FQ309" s="21"/>
      <c r="FR309" s="21"/>
      <c r="FS309" s="21"/>
      <c r="FT309" s="21"/>
      <c r="FU309" s="21"/>
      <c r="FV309" s="21"/>
      <c r="FW309" s="21"/>
      <c r="FX309" s="21"/>
      <c r="FY309" s="21"/>
      <c r="FZ309" s="21"/>
      <c r="GA309" s="21"/>
      <c r="GB309" s="21"/>
      <c r="GC309" s="21"/>
      <c r="GD309" s="21"/>
      <c r="GE309" s="21"/>
      <c r="GF309" s="21"/>
      <c r="GG309" s="21"/>
      <c r="GH309" s="21"/>
      <c r="GI309" s="21"/>
      <c r="GJ309" s="21"/>
      <c r="GK309" s="21"/>
      <c r="GL309" s="21"/>
      <c r="GM309" s="21"/>
      <c r="GN309" s="21"/>
      <c r="GO309" s="21"/>
      <c r="GP309" s="21"/>
      <c r="GQ309" s="21"/>
      <c r="GR309" s="21"/>
      <c r="GS309" s="21"/>
      <c r="GT309" s="21"/>
      <c r="GU309" s="21"/>
      <c r="GV309" s="21"/>
      <c r="GW309" s="21"/>
      <c r="GX309" s="21"/>
      <c r="GY309" s="21"/>
      <c r="GZ309" s="21"/>
      <c r="HA309" s="21"/>
      <c r="HB309" s="21"/>
    </row>
    <row r="310" spans="1:210"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c r="FH310" s="21"/>
      <c r="FI310" s="21"/>
      <c r="FJ310" s="21"/>
      <c r="FK310" s="21"/>
      <c r="FL310" s="21"/>
      <c r="FM310" s="21"/>
      <c r="FN310" s="21"/>
      <c r="FO310" s="21"/>
      <c r="FP310" s="21"/>
      <c r="FQ310" s="21"/>
      <c r="FR310" s="21"/>
      <c r="FS310" s="21"/>
      <c r="FT310" s="21"/>
      <c r="FU310" s="21"/>
      <c r="FV310" s="21"/>
      <c r="FW310" s="21"/>
      <c r="FX310" s="21"/>
      <c r="FY310" s="21"/>
      <c r="FZ310" s="21"/>
      <c r="GA310" s="21"/>
      <c r="GB310" s="21"/>
      <c r="GC310" s="21"/>
      <c r="GD310" s="21"/>
      <c r="GE310" s="21"/>
      <c r="GF310" s="21"/>
      <c r="GG310" s="21"/>
      <c r="GH310" s="21"/>
      <c r="GI310" s="21"/>
      <c r="GJ310" s="21"/>
      <c r="GK310" s="21"/>
      <c r="GL310" s="21"/>
      <c r="GM310" s="21"/>
      <c r="GN310" s="21"/>
      <c r="GO310" s="21"/>
      <c r="GP310" s="21"/>
      <c r="GQ310" s="21"/>
      <c r="GR310" s="21"/>
      <c r="GS310" s="21"/>
      <c r="GT310" s="21"/>
      <c r="GU310" s="21"/>
      <c r="GV310" s="21"/>
      <c r="GW310" s="21"/>
      <c r="GX310" s="21"/>
      <c r="GY310" s="21"/>
      <c r="GZ310" s="21"/>
      <c r="HA310" s="21"/>
      <c r="HB310" s="21"/>
    </row>
    <row r="311" spans="1:210"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c r="DE311" s="21"/>
      <c r="DF311" s="21"/>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c r="FH311" s="21"/>
      <c r="FI311" s="21"/>
      <c r="FJ311" s="21"/>
      <c r="FK311" s="21"/>
      <c r="FL311" s="21"/>
      <c r="FM311" s="21"/>
      <c r="FN311" s="21"/>
      <c r="FO311" s="21"/>
      <c r="FP311" s="21"/>
      <c r="FQ311" s="21"/>
      <c r="FR311" s="21"/>
      <c r="FS311" s="21"/>
      <c r="FT311" s="21"/>
      <c r="FU311" s="21"/>
      <c r="FV311" s="21"/>
      <c r="FW311" s="21"/>
      <c r="FX311" s="21"/>
      <c r="FY311" s="21"/>
      <c r="FZ311" s="21"/>
      <c r="GA311" s="21"/>
      <c r="GB311" s="21"/>
      <c r="GC311" s="21"/>
      <c r="GD311" s="21"/>
      <c r="GE311" s="21"/>
      <c r="GF311" s="21"/>
      <c r="GG311" s="21"/>
      <c r="GH311" s="21"/>
      <c r="GI311" s="21"/>
      <c r="GJ311" s="21"/>
      <c r="GK311" s="21"/>
      <c r="GL311" s="21"/>
      <c r="GM311" s="21"/>
      <c r="GN311" s="21"/>
      <c r="GO311" s="21"/>
      <c r="GP311" s="21"/>
      <c r="GQ311" s="21"/>
      <c r="GR311" s="21"/>
      <c r="GS311" s="21"/>
      <c r="GT311" s="21"/>
      <c r="GU311" s="21"/>
      <c r="GV311" s="21"/>
      <c r="GW311" s="21"/>
      <c r="GX311" s="21"/>
      <c r="GY311" s="21"/>
      <c r="GZ311" s="21"/>
      <c r="HA311" s="21"/>
      <c r="HB311" s="21"/>
    </row>
    <row r="312" spans="1:210"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c r="DB312" s="21"/>
      <c r="DC312" s="21"/>
      <c r="DD312" s="21"/>
      <c r="DE312" s="21"/>
      <c r="DF312" s="21"/>
      <c r="DG312" s="21"/>
      <c r="DH312" s="21"/>
      <c r="DI312" s="21"/>
      <c r="DJ312" s="21"/>
      <c r="DK312" s="21"/>
      <c r="DL312" s="21"/>
      <c r="DM312" s="21"/>
      <c r="DN312" s="21"/>
      <c r="DO312" s="21"/>
      <c r="DP312" s="21"/>
      <c r="DQ312" s="21"/>
      <c r="DR312" s="21"/>
      <c r="DS312" s="21"/>
      <c r="DT312" s="21"/>
      <c r="DU312" s="21"/>
      <c r="DV312" s="21"/>
      <c r="DW312" s="21"/>
      <c r="DX312" s="21"/>
      <c r="DY312" s="21"/>
      <c r="DZ312" s="21"/>
      <c r="EA312" s="21"/>
      <c r="EB312" s="21"/>
      <c r="EC312" s="21"/>
      <c r="ED312" s="21"/>
      <c r="EE312" s="21"/>
      <c r="EF312" s="21"/>
      <c r="EG312" s="21"/>
      <c r="EH312" s="21"/>
      <c r="EI312" s="21"/>
      <c r="EJ312" s="21"/>
      <c r="EK312" s="21"/>
      <c r="EL312" s="21"/>
      <c r="EM312" s="21"/>
      <c r="EN312" s="21"/>
      <c r="EO312" s="21"/>
      <c r="EP312" s="21"/>
      <c r="EQ312" s="21"/>
      <c r="ER312" s="21"/>
      <c r="ES312" s="21"/>
      <c r="ET312" s="21"/>
      <c r="EU312" s="21"/>
      <c r="EV312" s="21"/>
      <c r="EW312" s="21"/>
      <c r="EX312" s="21"/>
      <c r="EY312" s="21"/>
      <c r="EZ312" s="21"/>
      <c r="FA312" s="21"/>
      <c r="FB312" s="21"/>
      <c r="FC312" s="21"/>
      <c r="FD312" s="21"/>
      <c r="FE312" s="21"/>
      <c r="FF312" s="21"/>
      <c r="FG312" s="21"/>
      <c r="FH312" s="21"/>
      <c r="FI312" s="21"/>
      <c r="FJ312" s="21"/>
      <c r="FK312" s="21"/>
      <c r="FL312" s="21"/>
      <c r="FM312" s="21"/>
      <c r="FN312" s="21"/>
      <c r="FO312" s="21"/>
      <c r="FP312" s="21"/>
      <c r="FQ312" s="21"/>
      <c r="FR312" s="21"/>
      <c r="FS312" s="21"/>
      <c r="FT312" s="21"/>
      <c r="FU312" s="21"/>
      <c r="FV312" s="21"/>
      <c r="FW312" s="21"/>
      <c r="FX312" s="21"/>
      <c r="FY312" s="21"/>
      <c r="FZ312" s="21"/>
      <c r="GA312" s="21"/>
      <c r="GB312" s="21"/>
      <c r="GC312" s="21"/>
      <c r="GD312" s="21"/>
      <c r="GE312" s="21"/>
      <c r="GF312" s="21"/>
      <c r="GG312" s="21"/>
      <c r="GH312" s="21"/>
      <c r="GI312" s="21"/>
      <c r="GJ312" s="21"/>
      <c r="GK312" s="21"/>
      <c r="GL312" s="21"/>
      <c r="GM312" s="21"/>
      <c r="GN312" s="21"/>
      <c r="GO312" s="21"/>
      <c r="GP312" s="21"/>
      <c r="GQ312" s="21"/>
      <c r="GR312" s="21"/>
      <c r="GS312" s="21"/>
      <c r="GT312" s="21"/>
      <c r="GU312" s="21"/>
      <c r="GV312" s="21"/>
      <c r="GW312" s="21"/>
      <c r="GX312" s="21"/>
      <c r="GY312" s="21"/>
      <c r="GZ312" s="21"/>
      <c r="HA312" s="21"/>
      <c r="HB312" s="21"/>
    </row>
    <row r="313" spans="1:210"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21"/>
      <c r="CH313" s="21"/>
      <c r="CI313" s="21"/>
      <c r="CJ313" s="21"/>
      <c r="CK313" s="21"/>
      <c r="CL313" s="21"/>
      <c r="CM313" s="21"/>
      <c r="CN313" s="21"/>
      <c r="CO313" s="21"/>
      <c r="CP313" s="21"/>
      <c r="CQ313" s="21"/>
      <c r="CR313" s="21"/>
      <c r="CS313" s="21"/>
      <c r="CT313" s="21"/>
      <c r="CU313" s="21"/>
      <c r="CV313" s="21"/>
      <c r="CW313" s="21"/>
      <c r="CX313" s="21"/>
      <c r="CY313" s="21"/>
      <c r="CZ313" s="21"/>
      <c r="DA313" s="21"/>
      <c r="DB313" s="21"/>
      <c r="DC313" s="21"/>
      <c r="DD313" s="21"/>
      <c r="DE313" s="21"/>
      <c r="DF313" s="21"/>
      <c r="DG313" s="21"/>
      <c r="DH313" s="21"/>
      <c r="DI313" s="21"/>
      <c r="DJ313" s="21"/>
      <c r="DK313" s="21"/>
      <c r="DL313" s="21"/>
      <c r="DM313" s="21"/>
      <c r="DN313" s="21"/>
      <c r="DO313" s="21"/>
      <c r="DP313" s="21"/>
      <c r="DQ313" s="21"/>
      <c r="DR313" s="21"/>
      <c r="DS313" s="21"/>
      <c r="DT313" s="21"/>
      <c r="DU313" s="21"/>
      <c r="DV313" s="21"/>
      <c r="DW313" s="21"/>
      <c r="DX313" s="21"/>
      <c r="DY313" s="21"/>
      <c r="DZ313" s="21"/>
      <c r="EA313" s="21"/>
      <c r="EB313" s="21"/>
      <c r="EC313" s="21"/>
      <c r="ED313" s="21"/>
      <c r="EE313" s="21"/>
      <c r="EF313" s="21"/>
      <c r="EG313" s="21"/>
      <c r="EH313" s="21"/>
      <c r="EI313" s="21"/>
      <c r="EJ313" s="21"/>
      <c r="EK313" s="21"/>
      <c r="EL313" s="21"/>
      <c r="EM313" s="21"/>
      <c r="EN313" s="21"/>
      <c r="EO313" s="21"/>
      <c r="EP313" s="21"/>
      <c r="EQ313" s="21"/>
      <c r="ER313" s="21"/>
      <c r="ES313" s="21"/>
      <c r="ET313" s="21"/>
      <c r="EU313" s="21"/>
      <c r="EV313" s="21"/>
      <c r="EW313" s="21"/>
      <c r="EX313" s="21"/>
      <c r="EY313" s="21"/>
      <c r="EZ313" s="21"/>
      <c r="FA313" s="21"/>
      <c r="FB313" s="21"/>
      <c r="FC313" s="21"/>
      <c r="FD313" s="21"/>
      <c r="FE313" s="21"/>
      <c r="FF313" s="21"/>
      <c r="FG313" s="21"/>
      <c r="FH313" s="21"/>
      <c r="FI313" s="21"/>
      <c r="FJ313" s="21"/>
      <c r="FK313" s="21"/>
      <c r="FL313" s="21"/>
      <c r="FM313" s="21"/>
      <c r="FN313" s="21"/>
      <c r="FO313" s="21"/>
      <c r="FP313" s="21"/>
      <c r="FQ313" s="21"/>
      <c r="FR313" s="21"/>
      <c r="FS313" s="21"/>
      <c r="FT313" s="21"/>
      <c r="FU313" s="21"/>
      <c r="FV313" s="21"/>
      <c r="FW313" s="21"/>
      <c r="FX313" s="21"/>
      <c r="FY313" s="21"/>
      <c r="FZ313" s="21"/>
      <c r="GA313" s="21"/>
      <c r="GB313" s="21"/>
      <c r="GC313" s="21"/>
      <c r="GD313" s="21"/>
      <c r="GE313" s="21"/>
      <c r="GF313" s="21"/>
      <c r="GG313" s="21"/>
      <c r="GH313" s="21"/>
      <c r="GI313" s="21"/>
      <c r="GJ313" s="21"/>
      <c r="GK313" s="21"/>
      <c r="GL313" s="21"/>
      <c r="GM313" s="21"/>
      <c r="GN313" s="21"/>
      <c r="GO313" s="21"/>
      <c r="GP313" s="21"/>
      <c r="GQ313" s="21"/>
      <c r="GR313" s="21"/>
      <c r="GS313" s="21"/>
      <c r="GT313" s="21"/>
      <c r="GU313" s="21"/>
      <c r="GV313" s="21"/>
      <c r="GW313" s="21"/>
      <c r="GX313" s="21"/>
      <c r="GY313" s="21"/>
      <c r="GZ313" s="21"/>
      <c r="HA313" s="21"/>
      <c r="HB313" s="21"/>
    </row>
    <row r="314" spans="1:210"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c r="DB314" s="21"/>
      <c r="DC314" s="21"/>
      <c r="DD314" s="21"/>
      <c r="DE314" s="21"/>
      <c r="DF314" s="21"/>
      <c r="DG314" s="21"/>
      <c r="DH314" s="21"/>
      <c r="DI314" s="21"/>
      <c r="DJ314" s="21"/>
      <c r="DK314" s="21"/>
      <c r="DL314" s="21"/>
      <c r="DM314" s="21"/>
      <c r="DN314" s="21"/>
      <c r="DO314" s="21"/>
      <c r="DP314" s="21"/>
      <c r="DQ314" s="21"/>
      <c r="DR314" s="21"/>
      <c r="DS314" s="21"/>
      <c r="DT314" s="21"/>
      <c r="DU314" s="21"/>
      <c r="DV314" s="21"/>
      <c r="DW314" s="21"/>
      <c r="DX314" s="21"/>
      <c r="DY314" s="21"/>
      <c r="DZ314" s="21"/>
      <c r="EA314" s="21"/>
      <c r="EB314" s="21"/>
      <c r="EC314" s="21"/>
      <c r="ED314" s="21"/>
      <c r="EE314" s="21"/>
      <c r="EF314" s="21"/>
      <c r="EG314" s="21"/>
      <c r="EH314" s="21"/>
      <c r="EI314" s="21"/>
      <c r="EJ314" s="21"/>
      <c r="EK314" s="21"/>
      <c r="EL314" s="21"/>
      <c r="EM314" s="21"/>
      <c r="EN314" s="21"/>
      <c r="EO314" s="21"/>
      <c r="EP314" s="21"/>
      <c r="EQ314" s="21"/>
      <c r="ER314" s="21"/>
      <c r="ES314" s="21"/>
      <c r="ET314" s="21"/>
      <c r="EU314" s="21"/>
      <c r="EV314" s="21"/>
      <c r="EW314" s="21"/>
      <c r="EX314" s="21"/>
      <c r="EY314" s="21"/>
      <c r="EZ314" s="21"/>
      <c r="FA314" s="21"/>
      <c r="FB314" s="21"/>
      <c r="FC314" s="21"/>
      <c r="FD314" s="21"/>
      <c r="FE314" s="21"/>
      <c r="FF314" s="21"/>
      <c r="FG314" s="21"/>
      <c r="FH314" s="21"/>
      <c r="FI314" s="21"/>
      <c r="FJ314" s="21"/>
      <c r="FK314" s="21"/>
      <c r="FL314" s="21"/>
      <c r="FM314" s="21"/>
      <c r="FN314" s="21"/>
      <c r="FO314" s="21"/>
      <c r="FP314" s="21"/>
      <c r="FQ314" s="21"/>
      <c r="FR314" s="21"/>
      <c r="FS314" s="21"/>
      <c r="FT314" s="21"/>
      <c r="FU314" s="21"/>
      <c r="FV314" s="21"/>
      <c r="FW314" s="21"/>
      <c r="FX314" s="21"/>
      <c r="FY314" s="21"/>
      <c r="FZ314" s="21"/>
      <c r="GA314" s="21"/>
      <c r="GB314" s="21"/>
      <c r="GC314" s="21"/>
      <c r="GD314" s="21"/>
      <c r="GE314" s="21"/>
      <c r="GF314" s="21"/>
      <c r="GG314" s="21"/>
      <c r="GH314" s="21"/>
      <c r="GI314" s="21"/>
      <c r="GJ314" s="21"/>
      <c r="GK314" s="21"/>
      <c r="GL314" s="21"/>
      <c r="GM314" s="21"/>
      <c r="GN314" s="21"/>
      <c r="GO314" s="21"/>
      <c r="GP314" s="21"/>
      <c r="GQ314" s="21"/>
      <c r="GR314" s="21"/>
      <c r="GS314" s="21"/>
      <c r="GT314" s="21"/>
      <c r="GU314" s="21"/>
      <c r="GV314" s="21"/>
      <c r="GW314" s="21"/>
      <c r="GX314" s="21"/>
      <c r="GY314" s="21"/>
      <c r="GZ314" s="21"/>
      <c r="HA314" s="21"/>
      <c r="HB314" s="21"/>
    </row>
    <row r="315" spans="1:210"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c r="DB315" s="21"/>
      <c r="DC315" s="21"/>
      <c r="DD315" s="21"/>
      <c r="DE315" s="21"/>
      <c r="DF315" s="21"/>
      <c r="DG315" s="21"/>
      <c r="DH315" s="21"/>
      <c r="DI315" s="21"/>
      <c r="DJ315" s="21"/>
      <c r="DK315" s="21"/>
      <c r="DL315" s="21"/>
      <c r="DM315" s="21"/>
      <c r="DN315" s="21"/>
      <c r="DO315" s="21"/>
      <c r="DP315" s="21"/>
      <c r="DQ315" s="21"/>
      <c r="DR315" s="21"/>
      <c r="DS315" s="21"/>
      <c r="DT315" s="21"/>
      <c r="DU315" s="21"/>
      <c r="DV315" s="21"/>
      <c r="DW315" s="21"/>
      <c r="DX315" s="21"/>
      <c r="DY315" s="21"/>
      <c r="DZ315" s="21"/>
      <c r="EA315" s="21"/>
      <c r="EB315" s="21"/>
      <c r="EC315" s="21"/>
      <c r="ED315" s="21"/>
      <c r="EE315" s="21"/>
      <c r="EF315" s="21"/>
      <c r="EG315" s="21"/>
      <c r="EH315" s="21"/>
      <c r="EI315" s="21"/>
      <c r="EJ315" s="21"/>
      <c r="EK315" s="21"/>
      <c r="EL315" s="21"/>
      <c r="EM315" s="21"/>
      <c r="EN315" s="21"/>
      <c r="EO315" s="21"/>
      <c r="EP315" s="21"/>
      <c r="EQ315" s="21"/>
      <c r="ER315" s="21"/>
      <c r="ES315" s="21"/>
      <c r="ET315" s="21"/>
      <c r="EU315" s="21"/>
      <c r="EV315" s="21"/>
      <c r="EW315" s="21"/>
      <c r="EX315" s="21"/>
      <c r="EY315" s="21"/>
      <c r="EZ315" s="21"/>
      <c r="FA315" s="21"/>
      <c r="FB315" s="21"/>
      <c r="FC315" s="21"/>
      <c r="FD315" s="21"/>
      <c r="FE315" s="21"/>
      <c r="FF315" s="21"/>
      <c r="FG315" s="21"/>
      <c r="FH315" s="21"/>
      <c r="FI315" s="21"/>
      <c r="FJ315" s="21"/>
      <c r="FK315" s="21"/>
      <c r="FL315" s="21"/>
      <c r="FM315" s="21"/>
      <c r="FN315" s="21"/>
      <c r="FO315" s="21"/>
      <c r="FP315" s="21"/>
      <c r="FQ315" s="21"/>
      <c r="FR315" s="21"/>
      <c r="FS315" s="21"/>
      <c r="FT315" s="21"/>
      <c r="FU315" s="21"/>
      <c r="FV315" s="21"/>
      <c r="FW315" s="21"/>
      <c r="FX315" s="21"/>
      <c r="FY315" s="21"/>
      <c r="FZ315" s="21"/>
      <c r="GA315" s="21"/>
      <c r="GB315" s="21"/>
      <c r="GC315" s="21"/>
      <c r="GD315" s="21"/>
      <c r="GE315" s="21"/>
      <c r="GF315" s="21"/>
      <c r="GG315" s="21"/>
      <c r="GH315" s="21"/>
      <c r="GI315" s="21"/>
      <c r="GJ315" s="21"/>
      <c r="GK315" s="21"/>
      <c r="GL315" s="21"/>
      <c r="GM315" s="21"/>
      <c r="GN315" s="21"/>
      <c r="GO315" s="21"/>
      <c r="GP315" s="21"/>
      <c r="GQ315" s="21"/>
      <c r="GR315" s="21"/>
      <c r="GS315" s="21"/>
      <c r="GT315" s="21"/>
      <c r="GU315" s="21"/>
      <c r="GV315" s="21"/>
      <c r="GW315" s="21"/>
      <c r="GX315" s="21"/>
      <c r="GY315" s="21"/>
      <c r="GZ315" s="21"/>
      <c r="HA315" s="21"/>
      <c r="HB315" s="21"/>
    </row>
    <row r="316" spans="1:210"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c r="DB316" s="21"/>
      <c r="DC316" s="21"/>
      <c r="DD316" s="21"/>
      <c r="DE316" s="21"/>
      <c r="DF316" s="21"/>
      <c r="DG316" s="21"/>
      <c r="DH316" s="21"/>
      <c r="DI316" s="21"/>
      <c r="DJ316" s="21"/>
      <c r="DK316" s="21"/>
      <c r="DL316" s="21"/>
      <c r="DM316" s="21"/>
      <c r="DN316" s="21"/>
      <c r="DO316" s="21"/>
      <c r="DP316" s="21"/>
      <c r="DQ316" s="21"/>
      <c r="DR316" s="21"/>
      <c r="DS316" s="21"/>
      <c r="DT316" s="21"/>
      <c r="DU316" s="21"/>
      <c r="DV316" s="21"/>
      <c r="DW316" s="21"/>
      <c r="DX316" s="21"/>
      <c r="DY316" s="21"/>
      <c r="DZ316" s="21"/>
      <c r="EA316" s="21"/>
      <c r="EB316" s="21"/>
      <c r="EC316" s="21"/>
      <c r="ED316" s="21"/>
      <c r="EE316" s="21"/>
      <c r="EF316" s="21"/>
      <c r="EG316" s="21"/>
      <c r="EH316" s="21"/>
      <c r="EI316" s="21"/>
      <c r="EJ316" s="21"/>
      <c r="EK316" s="21"/>
      <c r="EL316" s="21"/>
      <c r="EM316" s="21"/>
      <c r="EN316" s="21"/>
      <c r="EO316" s="21"/>
      <c r="EP316" s="21"/>
      <c r="EQ316" s="21"/>
      <c r="ER316" s="21"/>
      <c r="ES316" s="21"/>
      <c r="ET316" s="21"/>
      <c r="EU316" s="21"/>
      <c r="EV316" s="21"/>
      <c r="EW316" s="21"/>
      <c r="EX316" s="21"/>
      <c r="EY316" s="21"/>
      <c r="EZ316" s="21"/>
      <c r="FA316" s="21"/>
      <c r="FB316" s="21"/>
      <c r="FC316" s="21"/>
      <c r="FD316" s="21"/>
      <c r="FE316" s="21"/>
      <c r="FF316" s="21"/>
      <c r="FG316" s="21"/>
      <c r="FH316" s="21"/>
      <c r="FI316" s="21"/>
      <c r="FJ316" s="21"/>
      <c r="FK316" s="21"/>
      <c r="FL316" s="21"/>
      <c r="FM316" s="21"/>
      <c r="FN316" s="21"/>
      <c r="FO316" s="21"/>
      <c r="FP316" s="21"/>
      <c r="FQ316" s="21"/>
      <c r="FR316" s="21"/>
      <c r="FS316" s="21"/>
      <c r="FT316" s="21"/>
      <c r="FU316" s="21"/>
      <c r="FV316" s="21"/>
      <c r="FW316" s="21"/>
      <c r="FX316" s="21"/>
      <c r="FY316" s="21"/>
      <c r="FZ316" s="21"/>
      <c r="GA316" s="21"/>
      <c r="GB316" s="21"/>
      <c r="GC316" s="21"/>
      <c r="GD316" s="21"/>
      <c r="GE316" s="21"/>
      <c r="GF316" s="21"/>
      <c r="GG316" s="21"/>
      <c r="GH316" s="21"/>
      <c r="GI316" s="21"/>
      <c r="GJ316" s="21"/>
      <c r="GK316" s="21"/>
      <c r="GL316" s="21"/>
      <c r="GM316" s="21"/>
      <c r="GN316" s="21"/>
      <c r="GO316" s="21"/>
      <c r="GP316" s="21"/>
      <c r="GQ316" s="21"/>
      <c r="GR316" s="21"/>
      <c r="GS316" s="21"/>
      <c r="GT316" s="21"/>
      <c r="GU316" s="21"/>
      <c r="GV316" s="21"/>
      <c r="GW316" s="21"/>
      <c r="GX316" s="21"/>
      <c r="GY316" s="21"/>
      <c r="GZ316" s="21"/>
      <c r="HA316" s="21"/>
      <c r="HB316" s="21"/>
    </row>
    <row r="317" spans="1:210"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c r="DB317" s="21"/>
      <c r="DC317" s="21"/>
      <c r="DD317" s="21"/>
      <c r="DE317" s="21"/>
      <c r="DF317" s="21"/>
      <c r="DG317" s="21"/>
      <c r="DH317" s="21"/>
      <c r="DI317" s="21"/>
      <c r="DJ317" s="21"/>
      <c r="DK317" s="21"/>
      <c r="DL317" s="21"/>
      <c r="DM317" s="21"/>
      <c r="DN317" s="21"/>
      <c r="DO317" s="21"/>
      <c r="DP317" s="21"/>
      <c r="DQ317" s="21"/>
      <c r="DR317" s="21"/>
      <c r="DS317" s="21"/>
      <c r="DT317" s="21"/>
      <c r="DU317" s="21"/>
      <c r="DV317" s="21"/>
      <c r="DW317" s="21"/>
      <c r="DX317" s="21"/>
      <c r="DY317" s="21"/>
      <c r="DZ317" s="21"/>
      <c r="EA317" s="21"/>
      <c r="EB317" s="21"/>
      <c r="EC317" s="21"/>
      <c r="ED317" s="21"/>
      <c r="EE317" s="21"/>
      <c r="EF317" s="21"/>
      <c r="EG317" s="21"/>
      <c r="EH317" s="21"/>
      <c r="EI317" s="21"/>
      <c r="EJ317" s="21"/>
      <c r="EK317" s="21"/>
      <c r="EL317" s="21"/>
      <c r="EM317" s="21"/>
      <c r="EN317" s="21"/>
      <c r="EO317" s="21"/>
      <c r="EP317" s="21"/>
      <c r="EQ317" s="21"/>
      <c r="ER317" s="21"/>
      <c r="ES317" s="21"/>
      <c r="ET317" s="21"/>
      <c r="EU317" s="21"/>
      <c r="EV317" s="21"/>
      <c r="EW317" s="21"/>
      <c r="EX317" s="21"/>
      <c r="EY317" s="21"/>
      <c r="EZ317" s="21"/>
      <c r="FA317" s="21"/>
      <c r="FB317" s="21"/>
      <c r="FC317" s="21"/>
      <c r="FD317" s="21"/>
      <c r="FE317" s="21"/>
      <c r="FF317" s="21"/>
      <c r="FG317" s="21"/>
      <c r="FH317" s="21"/>
      <c r="FI317" s="21"/>
      <c r="FJ317" s="21"/>
      <c r="FK317" s="21"/>
      <c r="FL317" s="21"/>
      <c r="FM317" s="21"/>
      <c r="FN317" s="21"/>
      <c r="FO317" s="21"/>
      <c r="FP317" s="21"/>
      <c r="FQ317" s="21"/>
      <c r="FR317" s="21"/>
      <c r="FS317" s="21"/>
      <c r="FT317" s="21"/>
      <c r="FU317" s="21"/>
      <c r="FV317" s="21"/>
      <c r="FW317" s="21"/>
      <c r="FX317" s="21"/>
      <c r="FY317" s="21"/>
      <c r="FZ317" s="21"/>
      <c r="GA317" s="21"/>
      <c r="GB317" s="21"/>
      <c r="GC317" s="21"/>
      <c r="GD317" s="21"/>
      <c r="GE317" s="21"/>
      <c r="GF317" s="21"/>
      <c r="GG317" s="21"/>
      <c r="GH317" s="21"/>
      <c r="GI317" s="21"/>
      <c r="GJ317" s="21"/>
      <c r="GK317" s="21"/>
      <c r="GL317" s="21"/>
      <c r="GM317" s="21"/>
      <c r="GN317" s="21"/>
      <c r="GO317" s="21"/>
      <c r="GP317" s="21"/>
      <c r="GQ317" s="21"/>
      <c r="GR317" s="21"/>
      <c r="GS317" s="21"/>
      <c r="GT317" s="21"/>
      <c r="GU317" s="21"/>
      <c r="GV317" s="21"/>
      <c r="GW317" s="21"/>
      <c r="GX317" s="21"/>
      <c r="GY317" s="21"/>
      <c r="GZ317" s="21"/>
      <c r="HA317" s="21"/>
      <c r="HB317" s="21"/>
    </row>
    <row r="318" spans="1:210"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c r="DB318" s="21"/>
      <c r="DC318" s="21"/>
      <c r="DD318" s="21"/>
      <c r="DE318" s="21"/>
      <c r="DF318" s="21"/>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1"/>
      <c r="FH318" s="21"/>
      <c r="FI318" s="21"/>
      <c r="FJ318" s="21"/>
      <c r="FK318" s="21"/>
      <c r="FL318" s="21"/>
      <c r="FM318" s="21"/>
      <c r="FN318" s="21"/>
      <c r="FO318" s="21"/>
      <c r="FP318" s="21"/>
      <c r="FQ318" s="21"/>
      <c r="FR318" s="21"/>
      <c r="FS318" s="21"/>
      <c r="FT318" s="21"/>
      <c r="FU318" s="21"/>
      <c r="FV318" s="21"/>
      <c r="FW318" s="21"/>
      <c r="FX318" s="21"/>
      <c r="FY318" s="21"/>
      <c r="FZ318" s="21"/>
      <c r="GA318" s="21"/>
      <c r="GB318" s="21"/>
      <c r="GC318" s="21"/>
      <c r="GD318" s="21"/>
      <c r="GE318" s="21"/>
      <c r="GF318" s="21"/>
      <c r="GG318" s="21"/>
      <c r="GH318" s="21"/>
      <c r="GI318" s="21"/>
      <c r="GJ318" s="21"/>
      <c r="GK318" s="21"/>
      <c r="GL318" s="21"/>
      <c r="GM318" s="21"/>
      <c r="GN318" s="21"/>
      <c r="GO318" s="21"/>
      <c r="GP318" s="21"/>
      <c r="GQ318" s="21"/>
      <c r="GR318" s="21"/>
      <c r="GS318" s="21"/>
      <c r="GT318" s="21"/>
      <c r="GU318" s="21"/>
      <c r="GV318" s="21"/>
      <c r="GW318" s="21"/>
      <c r="GX318" s="21"/>
      <c r="GY318" s="21"/>
      <c r="GZ318" s="21"/>
      <c r="HA318" s="21"/>
      <c r="HB318" s="21"/>
    </row>
    <row r="319" spans="1:210"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c r="DB319" s="21"/>
      <c r="DC319" s="21"/>
      <c r="DD319" s="21"/>
      <c r="DE319" s="21"/>
      <c r="DF319" s="21"/>
      <c r="DG319" s="21"/>
      <c r="DH319" s="21"/>
      <c r="DI319" s="21"/>
      <c r="DJ319" s="21"/>
      <c r="DK319" s="21"/>
      <c r="DL319" s="21"/>
      <c r="DM319" s="21"/>
      <c r="DN319" s="21"/>
      <c r="DO319" s="21"/>
      <c r="DP319" s="21"/>
      <c r="DQ319" s="21"/>
      <c r="DR319" s="21"/>
      <c r="DS319" s="21"/>
      <c r="DT319" s="21"/>
      <c r="DU319" s="21"/>
      <c r="DV319" s="21"/>
      <c r="DW319" s="21"/>
      <c r="DX319" s="21"/>
      <c r="DY319" s="21"/>
      <c r="DZ319" s="21"/>
      <c r="EA319" s="21"/>
      <c r="EB319" s="21"/>
      <c r="EC319" s="21"/>
      <c r="ED319" s="21"/>
      <c r="EE319" s="21"/>
      <c r="EF319" s="21"/>
      <c r="EG319" s="21"/>
      <c r="EH319" s="21"/>
      <c r="EI319" s="21"/>
      <c r="EJ319" s="21"/>
      <c r="EK319" s="21"/>
      <c r="EL319" s="21"/>
      <c r="EM319" s="21"/>
      <c r="EN319" s="21"/>
      <c r="EO319" s="21"/>
      <c r="EP319" s="21"/>
      <c r="EQ319" s="21"/>
      <c r="ER319" s="21"/>
      <c r="ES319" s="21"/>
      <c r="ET319" s="21"/>
      <c r="EU319" s="21"/>
      <c r="EV319" s="21"/>
      <c r="EW319" s="21"/>
      <c r="EX319" s="21"/>
      <c r="EY319" s="21"/>
      <c r="EZ319" s="21"/>
      <c r="FA319" s="21"/>
      <c r="FB319" s="21"/>
      <c r="FC319" s="21"/>
      <c r="FD319" s="21"/>
      <c r="FE319" s="21"/>
      <c r="FF319" s="21"/>
      <c r="FG319" s="21"/>
      <c r="FH319" s="21"/>
      <c r="FI319" s="21"/>
      <c r="FJ319" s="21"/>
      <c r="FK319" s="21"/>
      <c r="FL319" s="21"/>
      <c r="FM319" s="21"/>
      <c r="FN319" s="21"/>
      <c r="FO319" s="21"/>
      <c r="FP319" s="21"/>
      <c r="FQ319" s="21"/>
      <c r="FR319" s="21"/>
      <c r="FS319" s="21"/>
      <c r="FT319" s="21"/>
      <c r="FU319" s="21"/>
      <c r="FV319" s="21"/>
      <c r="FW319" s="21"/>
      <c r="FX319" s="21"/>
      <c r="FY319" s="21"/>
      <c r="FZ319" s="21"/>
      <c r="GA319" s="21"/>
      <c r="GB319" s="21"/>
      <c r="GC319" s="21"/>
      <c r="GD319" s="21"/>
      <c r="GE319" s="21"/>
      <c r="GF319" s="21"/>
      <c r="GG319" s="21"/>
      <c r="GH319" s="21"/>
      <c r="GI319" s="21"/>
      <c r="GJ319" s="21"/>
      <c r="GK319" s="21"/>
      <c r="GL319" s="21"/>
      <c r="GM319" s="21"/>
      <c r="GN319" s="21"/>
      <c r="GO319" s="21"/>
      <c r="GP319" s="21"/>
      <c r="GQ319" s="21"/>
      <c r="GR319" s="21"/>
      <c r="GS319" s="21"/>
      <c r="GT319" s="21"/>
      <c r="GU319" s="21"/>
      <c r="GV319" s="21"/>
      <c r="GW319" s="21"/>
      <c r="GX319" s="21"/>
      <c r="GY319" s="21"/>
      <c r="GZ319" s="21"/>
      <c r="HA319" s="21"/>
      <c r="HB319" s="21"/>
    </row>
    <row r="320" spans="1:210"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c r="DB320" s="21"/>
      <c r="DC320" s="21"/>
      <c r="DD320" s="21"/>
      <c r="DE320" s="21"/>
      <c r="DF320" s="21"/>
      <c r="DG320" s="21"/>
      <c r="DH320" s="21"/>
      <c r="DI320" s="21"/>
      <c r="DJ320" s="21"/>
      <c r="DK320" s="21"/>
      <c r="DL320" s="21"/>
      <c r="DM320" s="21"/>
      <c r="DN320" s="21"/>
      <c r="DO320" s="21"/>
      <c r="DP320" s="21"/>
      <c r="DQ320" s="21"/>
      <c r="DR320" s="21"/>
      <c r="DS320" s="21"/>
      <c r="DT320" s="21"/>
      <c r="DU320" s="21"/>
      <c r="DV320" s="21"/>
      <c r="DW320" s="21"/>
      <c r="DX320" s="21"/>
      <c r="DY320" s="21"/>
      <c r="DZ320" s="21"/>
      <c r="EA320" s="21"/>
      <c r="EB320" s="21"/>
      <c r="EC320" s="21"/>
      <c r="ED320" s="21"/>
      <c r="EE320" s="21"/>
      <c r="EF320" s="21"/>
      <c r="EG320" s="21"/>
      <c r="EH320" s="21"/>
      <c r="EI320" s="21"/>
      <c r="EJ320" s="21"/>
      <c r="EK320" s="21"/>
      <c r="EL320" s="21"/>
      <c r="EM320" s="21"/>
      <c r="EN320" s="21"/>
      <c r="EO320" s="21"/>
      <c r="EP320" s="21"/>
      <c r="EQ320" s="21"/>
      <c r="ER320" s="21"/>
      <c r="ES320" s="21"/>
      <c r="ET320" s="21"/>
      <c r="EU320" s="21"/>
      <c r="EV320" s="21"/>
      <c r="EW320" s="21"/>
      <c r="EX320" s="21"/>
      <c r="EY320" s="21"/>
      <c r="EZ320" s="21"/>
      <c r="FA320" s="21"/>
      <c r="FB320" s="21"/>
      <c r="FC320" s="21"/>
      <c r="FD320" s="21"/>
      <c r="FE320" s="21"/>
      <c r="FF320" s="21"/>
      <c r="FG320" s="21"/>
      <c r="FH320" s="21"/>
      <c r="FI320" s="21"/>
      <c r="FJ320" s="21"/>
      <c r="FK320" s="21"/>
      <c r="FL320" s="21"/>
      <c r="FM320" s="21"/>
      <c r="FN320" s="21"/>
      <c r="FO320" s="21"/>
      <c r="FP320" s="21"/>
      <c r="FQ320" s="21"/>
      <c r="FR320" s="21"/>
      <c r="FS320" s="21"/>
      <c r="FT320" s="21"/>
      <c r="FU320" s="21"/>
      <c r="FV320" s="21"/>
      <c r="FW320" s="21"/>
      <c r="FX320" s="21"/>
      <c r="FY320" s="21"/>
      <c r="FZ320" s="21"/>
      <c r="GA320" s="21"/>
      <c r="GB320" s="21"/>
      <c r="GC320" s="21"/>
      <c r="GD320" s="21"/>
      <c r="GE320" s="21"/>
      <c r="GF320" s="21"/>
      <c r="GG320" s="21"/>
      <c r="GH320" s="21"/>
      <c r="GI320" s="21"/>
      <c r="GJ320" s="21"/>
      <c r="GK320" s="21"/>
      <c r="GL320" s="21"/>
      <c r="GM320" s="21"/>
      <c r="GN320" s="21"/>
      <c r="GO320" s="21"/>
      <c r="GP320" s="21"/>
      <c r="GQ320" s="21"/>
      <c r="GR320" s="21"/>
      <c r="GS320" s="21"/>
      <c r="GT320" s="21"/>
      <c r="GU320" s="21"/>
      <c r="GV320" s="21"/>
      <c r="GW320" s="21"/>
      <c r="GX320" s="21"/>
      <c r="GY320" s="21"/>
      <c r="GZ320" s="21"/>
      <c r="HA320" s="21"/>
      <c r="HB320" s="21"/>
    </row>
    <row r="321" spans="1:210"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c r="DB321" s="21"/>
      <c r="DC321" s="21"/>
      <c r="DD321" s="21"/>
      <c r="DE321" s="21"/>
      <c r="DF321" s="21"/>
      <c r="DG321" s="21"/>
      <c r="DH321" s="21"/>
      <c r="DI321" s="21"/>
      <c r="DJ321" s="21"/>
      <c r="DK321" s="21"/>
      <c r="DL321" s="21"/>
      <c r="DM321" s="21"/>
      <c r="DN321" s="21"/>
      <c r="DO321" s="21"/>
      <c r="DP321" s="21"/>
      <c r="DQ321" s="21"/>
      <c r="DR321" s="21"/>
      <c r="DS321" s="21"/>
      <c r="DT321" s="21"/>
      <c r="DU321" s="21"/>
      <c r="DV321" s="21"/>
      <c r="DW321" s="21"/>
      <c r="DX321" s="21"/>
      <c r="DY321" s="21"/>
      <c r="DZ321" s="21"/>
      <c r="EA321" s="21"/>
      <c r="EB321" s="21"/>
      <c r="EC321" s="21"/>
      <c r="ED321" s="21"/>
      <c r="EE321" s="21"/>
      <c r="EF321" s="21"/>
      <c r="EG321" s="21"/>
      <c r="EH321" s="21"/>
      <c r="EI321" s="21"/>
      <c r="EJ321" s="21"/>
      <c r="EK321" s="21"/>
      <c r="EL321" s="21"/>
      <c r="EM321" s="21"/>
      <c r="EN321" s="21"/>
      <c r="EO321" s="21"/>
      <c r="EP321" s="21"/>
      <c r="EQ321" s="21"/>
      <c r="ER321" s="21"/>
      <c r="ES321" s="21"/>
      <c r="ET321" s="21"/>
      <c r="EU321" s="21"/>
      <c r="EV321" s="21"/>
      <c r="EW321" s="21"/>
      <c r="EX321" s="21"/>
      <c r="EY321" s="21"/>
      <c r="EZ321" s="21"/>
      <c r="FA321" s="21"/>
      <c r="FB321" s="21"/>
      <c r="FC321" s="21"/>
      <c r="FD321" s="21"/>
      <c r="FE321" s="21"/>
      <c r="FF321" s="21"/>
      <c r="FG321" s="21"/>
      <c r="FH321" s="21"/>
      <c r="FI321" s="21"/>
      <c r="FJ321" s="21"/>
      <c r="FK321" s="21"/>
      <c r="FL321" s="21"/>
      <c r="FM321" s="21"/>
      <c r="FN321" s="21"/>
      <c r="FO321" s="21"/>
      <c r="FP321" s="21"/>
      <c r="FQ321" s="21"/>
      <c r="FR321" s="21"/>
      <c r="FS321" s="21"/>
      <c r="FT321" s="21"/>
      <c r="FU321" s="21"/>
      <c r="FV321" s="21"/>
      <c r="FW321" s="21"/>
      <c r="FX321" s="21"/>
      <c r="FY321" s="21"/>
      <c r="FZ321" s="21"/>
      <c r="GA321" s="21"/>
      <c r="GB321" s="21"/>
      <c r="GC321" s="21"/>
      <c r="GD321" s="21"/>
      <c r="GE321" s="21"/>
      <c r="GF321" s="21"/>
      <c r="GG321" s="21"/>
      <c r="GH321" s="21"/>
      <c r="GI321" s="21"/>
      <c r="GJ321" s="21"/>
      <c r="GK321" s="21"/>
      <c r="GL321" s="21"/>
      <c r="GM321" s="21"/>
      <c r="GN321" s="21"/>
      <c r="GO321" s="21"/>
      <c r="GP321" s="21"/>
      <c r="GQ321" s="21"/>
      <c r="GR321" s="21"/>
      <c r="GS321" s="21"/>
      <c r="GT321" s="21"/>
      <c r="GU321" s="21"/>
      <c r="GV321" s="21"/>
      <c r="GW321" s="21"/>
      <c r="GX321" s="21"/>
      <c r="GY321" s="21"/>
      <c r="GZ321" s="21"/>
      <c r="HA321" s="21"/>
      <c r="HB321" s="21"/>
    </row>
    <row r="322" spans="1:210"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c r="DB322" s="21"/>
      <c r="DC322" s="21"/>
      <c r="DD322" s="21"/>
      <c r="DE322" s="21"/>
      <c r="DF322" s="21"/>
      <c r="DG322" s="21"/>
      <c r="DH322" s="21"/>
      <c r="DI322" s="21"/>
      <c r="DJ322" s="21"/>
      <c r="DK322" s="21"/>
      <c r="DL322" s="21"/>
      <c r="DM322" s="21"/>
      <c r="DN322" s="21"/>
      <c r="DO322" s="21"/>
      <c r="DP322" s="21"/>
      <c r="DQ322" s="21"/>
      <c r="DR322" s="21"/>
      <c r="DS322" s="21"/>
      <c r="DT322" s="21"/>
      <c r="DU322" s="21"/>
      <c r="DV322" s="21"/>
      <c r="DW322" s="21"/>
      <c r="DX322" s="21"/>
      <c r="DY322" s="21"/>
      <c r="DZ322" s="21"/>
      <c r="EA322" s="21"/>
      <c r="EB322" s="21"/>
      <c r="EC322" s="21"/>
      <c r="ED322" s="21"/>
      <c r="EE322" s="21"/>
      <c r="EF322" s="21"/>
      <c r="EG322" s="21"/>
      <c r="EH322" s="21"/>
      <c r="EI322" s="21"/>
      <c r="EJ322" s="21"/>
      <c r="EK322" s="21"/>
      <c r="EL322" s="21"/>
      <c r="EM322" s="21"/>
      <c r="EN322" s="21"/>
      <c r="EO322" s="21"/>
      <c r="EP322" s="21"/>
      <c r="EQ322" s="21"/>
      <c r="ER322" s="21"/>
      <c r="ES322" s="21"/>
      <c r="ET322" s="21"/>
      <c r="EU322" s="21"/>
      <c r="EV322" s="21"/>
      <c r="EW322" s="21"/>
      <c r="EX322" s="21"/>
      <c r="EY322" s="21"/>
      <c r="EZ322" s="21"/>
      <c r="FA322" s="21"/>
      <c r="FB322" s="21"/>
      <c r="FC322" s="21"/>
      <c r="FD322" s="21"/>
      <c r="FE322" s="21"/>
      <c r="FF322" s="21"/>
      <c r="FG322" s="21"/>
      <c r="FH322" s="21"/>
      <c r="FI322" s="21"/>
      <c r="FJ322" s="21"/>
      <c r="FK322" s="21"/>
      <c r="FL322" s="21"/>
      <c r="FM322" s="21"/>
      <c r="FN322" s="21"/>
      <c r="FO322" s="21"/>
      <c r="FP322" s="21"/>
      <c r="FQ322" s="21"/>
      <c r="FR322" s="21"/>
      <c r="FS322" s="21"/>
      <c r="FT322" s="21"/>
      <c r="FU322" s="21"/>
      <c r="FV322" s="21"/>
      <c r="FW322" s="21"/>
      <c r="FX322" s="21"/>
      <c r="FY322" s="21"/>
      <c r="FZ322" s="21"/>
      <c r="GA322" s="21"/>
      <c r="GB322" s="21"/>
      <c r="GC322" s="21"/>
      <c r="GD322" s="21"/>
      <c r="GE322" s="21"/>
      <c r="GF322" s="21"/>
      <c r="GG322" s="21"/>
      <c r="GH322" s="21"/>
      <c r="GI322" s="21"/>
      <c r="GJ322" s="21"/>
      <c r="GK322" s="21"/>
      <c r="GL322" s="21"/>
      <c r="GM322" s="21"/>
      <c r="GN322" s="21"/>
      <c r="GO322" s="21"/>
      <c r="GP322" s="21"/>
      <c r="GQ322" s="21"/>
      <c r="GR322" s="21"/>
      <c r="GS322" s="21"/>
      <c r="GT322" s="21"/>
      <c r="GU322" s="21"/>
      <c r="GV322" s="21"/>
      <c r="GW322" s="21"/>
      <c r="GX322" s="21"/>
      <c r="GY322" s="21"/>
      <c r="GZ322" s="21"/>
      <c r="HA322" s="21"/>
      <c r="HB322" s="21"/>
    </row>
    <row r="323" spans="1:210"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c r="DE323" s="21"/>
      <c r="DF323" s="21"/>
      <c r="DG323" s="21"/>
      <c r="DH323" s="21"/>
      <c r="DI323" s="21"/>
      <c r="DJ323" s="21"/>
      <c r="DK323" s="21"/>
      <c r="DL323" s="21"/>
      <c r="DM323" s="21"/>
      <c r="DN323" s="21"/>
      <c r="DO323" s="21"/>
      <c r="DP323" s="21"/>
      <c r="DQ323" s="21"/>
      <c r="DR323" s="21"/>
      <c r="DS323" s="21"/>
      <c r="DT323" s="21"/>
      <c r="DU323" s="21"/>
      <c r="DV323" s="21"/>
      <c r="DW323" s="21"/>
      <c r="DX323" s="21"/>
      <c r="DY323" s="21"/>
      <c r="DZ323" s="21"/>
      <c r="EA323" s="21"/>
      <c r="EB323" s="21"/>
      <c r="EC323" s="21"/>
      <c r="ED323" s="21"/>
      <c r="EE323" s="21"/>
      <c r="EF323" s="21"/>
      <c r="EG323" s="21"/>
      <c r="EH323" s="21"/>
      <c r="EI323" s="21"/>
      <c r="EJ323" s="21"/>
      <c r="EK323" s="21"/>
      <c r="EL323" s="21"/>
      <c r="EM323" s="21"/>
      <c r="EN323" s="21"/>
      <c r="EO323" s="21"/>
      <c r="EP323" s="21"/>
      <c r="EQ323" s="21"/>
      <c r="ER323" s="21"/>
      <c r="ES323" s="21"/>
      <c r="ET323" s="21"/>
      <c r="EU323" s="21"/>
      <c r="EV323" s="21"/>
      <c r="EW323" s="21"/>
      <c r="EX323" s="21"/>
      <c r="EY323" s="21"/>
      <c r="EZ323" s="21"/>
      <c r="FA323" s="21"/>
      <c r="FB323" s="21"/>
      <c r="FC323" s="21"/>
      <c r="FD323" s="21"/>
      <c r="FE323" s="21"/>
      <c r="FF323" s="21"/>
      <c r="FG323" s="21"/>
      <c r="FH323" s="21"/>
      <c r="FI323" s="21"/>
      <c r="FJ323" s="21"/>
      <c r="FK323" s="21"/>
      <c r="FL323" s="21"/>
      <c r="FM323" s="21"/>
      <c r="FN323" s="21"/>
      <c r="FO323" s="21"/>
      <c r="FP323" s="21"/>
      <c r="FQ323" s="21"/>
      <c r="FR323" s="21"/>
      <c r="FS323" s="21"/>
      <c r="FT323" s="21"/>
      <c r="FU323" s="21"/>
      <c r="FV323" s="21"/>
      <c r="FW323" s="21"/>
      <c r="FX323" s="21"/>
      <c r="FY323" s="21"/>
      <c r="FZ323" s="21"/>
      <c r="GA323" s="21"/>
      <c r="GB323" s="21"/>
      <c r="GC323" s="21"/>
      <c r="GD323" s="21"/>
      <c r="GE323" s="21"/>
      <c r="GF323" s="21"/>
      <c r="GG323" s="21"/>
      <c r="GH323" s="21"/>
      <c r="GI323" s="21"/>
      <c r="GJ323" s="21"/>
      <c r="GK323" s="21"/>
      <c r="GL323" s="21"/>
      <c r="GM323" s="21"/>
      <c r="GN323" s="21"/>
      <c r="GO323" s="21"/>
      <c r="GP323" s="21"/>
      <c r="GQ323" s="21"/>
      <c r="GR323" s="21"/>
      <c r="GS323" s="21"/>
      <c r="GT323" s="21"/>
      <c r="GU323" s="21"/>
      <c r="GV323" s="21"/>
      <c r="GW323" s="21"/>
      <c r="GX323" s="21"/>
      <c r="GY323" s="21"/>
      <c r="GZ323" s="21"/>
      <c r="HA323" s="21"/>
      <c r="HB323" s="21"/>
    </row>
    <row r="324" spans="1:210"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c r="DB324" s="21"/>
      <c r="DC324" s="21"/>
      <c r="DD324" s="21"/>
      <c r="DE324" s="21"/>
      <c r="DF324" s="21"/>
      <c r="DG324" s="21"/>
      <c r="DH324" s="21"/>
      <c r="DI324" s="21"/>
      <c r="DJ324" s="21"/>
      <c r="DK324" s="21"/>
      <c r="DL324" s="21"/>
      <c r="DM324" s="21"/>
      <c r="DN324" s="21"/>
      <c r="DO324" s="21"/>
      <c r="DP324" s="21"/>
      <c r="DQ324" s="21"/>
      <c r="DR324" s="21"/>
      <c r="DS324" s="21"/>
      <c r="DT324" s="21"/>
      <c r="DU324" s="21"/>
      <c r="DV324" s="21"/>
      <c r="DW324" s="21"/>
      <c r="DX324" s="21"/>
      <c r="DY324" s="21"/>
      <c r="DZ324" s="21"/>
      <c r="EA324" s="21"/>
      <c r="EB324" s="21"/>
      <c r="EC324" s="21"/>
      <c r="ED324" s="21"/>
      <c r="EE324" s="21"/>
      <c r="EF324" s="21"/>
      <c r="EG324" s="21"/>
      <c r="EH324" s="21"/>
      <c r="EI324" s="21"/>
      <c r="EJ324" s="21"/>
      <c r="EK324" s="21"/>
      <c r="EL324" s="21"/>
      <c r="EM324" s="21"/>
      <c r="EN324" s="21"/>
      <c r="EO324" s="21"/>
      <c r="EP324" s="21"/>
      <c r="EQ324" s="21"/>
      <c r="ER324" s="21"/>
      <c r="ES324" s="21"/>
      <c r="ET324" s="21"/>
      <c r="EU324" s="21"/>
      <c r="EV324" s="21"/>
      <c r="EW324" s="21"/>
      <c r="EX324" s="21"/>
      <c r="EY324" s="21"/>
      <c r="EZ324" s="21"/>
      <c r="FA324" s="21"/>
      <c r="FB324" s="21"/>
      <c r="FC324" s="21"/>
      <c r="FD324" s="21"/>
      <c r="FE324" s="21"/>
      <c r="FF324" s="21"/>
      <c r="FG324" s="21"/>
      <c r="FH324" s="21"/>
      <c r="FI324" s="21"/>
      <c r="FJ324" s="21"/>
      <c r="FK324" s="21"/>
      <c r="FL324" s="21"/>
      <c r="FM324" s="21"/>
      <c r="FN324" s="21"/>
      <c r="FO324" s="21"/>
      <c r="FP324" s="21"/>
      <c r="FQ324" s="21"/>
      <c r="FR324" s="21"/>
      <c r="FS324" s="21"/>
      <c r="FT324" s="21"/>
      <c r="FU324" s="21"/>
      <c r="FV324" s="21"/>
      <c r="FW324" s="21"/>
      <c r="FX324" s="21"/>
      <c r="FY324" s="21"/>
      <c r="FZ324" s="21"/>
      <c r="GA324" s="21"/>
      <c r="GB324" s="21"/>
      <c r="GC324" s="21"/>
      <c r="GD324" s="21"/>
      <c r="GE324" s="21"/>
      <c r="GF324" s="21"/>
      <c r="GG324" s="21"/>
      <c r="GH324" s="21"/>
      <c r="GI324" s="21"/>
      <c r="GJ324" s="21"/>
      <c r="GK324" s="21"/>
      <c r="GL324" s="21"/>
      <c r="GM324" s="21"/>
      <c r="GN324" s="21"/>
      <c r="GO324" s="21"/>
      <c r="GP324" s="21"/>
      <c r="GQ324" s="21"/>
      <c r="GR324" s="21"/>
      <c r="GS324" s="21"/>
      <c r="GT324" s="21"/>
      <c r="GU324" s="21"/>
      <c r="GV324" s="21"/>
      <c r="GW324" s="21"/>
      <c r="GX324" s="21"/>
      <c r="GY324" s="21"/>
      <c r="GZ324" s="21"/>
      <c r="HA324" s="21"/>
      <c r="HB324" s="21"/>
    </row>
    <row r="325" spans="1:210"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c r="DB325" s="21"/>
      <c r="DC325" s="21"/>
      <c r="DD325" s="21"/>
      <c r="DE325" s="21"/>
      <c r="DF325" s="21"/>
      <c r="DG325" s="21"/>
      <c r="DH325" s="21"/>
      <c r="DI325" s="21"/>
      <c r="DJ325" s="21"/>
      <c r="DK325" s="21"/>
      <c r="DL325" s="21"/>
      <c r="DM325" s="21"/>
      <c r="DN325" s="21"/>
      <c r="DO325" s="21"/>
      <c r="DP325" s="21"/>
      <c r="DQ325" s="21"/>
      <c r="DR325" s="21"/>
      <c r="DS325" s="21"/>
      <c r="DT325" s="21"/>
      <c r="DU325" s="21"/>
      <c r="DV325" s="21"/>
      <c r="DW325" s="21"/>
      <c r="DX325" s="21"/>
      <c r="DY325" s="21"/>
      <c r="DZ325" s="21"/>
      <c r="EA325" s="21"/>
      <c r="EB325" s="21"/>
      <c r="EC325" s="21"/>
      <c r="ED325" s="21"/>
      <c r="EE325" s="21"/>
      <c r="EF325" s="21"/>
      <c r="EG325" s="21"/>
      <c r="EH325" s="21"/>
      <c r="EI325" s="21"/>
      <c r="EJ325" s="21"/>
      <c r="EK325" s="21"/>
      <c r="EL325" s="21"/>
      <c r="EM325" s="21"/>
      <c r="EN325" s="21"/>
      <c r="EO325" s="21"/>
      <c r="EP325" s="21"/>
      <c r="EQ325" s="21"/>
      <c r="ER325" s="21"/>
      <c r="ES325" s="21"/>
      <c r="ET325" s="21"/>
      <c r="EU325" s="21"/>
      <c r="EV325" s="21"/>
      <c r="EW325" s="21"/>
      <c r="EX325" s="21"/>
      <c r="EY325" s="21"/>
      <c r="EZ325" s="21"/>
      <c r="FA325" s="21"/>
      <c r="FB325" s="21"/>
      <c r="FC325" s="21"/>
      <c r="FD325" s="21"/>
      <c r="FE325" s="21"/>
      <c r="FF325" s="21"/>
      <c r="FG325" s="21"/>
      <c r="FH325" s="21"/>
      <c r="FI325" s="21"/>
      <c r="FJ325" s="21"/>
      <c r="FK325" s="21"/>
      <c r="FL325" s="21"/>
      <c r="FM325" s="21"/>
      <c r="FN325" s="21"/>
      <c r="FO325" s="21"/>
      <c r="FP325" s="21"/>
      <c r="FQ325" s="21"/>
      <c r="FR325" s="21"/>
      <c r="FS325" s="21"/>
      <c r="FT325" s="21"/>
      <c r="FU325" s="21"/>
      <c r="FV325" s="21"/>
      <c r="FW325" s="21"/>
      <c r="FX325" s="21"/>
      <c r="FY325" s="21"/>
      <c r="FZ325" s="21"/>
      <c r="GA325" s="21"/>
      <c r="GB325" s="21"/>
      <c r="GC325" s="21"/>
      <c r="GD325" s="21"/>
      <c r="GE325" s="21"/>
      <c r="GF325" s="21"/>
      <c r="GG325" s="21"/>
      <c r="GH325" s="21"/>
      <c r="GI325" s="21"/>
      <c r="GJ325" s="21"/>
      <c r="GK325" s="21"/>
      <c r="GL325" s="21"/>
      <c r="GM325" s="21"/>
      <c r="GN325" s="21"/>
      <c r="GO325" s="21"/>
      <c r="GP325" s="21"/>
      <c r="GQ325" s="21"/>
      <c r="GR325" s="21"/>
      <c r="GS325" s="21"/>
      <c r="GT325" s="21"/>
      <c r="GU325" s="21"/>
      <c r="GV325" s="21"/>
      <c r="GW325" s="21"/>
      <c r="GX325" s="21"/>
      <c r="GY325" s="21"/>
      <c r="GZ325" s="21"/>
      <c r="HA325" s="21"/>
      <c r="HB325" s="21"/>
    </row>
    <row r="326" spans="1:210"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c r="DE326" s="21"/>
      <c r="DF326" s="21"/>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1"/>
      <c r="FH326" s="21"/>
      <c r="FI326" s="21"/>
      <c r="FJ326" s="21"/>
      <c r="FK326" s="21"/>
      <c r="FL326" s="21"/>
      <c r="FM326" s="21"/>
      <c r="FN326" s="21"/>
      <c r="FO326" s="21"/>
      <c r="FP326" s="21"/>
      <c r="FQ326" s="21"/>
      <c r="FR326" s="21"/>
      <c r="FS326" s="21"/>
      <c r="FT326" s="21"/>
      <c r="FU326" s="21"/>
      <c r="FV326" s="21"/>
      <c r="FW326" s="21"/>
      <c r="FX326" s="21"/>
      <c r="FY326" s="21"/>
      <c r="FZ326" s="21"/>
      <c r="GA326" s="21"/>
      <c r="GB326" s="21"/>
      <c r="GC326" s="21"/>
      <c r="GD326" s="21"/>
      <c r="GE326" s="21"/>
      <c r="GF326" s="21"/>
      <c r="GG326" s="21"/>
      <c r="GH326" s="21"/>
      <c r="GI326" s="21"/>
      <c r="GJ326" s="21"/>
      <c r="GK326" s="21"/>
      <c r="GL326" s="21"/>
      <c r="GM326" s="21"/>
      <c r="GN326" s="21"/>
      <c r="GO326" s="21"/>
      <c r="GP326" s="21"/>
      <c r="GQ326" s="21"/>
      <c r="GR326" s="21"/>
      <c r="GS326" s="21"/>
      <c r="GT326" s="21"/>
      <c r="GU326" s="21"/>
      <c r="GV326" s="21"/>
      <c r="GW326" s="21"/>
      <c r="GX326" s="21"/>
      <c r="GY326" s="21"/>
      <c r="GZ326" s="21"/>
      <c r="HA326" s="21"/>
      <c r="HB326" s="21"/>
    </row>
    <row r="327" spans="1:210"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c r="DB327" s="21"/>
      <c r="DC327" s="21"/>
      <c r="DD327" s="21"/>
      <c r="DE327" s="21"/>
      <c r="DF327" s="21"/>
      <c r="DG327" s="21"/>
      <c r="DH327" s="21"/>
      <c r="DI327" s="21"/>
      <c r="DJ327" s="21"/>
      <c r="DK327" s="21"/>
      <c r="DL327" s="21"/>
      <c r="DM327" s="21"/>
      <c r="DN327" s="21"/>
      <c r="DO327" s="21"/>
      <c r="DP327" s="21"/>
      <c r="DQ327" s="21"/>
      <c r="DR327" s="21"/>
      <c r="DS327" s="21"/>
      <c r="DT327" s="21"/>
      <c r="DU327" s="21"/>
      <c r="DV327" s="21"/>
      <c r="DW327" s="21"/>
      <c r="DX327" s="21"/>
      <c r="DY327" s="21"/>
      <c r="DZ327" s="21"/>
      <c r="EA327" s="21"/>
      <c r="EB327" s="21"/>
      <c r="EC327" s="21"/>
      <c r="ED327" s="21"/>
      <c r="EE327" s="21"/>
      <c r="EF327" s="21"/>
      <c r="EG327" s="21"/>
      <c r="EH327" s="21"/>
      <c r="EI327" s="21"/>
      <c r="EJ327" s="21"/>
      <c r="EK327" s="21"/>
      <c r="EL327" s="21"/>
      <c r="EM327" s="21"/>
      <c r="EN327" s="21"/>
      <c r="EO327" s="21"/>
      <c r="EP327" s="21"/>
      <c r="EQ327" s="21"/>
      <c r="ER327" s="21"/>
      <c r="ES327" s="21"/>
      <c r="ET327" s="21"/>
      <c r="EU327" s="21"/>
      <c r="EV327" s="21"/>
      <c r="EW327" s="21"/>
      <c r="EX327" s="21"/>
      <c r="EY327" s="21"/>
      <c r="EZ327" s="21"/>
      <c r="FA327" s="21"/>
      <c r="FB327" s="21"/>
      <c r="FC327" s="21"/>
      <c r="FD327" s="21"/>
      <c r="FE327" s="21"/>
      <c r="FF327" s="21"/>
      <c r="FG327" s="21"/>
      <c r="FH327" s="21"/>
      <c r="FI327" s="21"/>
      <c r="FJ327" s="21"/>
      <c r="FK327" s="21"/>
      <c r="FL327" s="21"/>
      <c r="FM327" s="21"/>
      <c r="FN327" s="21"/>
      <c r="FO327" s="21"/>
      <c r="FP327" s="21"/>
      <c r="FQ327" s="21"/>
      <c r="FR327" s="21"/>
      <c r="FS327" s="21"/>
      <c r="FT327" s="21"/>
      <c r="FU327" s="21"/>
      <c r="FV327" s="21"/>
      <c r="FW327" s="21"/>
      <c r="FX327" s="21"/>
      <c r="FY327" s="21"/>
      <c r="FZ327" s="21"/>
      <c r="GA327" s="21"/>
      <c r="GB327" s="21"/>
      <c r="GC327" s="21"/>
      <c r="GD327" s="21"/>
      <c r="GE327" s="21"/>
      <c r="GF327" s="21"/>
      <c r="GG327" s="21"/>
      <c r="GH327" s="21"/>
      <c r="GI327" s="21"/>
      <c r="GJ327" s="21"/>
      <c r="GK327" s="21"/>
      <c r="GL327" s="21"/>
      <c r="GM327" s="21"/>
      <c r="GN327" s="21"/>
      <c r="GO327" s="21"/>
      <c r="GP327" s="21"/>
      <c r="GQ327" s="21"/>
      <c r="GR327" s="21"/>
      <c r="GS327" s="21"/>
      <c r="GT327" s="21"/>
      <c r="GU327" s="21"/>
      <c r="GV327" s="21"/>
      <c r="GW327" s="21"/>
      <c r="GX327" s="21"/>
      <c r="GY327" s="21"/>
      <c r="GZ327" s="21"/>
      <c r="HA327" s="21"/>
      <c r="HB327" s="21"/>
    </row>
    <row r="328" spans="1:210"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c r="DB328" s="21"/>
      <c r="DC328" s="21"/>
      <c r="DD328" s="21"/>
      <c r="DE328" s="21"/>
      <c r="DF328" s="21"/>
      <c r="DG328" s="21"/>
      <c r="DH328" s="21"/>
      <c r="DI328" s="21"/>
      <c r="DJ328" s="21"/>
      <c r="DK328" s="21"/>
      <c r="DL328" s="21"/>
      <c r="DM328" s="21"/>
      <c r="DN328" s="21"/>
      <c r="DO328" s="21"/>
      <c r="DP328" s="21"/>
      <c r="DQ328" s="21"/>
      <c r="DR328" s="21"/>
      <c r="DS328" s="21"/>
      <c r="DT328" s="21"/>
      <c r="DU328" s="21"/>
      <c r="DV328" s="21"/>
      <c r="DW328" s="21"/>
      <c r="DX328" s="21"/>
      <c r="DY328" s="21"/>
      <c r="DZ328" s="21"/>
      <c r="EA328" s="21"/>
      <c r="EB328" s="21"/>
      <c r="EC328" s="21"/>
      <c r="ED328" s="21"/>
      <c r="EE328" s="21"/>
      <c r="EF328" s="21"/>
      <c r="EG328" s="21"/>
      <c r="EH328" s="21"/>
      <c r="EI328" s="21"/>
      <c r="EJ328" s="21"/>
      <c r="EK328" s="21"/>
      <c r="EL328" s="21"/>
      <c r="EM328" s="21"/>
      <c r="EN328" s="21"/>
      <c r="EO328" s="21"/>
      <c r="EP328" s="21"/>
      <c r="EQ328" s="21"/>
      <c r="ER328" s="21"/>
      <c r="ES328" s="21"/>
      <c r="ET328" s="21"/>
      <c r="EU328" s="21"/>
      <c r="EV328" s="21"/>
      <c r="EW328" s="21"/>
      <c r="EX328" s="21"/>
      <c r="EY328" s="21"/>
      <c r="EZ328" s="21"/>
      <c r="FA328" s="21"/>
      <c r="FB328" s="21"/>
      <c r="FC328" s="21"/>
      <c r="FD328" s="21"/>
      <c r="FE328" s="21"/>
      <c r="FF328" s="21"/>
      <c r="FG328" s="21"/>
      <c r="FH328" s="21"/>
      <c r="FI328" s="21"/>
      <c r="FJ328" s="21"/>
      <c r="FK328" s="21"/>
      <c r="FL328" s="21"/>
      <c r="FM328" s="21"/>
      <c r="FN328" s="21"/>
      <c r="FO328" s="21"/>
      <c r="FP328" s="21"/>
      <c r="FQ328" s="21"/>
      <c r="FR328" s="21"/>
      <c r="FS328" s="21"/>
      <c r="FT328" s="21"/>
      <c r="FU328" s="21"/>
      <c r="FV328" s="21"/>
      <c r="FW328" s="21"/>
      <c r="FX328" s="21"/>
      <c r="FY328" s="21"/>
      <c r="FZ328" s="21"/>
      <c r="GA328" s="21"/>
      <c r="GB328" s="21"/>
      <c r="GC328" s="21"/>
      <c r="GD328" s="21"/>
      <c r="GE328" s="21"/>
      <c r="GF328" s="21"/>
      <c r="GG328" s="21"/>
      <c r="GH328" s="21"/>
      <c r="GI328" s="21"/>
      <c r="GJ328" s="21"/>
      <c r="GK328" s="21"/>
      <c r="GL328" s="21"/>
      <c r="GM328" s="21"/>
      <c r="GN328" s="21"/>
      <c r="GO328" s="21"/>
      <c r="GP328" s="21"/>
      <c r="GQ328" s="21"/>
      <c r="GR328" s="21"/>
      <c r="GS328" s="21"/>
      <c r="GT328" s="21"/>
      <c r="GU328" s="21"/>
      <c r="GV328" s="21"/>
      <c r="GW328" s="21"/>
      <c r="GX328" s="21"/>
      <c r="GY328" s="21"/>
      <c r="GZ328" s="21"/>
      <c r="HA328" s="21"/>
      <c r="HB328" s="21"/>
    </row>
    <row r="329" spans="1:210"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c r="DB329" s="21"/>
      <c r="DC329" s="21"/>
      <c r="DD329" s="21"/>
      <c r="DE329" s="21"/>
      <c r="DF329" s="21"/>
      <c r="DG329" s="21"/>
      <c r="DH329" s="21"/>
      <c r="DI329" s="21"/>
      <c r="DJ329" s="21"/>
      <c r="DK329" s="21"/>
      <c r="DL329" s="21"/>
      <c r="DM329" s="21"/>
      <c r="DN329" s="21"/>
      <c r="DO329" s="21"/>
      <c r="DP329" s="21"/>
      <c r="DQ329" s="21"/>
      <c r="DR329" s="21"/>
      <c r="DS329" s="21"/>
      <c r="DT329" s="21"/>
      <c r="DU329" s="21"/>
      <c r="DV329" s="21"/>
      <c r="DW329" s="21"/>
      <c r="DX329" s="21"/>
      <c r="DY329" s="21"/>
      <c r="DZ329" s="21"/>
      <c r="EA329" s="21"/>
      <c r="EB329" s="21"/>
      <c r="EC329" s="21"/>
      <c r="ED329" s="21"/>
      <c r="EE329" s="21"/>
      <c r="EF329" s="21"/>
      <c r="EG329" s="21"/>
      <c r="EH329" s="21"/>
      <c r="EI329" s="21"/>
      <c r="EJ329" s="21"/>
      <c r="EK329" s="21"/>
      <c r="EL329" s="21"/>
      <c r="EM329" s="21"/>
      <c r="EN329" s="21"/>
      <c r="EO329" s="21"/>
      <c r="EP329" s="21"/>
      <c r="EQ329" s="21"/>
      <c r="ER329" s="21"/>
      <c r="ES329" s="21"/>
      <c r="ET329" s="21"/>
      <c r="EU329" s="21"/>
      <c r="EV329" s="21"/>
      <c r="EW329" s="21"/>
      <c r="EX329" s="21"/>
      <c r="EY329" s="21"/>
      <c r="EZ329" s="21"/>
      <c r="FA329" s="21"/>
      <c r="FB329" s="21"/>
      <c r="FC329" s="21"/>
      <c r="FD329" s="21"/>
      <c r="FE329" s="21"/>
      <c r="FF329" s="21"/>
      <c r="FG329" s="21"/>
      <c r="FH329" s="21"/>
      <c r="FI329" s="21"/>
      <c r="FJ329" s="21"/>
      <c r="FK329" s="21"/>
      <c r="FL329" s="21"/>
      <c r="FM329" s="21"/>
      <c r="FN329" s="21"/>
      <c r="FO329" s="21"/>
      <c r="FP329" s="21"/>
      <c r="FQ329" s="21"/>
      <c r="FR329" s="21"/>
      <c r="FS329" s="21"/>
      <c r="FT329" s="21"/>
      <c r="FU329" s="21"/>
      <c r="FV329" s="21"/>
      <c r="FW329" s="21"/>
      <c r="FX329" s="21"/>
      <c r="FY329" s="21"/>
      <c r="FZ329" s="21"/>
      <c r="GA329" s="21"/>
      <c r="GB329" s="21"/>
      <c r="GC329" s="21"/>
      <c r="GD329" s="21"/>
      <c r="GE329" s="21"/>
      <c r="GF329" s="21"/>
      <c r="GG329" s="21"/>
      <c r="GH329" s="21"/>
      <c r="GI329" s="21"/>
      <c r="GJ329" s="21"/>
      <c r="GK329" s="21"/>
      <c r="GL329" s="21"/>
      <c r="GM329" s="21"/>
      <c r="GN329" s="21"/>
      <c r="GO329" s="21"/>
      <c r="GP329" s="21"/>
      <c r="GQ329" s="21"/>
      <c r="GR329" s="21"/>
      <c r="GS329" s="21"/>
      <c r="GT329" s="21"/>
      <c r="GU329" s="21"/>
      <c r="GV329" s="21"/>
      <c r="GW329" s="21"/>
      <c r="GX329" s="21"/>
      <c r="GY329" s="21"/>
      <c r="GZ329" s="21"/>
      <c r="HA329" s="21"/>
      <c r="HB329" s="21"/>
    </row>
    <row r="330" spans="1:210"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c r="DE330" s="21"/>
      <c r="DF330" s="21"/>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c r="FH330" s="21"/>
      <c r="FI330" s="21"/>
      <c r="FJ330" s="21"/>
      <c r="FK330" s="21"/>
      <c r="FL330" s="21"/>
      <c r="FM330" s="21"/>
      <c r="FN330" s="21"/>
      <c r="FO330" s="21"/>
      <c r="FP330" s="21"/>
      <c r="FQ330" s="21"/>
      <c r="FR330" s="21"/>
      <c r="FS330" s="21"/>
      <c r="FT330" s="21"/>
      <c r="FU330" s="21"/>
      <c r="FV330" s="21"/>
      <c r="FW330" s="21"/>
      <c r="FX330" s="21"/>
      <c r="FY330" s="21"/>
      <c r="FZ330" s="21"/>
      <c r="GA330" s="21"/>
      <c r="GB330" s="21"/>
      <c r="GC330" s="21"/>
      <c r="GD330" s="21"/>
      <c r="GE330" s="21"/>
      <c r="GF330" s="21"/>
      <c r="GG330" s="21"/>
      <c r="GH330" s="21"/>
      <c r="GI330" s="21"/>
      <c r="GJ330" s="21"/>
      <c r="GK330" s="21"/>
      <c r="GL330" s="21"/>
      <c r="GM330" s="21"/>
      <c r="GN330" s="21"/>
      <c r="GO330" s="21"/>
      <c r="GP330" s="21"/>
      <c r="GQ330" s="21"/>
      <c r="GR330" s="21"/>
      <c r="GS330" s="21"/>
      <c r="GT330" s="21"/>
      <c r="GU330" s="21"/>
      <c r="GV330" s="21"/>
      <c r="GW330" s="21"/>
      <c r="GX330" s="21"/>
      <c r="GY330" s="21"/>
      <c r="GZ330" s="21"/>
      <c r="HA330" s="21"/>
      <c r="HB330" s="21"/>
    </row>
    <row r="331" spans="1:210"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c r="DB331" s="21"/>
      <c r="DC331" s="21"/>
      <c r="DD331" s="21"/>
      <c r="DE331" s="21"/>
      <c r="DF331" s="21"/>
      <c r="DG331" s="21"/>
      <c r="DH331" s="21"/>
      <c r="DI331" s="21"/>
      <c r="DJ331" s="21"/>
      <c r="DK331" s="21"/>
      <c r="DL331" s="21"/>
      <c r="DM331" s="21"/>
      <c r="DN331" s="21"/>
      <c r="DO331" s="21"/>
      <c r="DP331" s="21"/>
      <c r="DQ331" s="21"/>
      <c r="DR331" s="21"/>
      <c r="DS331" s="21"/>
      <c r="DT331" s="21"/>
      <c r="DU331" s="21"/>
      <c r="DV331" s="21"/>
      <c r="DW331" s="21"/>
      <c r="DX331" s="21"/>
      <c r="DY331" s="21"/>
      <c r="DZ331" s="21"/>
      <c r="EA331" s="21"/>
      <c r="EB331" s="21"/>
      <c r="EC331" s="21"/>
      <c r="ED331" s="21"/>
      <c r="EE331" s="21"/>
      <c r="EF331" s="21"/>
      <c r="EG331" s="21"/>
      <c r="EH331" s="21"/>
      <c r="EI331" s="21"/>
      <c r="EJ331" s="21"/>
      <c r="EK331" s="21"/>
      <c r="EL331" s="21"/>
      <c r="EM331" s="21"/>
      <c r="EN331" s="21"/>
      <c r="EO331" s="21"/>
      <c r="EP331" s="21"/>
      <c r="EQ331" s="21"/>
      <c r="ER331" s="21"/>
      <c r="ES331" s="21"/>
      <c r="ET331" s="21"/>
      <c r="EU331" s="21"/>
      <c r="EV331" s="21"/>
      <c r="EW331" s="21"/>
      <c r="EX331" s="21"/>
      <c r="EY331" s="21"/>
      <c r="EZ331" s="21"/>
      <c r="FA331" s="21"/>
      <c r="FB331" s="21"/>
      <c r="FC331" s="21"/>
      <c r="FD331" s="21"/>
      <c r="FE331" s="21"/>
      <c r="FF331" s="21"/>
      <c r="FG331" s="21"/>
      <c r="FH331" s="21"/>
      <c r="FI331" s="21"/>
      <c r="FJ331" s="21"/>
      <c r="FK331" s="21"/>
      <c r="FL331" s="21"/>
      <c r="FM331" s="21"/>
      <c r="FN331" s="21"/>
      <c r="FO331" s="21"/>
      <c r="FP331" s="21"/>
      <c r="FQ331" s="21"/>
      <c r="FR331" s="21"/>
      <c r="FS331" s="21"/>
      <c r="FT331" s="21"/>
      <c r="FU331" s="21"/>
      <c r="FV331" s="21"/>
      <c r="FW331" s="21"/>
      <c r="FX331" s="21"/>
      <c r="FY331" s="21"/>
      <c r="FZ331" s="21"/>
      <c r="GA331" s="21"/>
      <c r="GB331" s="21"/>
      <c r="GC331" s="21"/>
      <c r="GD331" s="21"/>
      <c r="GE331" s="21"/>
      <c r="GF331" s="21"/>
      <c r="GG331" s="21"/>
      <c r="GH331" s="21"/>
      <c r="GI331" s="21"/>
      <c r="GJ331" s="21"/>
      <c r="GK331" s="21"/>
      <c r="GL331" s="21"/>
      <c r="GM331" s="21"/>
      <c r="GN331" s="21"/>
      <c r="GO331" s="21"/>
      <c r="GP331" s="21"/>
      <c r="GQ331" s="21"/>
      <c r="GR331" s="21"/>
      <c r="GS331" s="21"/>
      <c r="GT331" s="21"/>
      <c r="GU331" s="21"/>
      <c r="GV331" s="21"/>
      <c r="GW331" s="21"/>
      <c r="GX331" s="21"/>
      <c r="GY331" s="21"/>
      <c r="GZ331" s="21"/>
      <c r="HA331" s="21"/>
      <c r="HB331" s="21"/>
    </row>
    <row r="332" spans="1:210"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c r="DB332" s="21"/>
      <c r="DC332" s="21"/>
      <c r="DD332" s="21"/>
      <c r="DE332" s="21"/>
      <c r="DF332" s="21"/>
      <c r="DG332" s="21"/>
      <c r="DH332" s="21"/>
      <c r="DI332" s="21"/>
      <c r="DJ332" s="21"/>
      <c r="DK332" s="21"/>
      <c r="DL332" s="21"/>
      <c r="DM332" s="21"/>
      <c r="DN332" s="21"/>
      <c r="DO332" s="21"/>
      <c r="DP332" s="21"/>
      <c r="DQ332" s="21"/>
      <c r="DR332" s="21"/>
      <c r="DS332" s="21"/>
      <c r="DT332" s="21"/>
      <c r="DU332" s="21"/>
      <c r="DV332" s="21"/>
      <c r="DW332" s="21"/>
      <c r="DX332" s="21"/>
      <c r="DY332" s="21"/>
      <c r="DZ332" s="21"/>
      <c r="EA332" s="21"/>
      <c r="EB332" s="21"/>
      <c r="EC332" s="21"/>
      <c r="ED332" s="21"/>
      <c r="EE332" s="21"/>
      <c r="EF332" s="21"/>
      <c r="EG332" s="21"/>
      <c r="EH332" s="21"/>
      <c r="EI332" s="21"/>
      <c r="EJ332" s="21"/>
      <c r="EK332" s="21"/>
      <c r="EL332" s="21"/>
      <c r="EM332" s="21"/>
      <c r="EN332" s="21"/>
      <c r="EO332" s="21"/>
      <c r="EP332" s="21"/>
      <c r="EQ332" s="21"/>
      <c r="ER332" s="21"/>
      <c r="ES332" s="21"/>
      <c r="ET332" s="21"/>
      <c r="EU332" s="21"/>
      <c r="EV332" s="21"/>
      <c r="EW332" s="21"/>
      <c r="EX332" s="21"/>
      <c r="EY332" s="21"/>
      <c r="EZ332" s="21"/>
      <c r="FA332" s="21"/>
      <c r="FB332" s="21"/>
      <c r="FC332" s="21"/>
      <c r="FD332" s="21"/>
      <c r="FE332" s="21"/>
      <c r="FF332" s="21"/>
      <c r="FG332" s="21"/>
      <c r="FH332" s="21"/>
      <c r="FI332" s="21"/>
      <c r="FJ332" s="21"/>
      <c r="FK332" s="21"/>
      <c r="FL332" s="21"/>
      <c r="FM332" s="21"/>
      <c r="FN332" s="21"/>
      <c r="FO332" s="21"/>
      <c r="FP332" s="21"/>
      <c r="FQ332" s="21"/>
      <c r="FR332" s="21"/>
      <c r="FS332" s="21"/>
      <c r="FT332" s="21"/>
      <c r="FU332" s="21"/>
      <c r="FV332" s="21"/>
      <c r="FW332" s="21"/>
      <c r="FX332" s="21"/>
      <c r="FY332" s="21"/>
      <c r="FZ332" s="21"/>
      <c r="GA332" s="21"/>
      <c r="GB332" s="21"/>
      <c r="GC332" s="21"/>
      <c r="GD332" s="21"/>
      <c r="GE332" s="21"/>
      <c r="GF332" s="21"/>
      <c r="GG332" s="21"/>
      <c r="GH332" s="21"/>
      <c r="GI332" s="21"/>
      <c r="GJ332" s="21"/>
      <c r="GK332" s="21"/>
      <c r="GL332" s="21"/>
      <c r="GM332" s="21"/>
      <c r="GN332" s="21"/>
      <c r="GO332" s="21"/>
      <c r="GP332" s="21"/>
      <c r="GQ332" s="21"/>
      <c r="GR332" s="21"/>
      <c r="GS332" s="21"/>
      <c r="GT332" s="21"/>
      <c r="GU332" s="21"/>
      <c r="GV332" s="21"/>
      <c r="GW332" s="21"/>
      <c r="GX332" s="21"/>
      <c r="GY332" s="21"/>
      <c r="GZ332" s="21"/>
      <c r="HA332" s="21"/>
      <c r="HB332" s="21"/>
    </row>
    <row r="333" spans="1:210"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21"/>
      <c r="CH333" s="21"/>
      <c r="CI333" s="21"/>
      <c r="CJ333" s="21"/>
      <c r="CK333" s="21"/>
      <c r="CL333" s="21"/>
      <c r="CM333" s="21"/>
      <c r="CN333" s="21"/>
      <c r="CO333" s="21"/>
      <c r="CP333" s="21"/>
      <c r="CQ333" s="21"/>
      <c r="CR333" s="21"/>
      <c r="CS333" s="21"/>
      <c r="CT333" s="21"/>
      <c r="CU333" s="21"/>
      <c r="CV333" s="21"/>
      <c r="CW333" s="21"/>
      <c r="CX333" s="21"/>
      <c r="CY333" s="21"/>
      <c r="CZ333" s="21"/>
      <c r="DA333" s="21"/>
      <c r="DB333" s="21"/>
      <c r="DC333" s="21"/>
      <c r="DD333" s="21"/>
      <c r="DE333" s="21"/>
      <c r="DF333" s="21"/>
      <c r="DG333" s="21"/>
      <c r="DH333" s="21"/>
      <c r="DI333" s="21"/>
      <c r="DJ333" s="21"/>
      <c r="DK333" s="21"/>
      <c r="DL333" s="21"/>
      <c r="DM333" s="21"/>
      <c r="DN333" s="21"/>
      <c r="DO333" s="21"/>
      <c r="DP333" s="21"/>
      <c r="DQ333" s="21"/>
      <c r="DR333" s="21"/>
      <c r="DS333" s="21"/>
      <c r="DT333" s="21"/>
      <c r="DU333" s="21"/>
      <c r="DV333" s="21"/>
      <c r="DW333" s="21"/>
      <c r="DX333" s="21"/>
      <c r="DY333" s="21"/>
      <c r="DZ333" s="21"/>
      <c r="EA333" s="21"/>
      <c r="EB333" s="21"/>
      <c r="EC333" s="21"/>
      <c r="ED333" s="21"/>
      <c r="EE333" s="21"/>
      <c r="EF333" s="21"/>
      <c r="EG333" s="21"/>
      <c r="EH333" s="21"/>
      <c r="EI333" s="21"/>
      <c r="EJ333" s="21"/>
      <c r="EK333" s="21"/>
      <c r="EL333" s="21"/>
      <c r="EM333" s="21"/>
      <c r="EN333" s="21"/>
      <c r="EO333" s="21"/>
      <c r="EP333" s="21"/>
      <c r="EQ333" s="21"/>
      <c r="ER333" s="21"/>
      <c r="ES333" s="21"/>
      <c r="ET333" s="21"/>
      <c r="EU333" s="21"/>
      <c r="EV333" s="21"/>
      <c r="EW333" s="21"/>
      <c r="EX333" s="21"/>
      <c r="EY333" s="21"/>
      <c r="EZ333" s="21"/>
      <c r="FA333" s="21"/>
      <c r="FB333" s="21"/>
      <c r="FC333" s="21"/>
      <c r="FD333" s="21"/>
      <c r="FE333" s="21"/>
      <c r="FF333" s="21"/>
      <c r="FG333" s="21"/>
      <c r="FH333" s="21"/>
      <c r="FI333" s="21"/>
      <c r="FJ333" s="21"/>
      <c r="FK333" s="21"/>
      <c r="FL333" s="21"/>
      <c r="FM333" s="21"/>
      <c r="FN333" s="21"/>
      <c r="FO333" s="21"/>
      <c r="FP333" s="21"/>
      <c r="FQ333" s="21"/>
      <c r="FR333" s="21"/>
      <c r="FS333" s="21"/>
      <c r="FT333" s="21"/>
      <c r="FU333" s="21"/>
      <c r="FV333" s="21"/>
      <c r="FW333" s="21"/>
      <c r="FX333" s="21"/>
      <c r="FY333" s="21"/>
      <c r="FZ333" s="21"/>
      <c r="GA333" s="21"/>
      <c r="GB333" s="21"/>
      <c r="GC333" s="21"/>
      <c r="GD333" s="21"/>
      <c r="GE333" s="21"/>
      <c r="GF333" s="21"/>
      <c r="GG333" s="21"/>
      <c r="GH333" s="21"/>
      <c r="GI333" s="21"/>
      <c r="GJ333" s="21"/>
      <c r="GK333" s="21"/>
      <c r="GL333" s="21"/>
      <c r="GM333" s="21"/>
      <c r="GN333" s="21"/>
      <c r="GO333" s="21"/>
      <c r="GP333" s="21"/>
      <c r="GQ333" s="21"/>
      <c r="GR333" s="21"/>
      <c r="GS333" s="21"/>
      <c r="GT333" s="21"/>
      <c r="GU333" s="21"/>
      <c r="GV333" s="21"/>
      <c r="GW333" s="21"/>
      <c r="GX333" s="21"/>
      <c r="GY333" s="21"/>
      <c r="GZ333" s="21"/>
      <c r="HA333" s="21"/>
      <c r="HB333" s="21"/>
    </row>
    <row r="334" spans="1:210"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c r="DE334" s="21"/>
      <c r="DF334" s="21"/>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1"/>
      <c r="FH334" s="21"/>
      <c r="FI334" s="21"/>
      <c r="FJ334" s="21"/>
      <c r="FK334" s="21"/>
      <c r="FL334" s="21"/>
      <c r="FM334" s="21"/>
      <c r="FN334" s="21"/>
      <c r="FO334" s="21"/>
      <c r="FP334" s="21"/>
      <c r="FQ334" s="21"/>
      <c r="FR334" s="21"/>
      <c r="FS334" s="21"/>
      <c r="FT334" s="21"/>
      <c r="FU334" s="21"/>
      <c r="FV334" s="21"/>
      <c r="FW334" s="21"/>
      <c r="FX334" s="21"/>
      <c r="FY334" s="21"/>
      <c r="FZ334" s="21"/>
      <c r="GA334" s="21"/>
      <c r="GB334" s="21"/>
      <c r="GC334" s="21"/>
      <c r="GD334" s="21"/>
      <c r="GE334" s="21"/>
      <c r="GF334" s="21"/>
      <c r="GG334" s="21"/>
      <c r="GH334" s="21"/>
      <c r="GI334" s="21"/>
      <c r="GJ334" s="21"/>
      <c r="GK334" s="21"/>
      <c r="GL334" s="21"/>
      <c r="GM334" s="21"/>
      <c r="GN334" s="21"/>
      <c r="GO334" s="21"/>
      <c r="GP334" s="21"/>
      <c r="GQ334" s="21"/>
      <c r="GR334" s="21"/>
      <c r="GS334" s="21"/>
      <c r="GT334" s="21"/>
      <c r="GU334" s="21"/>
      <c r="GV334" s="21"/>
      <c r="GW334" s="21"/>
      <c r="GX334" s="21"/>
      <c r="GY334" s="21"/>
      <c r="GZ334" s="21"/>
      <c r="HA334" s="21"/>
      <c r="HB334" s="21"/>
    </row>
    <row r="335" spans="1:210"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c r="DE335" s="21"/>
      <c r="DF335" s="21"/>
      <c r="DG335" s="21"/>
      <c r="DH335" s="21"/>
      <c r="DI335" s="21"/>
      <c r="DJ335" s="21"/>
      <c r="DK335" s="21"/>
      <c r="DL335" s="21"/>
      <c r="DM335" s="21"/>
      <c r="DN335" s="21"/>
      <c r="DO335" s="21"/>
      <c r="DP335" s="21"/>
      <c r="DQ335" s="21"/>
      <c r="DR335" s="21"/>
      <c r="DS335" s="21"/>
      <c r="DT335" s="21"/>
      <c r="DU335" s="21"/>
      <c r="DV335" s="21"/>
      <c r="DW335" s="21"/>
      <c r="DX335" s="21"/>
      <c r="DY335" s="21"/>
      <c r="DZ335" s="21"/>
      <c r="EA335" s="21"/>
      <c r="EB335" s="21"/>
      <c r="EC335" s="21"/>
      <c r="ED335" s="21"/>
      <c r="EE335" s="21"/>
      <c r="EF335" s="21"/>
      <c r="EG335" s="21"/>
      <c r="EH335" s="21"/>
      <c r="EI335" s="21"/>
      <c r="EJ335" s="21"/>
      <c r="EK335" s="21"/>
      <c r="EL335" s="21"/>
      <c r="EM335" s="21"/>
      <c r="EN335" s="21"/>
      <c r="EO335" s="21"/>
      <c r="EP335" s="21"/>
      <c r="EQ335" s="21"/>
      <c r="ER335" s="21"/>
      <c r="ES335" s="21"/>
      <c r="ET335" s="21"/>
      <c r="EU335" s="21"/>
      <c r="EV335" s="21"/>
      <c r="EW335" s="21"/>
      <c r="EX335" s="21"/>
      <c r="EY335" s="21"/>
      <c r="EZ335" s="21"/>
      <c r="FA335" s="21"/>
      <c r="FB335" s="21"/>
      <c r="FC335" s="21"/>
      <c r="FD335" s="21"/>
      <c r="FE335" s="21"/>
      <c r="FF335" s="21"/>
      <c r="FG335" s="21"/>
      <c r="FH335" s="21"/>
      <c r="FI335" s="21"/>
      <c r="FJ335" s="21"/>
      <c r="FK335" s="21"/>
      <c r="FL335" s="21"/>
      <c r="FM335" s="21"/>
      <c r="FN335" s="21"/>
      <c r="FO335" s="21"/>
      <c r="FP335" s="21"/>
      <c r="FQ335" s="21"/>
      <c r="FR335" s="21"/>
      <c r="FS335" s="21"/>
      <c r="FT335" s="21"/>
      <c r="FU335" s="21"/>
      <c r="FV335" s="21"/>
      <c r="FW335" s="21"/>
      <c r="FX335" s="21"/>
      <c r="FY335" s="21"/>
      <c r="FZ335" s="21"/>
      <c r="GA335" s="21"/>
      <c r="GB335" s="21"/>
      <c r="GC335" s="21"/>
      <c r="GD335" s="21"/>
      <c r="GE335" s="21"/>
      <c r="GF335" s="21"/>
      <c r="GG335" s="21"/>
      <c r="GH335" s="21"/>
      <c r="GI335" s="21"/>
      <c r="GJ335" s="21"/>
      <c r="GK335" s="21"/>
      <c r="GL335" s="21"/>
      <c r="GM335" s="21"/>
      <c r="GN335" s="21"/>
      <c r="GO335" s="21"/>
      <c r="GP335" s="21"/>
      <c r="GQ335" s="21"/>
      <c r="GR335" s="21"/>
      <c r="GS335" s="21"/>
      <c r="GT335" s="21"/>
      <c r="GU335" s="21"/>
      <c r="GV335" s="21"/>
      <c r="GW335" s="21"/>
      <c r="GX335" s="21"/>
      <c r="GY335" s="21"/>
      <c r="GZ335" s="21"/>
      <c r="HA335" s="21"/>
      <c r="HB335" s="21"/>
    </row>
    <row r="336" spans="1:210"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21"/>
      <c r="CH336" s="21"/>
      <c r="CI336" s="21"/>
      <c r="CJ336" s="21"/>
      <c r="CK336" s="21"/>
      <c r="CL336" s="21"/>
      <c r="CM336" s="21"/>
      <c r="CN336" s="21"/>
      <c r="CO336" s="21"/>
      <c r="CP336" s="21"/>
      <c r="CQ336" s="21"/>
      <c r="CR336" s="21"/>
      <c r="CS336" s="21"/>
      <c r="CT336" s="21"/>
      <c r="CU336" s="21"/>
      <c r="CV336" s="21"/>
      <c r="CW336" s="21"/>
      <c r="CX336" s="21"/>
      <c r="CY336" s="21"/>
      <c r="CZ336" s="21"/>
      <c r="DA336" s="21"/>
      <c r="DB336" s="21"/>
      <c r="DC336" s="21"/>
      <c r="DD336" s="21"/>
      <c r="DE336" s="21"/>
      <c r="DF336" s="21"/>
      <c r="DG336" s="21"/>
      <c r="DH336" s="21"/>
      <c r="DI336" s="21"/>
      <c r="DJ336" s="21"/>
      <c r="DK336" s="21"/>
      <c r="DL336" s="21"/>
      <c r="DM336" s="21"/>
      <c r="DN336" s="21"/>
      <c r="DO336" s="21"/>
      <c r="DP336" s="21"/>
      <c r="DQ336" s="21"/>
      <c r="DR336" s="21"/>
      <c r="DS336" s="21"/>
      <c r="DT336" s="21"/>
      <c r="DU336" s="21"/>
      <c r="DV336" s="21"/>
      <c r="DW336" s="21"/>
      <c r="DX336" s="21"/>
      <c r="DY336" s="21"/>
      <c r="DZ336" s="21"/>
      <c r="EA336" s="21"/>
      <c r="EB336" s="21"/>
      <c r="EC336" s="21"/>
      <c r="ED336" s="21"/>
      <c r="EE336" s="21"/>
      <c r="EF336" s="21"/>
      <c r="EG336" s="21"/>
      <c r="EH336" s="21"/>
      <c r="EI336" s="21"/>
      <c r="EJ336" s="21"/>
      <c r="EK336" s="21"/>
      <c r="EL336" s="21"/>
      <c r="EM336" s="21"/>
      <c r="EN336" s="21"/>
      <c r="EO336" s="21"/>
      <c r="EP336" s="21"/>
      <c r="EQ336" s="21"/>
      <c r="ER336" s="21"/>
      <c r="ES336" s="21"/>
      <c r="ET336" s="21"/>
      <c r="EU336" s="21"/>
      <c r="EV336" s="21"/>
      <c r="EW336" s="21"/>
      <c r="EX336" s="21"/>
      <c r="EY336" s="21"/>
      <c r="EZ336" s="21"/>
      <c r="FA336" s="21"/>
      <c r="FB336" s="21"/>
      <c r="FC336" s="21"/>
      <c r="FD336" s="21"/>
      <c r="FE336" s="21"/>
      <c r="FF336" s="21"/>
      <c r="FG336" s="21"/>
      <c r="FH336" s="21"/>
      <c r="FI336" s="21"/>
      <c r="FJ336" s="21"/>
      <c r="FK336" s="21"/>
      <c r="FL336" s="21"/>
      <c r="FM336" s="21"/>
      <c r="FN336" s="21"/>
      <c r="FO336" s="21"/>
      <c r="FP336" s="21"/>
      <c r="FQ336" s="21"/>
      <c r="FR336" s="21"/>
      <c r="FS336" s="21"/>
      <c r="FT336" s="21"/>
      <c r="FU336" s="21"/>
      <c r="FV336" s="21"/>
      <c r="FW336" s="21"/>
      <c r="FX336" s="21"/>
      <c r="FY336" s="21"/>
      <c r="FZ336" s="21"/>
      <c r="GA336" s="21"/>
      <c r="GB336" s="21"/>
      <c r="GC336" s="21"/>
      <c r="GD336" s="21"/>
      <c r="GE336" s="21"/>
      <c r="GF336" s="21"/>
      <c r="GG336" s="21"/>
      <c r="GH336" s="21"/>
      <c r="GI336" s="21"/>
      <c r="GJ336" s="21"/>
      <c r="GK336" s="21"/>
      <c r="GL336" s="21"/>
      <c r="GM336" s="21"/>
      <c r="GN336" s="21"/>
      <c r="GO336" s="21"/>
      <c r="GP336" s="21"/>
      <c r="GQ336" s="21"/>
      <c r="GR336" s="21"/>
      <c r="GS336" s="21"/>
      <c r="GT336" s="21"/>
      <c r="GU336" s="21"/>
      <c r="GV336" s="21"/>
      <c r="GW336" s="21"/>
      <c r="GX336" s="21"/>
      <c r="GY336" s="21"/>
      <c r="GZ336" s="21"/>
      <c r="HA336" s="21"/>
      <c r="HB336" s="21"/>
    </row>
    <row r="337" spans="1:210"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c r="DB337" s="21"/>
      <c r="DC337" s="21"/>
      <c r="DD337" s="21"/>
      <c r="DE337" s="21"/>
      <c r="DF337" s="21"/>
      <c r="DG337" s="21"/>
      <c r="DH337" s="21"/>
      <c r="DI337" s="21"/>
      <c r="DJ337" s="21"/>
      <c r="DK337" s="21"/>
      <c r="DL337" s="21"/>
      <c r="DM337" s="21"/>
      <c r="DN337" s="21"/>
      <c r="DO337" s="21"/>
      <c r="DP337" s="21"/>
      <c r="DQ337" s="21"/>
      <c r="DR337" s="21"/>
      <c r="DS337" s="21"/>
      <c r="DT337" s="21"/>
      <c r="DU337" s="21"/>
      <c r="DV337" s="21"/>
      <c r="DW337" s="21"/>
      <c r="DX337" s="21"/>
      <c r="DY337" s="21"/>
      <c r="DZ337" s="21"/>
      <c r="EA337" s="21"/>
      <c r="EB337" s="21"/>
      <c r="EC337" s="21"/>
      <c r="ED337" s="21"/>
      <c r="EE337" s="21"/>
      <c r="EF337" s="21"/>
      <c r="EG337" s="21"/>
      <c r="EH337" s="21"/>
      <c r="EI337" s="21"/>
      <c r="EJ337" s="21"/>
      <c r="EK337" s="21"/>
      <c r="EL337" s="21"/>
      <c r="EM337" s="21"/>
      <c r="EN337" s="21"/>
      <c r="EO337" s="21"/>
      <c r="EP337" s="21"/>
      <c r="EQ337" s="21"/>
      <c r="ER337" s="21"/>
      <c r="ES337" s="21"/>
      <c r="ET337" s="21"/>
      <c r="EU337" s="21"/>
      <c r="EV337" s="21"/>
      <c r="EW337" s="21"/>
      <c r="EX337" s="21"/>
      <c r="EY337" s="21"/>
      <c r="EZ337" s="21"/>
      <c r="FA337" s="21"/>
      <c r="FB337" s="21"/>
      <c r="FC337" s="21"/>
      <c r="FD337" s="21"/>
      <c r="FE337" s="21"/>
      <c r="FF337" s="21"/>
      <c r="FG337" s="21"/>
      <c r="FH337" s="21"/>
      <c r="FI337" s="21"/>
      <c r="FJ337" s="21"/>
      <c r="FK337" s="21"/>
      <c r="FL337" s="21"/>
      <c r="FM337" s="21"/>
      <c r="FN337" s="21"/>
      <c r="FO337" s="21"/>
      <c r="FP337" s="21"/>
      <c r="FQ337" s="21"/>
      <c r="FR337" s="21"/>
      <c r="FS337" s="21"/>
      <c r="FT337" s="21"/>
      <c r="FU337" s="21"/>
      <c r="FV337" s="21"/>
      <c r="FW337" s="21"/>
      <c r="FX337" s="21"/>
      <c r="FY337" s="21"/>
      <c r="FZ337" s="21"/>
      <c r="GA337" s="21"/>
      <c r="GB337" s="21"/>
      <c r="GC337" s="21"/>
      <c r="GD337" s="21"/>
      <c r="GE337" s="21"/>
      <c r="GF337" s="21"/>
      <c r="GG337" s="21"/>
      <c r="GH337" s="21"/>
      <c r="GI337" s="21"/>
      <c r="GJ337" s="21"/>
      <c r="GK337" s="21"/>
      <c r="GL337" s="21"/>
      <c r="GM337" s="21"/>
      <c r="GN337" s="21"/>
      <c r="GO337" s="21"/>
      <c r="GP337" s="21"/>
      <c r="GQ337" s="21"/>
      <c r="GR337" s="21"/>
      <c r="GS337" s="21"/>
      <c r="GT337" s="21"/>
      <c r="GU337" s="21"/>
      <c r="GV337" s="21"/>
      <c r="GW337" s="21"/>
      <c r="GX337" s="21"/>
      <c r="GY337" s="21"/>
      <c r="GZ337" s="21"/>
      <c r="HA337" s="21"/>
      <c r="HB337" s="21"/>
    </row>
    <row r="338" spans="1:210"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1"/>
      <c r="EL338" s="21"/>
      <c r="EM338" s="21"/>
      <c r="EN338" s="21"/>
      <c r="EO338" s="21"/>
      <c r="EP338" s="21"/>
      <c r="EQ338" s="21"/>
      <c r="ER338" s="21"/>
      <c r="ES338" s="21"/>
      <c r="ET338" s="21"/>
      <c r="EU338" s="21"/>
      <c r="EV338" s="21"/>
      <c r="EW338" s="21"/>
      <c r="EX338" s="21"/>
      <c r="EY338" s="21"/>
      <c r="EZ338" s="21"/>
      <c r="FA338" s="21"/>
      <c r="FB338" s="21"/>
      <c r="FC338" s="21"/>
      <c r="FD338" s="21"/>
      <c r="FE338" s="21"/>
      <c r="FF338" s="21"/>
      <c r="FG338" s="21"/>
      <c r="FH338" s="21"/>
      <c r="FI338" s="21"/>
      <c r="FJ338" s="21"/>
      <c r="FK338" s="21"/>
      <c r="FL338" s="21"/>
      <c r="FM338" s="21"/>
      <c r="FN338" s="21"/>
      <c r="FO338" s="21"/>
      <c r="FP338" s="21"/>
      <c r="FQ338" s="21"/>
      <c r="FR338" s="21"/>
      <c r="FS338" s="21"/>
      <c r="FT338" s="21"/>
      <c r="FU338" s="21"/>
      <c r="FV338" s="21"/>
      <c r="FW338" s="21"/>
      <c r="FX338" s="21"/>
      <c r="FY338" s="21"/>
      <c r="FZ338" s="21"/>
      <c r="GA338" s="21"/>
      <c r="GB338" s="21"/>
      <c r="GC338" s="21"/>
      <c r="GD338" s="21"/>
      <c r="GE338" s="21"/>
      <c r="GF338" s="21"/>
      <c r="GG338" s="21"/>
      <c r="GH338" s="21"/>
      <c r="GI338" s="21"/>
      <c r="GJ338" s="21"/>
      <c r="GK338" s="21"/>
      <c r="GL338" s="21"/>
      <c r="GM338" s="21"/>
      <c r="GN338" s="21"/>
      <c r="GO338" s="21"/>
      <c r="GP338" s="21"/>
      <c r="GQ338" s="21"/>
      <c r="GR338" s="21"/>
      <c r="GS338" s="21"/>
      <c r="GT338" s="21"/>
      <c r="GU338" s="21"/>
      <c r="GV338" s="21"/>
      <c r="GW338" s="21"/>
      <c r="GX338" s="21"/>
      <c r="GY338" s="21"/>
      <c r="GZ338" s="21"/>
      <c r="HA338" s="21"/>
      <c r="HB338" s="21"/>
    </row>
    <row r="339" spans="1:210"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c r="DB339" s="21"/>
      <c r="DC339" s="21"/>
      <c r="DD339" s="21"/>
      <c r="DE339" s="21"/>
      <c r="DF339" s="21"/>
      <c r="DG339" s="21"/>
      <c r="DH339" s="21"/>
      <c r="DI339" s="21"/>
      <c r="DJ339" s="21"/>
      <c r="DK339" s="21"/>
      <c r="DL339" s="21"/>
      <c r="DM339" s="21"/>
      <c r="DN339" s="21"/>
      <c r="DO339" s="21"/>
      <c r="DP339" s="21"/>
      <c r="DQ339" s="21"/>
      <c r="DR339" s="21"/>
      <c r="DS339" s="21"/>
      <c r="DT339" s="21"/>
      <c r="DU339" s="21"/>
      <c r="DV339" s="21"/>
      <c r="DW339" s="21"/>
      <c r="DX339" s="21"/>
      <c r="DY339" s="21"/>
      <c r="DZ339" s="21"/>
      <c r="EA339" s="21"/>
      <c r="EB339" s="21"/>
      <c r="EC339" s="21"/>
      <c r="ED339" s="21"/>
      <c r="EE339" s="21"/>
      <c r="EF339" s="21"/>
      <c r="EG339" s="21"/>
      <c r="EH339" s="21"/>
      <c r="EI339" s="21"/>
      <c r="EJ339" s="21"/>
      <c r="EK339" s="21"/>
      <c r="EL339" s="21"/>
      <c r="EM339" s="21"/>
      <c r="EN339" s="21"/>
      <c r="EO339" s="21"/>
      <c r="EP339" s="21"/>
      <c r="EQ339" s="21"/>
      <c r="ER339" s="21"/>
      <c r="ES339" s="21"/>
      <c r="ET339" s="21"/>
      <c r="EU339" s="21"/>
      <c r="EV339" s="21"/>
      <c r="EW339" s="21"/>
      <c r="EX339" s="21"/>
      <c r="EY339" s="21"/>
      <c r="EZ339" s="21"/>
      <c r="FA339" s="21"/>
      <c r="FB339" s="21"/>
      <c r="FC339" s="21"/>
      <c r="FD339" s="21"/>
      <c r="FE339" s="21"/>
      <c r="FF339" s="21"/>
      <c r="FG339" s="21"/>
      <c r="FH339" s="21"/>
      <c r="FI339" s="21"/>
      <c r="FJ339" s="21"/>
      <c r="FK339" s="21"/>
      <c r="FL339" s="21"/>
      <c r="FM339" s="21"/>
      <c r="FN339" s="21"/>
      <c r="FO339" s="21"/>
      <c r="FP339" s="21"/>
      <c r="FQ339" s="21"/>
      <c r="FR339" s="21"/>
      <c r="FS339" s="21"/>
      <c r="FT339" s="21"/>
      <c r="FU339" s="21"/>
      <c r="FV339" s="21"/>
      <c r="FW339" s="21"/>
      <c r="FX339" s="21"/>
      <c r="FY339" s="21"/>
      <c r="FZ339" s="21"/>
      <c r="GA339" s="21"/>
      <c r="GB339" s="21"/>
      <c r="GC339" s="21"/>
      <c r="GD339" s="21"/>
      <c r="GE339" s="21"/>
      <c r="GF339" s="21"/>
      <c r="GG339" s="21"/>
      <c r="GH339" s="21"/>
      <c r="GI339" s="21"/>
      <c r="GJ339" s="21"/>
      <c r="GK339" s="21"/>
      <c r="GL339" s="21"/>
      <c r="GM339" s="21"/>
      <c r="GN339" s="21"/>
      <c r="GO339" s="21"/>
      <c r="GP339" s="21"/>
      <c r="GQ339" s="21"/>
      <c r="GR339" s="21"/>
      <c r="GS339" s="21"/>
      <c r="GT339" s="21"/>
      <c r="GU339" s="21"/>
      <c r="GV339" s="21"/>
      <c r="GW339" s="21"/>
      <c r="GX339" s="21"/>
      <c r="GY339" s="21"/>
      <c r="GZ339" s="21"/>
      <c r="HA339" s="21"/>
      <c r="HB339" s="21"/>
    </row>
    <row r="340" spans="1:210"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c r="DE340" s="21"/>
      <c r="DF340" s="21"/>
      <c r="DG340" s="21"/>
      <c r="DH340" s="21"/>
      <c r="DI340" s="21"/>
      <c r="DJ340" s="21"/>
      <c r="DK340" s="21"/>
      <c r="DL340" s="21"/>
      <c r="DM340" s="21"/>
      <c r="DN340" s="21"/>
      <c r="DO340" s="21"/>
      <c r="DP340" s="21"/>
      <c r="DQ340" s="21"/>
      <c r="DR340" s="21"/>
      <c r="DS340" s="21"/>
      <c r="DT340" s="21"/>
      <c r="DU340" s="21"/>
      <c r="DV340" s="21"/>
      <c r="DW340" s="21"/>
      <c r="DX340" s="21"/>
      <c r="DY340" s="21"/>
      <c r="DZ340" s="21"/>
      <c r="EA340" s="21"/>
      <c r="EB340" s="21"/>
      <c r="EC340" s="21"/>
      <c r="ED340" s="21"/>
      <c r="EE340" s="21"/>
      <c r="EF340" s="21"/>
      <c r="EG340" s="21"/>
      <c r="EH340" s="21"/>
      <c r="EI340" s="21"/>
      <c r="EJ340" s="21"/>
      <c r="EK340" s="21"/>
      <c r="EL340" s="21"/>
      <c r="EM340" s="21"/>
      <c r="EN340" s="21"/>
      <c r="EO340" s="21"/>
      <c r="EP340" s="21"/>
      <c r="EQ340" s="21"/>
      <c r="ER340" s="21"/>
      <c r="ES340" s="21"/>
      <c r="ET340" s="21"/>
      <c r="EU340" s="21"/>
      <c r="EV340" s="21"/>
      <c r="EW340" s="21"/>
      <c r="EX340" s="21"/>
      <c r="EY340" s="21"/>
      <c r="EZ340" s="21"/>
      <c r="FA340" s="21"/>
      <c r="FB340" s="21"/>
      <c r="FC340" s="21"/>
      <c r="FD340" s="21"/>
      <c r="FE340" s="21"/>
      <c r="FF340" s="21"/>
      <c r="FG340" s="21"/>
      <c r="FH340" s="21"/>
      <c r="FI340" s="21"/>
      <c r="FJ340" s="21"/>
      <c r="FK340" s="21"/>
      <c r="FL340" s="21"/>
      <c r="FM340" s="21"/>
      <c r="FN340" s="21"/>
      <c r="FO340" s="21"/>
      <c r="FP340" s="21"/>
      <c r="FQ340" s="21"/>
      <c r="FR340" s="21"/>
      <c r="FS340" s="21"/>
      <c r="FT340" s="21"/>
      <c r="FU340" s="21"/>
      <c r="FV340" s="21"/>
      <c r="FW340" s="21"/>
      <c r="FX340" s="21"/>
      <c r="FY340" s="21"/>
      <c r="FZ340" s="21"/>
      <c r="GA340" s="21"/>
      <c r="GB340" s="21"/>
      <c r="GC340" s="21"/>
      <c r="GD340" s="21"/>
      <c r="GE340" s="21"/>
      <c r="GF340" s="21"/>
      <c r="GG340" s="21"/>
      <c r="GH340" s="21"/>
      <c r="GI340" s="21"/>
      <c r="GJ340" s="21"/>
      <c r="GK340" s="21"/>
      <c r="GL340" s="21"/>
      <c r="GM340" s="21"/>
      <c r="GN340" s="21"/>
      <c r="GO340" s="21"/>
      <c r="GP340" s="21"/>
      <c r="GQ340" s="21"/>
      <c r="GR340" s="21"/>
      <c r="GS340" s="21"/>
      <c r="GT340" s="21"/>
      <c r="GU340" s="21"/>
      <c r="GV340" s="21"/>
      <c r="GW340" s="21"/>
      <c r="GX340" s="21"/>
      <c r="GY340" s="21"/>
      <c r="GZ340" s="21"/>
      <c r="HA340" s="21"/>
      <c r="HB340" s="21"/>
    </row>
    <row r="341" spans="1:210"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21"/>
      <c r="CH341" s="21"/>
      <c r="CI341" s="21"/>
      <c r="CJ341" s="21"/>
      <c r="CK341" s="21"/>
      <c r="CL341" s="21"/>
      <c r="CM341" s="21"/>
      <c r="CN341" s="21"/>
      <c r="CO341" s="21"/>
      <c r="CP341" s="21"/>
      <c r="CQ341" s="21"/>
      <c r="CR341" s="21"/>
      <c r="CS341" s="21"/>
      <c r="CT341" s="21"/>
      <c r="CU341" s="21"/>
      <c r="CV341" s="21"/>
      <c r="CW341" s="21"/>
      <c r="CX341" s="21"/>
      <c r="CY341" s="21"/>
      <c r="CZ341" s="21"/>
      <c r="DA341" s="21"/>
      <c r="DB341" s="21"/>
      <c r="DC341" s="21"/>
      <c r="DD341" s="21"/>
      <c r="DE341" s="21"/>
      <c r="DF341" s="21"/>
      <c r="DG341" s="21"/>
      <c r="DH341" s="21"/>
      <c r="DI341" s="21"/>
      <c r="DJ341" s="21"/>
      <c r="DK341" s="21"/>
      <c r="DL341" s="21"/>
      <c r="DM341" s="21"/>
      <c r="DN341" s="21"/>
      <c r="DO341" s="21"/>
      <c r="DP341" s="21"/>
      <c r="DQ341" s="21"/>
      <c r="DR341" s="21"/>
      <c r="DS341" s="21"/>
      <c r="DT341" s="21"/>
      <c r="DU341" s="21"/>
      <c r="DV341" s="21"/>
      <c r="DW341" s="21"/>
      <c r="DX341" s="21"/>
      <c r="DY341" s="21"/>
      <c r="DZ341" s="21"/>
      <c r="EA341" s="21"/>
      <c r="EB341" s="21"/>
      <c r="EC341" s="21"/>
      <c r="ED341" s="21"/>
      <c r="EE341" s="21"/>
      <c r="EF341" s="21"/>
      <c r="EG341" s="21"/>
      <c r="EH341" s="21"/>
      <c r="EI341" s="21"/>
      <c r="EJ341" s="21"/>
      <c r="EK341" s="21"/>
      <c r="EL341" s="21"/>
      <c r="EM341" s="21"/>
      <c r="EN341" s="21"/>
      <c r="EO341" s="21"/>
      <c r="EP341" s="21"/>
      <c r="EQ341" s="21"/>
      <c r="ER341" s="21"/>
      <c r="ES341" s="21"/>
      <c r="ET341" s="21"/>
      <c r="EU341" s="21"/>
      <c r="EV341" s="21"/>
      <c r="EW341" s="21"/>
      <c r="EX341" s="21"/>
      <c r="EY341" s="21"/>
      <c r="EZ341" s="21"/>
      <c r="FA341" s="21"/>
      <c r="FB341" s="21"/>
      <c r="FC341" s="21"/>
      <c r="FD341" s="21"/>
      <c r="FE341" s="21"/>
      <c r="FF341" s="21"/>
      <c r="FG341" s="21"/>
      <c r="FH341" s="21"/>
      <c r="FI341" s="21"/>
      <c r="FJ341" s="21"/>
      <c r="FK341" s="21"/>
      <c r="FL341" s="21"/>
      <c r="FM341" s="21"/>
      <c r="FN341" s="21"/>
      <c r="FO341" s="21"/>
      <c r="FP341" s="21"/>
      <c r="FQ341" s="21"/>
      <c r="FR341" s="21"/>
      <c r="FS341" s="21"/>
      <c r="FT341" s="21"/>
      <c r="FU341" s="21"/>
      <c r="FV341" s="21"/>
      <c r="FW341" s="21"/>
      <c r="FX341" s="21"/>
      <c r="FY341" s="21"/>
      <c r="FZ341" s="21"/>
      <c r="GA341" s="21"/>
      <c r="GB341" s="21"/>
      <c r="GC341" s="21"/>
      <c r="GD341" s="21"/>
      <c r="GE341" s="21"/>
      <c r="GF341" s="21"/>
      <c r="GG341" s="21"/>
      <c r="GH341" s="21"/>
      <c r="GI341" s="21"/>
      <c r="GJ341" s="21"/>
      <c r="GK341" s="21"/>
      <c r="GL341" s="21"/>
      <c r="GM341" s="21"/>
      <c r="GN341" s="21"/>
      <c r="GO341" s="21"/>
      <c r="GP341" s="21"/>
      <c r="GQ341" s="21"/>
      <c r="GR341" s="21"/>
      <c r="GS341" s="21"/>
      <c r="GT341" s="21"/>
      <c r="GU341" s="21"/>
      <c r="GV341" s="21"/>
      <c r="GW341" s="21"/>
      <c r="GX341" s="21"/>
      <c r="GY341" s="21"/>
      <c r="GZ341" s="21"/>
      <c r="HA341" s="21"/>
      <c r="HB341" s="21"/>
    </row>
    <row r="342" spans="1:210"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c r="DB342" s="21"/>
      <c r="DC342" s="21"/>
      <c r="DD342" s="21"/>
      <c r="DE342" s="21"/>
      <c r="DF342" s="21"/>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1"/>
      <c r="FH342" s="21"/>
      <c r="FI342" s="21"/>
      <c r="FJ342" s="21"/>
      <c r="FK342" s="21"/>
      <c r="FL342" s="21"/>
      <c r="FM342" s="21"/>
      <c r="FN342" s="21"/>
      <c r="FO342" s="21"/>
      <c r="FP342" s="21"/>
      <c r="FQ342" s="21"/>
      <c r="FR342" s="21"/>
      <c r="FS342" s="21"/>
      <c r="FT342" s="21"/>
      <c r="FU342" s="21"/>
      <c r="FV342" s="21"/>
      <c r="FW342" s="21"/>
      <c r="FX342" s="21"/>
      <c r="FY342" s="21"/>
      <c r="FZ342" s="21"/>
      <c r="GA342" s="21"/>
      <c r="GB342" s="21"/>
      <c r="GC342" s="21"/>
      <c r="GD342" s="21"/>
      <c r="GE342" s="21"/>
      <c r="GF342" s="21"/>
      <c r="GG342" s="21"/>
      <c r="GH342" s="21"/>
      <c r="GI342" s="21"/>
      <c r="GJ342" s="21"/>
      <c r="GK342" s="21"/>
      <c r="GL342" s="21"/>
      <c r="GM342" s="21"/>
      <c r="GN342" s="21"/>
      <c r="GO342" s="21"/>
      <c r="GP342" s="21"/>
      <c r="GQ342" s="21"/>
      <c r="GR342" s="21"/>
      <c r="GS342" s="21"/>
      <c r="GT342" s="21"/>
      <c r="GU342" s="21"/>
      <c r="GV342" s="21"/>
      <c r="GW342" s="21"/>
      <c r="GX342" s="21"/>
      <c r="GY342" s="21"/>
      <c r="GZ342" s="21"/>
      <c r="HA342" s="21"/>
      <c r="HB342" s="21"/>
    </row>
    <row r="343" spans="1:210"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21"/>
      <c r="CH343" s="21"/>
      <c r="CI343" s="21"/>
      <c r="CJ343" s="21"/>
      <c r="CK343" s="21"/>
      <c r="CL343" s="21"/>
      <c r="CM343" s="21"/>
      <c r="CN343" s="21"/>
      <c r="CO343" s="21"/>
      <c r="CP343" s="21"/>
      <c r="CQ343" s="21"/>
      <c r="CR343" s="21"/>
      <c r="CS343" s="21"/>
      <c r="CT343" s="21"/>
      <c r="CU343" s="21"/>
      <c r="CV343" s="21"/>
      <c r="CW343" s="21"/>
      <c r="CX343" s="21"/>
      <c r="CY343" s="21"/>
      <c r="CZ343" s="21"/>
      <c r="DA343" s="21"/>
      <c r="DB343" s="21"/>
      <c r="DC343" s="21"/>
      <c r="DD343" s="21"/>
      <c r="DE343" s="21"/>
      <c r="DF343" s="21"/>
      <c r="DG343" s="21"/>
      <c r="DH343" s="21"/>
      <c r="DI343" s="21"/>
      <c r="DJ343" s="21"/>
      <c r="DK343" s="21"/>
      <c r="DL343" s="21"/>
      <c r="DM343" s="21"/>
      <c r="DN343" s="21"/>
      <c r="DO343" s="21"/>
      <c r="DP343" s="21"/>
      <c r="DQ343" s="21"/>
      <c r="DR343" s="21"/>
      <c r="DS343" s="21"/>
      <c r="DT343" s="21"/>
      <c r="DU343" s="21"/>
      <c r="DV343" s="21"/>
      <c r="DW343" s="21"/>
      <c r="DX343" s="21"/>
      <c r="DY343" s="21"/>
      <c r="DZ343" s="21"/>
      <c r="EA343" s="21"/>
      <c r="EB343" s="21"/>
      <c r="EC343" s="21"/>
      <c r="ED343" s="21"/>
      <c r="EE343" s="21"/>
      <c r="EF343" s="21"/>
      <c r="EG343" s="21"/>
      <c r="EH343" s="21"/>
      <c r="EI343" s="21"/>
      <c r="EJ343" s="21"/>
      <c r="EK343" s="21"/>
      <c r="EL343" s="21"/>
      <c r="EM343" s="21"/>
      <c r="EN343" s="21"/>
      <c r="EO343" s="21"/>
      <c r="EP343" s="21"/>
      <c r="EQ343" s="21"/>
      <c r="ER343" s="21"/>
      <c r="ES343" s="21"/>
      <c r="ET343" s="21"/>
      <c r="EU343" s="21"/>
      <c r="EV343" s="21"/>
      <c r="EW343" s="21"/>
      <c r="EX343" s="21"/>
      <c r="EY343" s="21"/>
      <c r="EZ343" s="21"/>
      <c r="FA343" s="21"/>
      <c r="FB343" s="21"/>
      <c r="FC343" s="21"/>
      <c r="FD343" s="21"/>
      <c r="FE343" s="21"/>
      <c r="FF343" s="21"/>
      <c r="FG343" s="21"/>
      <c r="FH343" s="21"/>
      <c r="FI343" s="21"/>
      <c r="FJ343" s="21"/>
      <c r="FK343" s="21"/>
      <c r="FL343" s="21"/>
      <c r="FM343" s="21"/>
      <c r="FN343" s="21"/>
      <c r="FO343" s="21"/>
      <c r="FP343" s="21"/>
      <c r="FQ343" s="21"/>
      <c r="FR343" s="21"/>
      <c r="FS343" s="21"/>
      <c r="FT343" s="21"/>
      <c r="FU343" s="21"/>
      <c r="FV343" s="21"/>
      <c r="FW343" s="21"/>
      <c r="FX343" s="21"/>
      <c r="FY343" s="21"/>
      <c r="FZ343" s="21"/>
      <c r="GA343" s="21"/>
      <c r="GB343" s="21"/>
      <c r="GC343" s="21"/>
      <c r="GD343" s="21"/>
      <c r="GE343" s="21"/>
      <c r="GF343" s="21"/>
      <c r="GG343" s="21"/>
      <c r="GH343" s="21"/>
      <c r="GI343" s="21"/>
      <c r="GJ343" s="21"/>
      <c r="GK343" s="21"/>
      <c r="GL343" s="21"/>
      <c r="GM343" s="21"/>
      <c r="GN343" s="21"/>
      <c r="GO343" s="21"/>
      <c r="GP343" s="21"/>
      <c r="GQ343" s="21"/>
      <c r="GR343" s="21"/>
      <c r="GS343" s="21"/>
      <c r="GT343" s="21"/>
      <c r="GU343" s="21"/>
      <c r="GV343" s="21"/>
      <c r="GW343" s="21"/>
      <c r="GX343" s="21"/>
      <c r="GY343" s="21"/>
      <c r="GZ343" s="21"/>
      <c r="HA343" s="21"/>
      <c r="HB343" s="21"/>
    </row>
    <row r="344" spans="1:210"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21"/>
      <c r="CH344" s="21"/>
      <c r="CI344" s="21"/>
      <c r="CJ344" s="21"/>
      <c r="CK344" s="21"/>
      <c r="CL344" s="21"/>
      <c r="CM344" s="21"/>
      <c r="CN344" s="21"/>
      <c r="CO344" s="21"/>
      <c r="CP344" s="21"/>
      <c r="CQ344" s="21"/>
      <c r="CR344" s="21"/>
      <c r="CS344" s="21"/>
      <c r="CT344" s="21"/>
      <c r="CU344" s="21"/>
      <c r="CV344" s="21"/>
      <c r="CW344" s="21"/>
      <c r="CX344" s="21"/>
      <c r="CY344" s="21"/>
      <c r="CZ344" s="21"/>
      <c r="DA344" s="21"/>
      <c r="DB344" s="21"/>
      <c r="DC344" s="21"/>
      <c r="DD344" s="21"/>
      <c r="DE344" s="21"/>
      <c r="DF344" s="21"/>
      <c r="DG344" s="21"/>
      <c r="DH344" s="21"/>
      <c r="DI344" s="21"/>
      <c r="DJ344" s="21"/>
      <c r="DK344" s="21"/>
      <c r="DL344" s="21"/>
      <c r="DM344" s="21"/>
      <c r="DN344" s="21"/>
      <c r="DO344" s="21"/>
      <c r="DP344" s="21"/>
      <c r="DQ344" s="21"/>
      <c r="DR344" s="21"/>
      <c r="DS344" s="21"/>
      <c r="DT344" s="21"/>
      <c r="DU344" s="21"/>
      <c r="DV344" s="21"/>
      <c r="DW344" s="21"/>
      <c r="DX344" s="21"/>
      <c r="DY344" s="21"/>
      <c r="DZ344" s="21"/>
      <c r="EA344" s="21"/>
      <c r="EB344" s="21"/>
      <c r="EC344" s="21"/>
      <c r="ED344" s="21"/>
      <c r="EE344" s="21"/>
      <c r="EF344" s="21"/>
      <c r="EG344" s="21"/>
      <c r="EH344" s="21"/>
      <c r="EI344" s="21"/>
      <c r="EJ344" s="21"/>
      <c r="EK344" s="21"/>
      <c r="EL344" s="21"/>
      <c r="EM344" s="21"/>
      <c r="EN344" s="21"/>
      <c r="EO344" s="21"/>
      <c r="EP344" s="21"/>
      <c r="EQ344" s="21"/>
      <c r="ER344" s="21"/>
      <c r="ES344" s="21"/>
      <c r="ET344" s="21"/>
      <c r="EU344" s="21"/>
      <c r="EV344" s="21"/>
      <c r="EW344" s="21"/>
      <c r="EX344" s="21"/>
      <c r="EY344" s="21"/>
      <c r="EZ344" s="21"/>
      <c r="FA344" s="21"/>
      <c r="FB344" s="21"/>
      <c r="FC344" s="21"/>
      <c r="FD344" s="21"/>
      <c r="FE344" s="21"/>
      <c r="FF344" s="21"/>
      <c r="FG344" s="21"/>
      <c r="FH344" s="21"/>
      <c r="FI344" s="21"/>
      <c r="FJ344" s="21"/>
      <c r="FK344" s="21"/>
      <c r="FL344" s="21"/>
      <c r="FM344" s="21"/>
      <c r="FN344" s="21"/>
      <c r="FO344" s="21"/>
      <c r="FP344" s="21"/>
      <c r="FQ344" s="21"/>
      <c r="FR344" s="21"/>
      <c r="FS344" s="21"/>
      <c r="FT344" s="21"/>
      <c r="FU344" s="21"/>
      <c r="FV344" s="21"/>
      <c r="FW344" s="21"/>
      <c r="FX344" s="21"/>
      <c r="FY344" s="21"/>
      <c r="FZ344" s="21"/>
      <c r="GA344" s="21"/>
      <c r="GB344" s="21"/>
      <c r="GC344" s="21"/>
      <c r="GD344" s="21"/>
      <c r="GE344" s="21"/>
      <c r="GF344" s="21"/>
      <c r="GG344" s="21"/>
      <c r="GH344" s="21"/>
      <c r="GI344" s="21"/>
      <c r="GJ344" s="21"/>
      <c r="GK344" s="21"/>
      <c r="GL344" s="21"/>
      <c r="GM344" s="21"/>
      <c r="GN344" s="21"/>
      <c r="GO344" s="21"/>
      <c r="GP344" s="21"/>
      <c r="GQ344" s="21"/>
      <c r="GR344" s="21"/>
      <c r="GS344" s="21"/>
      <c r="GT344" s="21"/>
      <c r="GU344" s="21"/>
      <c r="GV344" s="21"/>
      <c r="GW344" s="21"/>
      <c r="GX344" s="21"/>
      <c r="GY344" s="21"/>
      <c r="GZ344" s="21"/>
      <c r="HA344" s="21"/>
      <c r="HB344" s="21"/>
    </row>
    <row r="345" spans="1:210"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21"/>
      <c r="CH345" s="21"/>
      <c r="CI345" s="21"/>
      <c r="CJ345" s="21"/>
      <c r="CK345" s="21"/>
      <c r="CL345" s="21"/>
      <c r="CM345" s="21"/>
      <c r="CN345" s="21"/>
      <c r="CO345" s="21"/>
      <c r="CP345" s="21"/>
      <c r="CQ345" s="21"/>
      <c r="CR345" s="21"/>
      <c r="CS345" s="21"/>
      <c r="CT345" s="21"/>
      <c r="CU345" s="21"/>
      <c r="CV345" s="21"/>
      <c r="CW345" s="21"/>
      <c r="CX345" s="21"/>
      <c r="CY345" s="21"/>
      <c r="CZ345" s="21"/>
      <c r="DA345" s="21"/>
      <c r="DB345" s="21"/>
      <c r="DC345" s="21"/>
      <c r="DD345" s="21"/>
      <c r="DE345" s="21"/>
      <c r="DF345" s="21"/>
      <c r="DG345" s="21"/>
      <c r="DH345" s="21"/>
      <c r="DI345" s="21"/>
      <c r="DJ345" s="21"/>
      <c r="DK345" s="21"/>
      <c r="DL345" s="21"/>
      <c r="DM345" s="21"/>
      <c r="DN345" s="21"/>
      <c r="DO345" s="21"/>
      <c r="DP345" s="21"/>
      <c r="DQ345" s="21"/>
      <c r="DR345" s="21"/>
      <c r="DS345" s="21"/>
      <c r="DT345" s="21"/>
      <c r="DU345" s="21"/>
      <c r="DV345" s="21"/>
      <c r="DW345" s="21"/>
      <c r="DX345" s="21"/>
      <c r="DY345" s="21"/>
      <c r="DZ345" s="21"/>
      <c r="EA345" s="21"/>
      <c r="EB345" s="21"/>
      <c r="EC345" s="21"/>
      <c r="ED345" s="21"/>
      <c r="EE345" s="21"/>
      <c r="EF345" s="21"/>
      <c r="EG345" s="21"/>
      <c r="EH345" s="21"/>
      <c r="EI345" s="21"/>
      <c r="EJ345" s="21"/>
      <c r="EK345" s="21"/>
      <c r="EL345" s="21"/>
      <c r="EM345" s="21"/>
      <c r="EN345" s="21"/>
      <c r="EO345" s="21"/>
      <c r="EP345" s="21"/>
      <c r="EQ345" s="21"/>
      <c r="ER345" s="21"/>
      <c r="ES345" s="21"/>
      <c r="ET345" s="21"/>
      <c r="EU345" s="21"/>
      <c r="EV345" s="21"/>
      <c r="EW345" s="21"/>
      <c r="EX345" s="21"/>
      <c r="EY345" s="21"/>
      <c r="EZ345" s="21"/>
      <c r="FA345" s="21"/>
      <c r="FB345" s="21"/>
      <c r="FC345" s="21"/>
      <c r="FD345" s="21"/>
      <c r="FE345" s="21"/>
      <c r="FF345" s="21"/>
      <c r="FG345" s="21"/>
      <c r="FH345" s="21"/>
      <c r="FI345" s="21"/>
      <c r="FJ345" s="21"/>
      <c r="FK345" s="21"/>
      <c r="FL345" s="21"/>
      <c r="FM345" s="21"/>
      <c r="FN345" s="21"/>
      <c r="FO345" s="21"/>
      <c r="FP345" s="21"/>
      <c r="FQ345" s="21"/>
      <c r="FR345" s="21"/>
      <c r="FS345" s="21"/>
      <c r="FT345" s="21"/>
      <c r="FU345" s="21"/>
      <c r="FV345" s="21"/>
      <c r="FW345" s="21"/>
      <c r="FX345" s="21"/>
      <c r="FY345" s="21"/>
      <c r="FZ345" s="21"/>
      <c r="GA345" s="21"/>
      <c r="GB345" s="21"/>
      <c r="GC345" s="21"/>
      <c r="GD345" s="21"/>
      <c r="GE345" s="21"/>
      <c r="GF345" s="21"/>
      <c r="GG345" s="21"/>
      <c r="GH345" s="21"/>
      <c r="GI345" s="21"/>
      <c r="GJ345" s="21"/>
      <c r="GK345" s="21"/>
      <c r="GL345" s="21"/>
      <c r="GM345" s="21"/>
      <c r="GN345" s="21"/>
      <c r="GO345" s="21"/>
      <c r="GP345" s="21"/>
      <c r="GQ345" s="21"/>
      <c r="GR345" s="21"/>
      <c r="GS345" s="21"/>
      <c r="GT345" s="21"/>
      <c r="GU345" s="21"/>
      <c r="GV345" s="21"/>
      <c r="GW345" s="21"/>
      <c r="GX345" s="21"/>
      <c r="GY345" s="21"/>
      <c r="GZ345" s="21"/>
      <c r="HA345" s="21"/>
      <c r="HB345" s="21"/>
    </row>
    <row r="346" spans="1:210"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c r="DB346" s="21"/>
      <c r="DC346" s="21"/>
      <c r="DD346" s="21"/>
      <c r="DE346" s="21"/>
      <c r="DF346" s="21"/>
      <c r="DG346" s="21"/>
      <c r="DH346" s="21"/>
      <c r="DI346" s="21"/>
      <c r="DJ346" s="21"/>
      <c r="DK346" s="21"/>
      <c r="DL346" s="21"/>
      <c r="DM346" s="21"/>
      <c r="DN346" s="21"/>
      <c r="DO346" s="21"/>
      <c r="DP346" s="21"/>
      <c r="DQ346" s="21"/>
      <c r="DR346" s="21"/>
      <c r="DS346" s="21"/>
      <c r="DT346" s="21"/>
      <c r="DU346" s="21"/>
      <c r="DV346" s="21"/>
      <c r="DW346" s="21"/>
      <c r="DX346" s="21"/>
      <c r="DY346" s="21"/>
      <c r="DZ346" s="21"/>
      <c r="EA346" s="21"/>
      <c r="EB346" s="21"/>
      <c r="EC346" s="21"/>
      <c r="ED346" s="21"/>
      <c r="EE346" s="21"/>
      <c r="EF346" s="21"/>
      <c r="EG346" s="21"/>
      <c r="EH346" s="21"/>
      <c r="EI346" s="21"/>
      <c r="EJ346" s="21"/>
      <c r="EK346" s="21"/>
      <c r="EL346" s="21"/>
      <c r="EM346" s="21"/>
      <c r="EN346" s="21"/>
      <c r="EO346" s="21"/>
      <c r="EP346" s="21"/>
      <c r="EQ346" s="21"/>
      <c r="ER346" s="21"/>
      <c r="ES346" s="21"/>
      <c r="ET346" s="21"/>
      <c r="EU346" s="21"/>
      <c r="EV346" s="21"/>
      <c r="EW346" s="21"/>
      <c r="EX346" s="21"/>
      <c r="EY346" s="21"/>
      <c r="EZ346" s="21"/>
      <c r="FA346" s="21"/>
      <c r="FB346" s="21"/>
      <c r="FC346" s="21"/>
      <c r="FD346" s="21"/>
      <c r="FE346" s="21"/>
      <c r="FF346" s="21"/>
      <c r="FG346" s="21"/>
      <c r="FH346" s="21"/>
      <c r="FI346" s="21"/>
      <c r="FJ346" s="21"/>
      <c r="FK346" s="21"/>
      <c r="FL346" s="21"/>
      <c r="FM346" s="21"/>
      <c r="FN346" s="21"/>
      <c r="FO346" s="21"/>
      <c r="FP346" s="21"/>
      <c r="FQ346" s="21"/>
      <c r="FR346" s="21"/>
      <c r="FS346" s="21"/>
      <c r="FT346" s="21"/>
      <c r="FU346" s="21"/>
      <c r="FV346" s="21"/>
      <c r="FW346" s="21"/>
      <c r="FX346" s="21"/>
      <c r="FY346" s="21"/>
      <c r="FZ346" s="21"/>
      <c r="GA346" s="21"/>
      <c r="GB346" s="21"/>
      <c r="GC346" s="21"/>
      <c r="GD346" s="21"/>
      <c r="GE346" s="21"/>
      <c r="GF346" s="21"/>
      <c r="GG346" s="21"/>
      <c r="GH346" s="21"/>
      <c r="GI346" s="21"/>
      <c r="GJ346" s="21"/>
      <c r="GK346" s="21"/>
      <c r="GL346" s="21"/>
      <c r="GM346" s="21"/>
      <c r="GN346" s="21"/>
      <c r="GO346" s="21"/>
      <c r="GP346" s="21"/>
      <c r="GQ346" s="21"/>
      <c r="GR346" s="21"/>
      <c r="GS346" s="21"/>
      <c r="GT346" s="21"/>
      <c r="GU346" s="21"/>
      <c r="GV346" s="21"/>
      <c r="GW346" s="21"/>
      <c r="GX346" s="21"/>
      <c r="GY346" s="21"/>
      <c r="GZ346" s="21"/>
      <c r="HA346" s="21"/>
      <c r="HB346" s="21"/>
    </row>
    <row r="347" spans="1:210"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c r="DE347" s="21"/>
      <c r="DF347" s="21"/>
      <c r="DG347" s="21"/>
      <c r="DH347" s="21"/>
      <c r="DI347" s="21"/>
      <c r="DJ347" s="21"/>
      <c r="DK347" s="21"/>
      <c r="DL347" s="21"/>
      <c r="DM347" s="21"/>
      <c r="DN347" s="21"/>
      <c r="DO347" s="21"/>
      <c r="DP347" s="21"/>
      <c r="DQ347" s="21"/>
      <c r="DR347" s="21"/>
      <c r="DS347" s="21"/>
      <c r="DT347" s="21"/>
      <c r="DU347" s="21"/>
      <c r="DV347" s="21"/>
      <c r="DW347" s="21"/>
      <c r="DX347" s="21"/>
      <c r="DY347" s="21"/>
      <c r="DZ347" s="21"/>
      <c r="EA347" s="21"/>
      <c r="EB347" s="21"/>
      <c r="EC347" s="21"/>
      <c r="ED347" s="21"/>
      <c r="EE347" s="21"/>
      <c r="EF347" s="21"/>
      <c r="EG347" s="21"/>
      <c r="EH347" s="21"/>
      <c r="EI347" s="21"/>
      <c r="EJ347" s="21"/>
      <c r="EK347" s="21"/>
      <c r="EL347" s="21"/>
      <c r="EM347" s="21"/>
      <c r="EN347" s="21"/>
      <c r="EO347" s="21"/>
      <c r="EP347" s="21"/>
      <c r="EQ347" s="21"/>
      <c r="ER347" s="21"/>
      <c r="ES347" s="21"/>
      <c r="ET347" s="21"/>
      <c r="EU347" s="21"/>
      <c r="EV347" s="21"/>
      <c r="EW347" s="21"/>
      <c r="EX347" s="21"/>
      <c r="EY347" s="21"/>
      <c r="EZ347" s="21"/>
      <c r="FA347" s="21"/>
      <c r="FB347" s="21"/>
      <c r="FC347" s="21"/>
      <c r="FD347" s="21"/>
      <c r="FE347" s="21"/>
      <c r="FF347" s="21"/>
      <c r="FG347" s="21"/>
      <c r="FH347" s="21"/>
      <c r="FI347" s="21"/>
      <c r="FJ347" s="21"/>
      <c r="FK347" s="21"/>
      <c r="FL347" s="21"/>
      <c r="FM347" s="21"/>
      <c r="FN347" s="21"/>
      <c r="FO347" s="21"/>
      <c r="FP347" s="21"/>
      <c r="FQ347" s="21"/>
      <c r="FR347" s="21"/>
      <c r="FS347" s="21"/>
      <c r="FT347" s="21"/>
      <c r="FU347" s="21"/>
      <c r="FV347" s="21"/>
      <c r="FW347" s="21"/>
      <c r="FX347" s="21"/>
      <c r="FY347" s="21"/>
      <c r="FZ347" s="21"/>
      <c r="GA347" s="21"/>
      <c r="GB347" s="21"/>
      <c r="GC347" s="21"/>
      <c r="GD347" s="21"/>
      <c r="GE347" s="21"/>
      <c r="GF347" s="21"/>
      <c r="GG347" s="21"/>
      <c r="GH347" s="21"/>
      <c r="GI347" s="21"/>
      <c r="GJ347" s="21"/>
      <c r="GK347" s="21"/>
      <c r="GL347" s="21"/>
      <c r="GM347" s="21"/>
      <c r="GN347" s="21"/>
      <c r="GO347" s="21"/>
      <c r="GP347" s="21"/>
      <c r="GQ347" s="21"/>
      <c r="GR347" s="21"/>
      <c r="GS347" s="21"/>
      <c r="GT347" s="21"/>
      <c r="GU347" s="21"/>
      <c r="GV347" s="21"/>
      <c r="GW347" s="21"/>
      <c r="GX347" s="21"/>
      <c r="GY347" s="21"/>
      <c r="GZ347" s="21"/>
      <c r="HA347" s="21"/>
      <c r="HB347" s="21"/>
    </row>
    <row r="348" spans="1:210"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c r="DB348" s="21"/>
      <c r="DC348" s="21"/>
      <c r="DD348" s="21"/>
      <c r="DE348" s="21"/>
      <c r="DF348" s="21"/>
      <c r="DG348" s="21"/>
      <c r="DH348" s="21"/>
      <c r="DI348" s="21"/>
      <c r="DJ348" s="21"/>
      <c r="DK348" s="21"/>
      <c r="DL348" s="21"/>
      <c r="DM348" s="21"/>
      <c r="DN348" s="21"/>
      <c r="DO348" s="21"/>
      <c r="DP348" s="21"/>
      <c r="DQ348" s="21"/>
      <c r="DR348" s="21"/>
      <c r="DS348" s="21"/>
      <c r="DT348" s="21"/>
      <c r="DU348" s="21"/>
      <c r="DV348" s="21"/>
      <c r="DW348" s="21"/>
      <c r="DX348" s="21"/>
      <c r="DY348" s="21"/>
      <c r="DZ348" s="21"/>
      <c r="EA348" s="21"/>
      <c r="EB348" s="21"/>
      <c r="EC348" s="21"/>
      <c r="ED348" s="21"/>
      <c r="EE348" s="21"/>
      <c r="EF348" s="21"/>
      <c r="EG348" s="21"/>
      <c r="EH348" s="21"/>
      <c r="EI348" s="21"/>
      <c r="EJ348" s="21"/>
      <c r="EK348" s="21"/>
      <c r="EL348" s="21"/>
      <c r="EM348" s="21"/>
      <c r="EN348" s="21"/>
      <c r="EO348" s="21"/>
      <c r="EP348" s="21"/>
      <c r="EQ348" s="21"/>
      <c r="ER348" s="21"/>
      <c r="ES348" s="21"/>
      <c r="ET348" s="21"/>
      <c r="EU348" s="21"/>
      <c r="EV348" s="21"/>
      <c r="EW348" s="21"/>
      <c r="EX348" s="21"/>
      <c r="EY348" s="21"/>
      <c r="EZ348" s="21"/>
      <c r="FA348" s="21"/>
      <c r="FB348" s="21"/>
      <c r="FC348" s="21"/>
      <c r="FD348" s="21"/>
      <c r="FE348" s="21"/>
      <c r="FF348" s="21"/>
      <c r="FG348" s="21"/>
      <c r="FH348" s="21"/>
      <c r="FI348" s="21"/>
      <c r="FJ348" s="21"/>
      <c r="FK348" s="21"/>
      <c r="FL348" s="21"/>
      <c r="FM348" s="21"/>
      <c r="FN348" s="21"/>
      <c r="FO348" s="21"/>
      <c r="FP348" s="21"/>
      <c r="FQ348" s="21"/>
      <c r="FR348" s="21"/>
      <c r="FS348" s="21"/>
      <c r="FT348" s="21"/>
      <c r="FU348" s="21"/>
      <c r="FV348" s="21"/>
      <c r="FW348" s="21"/>
      <c r="FX348" s="21"/>
      <c r="FY348" s="21"/>
      <c r="FZ348" s="21"/>
      <c r="GA348" s="21"/>
      <c r="GB348" s="21"/>
      <c r="GC348" s="21"/>
      <c r="GD348" s="21"/>
      <c r="GE348" s="21"/>
      <c r="GF348" s="21"/>
      <c r="GG348" s="21"/>
      <c r="GH348" s="21"/>
      <c r="GI348" s="21"/>
      <c r="GJ348" s="21"/>
      <c r="GK348" s="21"/>
      <c r="GL348" s="21"/>
      <c r="GM348" s="21"/>
      <c r="GN348" s="21"/>
      <c r="GO348" s="21"/>
      <c r="GP348" s="21"/>
      <c r="GQ348" s="21"/>
      <c r="GR348" s="21"/>
      <c r="GS348" s="21"/>
      <c r="GT348" s="21"/>
      <c r="GU348" s="21"/>
      <c r="GV348" s="21"/>
      <c r="GW348" s="21"/>
      <c r="GX348" s="21"/>
      <c r="GY348" s="21"/>
      <c r="GZ348" s="21"/>
      <c r="HA348" s="21"/>
      <c r="HB348" s="21"/>
    </row>
    <row r="349" spans="1:210"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21"/>
      <c r="CH349" s="21"/>
      <c r="CI349" s="21"/>
      <c r="CJ349" s="21"/>
      <c r="CK349" s="21"/>
      <c r="CL349" s="21"/>
      <c r="CM349" s="21"/>
      <c r="CN349" s="21"/>
      <c r="CO349" s="21"/>
      <c r="CP349" s="21"/>
      <c r="CQ349" s="21"/>
      <c r="CR349" s="21"/>
      <c r="CS349" s="21"/>
      <c r="CT349" s="21"/>
      <c r="CU349" s="21"/>
      <c r="CV349" s="21"/>
      <c r="CW349" s="21"/>
      <c r="CX349" s="21"/>
      <c r="CY349" s="21"/>
      <c r="CZ349" s="21"/>
      <c r="DA349" s="21"/>
      <c r="DB349" s="21"/>
      <c r="DC349" s="21"/>
      <c r="DD349" s="21"/>
      <c r="DE349" s="21"/>
      <c r="DF349" s="21"/>
      <c r="DG349" s="21"/>
      <c r="DH349" s="21"/>
      <c r="DI349" s="21"/>
      <c r="DJ349" s="21"/>
      <c r="DK349" s="21"/>
      <c r="DL349" s="21"/>
      <c r="DM349" s="21"/>
      <c r="DN349" s="21"/>
      <c r="DO349" s="21"/>
      <c r="DP349" s="21"/>
      <c r="DQ349" s="21"/>
      <c r="DR349" s="21"/>
      <c r="DS349" s="21"/>
      <c r="DT349" s="21"/>
      <c r="DU349" s="21"/>
      <c r="DV349" s="21"/>
      <c r="DW349" s="21"/>
      <c r="DX349" s="21"/>
      <c r="DY349" s="21"/>
      <c r="DZ349" s="21"/>
      <c r="EA349" s="21"/>
      <c r="EB349" s="21"/>
      <c r="EC349" s="21"/>
      <c r="ED349" s="21"/>
      <c r="EE349" s="21"/>
      <c r="EF349" s="21"/>
      <c r="EG349" s="21"/>
      <c r="EH349" s="21"/>
      <c r="EI349" s="21"/>
      <c r="EJ349" s="21"/>
      <c r="EK349" s="21"/>
      <c r="EL349" s="21"/>
      <c r="EM349" s="21"/>
      <c r="EN349" s="21"/>
      <c r="EO349" s="21"/>
      <c r="EP349" s="21"/>
      <c r="EQ349" s="21"/>
      <c r="ER349" s="21"/>
      <c r="ES349" s="21"/>
      <c r="ET349" s="21"/>
      <c r="EU349" s="21"/>
      <c r="EV349" s="21"/>
      <c r="EW349" s="21"/>
      <c r="EX349" s="21"/>
      <c r="EY349" s="21"/>
      <c r="EZ349" s="21"/>
      <c r="FA349" s="21"/>
      <c r="FB349" s="21"/>
      <c r="FC349" s="21"/>
      <c r="FD349" s="21"/>
      <c r="FE349" s="21"/>
      <c r="FF349" s="21"/>
      <c r="FG349" s="21"/>
      <c r="FH349" s="21"/>
      <c r="FI349" s="21"/>
      <c r="FJ349" s="21"/>
      <c r="FK349" s="21"/>
      <c r="FL349" s="21"/>
      <c r="FM349" s="21"/>
      <c r="FN349" s="21"/>
      <c r="FO349" s="21"/>
      <c r="FP349" s="21"/>
      <c r="FQ349" s="21"/>
      <c r="FR349" s="21"/>
      <c r="FS349" s="21"/>
      <c r="FT349" s="21"/>
      <c r="FU349" s="21"/>
      <c r="FV349" s="21"/>
      <c r="FW349" s="21"/>
      <c r="FX349" s="21"/>
      <c r="FY349" s="21"/>
      <c r="FZ349" s="21"/>
      <c r="GA349" s="21"/>
      <c r="GB349" s="21"/>
      <c r="GC349" s="21"/>
      <c r="GD349" s="21"/>
      <c r="GE349" s="21"/>
      <c r="GF349" s="21"/>
      <c r="GG349" s="21"/>
      <c r="GH349" s="21"/>
      <c r="GI349" s="21"/>
      <c r="GJ349" s="21"/>
      <c r="GK349" s="21"/>
      <c r="GL349" s="21"/>
      <c r="GM349" s="21"/>
      <c r="GN349" s="21"/>
      <c r="GO349" s="21"/>
      <c r="GP349" s="21"/>
      <c r="GQ349" s="21"/>
      <c r="GR349" s="21"/>
      <c r="GS349" s="21"/>
      <c r="GT349" s="21"/>
      <c r="GU349" s="21"/>
      <c r="GV349" s="21"/>
      <c r="GW349" s="21"/>
      <c r="GX349" s="21"/>
      <c r="GY349" s="21"/>
      <c r="GZ349" s="21"/>
      <c r="HA349" s="21"/>
      <c r="HB349" s="21"/>
    </row>
    <row r="350" spans="1:210"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c r="DE350" s="21"/>
      <c r="DF350" s="21"/>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1"/>
      <c r="FH350" s="21"/>
      <c r="FI350" s="21"/>
      <c r="FJ350" s="21"/>
      <c r="FK350" s="21"/>
      <c r="FL350" s="21"/>
      <c r="FM350" s="21"/>
      <c r="FN350" s="21"/>
      <c r="FO350" s="21"/>
      <c r="FP350" s="21"/>
      <c r="FQ350" s="21"/>
      <c r="FR350" s="21"/>
      <c r="FS350" s="21"/>
      <c r="FT350" s="21"/>
      <c r="FU350" s="21"/>
      <c r="FV350" s="21"/>
      <c r="FW350" s="21"/>
      <c r="FX350" s="21"/>
      <c r="FY350" s="21"/>
      <c r="FZ350" s="21"/>
      <c r="GA350" s="21"/>
      <c r="GB350" s="21"/>
      <c r="GC350" s="21"/>
      <c r="GD350" s="21"/>
      <c r="GE350" s="21"/>
      <c r="GF350" s="21"/>
      <c r="GG350" s="21"/>
      <c r="GH350" s="21"/>
      <c r="GI350" s="21"/>
      <c r="GJ350" s="21"/>
      <c r="GK350" s="21"/>
      <c r="GL350" s="21"/>
      <c r="GM350" s="21"/>
      <c r="GN350" s="21"/>
      <c r="GO350" s="21"/>
      <c r="GP350" s="21"/>
      <c r="GQ350" s="21"/>
      <c r="GR350" s="21"/>
      <c r="GS350" s="21"/>
      <c r="GT350" s="21"/>
      <c r="GU350" s="21"/>
      <c r="GV350" s="21"/>
      <c r="GW350" s="21"/>
      <c r="GX350" s="21"/>
      <c r="GY350" s="21"/>
      <c r="GZ350" s="21"/>
      <c r="HA350" s="21"/>
      <c r="HB350" s="21"/>
    </row>
    <row r="351" spans="1:210"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c r="DE351" s="21"/>
      <c r="DF351" s="21"/>
      <c r="DG351" s="21"/>
      <c r="DH351" s="21"/>
      <c r="DI351" s="21"/>
      <c r="DJ351" s="21"/>
      <c r="DK351" s="21"/>
      <c r="DL351" s="21"/>
      <c r="DM351" s="21"/>
      <c r="DN351" s="21"/>
      <c r="DO351" s="21"/>
      <c r="DP351" s="21"/>
      <c r="DQ351" s="21"/>
      <c r="DR351" s="21"/>
      <c r="DS351" s="21"/>
      <c r="DT351" s="21"/>
      <c r="DU351" s="21"/>
      <c r="DV351" s="21"/>
      <c r="DW351" s="21"/>
      <c r="DX351" s="21"/>
      <c r="DY351" s="21"/>
      <c r="DZ351" s="21"/>
      <c r="EA351" s="21"/>
      <c r="EB351" s="21"/>
      <c r="EC351" s="21"/>
      <c r="ED351" s="21"/>
      <c r="EE351" s="21"/>
      <c r="EF351" s="21"/>
      <c r="EG351" s="21"/>
      <c r="EH351" s="21"/>
      <c r="EI351" s="21"/>
      <c r="EJ351" s="21"/>
      <c r="EK351" s="21"/>
      <c r="EL351" s="21"/>
      <c r="EM351" s="21"/>
      <c r="EN351" s="21"/>
      <c r="EO351" s="21"/>
      <c r="EP351" s="21"/>
      <c r="EQ351" s="21"/>
      <c r="ER351" s="21"/>
      <c r="ES351" s="21"/>
      <c r="ET351" s="21"/>
      <c r="EU351" s="21"/>
      <c r="EV351" s="21"/>
      <c r="EW351" s="21"/>
      <c r="EX351" s="21"/>
      <c r="EY351" s="21"/>
      <c r="EZ351" s="21"/>
      <c r="FA351" s="21"/>
      <c r="FB351" s="21"/>
      <c r="FC351" s="21"/>
      <c r="FD351" s="21"/>
      <c r="FE351" s="21"/>
      <c r="FF351" s="21"/>
      <c r="FG351" s="21"/>
      <c r="FH351" s="21"/>
      <c r="FI351" s="21"/>
      <c r="FJ351" s="21"/>
      <c r="FK351" s="21"/>
      <c r="FL351" s="21"/>
      <c r="FM351" s="21"/>
      <c r="FN351" s="21"/>
      <c r="FO351" s="21"/>
      <c r="FP351" s="21"/>
      <c r="FQ351" s="21"/>
      <c r="FR351" s="21"/>
      <c r="FS351" s="21"/>
      <c r="FT351" s="21"/>
      <c r="FU351" s="21"/>
      <c r="FV351" s="21"/>
      <c r="FW351" s="21"/>
      <c r="FX351" s="21"/>
      <c r="FY351" s="21"/>
      <c r="FZ351" s="21"/>
      <c r="GA351" s="21"/>
      <c r="GB351" s="21"/>
      <c r="GC351" s="21"/>
      <c r="GD351" s="21"/>
      <c r="GE351" s="21"/>
      <c r="GF351" s="21"/>
      <c r="GG351" s="21"/>
      <c r="GH351" s="21"/>
      <c r="GI351" s="21"/>
      <c r="GJ351" s="21"/>
      <c r="GK351" s="21"/>
      <c r="GL351" s="21"/>
      <c r="GM351" s="21"/>
      <c r="GN351" s="21"/>
      <c r="GO351" s="21"/>
      <c r="GP351" s="21"/>
      <c r="GQ351" s="21"/>
      <c r="GR351" s="21"/>
      <c r="GS351" s="21"/>
      <c r="GT351" s="21"/>
      <c r="GU351" s="21"/>
      <c r="GV351" s="21"/>
      <c r="GW351" s="21"/>
      <c r="GX351" s="21"/>
      <c r="GY351" s="21"/>
      <c r="GZ351" s="21"/>
      <c r="HA351" s="21"/>
      <c r="HB351" s="21"/>
    </row>
    <row r="352" spans="1:210"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c r="DE352" s="21"/>
      <c r="DF352" s="21"/>
      <c r="DG352" s="21"/>
      <c r="DH352" s="21"/>
      <c r="DI352" s="21"/>
      <c r="DJ352" s="21"/>
      <c r="DK352" s="21"/>
      <c r="DL352" s="21"/>
      <c r="DM352" s="21"/>
      <c r="DN352" s="21"/>
      <c r="DO352" s="21"/>
      <c r="DP352" s="21"/>
      <c r="DQ352" s="21"/>
      <c r="DR352" s="21"/>
      <c r="DS352" s="21"/>
      <c r="DT352" s="21"/>
      <c r="DU352" s="21"/>
      <c r="DV352" s="21"/>
      <c r="DW352" s="21"/>
      <c r="DX352" s="21"/>
      <c r="DY352" s="21"/>
      <c r="DZ352" s="21"/>
      <c r="EA352" s="21"/>
      <c r="EB352" s="21"/>
      <c r="EC352" s="21"/>
      <c r="ED352" s="21"/>
      <c r="EE352" s="21"/>
      <c r="EF352" s="21"/>
      <c r="EG352" s="21"/>
      <c r="EH352" s="21"/>
      <c r="EI352" s="21"/>
      <c r="EJ352" s="21"/>
      <c r="EK352" s="21"/>
      <c r="EL352" s="21"/>
      <c r="EM352" s="21"/>
      <c r="EN352" s="21"/>
      <c r="EO352" s="21"/>
      <c r="EP352" s="21"/>
      <c r="EQ352" s="21"/>
      <c r="ER352" s="21"/>
      <c r="ES352" s="21"/>
      <c r="ET352" s="21"/>
      <c r="EU352" s="21"/>
      <c r="EV352" s="21"/>
      <c r="EW352" s="21"/>
      <c r="EX352" s="21"/>
      <c r="EY352" s="21"/>
      <c r="EZ352" s="21"/>
      <c r="FA352" s="21"/>
      <c r="FB352" s="21"/>
      <c r="FC352" s="21"/>
      <c r="FD352" s="21"/>
      <c r="FE352" s="21"/>
      <c r="FF352" s="21"/>
      <c r="FG352" s="21"/>
      <c r="FH352" s="21"/>
      <c r="FI352" s="21"/>
      <c r="FJ352" s="21"/>
      <c r="FK352" s="21"/>
      <c r="FL352" s="21"/>
      <c r="FM352" s="21"/>
      <c r="FN352" s="21"/>
      <c r="FO352" s="21"/>
      <c r="FP352" s="21"/>
      <c r="FQ352" s="21"/>
      <c r="FR352" s="21"/>
      <c r="FS352" s="21"/>
      <c r="FT352" s="21"/>
      <c r="FU352" s="21"/>
      <c r="FV352" s="21"/>
      <c r="FW352" s="21"/>
      <c r="FX352" s="21"/>
      <c r="FY352" s="21"/>
      <c r="FZ352" s="21"/>
      <c r="GA352" s="21"/>
      <c r="GB352" s="21"/>
      <c r="GC352" s="21"/>
      <c r="GD352" s="21"/>
      <c r="GE352" s="21"/>
      <c r="GF352" s="21"/>
      <c r="GG352" s="21"/>
      <c r="GH352" s="21"/>
      <c r="GI352" s="21"/>
      <c r="GJ352" s="21"/>
      <c r="GK352" s="21"/>
      <c r="GL352" s="21"/>
      <c r="GM352" s="21"/>
      <c r="GN352" s="21"/>
      <c r="GO352" s="21"/>
      <c r="GP352" s="21"/>
      <c r="GQ352" s="21"/>
      <c r="GR352" s="21"/>
      <c r="GS352" s="21"/>
      <c r="GT352" s="21"/>
      <c r="GU352" s="21"/>
      <c r="GV352" s="21"/>
      <c r="GW352" s="21"/>
      <c r="GX352" s="21"/>
      <c r="GY352" s="21"/>
      <c r="GZ352" s="21"/>
      <c r="HA352" s="21"/>
      <c r="HB352" s="21"/>
    </row>
    <row r="353" spans="1:210"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c r="DE353" s="21"/>
      <c r="DF353" s="21"/>
      <c r="DG353" s="21"/>
      <c r="DH353" s="21"/>
      <c r="DI353" s="21"/>
      <c r="DJ353" s="21"/>
      <c r="DK353" s="21"/>
      <c r="DL353" s="21"/>
      <c r="DM353" s="21"/>
      <c r="DN353" s="21"/>
      <c r="DO353" s="21"/>
      <c r="DP353" s="21"/>
      <c r="DQ353" s="21"/>
      <c r="DR353" s="21"/>
      <c r="DS353" s="21"/>
      <c r="DT353" s="21"/>
      <c r="DU353" s="21"/>
      <c r="DV353" s="21"/>
      <c r="DW353" s="21"/>
      <c r="DX353" s="21"/>
      <c r="DY353" s="21"/>
      <c r="DZ353" s="21"/>
      <c r="EA353" s="21"/>
      <c r="EB353" s="21"/>
      <c r="EC353" s="21"/>
      <c r="ED353" s="21"/>
      <c r="EE353" s="21"/>
      <c r="EF353" s="21"/>
      <c r="EG353" s="21"/>
      <c r="EH353" s="21"/>
      <c r="EI353" s="21"/>
      <c r="EJ353" s="21"/>
      <c r="EK353" s="21"/>
      <c r="EL353" s="21"/>
      <c r="EM353" s="21"/>
      <c r="EN353" s="21"/>
      <c r="EO353" s="21"/>
      <c r="EP353" s="21"/>
      <c r="EQ353" s="21"/>
      <c r="ER353" s="21"/>
      <c r="ES353" s="21"/>
      <c r="ET353" s="21"/>
      <c r="EU353" s="21"/>
      <c r="EV353" s="21"/>
      <c r="EW353" s="21"/>
      <c r="EX353" s="21"/>
      <c r="EY353" s="21"/>
      <c r="EZ353" s="21"/>
      <c r="FA353" s="21"/>
      <c r="FB353" s="21"/>
      <c r="FC353" s="21"/>
      <c r="FD353" s="21"/>
      <c r="FE353" s="21"/>
      <c r="FF353" s="21"/>
      <c r="FG353" s="21"/>
      <c r="FH353" s="21"/>
      <c r="FI353" s="21"/>
      <c r="FJ353" s="21"/>
      <c r="FK353" s="21"/>
      <c r="FL353" s="21"/>
      <c r="FM353" s="21"/>
      <c r="FN353" s="21"/>
      <c r="FO353" s="21"/>
      <c r="FP353" s="21"/>
      <c r="FQ353" s="21"/>
      <c r="FR353" s="21"/>
      <c r="FS353" s="21"/>
      <c r="FT353" s="21"/>
      <c r="FU353" s="21"/>
      <c r="FV353" s="21"/>
      <c r="FW353" s="21"/>
      <c r="FX353" s="21"/>
      <c r="FY353" s="21"/>
      <c r="FZ353" s="21"/>
      <c r="GA353" s="21"/>
      <c r="GB353" s="21"/>
      <c r="GC353" s="21"/>
      <c r="GD353" s="21"/>
      <c r="GE353" s="21"/>
      <c r="GF353" s="21"/>
      <c r="GG353" s="21"/>
      <c r="GH353" s="21"/>
      <c r="GI353" s="21"/>
      <c r="GJ353" s="21"/>
      <c r="GK353" s="21"/>
      <c r="GL353" s="21"/>
      <c r="GM353" s="21"/>
      <c r="GN353" s="21"/>
      <c r="GO353" s="21"/>
      <c r="GP353" s="21"/>
      <c r="GQ353" s="21"/>
      <c r="GR353" s="21"/>
      <c r="GS353" s="21"/>
      <c r="GT353" s="21"/>
      <c r="GU353" s="21"/>
      <c r="GV353" s="21"/>
      <c r="GW353" s="21"/>
      <c r="GX353" s="21"/>
      <c r="GY353" s="21"/>
      <c r="GZ353" s="21"/>
      <c r="HA353" s="21"/>
      <c r="HB353" s="21"/>
    </row>
    <row r="354" spans="1:210"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c r="DB354" s="21"/>
      <c r="DC354" s="21"/>
      <c r="DD354" s="21"/>
      <c r="DE354" s="21"/>
      <c r="DF354" s="21"/>
      <c r="DG354" s="21"/>
      <c r="DH354" s="21"/>
      <c r="DI354" s="21"/>
      <c r="DJ354" s="21"/>
      <c r="DK354" s="21"/>
      <c r="DL354" s="21"/>
      <c r="DM354" s="21"/>
      <c r="DN354" s="21"/>
      <c r="DO354" s="21"/>
      <c r="DP354" s="21"/>
      <c r="DQ354" s="21"/>
      <c r="DR354" s="21"/>
      <c r="DS354" s="21"/>
      <c r="DT354" s="21"/>
      <c r="DU354" s="21"/>
      <c r="DV354" s="21"/>
      <c r="DW354" s="21"/>
      <c r="DX354" s="21"/>
      <c r="DY354" s="21"/>
      <c r="DZ354" s="21"/>
      <c r="EA354" s="21"/>
      <c r="EB354" s="21"/>
      <c r="EC354" s="21"/>
      <c r="ED354" s="21"/>
      <c r="EE354" s="21"/>
      <c r="EF354" s="21"/>
      <c r="EG354" s="21"/>
      <c r="EH354" s="21"/>
      <c r="EI354" s="21"/>
      <c r="EJ354" s="21"/>
      <c r="EK354" s="21"/>
      <c r="EL354" s="21"/>
      <c r="EM354" s="21"/>
      <c r="EN354" s="21"/>
      <c r="EO354" s="21"/>
      <c r="EP354" s="21"/>
      <c r="EQ354" s="21"/>
      <c r="ER354" s="21"/>
      <c r="ES354" s="21"/>
      <c r="ET354" s="21"/>
      <c r="EU354" s="21"/>
      <c r="EV354" s="21"/>
      <c r="EW354" s="21"/>
      <c r="EX354" s="21"/>
      <c r="EY354" s="21"/>
      <c r="EZ354" s="21"/>
      <c r="FA354" s="21"/>
      <c r="FB354" s="21"/>
      <c r="FC354" s="21"/>
      <c r="FD354" s="21"/>
      <c r="FE354" s="21"/>
      <c r="FF354" s="21"/>
      <c r="FG354" s="21"/>
      <c r="FH354" s="21"/>
      <c r="FI354" s="21"/>
      <c r="FJ354" s="21"/>
      <c r="FK354" s="21"/>
      <c r="FL354" s="21"/>
      <c r="FM354" s="21"/>
      <c r="FN354" s="21"/>
      <c r="FO354" s="21"/>
      <c r="FP354" s="21"/>
      <c r="FQ354" s="21"/>
      <c r="FR354" s="21"/>
      <c r="FS354" s="21"/>
      <c r="FT354" s="21"/>
      <c r="FU354" s="21"/>
      <c r="FV354" s="21"/>
      <c r="FW354" s="21"/>
      <c r="FX354" s="21"/>
      <c r="FY354" s="21"/>
      <c r="FZ354" s="21"/>
      <c r="GA354" s="21"/>
      <c r="GB354" s="21"/>
      <c r="GC354" s="21"/>
      <c r="GD354" s="21"/>
      <c r="GE354" s="21"/>
      <c r="GF354" s="21"/>
      <c r="GG354" s="21"/>
      <c r="GH354" s="21"/>
      <c r="GI354" s="21"/>
      <c r="GJ354" s="21"/>
      <c r="GK354" s="21"/>
      <c r="GL354" s="21"/>
      <c r="GM354" s="21"/>
      <c r="GN354" s="21"/>
      <c r="GO354" s="21"/>
      <c r="GP354" s="21"/>
      <c r="GQ354" s="21"/>
      <c r="GR354" s="21"/>
      <c r="GS354" s="21"/>
      <c r="GT354" s="21"/>
      <c r="GU354" s="21"/>
      <c r="GV354" s="21"/>
      <c r="GW354" s="21"/>
      <c r="GX354" s="21"/>
      <c r="GY354" s="21"/>
      <c r="GZ354" s="21"/>
      <c r="HA354" s="21"/>
      <c r="HB354" s="21"/>
    </row>
    <row r="355" spans="1:210"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c r="DB355" s="21"/>
      <c r="DC355" s="21"/>
      <c r="DD355" s="21"/>
      <c r="DE355" s="21"/>
      <c r="DF355" s="21"/>
      <c r="DG355" s="21"/>
      <c r="DH355" s="21"/>
      <c r="DI355" s="21"/>
      <c r="DJ355" s="21"/>
      <c r="DK355" s="21"/>
      <c r="DL355" s="21"/>
      <c r="DM355" s="21"/>
      <c r="DN355" s="21"/>
      <c r="DO355" s="21"/>
      <c r="DP355" s="21"/>
      <c r="DQ355" s="21"/>
      <c r="DR355" s="21"/>
      <c r="DS355" s="21"/>
      <c r="DT355" s="21"/>
      <c r="DU355" s="21"/>
      <c r="DV355" s="21"/>
      <c r="DW355" s="21"/>
      <c r="DX355" s="21"/>
      <c r="DY355" s="21"/>
      <c r="DZ355" s="21"/>
      <c r="EA355" s="21"/>
      <c r="EB355" s="21"/>
      <c r="EC355" s="21"/>
      <c r="ED355" s="21"/>
      <c r="EE355" s="21"/>
      <c r="EF355" s="21"/>
      <c r="EG355" s="21"/>
      <c r="EH355" s="21"/>
      <c r="EI355" s="21"/>
      <c r="EJ355" s="21"/>
      <c r="EK355" s="21"/>
      <c r="EL355" s="21"/>
      <c r="EM355" s="21"/>
      <c r="EN355" s="21"/>
      <c r="EO355" s="21"/>
      <c r="EP355" s="21"/>
      <c r="EQ355" s="21"/>
      <c r="ER355" s="21"/>
      <c r="ES355" s="21"/>
      <c r="ET355" s="21"/>
      <c r="EU355" s="21"/>
      <c r="EV355" s="21"/>
      <c r="EW355" s="21"/>
      <c r="EX355" s="21"/>
      <c r="EY355" s="21"/>
      <c r="EZ355" s="21"/>
      <c r="FA355" s="21"/>
      <c r="FB355" s="21"/>
      <c r="FC355" s="21"/>
      <c r="FD355" s="21"/>
      <c r="FE355" s="21"/>
      <c r="FF355" s="21"/>
      <c r="FG355" s="21"/>
      <c r="FH355" s="21"/>
      <c r="FI355" s="21"/>
      <c r="FJ355" s="21"/>
      <c r="FK355" s="21"/>
      <c r="FL355" s="21"/>
      <c r="FM355" s="21"/>
      <c r="FN355" s="21"/>
      <c r="FO355" s="21"/>
      <c r="FP355" s="21"/>
      <c r="FQ355" s="21"/>
      <c r="FR355" s="21"/>
      <c r="FS355" s="21"/>
      <c r="FT355" s="21"/>
      <c r="FU355" s="21"/>
      <c r="FV355" s="21"/>
      <c r="FW355" s="21"/>
      <c r="FX355" s="21"/>
      <c r="FY355" s="21"/>
      <c r="FZ355" s="21"/>
      <c r="GA355" s="21"/>
      <c r="GB355" s="21"/>
      <c r="GC355" s="21"/>
      <c r="GD355" s="21"/>
      <c r="GE355" s="21"/>
      <c r="GF355" s="21"/>
      <c r="GG355" s="21"/>
      <c r="GH355" s="21"/>
      <c r="GI355" s="21"/>
      <c r="GJ355" s="21"/>
      <c r="GK355" s="21"/>
      <c r="GL355" s="21"/>
      <c r="GM355" s="21"/>
      <c r="GN355" s="21"/>
      <c r="GO355" s="21"/>
      <c r="GP355" s="21"/>
      <c r="GQ355" s="21"/>
      <c r="GR355" s="21"/>
      <c r="GS355" s="21"/>
      <c r="GT355" s="21"/>
      <c r="GU355" s="21"/>
      <c r="GV355" s="21"/>
      <c r="GW355" s="21"/>
      <c r="GX355" s="21"/>
      <c r="GY355" s="21"/>
      <c r="GZ355" s="21"/>
      <c r="HA355" s="21"/>
      <c r="HB355" s="21"/>
    </row>
    <row r="356" spans="1:210"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c r="DB356" s="21"/>
      <c r="DC356" s="21"/>
      <c r="DD356" s="21"/>
      <c r="DE356" s="21"/>
      <c r="DF356" s="21"/>
      <c r="DG356" s="21"/>
      <c r="DH356" s="21"/>
      <c r="DI356" s="21"/>
      <c r="DJ356" s="21"/>
      <c r="DK356" s="21"/>
      <c r="DL356" s="21"/>
      <c r="DM356" s="21"/>
      <c r="DN356" s="21"/>
      <c r="DO356" s="21"/>
      <c r="DP356" s="21"/>
      <c r="DQ356" s="21"/>
      <c r="DR356" s="21"/>
      <c r="DS356" s="21"/>
      <c r="DT356" s="21"/>
      <c r="DU356" s="21"/>
      <c r="DV356" s="21"/>
      <c r="DW356" s="21"/>
      <c r="DX356" s="21"/>
      <c r="DY356" s="21"/>
      <c r="DZ356" s="21"/>
      <c r="EA356" s="21"/>
      <c r="EB356" s="21"/>
      <c r="EC356" s="21"/>
      <c r="ED356" s="21"/>
      <c r="EE356" s="21"/>
      <c r="EF356" s="21"/>
      <c r="EG356" s="21"/>
      <c r="EH356" s="21"/>
      <c r="EI356" s="21"/>
      <c r="EJ356" s="21"/>
      <c r="EK356" s="21"/>
      <c r="EL356" s="21"/>
      <c r="EM356" s="21"/>
      <c r="EN356" s="21"/>
      <c r="EO356" s="21"/>
      <c r="EP356" s="21"/>
      <c r="EQ356" s="21"/>
      <c r="ER356" s="21"/>
      <c r="ES356" s="21"/>
      <c r="ET356" s="21"/>
      <c r="EU356" s="21"/>
      <c r="EV356" s="21"/>
      <c r="EW356" s="21"/>
      <c r="EX356" s="21"/>
      <c r="EY356" s="21"/>
      <c r="EZ356" s="21"/>
      <c r="FA356" s="21"/>
      <c r="FB356" s="21"/>
      <c r="FC356" s="21"/>
      <c r="FD356" s="21"/>
      <c r="FE356" s="21"/>
      <c r="FF356" s="21"/>
      <c r="FG356" s="21"/>
      <c r="FH356" s="21"/>
      <c r="FI356" s="21"/>
      <c r="FJ356" s="21"/>
      <c r="FK356" s="21"/>
      <c r="FL356" s="21"/>
      <c r="FM356" s="21"/>
      <c r="FN356" s="21"/>
      <c r="FO356" s="21"/>
      <c r="FP356" s="21"/>
      <c r="FQ356" s="21"/>
      <c r="FR356" s="21"/>
      <c r="FS356" s="21"/>
      <c r="FT356" s="21"/>
      <c r="FU356" s="21"/>
      <c r="FV356" s="21"/>
      <c r="FW356" s="21"/>
      <c r="FX356" s="21"/>
      <c r="FY356" s="21"/>
      <c r="FZ356" s="21"/>
      <c r="GA356" s="21"/>
      <c r="GB356" s="21"/>
      <c r="GC356" s="21"/>
      <c r="GD356" s="21"/>
      <c r="GE356" s="21"/>
      <c r="GF356" s="21"/>
      <c r="GG356" s="21"/>
      <c r="GH356" s="21"/>
      <c r="GI356" s="21"/>
      <c r="GJ356" s="21"/>
      <c r="GK356" s="21"/>
      <c r="GL356" s="21"/>
      <c r="GM356" s="21"/>
      <c r="GN356" s="21"/>
      <c r="GO356" s="21"/>
      <c r="GP356" s="21"/>
      <c r="GQ356" s="21"/>
      <c r="GR356" s="21"/>
      <c r="GS356" s="21"/>
      <c r="GT356" s="21"/>
      <c r="GU356" s="21"/>
      <c r="GV356" s="21"/>
      <c r="GW356" s="21"/>
      <c r="GX356" s="21"/>
      <c r="GY356" s="21"/>
      <c r="GZ356" s="21"/>
      <c r="HA356" s="21"/>
      <c r="HB356" s="21"/>
    </row>
    <row r="357" spans="1:210"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21"/>
      <c r="CH357" s="21"/>
      <c r="CI357" s="21"/>
      <c r="CJ357" s="21"/>
      <c r="CK357" s="21"/>
      <c r="CL357" s="21"/>
      <c r="CM357" s="21"/>
      <c r="CN357" s="21"/>
      <c r="CO357" s="21"/>
      <c r="CP357" s="21"/>
      <c r="CQ357" s="21"/>
      <c r="CR357" s="21"/>
      <c r="CS357" s="21"/>
      <c r="CT357" s="21"/>
      <c r="CU357" s="21"/>
      <c r="CV357" s="21"/>
      <c r="CW357" s="21"/>
      <c r="CX357" s="21"/>
      <c r="CY357" s="21"/>
      <c r="CZ357" s="21"/>
      <c r="DA357" s="21"/>
      <c r="DB357" s="21"/>
      <c r="DC357" s="21"/>
      <c r="DD357" s="21"/>
      <c r="DE357" s="21"/>
      <c r="DF357" s="21"/>
      <c r="DG357" s="21"/>
      <c r="DH357" s="21"/>
      <c r="DI357" s="21"/>
      <c r="DJ357" s="21"/>
      <c r="DK357" s="21"/>
      <c r="DL357" s="21"/>
      <c r="DM357" s="21"/>
      <c r="DN357" s="21"/>
      <c r="DO357" s="21"/>
      <c r="DP357" s="21"/>
      <c r="DQ357" s="21"/>
      <c r="DR357" s="21"/>
      <c r="DS357" s="21"/>
      <c r="DT357" s="21"/>
      <c r="DU357" s="21"/>
      <c r="DV357" s="21"/>
      <c r="DW357" s="21"/>
      <c r="DX357" s="21"/>
      <c r="DY357" s="21"/>
      <c r="DZ357" s="21"/>
      <c r="EA357" s="21"/>
      <c r="EB357" s="21"/>
      <c r="EC357" s="21"/>
      <c r="ED357" s="21"/>
      <c r="EE357" s="21"/>
      <c r="EF357" s="21"/>
      <c r="EG357" s="21"/>
      <c r="EH357" s="21"/>
      <c r="EI357" s="21"/>
      <c r="EJ357" s="21"/>
      <c r="EK357" s="21"/>
      <c r="EL357" s="21"/>
      <c r="EM357" s="21"/>
      <c r="EN357" s="21"/>
      <c r="EO357" s="21"/>
      <c r="EP357" s="21"/>
      <c r="EQ357" s="21"/>
      <c r="ER357" s="21"/>
      <c r="ES357" s="21"/>
      <c r="ET357" s="21"/>
      <c r="EU357" s="21"/>
      <c r="EV357" s="21"/>
      <c r="EW357" s="21"/>
      <c r="EX357" s="21"/>
      <c r="EY357" s="21"/>
      <c r="EZ357" s="21"/>
      <c r="FA357" s="21"/>
      <c r="FB357" s="21"/>
      <c r="FC357" s="21"/>
      <c r="FD357" s="21"/>
      <c r="FE357" s="21"/>
      <c r="FF357" s="21"/>
      <c r="FG357" s="21"/>
      <c r="FH357" s="21"/>
      <c r="FI357" s="21"/>
      <c r="FJ357" s="21"/>
      <c r="FK357" s="21"/>
      <c r="FL357" s="21"/>
      <c r="FM357" s="21"/>
      <c r="FN357" s="21"/>
      <c r="FO357" s="21"/>
      <c r="FP357" s="21"/>
      <c r="FQ357" s="21"/>
      <c r="FR357" s="21"/>
      <c r="FS357" s="21"/>
      <c r="FT357" s="21"/>
      <c r="FU357" s="21"/>
      <c r="FV357" s="21"/>
      <c r="FW357" s="21"/>
      <c r="FX357" s="21"/>
      <c r="FY357" s="21"/>
      <c r="FZ357" s="21"/>
      <c r="GA357" s="21"/>
      <c r="GB357" s="21"/>
      <c r="GC357" s="21"/>
      <c r="GD357" s="21"/>
      <c r="GE357" s="21"/>
      <c r="GF357" s="21"/>
      <c r="GG357" s="21"/>
      <c r="GH357" s="21"/>
      <c r="GI357" s="21"/>
      <c r="GJ357" s="21"/>
      <c r="GK357" s="21"/>
      <c r="GL357" s="21"/>
      <c r="GM357" s="21"/>
      <c r="GN357" s="21"/>
      <c r="GO357" s="21"/>
      <c r="GP357" s="21"/>
      <c r="GQ357" s="21"/>
      <c r="GR357" s="21"/>
      <c r="GS357" s="21"/>
      <c r="GT357" s="21"/>
      <c r="GU357" s="21"/>
      <c r="GV357" s="21"/>
      <c r="GW357" s="21"/>
      <c r="GX357" s="21"/>
      <c r="GY357" s="21"/>
      <c r="GZ357" s="21"/>
      <c r="HA357" s="21"/>
      <c r="HB357" s="21"/>
    </row>
    <row r="358" spans="1:210"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c r="DE358" s="21"/>
      <c r="DF358" s="21"/>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1"/>
      <c r="FH358" s="21"/>
      <c r="FI358" s="21"/>
      <c r="FJ358" s="21"/>
      <c r="FK358" s="21"/>
      <c r="FL358" s="21"/>
      <c r="FM358" s="21"/>
      <c r="FN358" s="21"/>
      <c r="FO358" s="21"/>
      <c r="FP358" s="21"/>
      <c r="FQ358" s="21"/>
      <c r="FR358" s="21"/>
      <c r="FS358" s="21"/>
      <c r="FT358" s="21"/>
      <c r="FU358" s="21"/>
      <c r="FV358" s="21"/>
      <c r="FW358" s="21"/>
      <c r="FX358" s="21"/>
      <c r="FY358" s="21"/>
      <c r="FZ358" s="21"/>
      <c r="GA358" s="21"/>
      <c r="GB358" s="21"/>
      <c r="GC358" s="21"/>
      <c r="GD358" s="21"/>
      <c r="GE358" s="21"/>
      <c r="GF358" s="21"/>
      <c r="GG358" s="21"/>
      <c r="GH358" s="21"/>
      <c r="GI358" s="21"/>
      <c r="GJ358" s="21"/>
      <c r="GK358" s="21"/>
      <c r="GL358" s="21"/>
      <c r="GM358" s="21"/>
      <c r="GN358" s="21"/>
      <c r="GO358" s="21"/>
      <c r="GP358" s="21"/>
      <c r="GQ358" s="21"/>
      <c r="GR358" s="21"/>
      <c r="GS358" s="21"/>
      <c r="GT358" s="21"/>
      <c r="GU358" s="21"/>
      <c r="GV358" s="21"/>
      <c r="GW358" s="21"/>
      <c r="GX358" s="21"/>
      <c r="GY358" s="21"/>
      <c r="GZ358" s="21"/>
      <c r="HA358" s="21"/>
      <c r="HB358" s="21"/>
    </row>
    <row r="359" spans="1:210"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c r="DB359" s="21"/>
      <c r="DC359" s="21"/>
      <c r="DD359" s="21"/>
      <c r="DE359" s="21"/>
      <c r="DF359" s="21"/>
      <c r="DG359" s="21"/>
      <c r="DH359" s="21"/>
      <c r="DI359" s="21"/>
      <c r="DJ359" s="21"/>
      <c r="DK359" s="21"/>
      <c r="DL359" s="21"/>
      <c r="DM359" s="21"/>
      <c r="DN359" s="21"/>
      <c r="DO359" s="21"/>
      <c r="DP359" s="21"/>
      <c r="DQ359" s="21"/>
      <c r="DR359" s="21"/>
      <c r="DS359" s="21"/>
      <c r="DT359" s="21"/>
      <c r="DU359" s="21"/>
      <c r="DV359" s="21"/>
      <c r="DW359" s="21"/>
      <c r="DX359" s="21"/>
      <c r="DY359" s="21"/>
      <c r="DZ359" s="21"/>
      <c r="EA359" s="21"/>
      <c r="EB359" s="21"/>
      <c r="EC359" s="21"/>
      <c r="ED359" s="21"/>
      <c r="EE359" s="21"/>
      <c r="EF359" s="21"/>
      <c r="EG359" s="21"/>
      <c r="EH359" s="21"/>
      <c r="EI359" s="21"/>
      <c r="EJ359" s="21"/>
      <c r="EK359" s="21"/>
      <c r="EL359" s="21"/>
      <c r="EM359" s="21"/>
      <c r="EN359" s="21"/>
      <c r="EO359" s="21"/>
      <c r="EP359" s="21"/>
      <c r="EQ359" s="21"/>
      <c r="ER359" s="21"/>
      <c r="ES359" s="21"/>
      <c r="ET359" s="21"/>
      <c r="EU359" s="21"/>
      <c r="EV359" s="21"/>
      <c r="EW359" s="21"/>
      <c r="EX359" s="21"/>
      <c r="EY359" s="21"/>
      <c r="EZ359" s="21"/>
      <c r="FA359" s="21"/>
      <c r="FB359" s="21"/>
      <c r="FC359" s="21"/>
      <c r="FD359" s="21"/>
      <c r="FE359" s="21"/>
      <c r="FF359" s="21"/>
      <c r="FG359" s="21"/>
      <c r="FH359" s="21"/>
      <c r="FI359" s="21"/>
      <c r="FJ359" s="21"/>
      <c r="FK359" s="21"/>
      <c r="FL359" s="21"/>
      <c r="FM359" s="21"/>
      <c r="FN359" s="21"/>
      <c r="FO359" s="21"/>
      <c r="FP359" s="21"/>
      <c r="FQ359" s="21"/>
      <c r="FR359" s="21"/>
      <c r="FS359" s="21"/>
      <c r="FT359" s="21"/>
      <c r="FU359" s="21"/>
      <c r="FV359" s="21"/>
      <c r="FW359" s="21"/>
      <c r="FX359" s="21"/>
      <c r="FY359" s="21"/>
      <c r="FZ359" s="21"/>
      <c r="GA359" s="21"/>
      <c r="GB359" s="21"/>
      <c r="GC359" s="21"/>
      <c r="GD359" s="21"/>
      <c r="GE359" s="21"/>
      <c r="GF359" s="21"/>
      <c r="GG359" s="21"/>
      <c r="GH359" s="21"/>
      <c r="GI359" s="21"/>
      <c r="GJ359" s="21"/>
      <c r="GK359" s="21"/>
      <c r="GL359" s="21"/>
      <c r="GM359" s="21"/>
      <c r="GN359" s="21"/>
      <c r="GO359" s="21"/>
      <c r="GP359" s="21"/>
      <c r="GQ359" s="21"/>
      <c r="GR359" s="21"/>
      <c r="GS359" s="21"/>
      <c r="GT359" s="21"/>
      <c r="GU359" s="21"/>
      <c r="GV359" s="21"/>
      <c r="GW359" s="21"/>
      <c r="GX359" s="21"/>
      <c r="GY359" s="21"/>
      <c r="GZ359" s="21"/>
      <c r="HA359" s="21"/>
      <c r="HB359" s="21"/>
    </row>
    <row r="360" spans="1:210"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c r="DB360" s="21"/>
      <c r="DC360" s="21"/>
      <c r="DD360" s="21"/>
      <c r="DE360" s="21"/>
      <c r="DF360" s="21"/>
      <c r="DG360" s="21"/>
      <c r="DH360" s="21"/>
      <c r="DI360" s="21"/>
      <c r="DJ360" s="21"/>
      <c r="DK360" s="21"/>
      <c r="DL360" s="21"/>
      <c r="DM360" s="21"/>
      <c r="DN360" s="21"/>
      <c r="DO360" s="21"/>
      <c r="DP360" s="21"/>
      <c r="DQ360" s="21"/>
      <c r="DR360" s="21"/>
      <c r="DS360" s="21"/>
      <c r="DT360" s="21"/>
      <c r="DU360" s="21"/>
      <c r="DV360" s="21"/>
      <c r="DW360" s="21"/>
      <c r="DX360" s="21"/>
      <c r="DY360" s="21"/>
      <c r="DZ360" s="21"/>
      <c r="EA360" s="21"/>
      <c r="EB360" s="21"/>
      <c r="EC360" s="21"/>
      <c r="ED360" s="21"/>
      <c r="EE360" s="21"/>
      <c r="EF360" s="21"/>
      <c r="EG360" s="21"/>
      <c r="EH360" s="21"/>
      <c r="EI360" s="21"/>
      <c r="EJ360" s="21"/>
      <c r="EK360" s="21"/>
      <c r="EL360" s="21"/>
      <c r="EM360" s="21"/>
      <c r="EN360" s="21"/>
      <c r="EO360" s="21"/>
      <c r="EP360" s="21"/>
      <c r="EQ360" s="21"/>
      <c r="ER360" s="21"/>
      <c r="ES360" s="21"/>
      <c r="ET360" s="21"/>
      <c r="EU360" s="21"/>
      <c r="EV360" s="21"/>
      <c r="EW360" s="21"/>
      <c r="EX360" s="21"/>
      <c r="EY360" s="21"/>
      <c r="EZ360" s="21"/>
      <c r="FA360" s="21"/>
      <c r="FB360" s="21"/>
      <c r="FC360" s="21"/>
      <c r="FD360" s="21"/>
      <c r="FE360" s="21"/>
      <c r="FF360" s="21"/>
      <c r="FG360" s="21"/>
      <c r="FH360" s="21"/>
      <c r="FI360" s="21"/>
      <c r="FJ360" s="21"/>
      <c r="FK360" s="21"/>
      <c r="FL360" s="21"/>
      <c r="FM360" s="21"/>
      <c r="FN360" s="21"/>
      <c r="FO360" s="21"/>
      <c r="FP360" s="21"/>
      <c r="FQ360" s="21"/>
      <c r="FR360" s="21"/>
      <c r="FS360" s="21"/>
      <c r="FT360" s="21"/>
      <c r="FU360" s="21"/>
      <c r="FV360" s="21"/>
      <c r="FW360" s="21"/>
      <c r="FX360" s="21"/>
      <c r="FY360" s="21"/>
      <c r="FZ360" s="21"/>
      <c r="GA360" s="21"/>
      <c r="GB360" s="21"/>
      <c r="GC360" s="21"/>
      <c r="GD360" s="21"/>
      <c r="GE360" s="21"/>
      <c r="GF360" s="21"/>
      <c r="GG360" s="21"/>
      <c r="GH360" s="21"/>
      <c r="GI360" s="21"/>
      <c r="GJ360" s="21"/>
      <c r="GK360" s="21"/>
      <c r="GL360" s="21"/>
      <c r="GM360" s="21"/>
      <c r="GN360" s="21"/>
      <c r="GO360" s="21"/>
      <c r="GP360" s="21"/>
      <c r="GQ360" s="21"/>
      <c r="GR360" s="21"/>
      <c r="GS360" s="21"/>
      <c r="GT360" s="21"/>
      <c r="GU360" s="21"/>
      <c r="GV360" s="21"/>
      <c r="GW360" s="21"/>
      <c r="GX360" s="21"/>
      <c r="GY360" s="21"/>
      <c r="GZ360" s="21"/>
      <c r="HA360" s="21"/>
      <c r="HB360" s="21"/>
    </row>
    <row r="361" spans="1:210"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21"/>
      <c r="CH361" s="21"/>
      <c r="CI361" s="21"/>
      <c r="CJ361" s="21"/>
      <c r="CK361" s="21"/>
      <c r="CL361" s="21"/>
      <c r="CM361" s="21"/>
      <c r="CN361" s="21"/>
      <c r="CO361" s="21"/>
      <c r="CP361" s="21"/>
      <c r="CQ361" s="21"/>
      <c r="CR361" s="21"/>
      <c r="CS361" s="21"/>
      <c r="CT361" s="21"/>
      <c r="CU361" s="21"/>
      <c r="CV361" s="21"/>
      <c r="CW361" s="21"/>
      <c r="CX361" s="21"/>
      <c r="CY361" s="21"/>
      <c r="CZ361" s="21"/>
      <c r="DA361" s="21"/>
      <c r="DB361" s="21"/>
      <c r="DC361" s="21"/>
      <c r="DD361" s="21"/>
      <c r="DE361" s="21"/>
      <c r="DF361" s="21"/>
      <c r="DG361" s="21"/>
      <c r="DH361" s="21"/>
      <c r="DI361" s="21"/>
      <c r="DJ361" s="21"/>
      <c r="DK361" s="21"/>
      <c r="DL361" s="21"/>
      <c r="DM361" s="21"/>
      <c r="DN361" s="21"/>
      <c r="DO361" s="21"/>
      <c r="DP361" s="21"/>
      <c r="DQ361" s="21"/>
      <c r="DR361" s="21"/>
      <c r="DS361" s="21"/>
      <c r="DT361" s="21"/>
      <c r="DU361" s="21"/>
      <c r="DV361" s="21"/>
      <c r="DW361" s="21"/>
      <c r="DX361" s="21"/>
      <c r="DY361" s="21"/>
      <c r="DZ361" s="21"/>
      <c r="EA361" s="21"/>
      <c r="EB361" s="21"/>
      <c r="EC361" s="21"/>
      <c r="ED361" s="21"/>
      <c r="EE361" s="21"/>
      <c r="EF361" s="21"/>
      <c r="EG361" s="21"/>
      <c r="EH361" s="21"/>
      <c r="EI361" s="21"/>
      <c r="EJ361" s="21"/>
      <c r="EK361" s="21"/>
      <c r="EL361" s="21"/>
      <c r="EM361" s="21"/>
      <c r="EN361" s="21"/>
      <c r="EO361" s="21"/>
      <c r="EP361" s="21"/>
      <c r="EQ361" s="21"/>
      <c r="ER361" s="21"/>
      <c r="ES361" s="21"/>
      <c r="ET361" s="21"/>
      <c r="EU361" s="21"/>
      <c r="EV361" s="21"/>
      <c r="EW361" s="21"/>
      <c r="EX361" s="21"/>
      <c r="EY361" s="21"/>
      <c r="EZ361" s="21"/>
      <c r="FA361" s="21"/>
      <c r="FB361" s="21"/>
      <c r="FC361" s="21"/>
      <c r="FD361" s="21"/>
      <c r="FE361" s="21"/>
      <c r="FF361" s="21"/>
      <c r="FG361" s="21"/>
      <c r="FH361" s="21"/>
      <c r="FI361" s="21"/>
      <c r="FJ361" s="21"/>
      <c r="FK361" s="21"/>
      <c r="FL361" s="21"/>
      <c r="FM361" s="21"/>
      <c r="FN361" s="21"/>
      <c r="FO361" s="21"/>
      <c r="FP361" s="21"/>
      <c r="FQ361" s="21"/>
      <c r="FR361" s="21"/>
      <c r="FS361" s="21"/>
      <c r="FT361" s="21"/>
      <c r="FU361" s="21"/>
      <c r="FV361" s="21"/>
      <c r="FW361" s="21"/>
      <c r="FX361" s="21"/>
      <c r="FY361" s="21"/>
      <c r="FZ361" s="21"/>
      <c r="GA361" s="21"/>
      <c r="GB361" s="21"/>
      <c r="GC361" s="21"/>
      <c r="GD361" s="21"/>
      <c r="GE361" s="21"/>
      <c r="GF361" s="21"/>
      <c r="GG361" s="21"/>
      <c r="GH361" s="21"/>
      <c r="GI361" s="21"/>
      <c r="GJ361" s="21"/>
      <c r="GK361" s="21"/>
      <c r="GL361" s="21"/>
      <c r="GM361" s="21"/>
      <c r="GN361" s="21"/>
      <c r="GO361" s="21"/>
      <c r="GP361" s="21"/>
      <c r="GQ361" s="21"/>
      <c r="GR361" s="21"/>
      <c r="GS361" s="21"/>
      <c r="GT361" s="21"/>
      <c r="GU361" s="21"/>
      <c r="GV361" s="21"/>
      <c r="GW361" s="21"/>
      <c r="GX361" s="21"/>
      <c r="GY361" s="21"/>
      <c r="GZ361" s="21"/>
      <c r="HA361" s="21"/>
      <c r="HB361" s="21"/>
    </row>
    <row r="362" spans="1:210"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c r="DB362" s="21"/>
      <c r="DC362" s="21"/>
      <c r="DD362" s="21"/>
      <c r="DE362" s="21"/>
      <c r="DF362" s="21"/>
      <c r="DG362" s="21"/>
      <c r="DH362" s="21"/>
      <c r="DI362" s="21"/>
      <c r="DJ362" s="21"/>
      <c r="DK362" s="21"/>
      <c r="DL362" s="21"/>
      <c r="DM362" s="21"/>
      <c r="DN362" s="21"/>
      <c r="DO362" s="21"/>
      <c r="DP362" s="21"/>
      <c r="DQ362" s="21"/>
      <c r="DR362" s="21"/>
      <c r="DS362" s="21"/>
      <c r="DT362" s="21"/>
      <c r="DU362" s="21"/>
      <c r="DV362" s="21"/>
      <c r="DW362" s="21"/>
      <c r="DX362" s="21"/>
      <c r="DY362" s="21"/>
      <c r="DZ362" s="21"/>
      <c r="EA362" s="21"/>
      <c r="EB362" s="21"/>
      <c r="EC362" s="21"/>
      <c r="ED362" s="21"/>
      <c r="EE362" s="21"/>
      <c r="EF362" s="21"/>
      <c r="EG362" s="21"/>
      <c r="EH362" s="21"/>
      <c r="EI362" s="21"/>
      <c r="EJ362" s="21"/>
      <c r="EK362" s="21"/>
      <c r="EL362" s="21"/>
      <c r="EM362" s="21"/>
      <c r="EN362" s="21"/>
      <c r="EO362" s="21"/>
      <c r="EP362" s="21"/>
      <c r="EQ362" s="21"/>
      <c r="ER362" s="21"/>
      <c r="ES362" s="21"/>
      <c r="ET362" s="21"/>
      <c r="EU362" s="21"/>
      <c r="EV362" s="21"/>
      <c r="EW362" s="21"/>
      <c r="EX362" s="21"/>
      <c r="EY362" s="21"/>
      <c r="EZ362" s="21"/>
      <c r="FA362" s="21"/>
      <c r="FB362" s="21"/>
      <c r="FC362" s="21"/>
      <c r="FD362" s="21"/>
      <c r="FE362" s="21"/>
      <c r="FF362" s="21"/>
      <c r="FG362" s="21"/>
      <c r="FH362" s="21"/>
      <c r="FI362" s="21"/>
      <c r="FJ362" s="21"/>
      <c r="FK362" s="21"/>
      <c r="FL362" s="21"/>
      <c r="FM362" s="21"/>
      <c r="FN362" s="21"/>
      <c r="FO362" s="21"/>
      <c r="FP362" s="21"/>
      <c r="FQ362" s="21"/>
      <c r="FR362" s="21"/>
      <c r="FS362" s="21"/>
      <c r="FT362" s="21"/>
      <c r="FU362" s="21"/>
      <c r="FV362" s="21"/>
      <c r="FW362" s="21"/>
      <c r="FX362" s="21"/>
      <c r="FY362" s="21"/>
      <c r="FZ362" s="21"/>
      <c r="GA362" s="21"/>
      <c r="GB362" s="21"/>
      <c r="GC362" s="21"/>
      <c r="GD362" s="21"/>
      <c r="GE362" s="21"/>
      <c r="GF362" s="21"/>
      <c r="GG362" s="21"/>
      <c r="GH362" s="21"/>
      <c r="GI362" s="21"/>
      <c r="GJ362" s="21"/>
      <c r="GK362" s="21"/>
      <c r="GL362" s="21"/>
      <c r="GM362" s="21"/>
      <c r="GN362" s="21"/>
      <c r="GO362" s="21"/>
      <c r="GP362" s="21"/>
      <c r="GQ362" s="21"/>
      <c r="GR362" s="21"/>
      <c r="GS362" s="21"/>
      <c r="GT362" s="21"/>
      <c r="GU362" s="21"/>
      <c r="GV362" s="21"/>
      <c r="GW362" s="21"/>
      <c r="GX362" s="21"/>
      <c r="GY362" s="21"/>
      <c r="GZ362" s="21"/>
      <c r="HA362" s="21"/>
      <c r="HB362" s="21"/>
    </row>
    <row r="363" spans="1:210"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21"/>
      <c r="CH363" s="21"/>
      <c r="CI363" s="21"/>
      <c r="CJ363" s="21"/>
      <c r="CK363" s="21"/>
      <c r="CL363" s="21"/>
      <c r="CM363" s="21"/>
      <c r="CN363" s="21"/>
      <c r="CO363" s="21"/>
      <c r="CP363" s="21"/>
      <c r="CQ363" s="21"/>
      <c r="CR363" s="21"/>
      <c r="CS363" s="21"/>
      <c r="CT363" s="21"/>
      <c r="CU363" s="21"/>
      <c r="CV363" s="21"/>
      <c r="CW363" s="21"/>
      <c r="CX363" s="21"/>
      <c r="CY363" s="21"/>
      <c r="CZ363" s="21"/>
      <c r="DA363" s="21"/>
      <c r="DB363" s="21"/>
      <c r="DC363" s="21"/>
      <c r="DD363" s="21"/>
      <c r="DE363" s="21"/>
      <c r="DF363" s="21"/>
      <c r="DG363" s="21"/>
      <c r="DH363" s="21"/>
      <c r="DI363" s="21"/>
      <c r="DJ363" s="21"/>
      <c r="DK363" s="21"/>
      <c r="DL363" s="21"/>
      <c r="DM363" s="21"/>
      <c r="DN363" s="21"/>
      <c r="DO363" s="21"/>
      <c r="DP363" s="21"/>
      <c r="DQ363" s="21"/>
      <c r="DR363" s="21"/>
      <c r="DS363" s="21"/>
      <c r="DT363" s="21"/>
      <c r="DU363" s="21"/>
      <c r="DV363" s="21"/>
      <c r="DW363" s="21"/>
      <c r="DX363" s="21"/>
      <c r="DY363" s="21"/>
      <c r="DZ363" s="21"/>
      <c r="EA363" s="21"/>
      <c r="EB363" s="21"/>
      <c r="EC363" s="21"/>
      <c r="ED363" s="21"/>
      <c r="EE363" s="21"/>
      <c r="EF363" s="21"/>
      <c r="EG363" s="21"/>
      <c r="EH363" s="21"/>
      <c r="EI363" s="21"/>
      <c r="EJ363" s="21"/>
      <c r="EK363" s="21"/>
      <c r="EL363" s="21"/>
      <c r="EM363" s="21"/>
      <c r="EN363" s="21"/>
      <c r="EO363" s="21"/>
      <c r="EP363" s="21"/>
      <c r="EQ363" s="21"/>
      <c r="ER363" s="21"/>
      <c r="ES363" s="21"/>
      <c r="ET363" s="21"/>
      <c r="EU363" s="21"/>
      <c r="EV363" s="21"/>
      <c r="EW363" s="21"/>
      <c r="EX363" s="21"/>
      <c r="EY363" s="21"/>
      <c r="EZ363" s="21"/>
      <c r="FA363" s="21"/>
      <c r="FB363" s="21"/>
      <c r="FC363" s="21"/>
      <c r="FD363" s="21"/>
      <c r="FE363" s="21"/>
      <c r="FF363" s="21"/>
      <c r="FG363" s="21"/>
      <c r="FH363" s="21"/>
      <c r="FI363" s="21"/>
      <c r="FJ363" s="21"/>
      <c r="FK363" s="21"/>
      <c r="FL363" s="21"/>
      <c r="FM363" s="21"/>
      <c r="FN363" s="21"/>
      <c r="FO363" s="21"/>
      <c r="FP363" s="21"/>
      <c r="FQ363" s="21"/>
      <c r="FR363" s="21"/>
      <c r="FS363" s="21"/>
      <c r="FT363" s="21"/>
      <c r="FU363" s="21"/>
      <c r="FV363" s="21"/>
      <c r="FW363" s="21"/>
      <c r="FX363" s="21"/>
      <c r="FY363" s="21"/>
      <c r="FZ363" s="21"/>
      <c r="GA363" s="21"/>
      <c r="GB363" s="21"/>
      <c r="GC363" s="21"/>
      <c r="GD363" s="21"/>
      <c r="GE363" s="21"/>
      <c r="GF363" s="21"/>
      <c r="GG363" s="21"/>
      <c r="GH363" s="21"/>
      <c r="GI363" s="21"/>
      <c r="GJ363" s="21"/>
      <c r="GK363" s="21"/>
      <c r="GL363" s="21"/>
      <c r="GM363" s="21"/>
      <c r="GN363" s="21"/>
      <c r="GO363" s="21"/>
      <c r="GP363" s="21"/>
      <c r="GQ363" s="21"/>
      <c r="GR363" s="21"/>
      <c r="GS363" s="21"/>
      <c r="GT363" s="21"/>
      <c r="GU363" s="21"/>
      <c r="GV363" s="21"/>
      <c r="GW363" s="21"/>
      <c r="GX363" s="21"/>
      <c r="GY363" s="21"/>
      <c r="GZ363" s="21"/>
      <c r="HA363" s="21"/>
      <c r="HB363" s="21"/>
    </row>
    <row r="364" spans="1:210"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c r="DB364" s="21"/>
      <c r="DC364" s="21"/>
      <c r="DD364" s="21"/>
      <c r="DE364" s="21"/>
      <c r="DF364" s="21"/>
      <c r="DG364" s="21"/>
      <c r="DH364" s="21"/>
      <c r="DI364" s="21"/>
      <c r="DJ364" s="21"/>
      <c r="DK364" s="21"/>
      <c r="DL364" s="21"/>
      <c r="DM364" s="21"/>
      <c r="DN364" s="21"/>
      <c r="DO364" s="21"/>
      <c r="DP364" s="21"/>
      <c r="DQ364" s="21"/>
      <c r="DR364" s="21"/>
      <c r="DS364" s="21"/>
      <c r="DT364" s="21"/>
      <c r="DU364" s="21"/>
      <c r="DV364" s="21"/>
      <c r="DW364" s="21"/>
      <c r="DX364" s="21"/>
      <c r="DY364" s="21"/>
      <c r="DZ364" s="21"/>
      <c r="EA364" s="21"/>
      <c r="EB364" s="21"/>
      <c r="EC364" s="21"/>
      <c r="ED364" s="21"/>
      <c r="EE364" s="21"/>
      <c r="EF364" s="21"/>
      <c r="EG364" s="21"/>
      <c r="EH364" s="21"/>
      <c r="EI364" s="21"/>
      <c r="EJ364" s="21"/>
      <c r="EK364" s="21"/>
      <c r="EL364" s="21"/>
      <c r="EM364" s="21"/>
      <c r="EN364" s="21"/>
      <c r="EO364" s="21"/>
      <c r="EP364" s="21"/>
      <c r="EQ364" s="21"/>
      <c r="ER364" s="21"/>
      <c r="ES364" s="21"/>
      <c r="ET364" s="21"/>
      <c r="EU364" s="21"/>
      <c r="EV364" s="21"/>
      <c r="EW364" s="21"/>
      <c r="EX364" s="21"/>
      <c r="EY364" s="21"/>
      <c r="EZ364" s="21"/>
      <c r="FA364" s="21"/>
      <c r="FB364" s="21"/>
      <c r="FC364" s="21"/>
      <c r="FD364" s="21"/>
      <c r="FE364" s="21"/>
      <c r="FF364" s="21"/>
      <c r="FG364" s="21"/>
      <c r="FH364" s="21"/>
      <c r="FI364" s="21"/>
      <c r="FJ364" s="21"/>
      <c r="FK364" s="21"/>
      <c r="FL364" s="21"/>
      <c r="FM364" s="21"/>
      <c r="FN364" s="21"/>
      <c r="FO364" s="21"/>
      <c r="FP364" s="21"/>
      <c r="FQ364" s="21"/>
      <c r="FR364" s="21"/>
      <c r="FS364" s="21"/>
      <c r="FT364" s="21"/>
      <c r="FU364" s="21"/>
      <c r="FV364" s="21"/>
      <c r="FW364" s="21"/>
      <c r="FX364" s="21"/>
      <c r="FY364" s="21"/>
      <c r="FZ364" s="21"/>
      <c r="GA364" s="21"/>
      <c r="GB364" s="21"/>
      <c r="GC364" s="21"/>
      <c r="GD364" s="21"/>
      <c r="GE364" s="21"/>
      <c r="GF364" s="21"/>
      <c r="GG364" s="21"/>
      <c r="GH364" s="21"/>
      <c r="GI364" s="21"/>
      <c r="GJ364" s="21"/>
      <c r="GK364" s="21"/>
      <c r="GL364" s="21"/>
      <c r="GM364" s="21"/>
      <c r="GN364" s="21"/>
      <c r="GO364" s="21"/>
      <c r="GP364" s="21"/>
      <c r="GQ364" s="21"/>
      <c r="GR364" s="21"/>
      <c r="GS364" s="21"/>
      <c r="GT364" s="21"/>
      <c r="GU364" s="21"/>
      <c r="GV364" s="21"/>
      <c r="GW364" s="21"/>
      <c r="GX364" s="21"/>
      <c r="GY364" s="21"/>
      <c r="GZ364" s="21"/>
      <c r="HA364" s="21"/>
      <c r="HB364" s="21"/>
    </row>
    <row r="365" spans="1:210"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21"/>
      <c r="CH365" s="21"/>
      <c r="CI365" s="21"/>
      <c r="CJ365" s="21"/>
      <c r="CK365" s="21"/>
      <c r="CL365" s="21"/>
      <c r="CM365" s="21"/>
      <c r="CN365" s="21"/>
      <c r="CO365" s="21"/>
      <c r="CP365" s="21"/>
      <c r="CQ365" s="21"/>
      <c r="CR365" s="21"/>
      <c r="CS365" s="21"/>
      <c r="CT365" s="21"/>
      <c r="CU365" s="21"/>
      <c r="CV365" s="21"/>
      <c r="CW365" s="21"/>
      <c r="CX365" s="21"/>
      <c r="CY365" s="21"/>
      <c r="CZ365" s="21"/>
      <c r="DA365" s="21"/>
      <c r="DB365" s="21"/>
      <c r="DC365" s="21"/>
      <c r="DD365" s="21"/>
      <c r="DE365" s="21"/>
      <c r="DF365" s="21"/>
      <c r="DG365" s="21"/>
      <c r="DH365" s="21"/>
      <c r="DI365" s="21"/>
      <c r="DJ365" s="21"/>
      <c r="DK365" s="21"/>
      <c r="DL365" s="21"/>
      <c r="DM365" s="21"/>
      <c r="DN365" s="21"/>
      <c r="DO365" s="21"/>
      <c r="DP365" s="21"/>
      <c r="DQ365" s="21"/>
      <c r="DR365" s="21"/>
      <c r="DS365" s="21"/>
      <c r="DT365" s="21"/>
      <c r="DU365" s="21"/>
      <c r="DV365" s="21"/>
      <c r="DW365" s="21"/>
      <c r="DX365" s="21"/>
      <c r="DY365" s="21"/>
      <c r="DZ365" s="21"/>
      <c r="EA365" s="21"/>
      <c r="EB365" s="21"/>
      <c r="EC365" s="21"/>
      <c r="ED365" s="21"/>
      <c r="EE365" s="21"/>
      <c r="EF365" s="21"/>
      <c r="EG365" s="21"/>
      <c r="EH365" s="21"/>
      <c r="EI365" s="21"/>
      <c r="EJ365" s="21"/>
      <c r="EK365" s="21"/>
      <c r="EL365" s="21"/>
      <c r="EM365" s="21"/>
      <c r="EN365" s="21"/>
      <c r="EO365" s="21"/>
      <c r="EP365" s="21"/>
      <c r="EQ365" s="21"/>
      <c r="ER365" s="21"/>
      <c r="ES365" s="21"/>
      <c r="ET365" s="21"/>
      <c r="EU365" s="21"/>
      <c r="EV365" s="21"/>
      <c r="EW365" s="21"/>
      <c r="EX365" s="21"/>
      <c r="EY365" s="21"/>
      <c r="EZ365" s="21"/>
      <c r="FA365" s="21"/>
      <c r="FB365" s="21"/>
      <c r="FC365" s="21"/>
      <c r="FD365" s="21"/>
      <c r="FE365" s="21"/>
      <c r="FF365" s="21"/>
      <c r="FG365" s="21"/>
      <c r="FH365" s="21"/>
      <c r="FI365" s="21"/>
      <c r="FJ365" s="21"/>
      <c r="FK365" s="21"/>
      <c r="FL365" s="21"/>
      <c r="FM365" s="21"/>
      <c r="FN365" s="21"/>
      <c r="FO365" s="21"/>
      <c r="FP365" s="21"/>
      <c r="FQ365" s="21"/>
      <c r="FR365" s="21"/>
      <c r="FS365" s="21"/>
      <c r="FT365" s="21"/>
      <c r="FU365" s="21"/>
      <c r="FV365" s="21"/>
      <c r="FW365" s="21"/>
      <c r="FX365" s="21"/>
      <c r="FY365" s="21"/>
      <c r="FZ365" s="21"/>
      <c r="GA365" s="21"/>
      <c r="GB365" s="21"/>
      <c r="GC365" s="21"/>
      <c r="GD365" s="21"/>
      <c r="GE365" s="21"/>
      <c r="GF365" s="21"/>
      <c r="GG365" s="21"/>
      <c r="GH365" s="21"/>
      <c r="GI365" s="21"/>
      <c r="GJ365" s="21"/>
      <c r="GK365" s="21"/>
      <c r="GL365" s="21"/>
      <c r="GM365" s="21"/>
      <c r="GN365" s="21"/>
      <c r="GO365" s="21"/>
      <c r="GP365" s="21"/>
      <c r="GQ365" s="21"/>
      <c r="GR365" s="21"/>
      <c r="GS365" s="21"/>
      <c r="GT365" s="21"/>
      <c r="GU365" s="21"/>
      <c r="GV365" s="21"/>
      <c r="GW365" s="21"/>
      <c r="GX365" s="21"/>
      <c r="GY365" s="21"/>
      <c r="GZ365" s="21"/>
      <c r="HA365" s="21"/>
      <c r="HB365" s="21"/>
    </row>
    <row r="366" spans="1:210"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c r="DE366" s="21"/>
      <c r="DF366" s="21"/>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1"/>
      <c r="FH366" s="21"/>
      <c r="FI366" s="21"/>
      <c r="FJ366" s="21"/>
      <c r="FK366" s="21"/>
      <c r="FL366" s="21"/>
      <c r="FM366" s="21"/>
      <c r="FN366" s="21"/>
      <c r="FO366" s="21"/>
      <c r="FP366" s="21"/>
      <c r="FQ366" s="21"/>
      <c r="FR366" s="21"/>
      <c r="FS366" s="21"/>
      <c r="FT366" s="21"/>
      <c r="FU366" s="21"/>
      <c r="FV366" s="21"/>
      <c r="FW366" s="21"/>
      <c r="FX366" s="21"/>
      <c r="FY366" s="21"/>
      <c r="FZ366" s="21"/>
      <c r="GA366" s="21"/>
      <c r="GB366" s="21"/>
      <c r="GC366" s="21"/>
      <c r="GD366" s="21"/>
      <c r="GE366" s="21"/>
      <c r="GF366" s="21"/>
      <c r="GG366" s="21"/>
      <c r="GH366" s="21"/>
      <c r="GI366" s="21"/>
      <c r="GJ366" s="21"/>
      <c r="GK366" s="21"/>
      <c r="GL366" s="21"/>
      <c r="GM366" s="21"/>
      <c r="GN366" s="21"/>
      <c r="GO366" s="21"/>
      <c r="GP366" s="21"/>
      <c r="GQ366" s="21"/>
      <c r="GR366" s="21"/>
      <c r="GS366" s="21"/>
      <c r="GT366" s="21"/>
      <c r="GU366" s="21"/>
      <c r="GV366" s="21"/>
      <c r="GW366" s="21"/>
      <c r="GX366" s="21"/>
      <c r="GY366" s="21"/>
      <c r="GZ366" s="21"/>
      <c r="HA366" s="21"/>
      <c r="HB366" s="21"/>
    </row>
    <row r="367" spans="1:210"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c r="DB367" s="21"/>
      <c r="DC367" s="21"/>
      <c r="DD367" s="21"/>
      <c r="DE367" s="21"/>
      <c r="DF367" s="21"/>
      <c r="DG367" s="21"/>
      <c r="DH367" s="21"/>
      <c r="DI367" s="21"/>
      <c r="DJ367" s="21"/>
      <c r="DK367" s="21"/>
      <c r="DL367" s="21"/>
      <c r="DM367" s="21"/>
      <c r="DN367" s="21"/>
      <c r="DO367" s="21"/>
      <c r="DP367" s="21"/>
      <c r="DQ367" s="21"/>
      <c r="DR367" s="21"/>
      <c r="DS367" s="21"/>
      <c r="DT367" s="21"/>
      <c r="DU367" s="21"/>
      <c r="DV367" s="21"/>
      <c r="DW367" s="21"/>
      <c r="DX367" s="21"/>
      <c r="DY367" s="21"/>
      <c r="DZ367" s="21"/>
      <c r="EA367" s="21"/>
      <c r="EB367" s="21"/>
      <c r="EC367" s="21"/>
      <c r="ED367" s="21"/>
      <c r="EE367" s="21"/>
      <c r="EF367" s="21"/>
      <c r="EG367" s="21"/>
      <c r="EH367" s="21"/>
      <c r="EI367" s="21"/>
      <c r="EJ367" s="21"/>
      <c r="EK367" s="21"/>
      <c r="EL367" s="21"/>
      <c r="EM367" s="21"/>
      <c r="EN367" s="21"/>
      <c r="EO367" s="21"/>
      <c r="EP367" s="21"/>
      <c r="EQ367" s="21"/>
      <c r="ER367" s="21"/>
      <c r="ES367" s="21"/>
      <c r="ET367" s="21"/>
      <c r="EU367" s="21"/>
      <c r="EV367" s="21"/>
      <c r="EW367" s="21"/>
      <c r="EX367" s="21"/>
      <c r="EY367" s="21"/>
      <c r="EZ367" s="21"/>
      <c r="FA367" s="21"/>
      <c r="FB367" s="21"/>
      <c r="FC367" s="21"/>
      <c r="FD367" s="21"/>
      <c r="FE367" s="21"/>
      <c r="FF367" s="21"/>
      <c r="FG367" s="21"/>
      <c r="FH367" s="21"/>
      <c r="FI367" s="21"/>
      <c r="FJ367" s="21"/>
      <c r="FK367" s="21"/>
      <c r="FL367" s="21"/>
      <c r="FM367" s="21"/>
      <c r="FN367" s="21"/>
      <c r="FO367" s="21"/>
      <c r="FP367" s="21"/>
      <c r="FQ367" s="21"/>
      <c r="FR367" s="21"/>
      <c r="FS367" s="21"/>
      <c r="FT367" s="21"/>
      <c r="FU367" s="21"/>
      <c r="FV367" s="21"/>
      <c r="FW367" s="21"/>
      <c r="FX367" s="21"/>
      <c r="FY367" s="21"/>
      <c r="FZ367" s="21"/>
      <c r="GA367" s="21"/>
      <c r="GB367" s="21"/>
      <c r="GC367" s="21"/>
      <c r="GD367" s="21"/>
      <c r="GE367" s="21"/>
      <c r="GF367" s="21"/>
      <c r="GG367" s="21"/>
      <c r="GH367" s="21"/>
      <c r="GI367" s="21"/>
      <c r="GJ367" s="21"/>
      <c r="GK367" s="21"/>
      <c r="GL367" s="21"/>
      <c r="GM367" s="21"/>
      <c r="GN367" s="21"/>
      <c r="GO367" s="21"/>
      <c r="GP367" s="21"/>
      <c r="GQ367" s="21"/>
      <c r="GR367" s="21"/>
      <c r="GS367" s="21"/>
      <c r="GT367" s="21"/>
      <c r="GU367" s="21"/>
      <c r="GV367" s="21"/>
      <c r="GW367" s="21"/>
      <c r="GX367" s="21"/>
      <c r="GY367" s="21"/>
      <c r="GZ367" s="21"/>
      <c r="HA367" s="21"/>
      <c r="HB367" s="21"/>
    </row>
    <row r="368" spans="1:210"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c r="DB368" s="21"/>
      <c r="DC368" s="21"/>
      <c r="DD368" s="21"/>
      <c r="DE368" s="21"/>
      <c r="DF368" s="21"/>
      <c r="DG368" s="21"/>
      <c r="DH368" s="21"/>
      <c r="DI368" s="21"/>
      <c r="DJ368" s="21"/>
      <c r="DK368" s="21"/>
      <c r="DL368" s="21"/>
      <c r="DM368" s="21"/>
      <c r="DN368" s="21"/>
      <c r="DO368" s="21"/>
      <c r="DP368" s="21"/>
      <c r="DQ368" s="21"/>
      <c r="DR368" s="21"/>
      <c r="DS368" s="21"/>
      <c r="DT368" s="21"/>
      <c r="DU368" s="21"/>
      <c r="DV368" s="21"/>
      <c r="DW368" s="21"/>
      <c r="DX368" s="21"/>
      <c r="DY368" s="21"/>
      <c r="DZ368" s="21"/>
      <c r="EA368" s="21"/>
      <c r="EB368" s="21"/>
      <c r="EC368" s="21"/>
      <c r="ED368" s="21"/>
      <c r="EE368" s="21"/>
      <c r="EF368" s="21"/>
      <c r="EG368" s="21"/>
      <c r="EH368" s="21"/>
      <c r="EI368" s="21"/>
      <c r="EJ368" s="21"/>
      <c r="EK368" s="21"/>
      <c r="EL368" s="21"/>
      <c r="EM368" s="21"/>
      <c r="EN368" s="21"/>
      <c r="EO368" s="21"/>
      <c r="EP368" s="21"/>
      <c r="EQ368" s="21"/>
      <c r="ER368" s="21"/>
      <c r="ES368" s="21"/>
      <c r="ET368" s="21"/>
      <c r="EU368" s="21"/>
      <c r="EV368" s="21"/>
      <c r="EW368" s="21"/>
      <c r="EX368" s="21"/>
      <c r="EY368" s="21"/>
      <c r="EZ368" s="21"/>
      <c r="FA368" s="21"/>
      <c r="FB368" s="21"/>
      <c r="FC368" s="21"/>
      <c r="FD368" s="21"/>
      <c r="FE368" s="21"/>
      <c r="FF368" s="21"/>
      <c r="FG368" s="21"/>
      <c r="FH368" s="21"/>
      <c r="FI368" s="21"/>
      <c r="FJ368" s="21"/>
      <c r="FK368" s="21"/>
      <c r="FL368" s="21"/>
      <c r="FM368" s="21"/>
      <c r="FN368" s="21"/>
      <c r="FO368" s="21"/>
      <c r="FP368" s="21"/>
      <c r="FQ368" s="21"/>
      <c r="FR368" s="21"/>
      <c r="FS368" s="21"/>
      <c r="FT368" s="21"/>
      <c r="FU368" s="21"/>
      <c r="FV368" s="21"/>
      <c r="FW368" s="21"/>
      <c r="FX368" s="21"/>
      <c r="FY368" s="21"/>
      <c r="FZ368" s="21"/>
      <c r="GA368" s="21"/>
      <c r="GB368" s="21"/>
      <c r="GC368" s="21"/>
      <c r="GD368" s="21"/>
      <c r="GE368" s="21"/>
      <c r="GF368" s="21"/>
      <c r="GG368" s="21"/>
      <c r="GH368" s="21"/>
      <c r="GI368" s="21"/>
      <c r="GJ368" s="21"/>
      <c r="GK368" s="21"/>
      <c r="GL368" s="21"/>
      <c r="GM368" s="21"/>
      <c r="GN368" s="21"/>
      <c r="GO368" s="21"/>
      <c r="GP368" s="21"/>
      <c r="GQ368" s="21"/>
      <c r="GR368" s="21"/>
      <c r="GS368" s="21"/>
      <c r="GT368" s="21"/>
      <c r="GU368" s="21"/>
      <c r="GV368" s="21"/>
      <c r="GW368" s="21"/>
      <c r="GX368" s="21"/>
      <c r="GY368" s="21"/>
      <c r="GZ368" s="21"/>
      <c r="HA368" s="21"/>
      <c r="HB368" s="21"/>
    </row>
    <row r="369" spans="1:210"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c r="DB369" s="21"/>
      <c r="DC369" s="21"/>
      <c r="DD369" s="21"/>
      <c r="DE369" s="21"/>
      <c r="DF369" s="21"/>
      <c r="DG369" s="21"/>
      <c r="DH369" s="21"/>
      <c r="DI369" s="21"/>
      <c r="DJ369" s="21"/>
      <c r="DK369" s="21"/>
      <c r="DL369" s="21"/>
      <c r="DM369" s="21"/>
      <c r="DN369" s="21"/>
      <c r="DO369" s="21"/>
      <c r="DP369" s="21"/>
      <c r="DQ369" s="21"/>
      <c r="DR369" s="21"/>
      <c r="DS369" s="21"/>
      <c r="DT369" s="21"/>
      <c r="DU369" s="21"/>
      <c r="DV369" s="21"/>
      <c r="DW369" s="21"/>
      <c r="DX369" s="21"/>
      <c r="DY369" s="21"/>
      <c r="DZ369" s="21"/>
      <c r="EA369" s="21"/>
      <c r="EB369" s="21"/>
      <c r="EC369" s="21"/>
      <c r="ED369" s="21"/>
      <c r="EE369" s="21"/>
      <c r="EF369" s="21"/>
      <c r="EG369" s="21"/>
      <c r="EH369" s="21"/>
      <c r="EI369" s="21"/>
      <c r="EJ369" s="21"/>
      <c r="EK369" s="21"/>
      <c r="EL369" s="21"/>
      <c r="EM369" s="21"/>
      <c r="EN369" s="21"/>
      <c r="EO369" s="21"/>
      <c r="EP369" s="21"/>
      <c r="EQ369" s="21"/>
      <c r="ER369" s="21"/>
      <c r="ES369" s="21"/>
      <c r="ET369" s="21"/>
      <c r="EU369" s="21"/>
      <c r="EV369" s="21"/>
      <c r="EW369" s="21"/>
      <c r="EX369" s="21"/>
      <c r="EY369" s="21"/>
      <c r="EZ369" s="21"/>
      <c r="FA369" s="21"/>
      <c r="FB369" s="21"/>
      <c r="FC369" s="21"/>
      <c r="FD369" s="21"/>
      <c r="FE369" s="21"/>
      <c r="FF369" s="21"/>
      <c r="FG369" s="21"/>
      <c r="FH369" s="21"/>
      <c r="FI369" s="21"/>
      <c r="FJ369" s="21"/>
      <c r="FK369" s="21"/>
      <c r="FL369" s="21"/>
      <c r="FM369" s="21"/>
      <c r="FN369" s="21"/>
      <c r="FO369" s="21"/>
      <c r="FP369" s="21"/>
      <c r="FQ369" s="21"/>
      <c r="FR369" s="21"/>
      <c r="FS369" s="21"/>
      <c r="FT369" s="21"/>
      <c r="FU369" s="21"/>
      <c r="FV369" s="21"/>
      <c r="FW369" s="21"/>
      <c r="FX369" s="21"/>
      <c r="FY369" s="21"/>
      <c r="FZ369" s="21"/>
      <c r="GA369" s="21"/>
      <c r="GB369" s="21"/>
      <c r="GC369" s="21"/>
      <c r="GD369" s="21"/>
      <c r="GE369" s="21"/>
      <c r="GF369" s="21"/>
      <c r="GG369" s="21"/>
      <c r="GH369" s="21"/>
      <c r="GI369" s="21"/>
      <c r="GJ369" s="21"/>
      <c r="GK369" s="21"/>
      <c r="GL369" s="21"/>
      <c r="GM369" s="21"/>
      <c r="GN369" s="21"/>
      <c r="GO369" s="21"/>
      <c r="GP369" s="21"/>
      <c r="GQ369" s="21"/>
      <c r="GR369" s="21"/>
      <c r="GS369" s="21"/>
      <c r="GT369" s="21"/>
      <c r="GU369" s="21"/>
      <c r="GV369" s="21"/>
      <c r="GW369" s="21"/>
      <c r="GX369" s="21"/>
      <c r="GY369" s="21"/>
      <c r="GZ369" s="21"/>
      <c r="HA369" s="21"/>
      <c r="HB369" s="21"/>
    </row>
    <row r="370" spans="1:210"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c r="DB370" s="21"/>
      <c r="DC370" s="21"/>
      <c r="DD370" s="21"/>
      <c r="DE370" s="21"/>
      <c r="DF370" s="21"/>
      <c r="DG370" s="21"/>
      <c r="DH370" s="21"/>
      <c r="DI370" s="21"/>
      <c r="DJ370" s="21"/>
      <c r="DK370" s="21"/>
      <c r="DL370" s="21"/>
      <c r="DM370" s="21"/>
      <c r="DN370" s="21"/>
      <c r="DO370" s="21"/>
      <c r="DP370" s="21"/>
      <c r="DQ370" s="21"/>
      <c r="DR370" s="21"/>
      <c r="DS370" s="21"/>
      <c r="DT370" s="21"/>
      <c r="DU370" s="21"/>
      <c r="DV370" s="21"/>
      <c r="DW370" s="21"/>
      <c r="DX370" s="21"/>
      <c r="DY370" s="21"/>
      <c r="DZ370" s="21"/>
      <c r="EA370" s="21"/>
      <c r="EB370" s="21"/>
      <c r="EC370" s="21"/>
      <c r="ED370" s="21"/>
      <c r="EE370" s="21"/>
      <c r="EF370" s="21"/>
      <c r="EG370" s="21"/>
      <c r="EH370" s="21"/>
      <c r="EI370" s="21"/>
      <c r="EJ370" s="21"/>
      <c r="EK370" s="21"/>
      <c r="EL370" s="21"/>
      <c r="EM370" s="21"/>
      <c r="EN370" s="21"/>
      <c r="EO370" s="21"/>
      <c r="EP370" s="21"/>
      <c r="EQ370" s="21"/>
      <c r="ER370" s="21"/>
      <c r="ES370" s="21"/>
      <c r="ET370" s="21"/>
      <c r="EU370" s="21"/>
      <c r="EV370" s="21"/>
      <c r="EW370" s="21"/>
      <c r="EX370" s="21"/>
      <c r="EY370" s="21"/>
      <c r="EZ370" s="21"/>
      <c r="FA370" s="21"/>
      <c r="FB370" s="21"/>
      <c r="FC370" s="21"/>
      <c r="FD370" s="21"/>
      <c r="FE370" s="21"/>
      <c r="FF370" s="21"/>
      <c r="FG370" s="21"/>
      <c r="FH370" s="21"/>
      <c r="FI370" s="21"/>
      <c r="FJ370" s="21"/>
      <c r="FK370" s="21"/>
      <c r="FL370" s="21"/>
      <c r="FM370" s="21"/>
      <c r="FN370" s="21"/>
      <c r="FO370" s="21"/>
      <c r="FP370" s="21"/>
      <c r="FQ370" s="21"/>
      <c r="FR370" s="21"/>
      <c r="FS370" s="21"/>
      <c r="FT370" s="21"/>
      <c r="FU370" s="21"/>
      <c r="FV370" s="21"/>
      <c r="FW370" s="21"/>
      <c r="FX370" s="21"/>
      <c r="FY370" s="21"/>
      <c r="FZ370" s="21"/>
      <c r="GA370" s="21"/>
      <c r="GB370" s="21"/>
      <c r="GC370" s="21"/>
      <c r="GD370" s="21"/>
      <c r="GE370" s="21"/>
      <c r="GF370" s="21"/>
      <c r="GG370" s="21"/>
      <c r="GH370" s="21"/>
      <c r="GI370" s="21"/>
      <c r="GJ370" s="21"/>
      <c r="GK370" s="21"/>
      <c r="GL370" s="21"/>
      <c r="GM370" s="21"/>
      <c r="GN370" s="21"/>
      <c r="GO370" s="21"/>
      <c r="GP370" s="21"/>
      <c r="GQ370" s="21"/>
      <c r="GR370" s="21"/>
      <c r="GS370" s="21"/>
      <c r="GT370" s="21"/>
      <c r="GU370" s="21"/>
      <c r="GV370" s="21"/>
      <c r="GW370" s="21"/>
      <c r="GX370" s="21"/>
      <c r="GY370" s="21"/>
      <c r="GZ370" s="21"/>
      <c r="HA370" s="21"/>
      <c r="HB370" s="21"/>
    </row>
    <row r="371" spans="1:210"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21"/>
      <c r="CH371" s="21"/>
      <c r="CI371" s="21"/>
      <c r="CJ371" s="21"/>
      <c r="CK371" s="21"/>
      <c r="CL371" s="21"/>
      <c r="CM371" s="21"/>
      <c r="CN371" s="21"/>
      <c r="CO371" s="21"/>
      <c r="CP371" s="21"/>
      <c r="CQ371" s="21"/>
      <c r="CR371" s="21"/>
      <c r="CS371" s="21"/>
      <c r="CT371" s="21"/>
      <c r="CU371" s="21"/>
      <c r="CV371" s="21"/>
      <c r="CW371" s="21"/>
      <c r="CX371" s="21"/>
      <c r="CY371" s="21"/>
      <c r="CZ371" s="21"/>
      <c r="DA371" s="21"/>
      <c r="DB371" s="21"/>
      <c r="DC371" s="21"/>
      <c r="DD371" s="21"/>
      <c r="DE371" s="21"/>
      <c r="DF371" s="21"/>
      <c r="DG371" s="21"/>
      <c r="DH371" s="21"/>
      <c r="DI371" s="21"/>
      <c r="DJ371" s="21"/>
      <c r="DK371" s="21"/>
      <c r="DL371" s="21"/>
      <c r="DM371" s="21"/>
      <c r="DN371" s="21"/>
      <c r="DO371" s="21"/>
      <c r="DP371" s="21"/>
      <c r="DQ371" s="21"/>
      <c r="DR371" s="21"/>
      <c r="DS371" s="21"/>
      <c r="DT371" s="21"/>
      <c r="DU371" s="21"/>
      <c r="DV371" s="21"/>
      <c r="DW371" s="21"/>
      <c r="DX371" s="21"/>
      <c r="DY371" s="21"/>
      <c r="DZ371" s="21"/>
      <c r="EA371" s="21"/>
      <c r="EB371" s="21"/>
      <c r="EC371" s="21"/>
      <c r="ED371" s="21"/>
      <c r="EE371" s="21"/>
      <c r="EF371" s="21"/>
      <c r="EG371" s="21"/>
      <c r="EH371" s="21"/>
      <c r="EI371" s="21"/>
      <c r="EJ371" s="21"/>
      <c r="EK371" s="21"/>
      <c r="EL371" s="21"/>
      <c r="EM371" s="21"/>
      <c r="EN371" s="21"/>
      <c r="EO371" s="21"/>
      <c r="EP371" s="21"/>
      <c r="EQ371" s="21"/>
      <c r="ER371" s="21"/>
      <c r="ES371" s="21"/>
      <c r="ET371" s="21"/>
      <c r="EU371" s="21"/>
      <c r="EV371" s="21"/>
      <c r="EW371" s="21"/>
      <c r="EX371" s="21"/>
      <c r="EY371" s="21"/>
      <c r="EZ371" s="21"/>
      <c r="FA371" s="21"/>
      <c r="FB371" s="21"/>
      <c r="FC371" s="21"/>
      <c r="FD371" s="21"/>
      <c r="FE371" s="21"/>
      <c r="FF371" s="21"/>
      <c r="FG371" s="21"/>
      <c r="FH371" s="21"/>
      <c r="FI371" s="21"/>
      <c r="FJ371" s="21"/>
      <c r="FK371" s="21"/>
      <c r="FL371" s="21"/>
      <c r="FM371" s="21"/>
      <c r="FN371" s="21"/>
      <c r="FO371" s="21"/>
      <c r="FP371" s="21"/>
      <c r="FQ371" s="21"/>
      <c r="FR371" s="21"/>
      <c r="FS371" s="21"/>
      <c r="FT371" s="21"/>
      <c r="FU371" s="21"/>
      <c r="FV371" s="21"/>
      <c r="FW371" s="21"/>
      <c r="FX371" s="21"/>
      <c r="FY371" s="21"/>
      <c r="FZ371" s="21"/>
      <c r="GA371" s="21"/>
      <c r="GB371" s="21"/>
      <c r="GC371" s="21"/>
      <c r="GD371" s="21"/>
      <c r="GE371" s="21"/>
      <c r="GF371" s="21"/>
      <c r="GG371" s="21"/>
      <c r="GH371" s="21"/>
      <c r="GI371" s="21"/>
      <c r="GJ371" s="21"/>
      <c r="GK371" s="21"/>
      <c r="GL371" s="21"/>
      <c r="GM371" s="21"/>
      <c r="GN371" s="21"/>
      <c r="GO371" s="21"/>
      <c r="GP371" s="21"/>
      <c r="GQ371" s="21"/>
      <c r="GR371" s="21"/>
      <c r="GS371" s="21"/>
      <c r="GT371" s="21"/>
      <c r="GU371" s="21"/>
      <c r="GV371" s="21"/>
      <c r="GW371" s="21"/>
      <c r="GX371" s="21"/>
      <c r="GY371" s="21"/>
      <c r="GZ371" s="21"/>
      <c r="HA371" s="21"/>
      <c r="HB371" s="21"/>
    </row>
    <row r="372" spans="1:210"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21"/>
      <c r="CH372" s="21"/>
      <c r="CI372" s="21"/>
      <c r="CJ372" s="21"/>
      <c r="CK372" s="21"/>
      <c r="CL372" s="21"/>
      <c r="CM372" s="21"/>
      <c r="CN372" s="21"/>
      <c r="CO372" s="21"/>
      <c r="CP372" s="21"/>
      <c r="CQ372" s="21"/>
      <c r="CR372" s="21"/>
      <c r="CS372" s="21"/>
      <c r="CT372" s="21"/>
      <c r="CU372" s="21"/>
      <c r="CV372" s="21"/>
      <c r="CW372" s="21"/>
      <c r="CX372" s="21"/>
      <c r="CY372" s="21"/>
      <c r="CZ372" s="21"/>
      <c r="DA372" s="21"/>
      <c r="DB372" s="21"/>
      <c r="DC372" s="21"/>
      <c r="DD372" s="21"/>
      <c r="DE372" s="21"/>
      <c r="DF372" s="21"/>
      <c r="DG372" s="21"/>
      <c r="DH372" s="21"/>
      <c r="DI372" s="21"/>
      <c r="DJ372" s="21"/>
      <c r="DK372" s="21"/>
      <c r="DL372" s="21"/>
      <c r="DM372" s="21"/>
      <c r="DN372" s="21"/>
      <c r="DO372" s="21"/>
      <c r="DP372" s="21"/>
      <c r="DQ372" s="21"/>
      <c r="DR372" s="21"/>
      <c r="DS372" s="21"/>
      <c r="DT372" s="21"/>
      <c r="DU372" s="21"/>
      <c r="DV372" s="21"/>
      <c r="DW372" s="21"/>
      <c r="DX372" s="21"/>
      <c r="DY372" s="21"/>
      <c r="DZ372" s="21"/>
      <c r="EA372" s="21"/>
      <c r="EB372" s="21"/>
      <c r="EC372" s="21"/>
      <c r="ED372" s="21"/>
      <c r="EE372" s="21"/>
      <c r="EF372" s="21"/>
      <c r="EG372" s="21"/>
      <c r="EH372" s="21"/>
      <c r="EI372" s="21"/>
      <c r="EJ372" s="21"/>
      <c r="EK372" s="21"/>
      <c r="EL372" s="21"/>
      <c r="EM372" s="21"/>
      <c r="EN372" s="21"/>
      <c r="EO372" s="21"/>
      <c r="EP372" s="21"/>
      <c r="EQ372" s="21"/>
      <c r="ER372" s="21"/>
      <c r="ES372" s="21"/>
      <c r="ET372" s="21"/>
      <c r="EU372" s="21"/>
      <c r="EV372" s="21"/>
      <c r="EW372" s="21"/>
      <c r="EX372" s="21"/>
      <c r="EY372" s="21"/>
      <c r="EZ372" s="21"/>
      <c r="FA372" s="21"/>
      <c r="FB372" s="21"/>
      <c r="FC372" s="21"/>
      <c r="FD372" s="21"/>
      <c r="FE372" s="21"/>
      <c r="FF372" s="21"/>
      <c r="FG372" s="21"/>
      <c r="FH372" s="21"/>
      <c r="FI372" s="21"/>
      <c r="FJ372" s="21"/>
      <c r="FK372" s="21"/>
      <c r="FL372" s="21"/>
      <c r="FM372" s="21"/>
      <c r="FN372" s="21"/>
      <c r="FO372" s="21"/>
      <c r="FP372" s="21"/>
      <c r="FQ372" s="21"/>
      <c r="FR372" s="21"/>
      <c r="FS372" s="21"/>
      <c r="FT372" s="21"/>
      <c r="FU372" s="21"/>
      <c r="FV372" s="21"/>
      <c r="FW372" s="21"/>
      <c r="FX372" s="21"/>
      <c r="FY372" s="21"/>
      <c r="FZ372" s="21"/>
      <c r="GA372" s="21"/>
      <c r="GB372" s="21"/>
      <c r="GC372" s="21"/>
      <c r="GD372" s="21"/>
      <c r="GE372" s="21"/>
      <c r="GF372" s="21"/>
      <c r="GG372" s="21"/>
      <c r="GH372" s="21"/>
      <c r="GI372" s="21"/>
      <c r="GJ372" s="21"/>
      <c r="GK372" s="21"/>
      <c r="GL372" s="21"/>
      <c r="GM372" s="21"/>
      <c r="GN372" s="21"/>
      <c r="GO372" s="21"/>
      <c r="GP372" s="21"/>
      <c r="GQ372" s="21"/>
      <c r="GR372" s="21"/>
      <c r="GS372" s="21"/>
      <c r="GT372" s="21"/>
      <c r="GU372" s="21"/>
      <c r="GV372" s="21"/>
      <c r="GW372" s="21"/>
      <c r="GX372" s="21"/>
      <c r="GY372" s="21"/>
      <c r="GZ372" s="21"/>
      <c r="HA372" s="21"/>
      <c r="HB372" s="21"/>
    </row>
    <row r="373" spans="1:210"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21"/>
      <c r="CH373" s="21"/>
      <c r="CI373" s="21"/>
      <c r="CJ373" s="21"/>
      <c r="CK373" s="21"/>
      <c r="CL373" s="21"/>
      <c r="CM373" s="21"/>
      <c r="CN373" s="21"/>
      <c r="CO373" s="21"/>
      <c r="CP373" s="21"/>
      <c r="CQ373" s="21"/>
      <c r="CR373" s="21"/>
      <c r="CS373" s="21"/>
      <c r="CT373" s="21"/>
      <c r="CU373" s="21"/>
      <c r="CV373" s="21"/>
      <c r="CW373" s="21"/>
      <c r="CX373" s="21"/>
      <c r="CY373" s="21"/>
      <c r="CZ373" s="21"/>
      <c r="DA373" s="21"/>
      <c r="DB373" s="21"/>
      <c r="DC373" s="21"/>
      <c r="DD373" s="21"/>
      <c r="DE373" s="21"/>
      <c r="DF373" s="21"/>
      <c r="DG373" s="21"/>
      <c r="DH373" s="21"/>
      <c r="DI373" s="21"/>
      <c r="DJ373" s="21"/>
      <c r="DK373" s="21"/>
      <c r="DL373" s="21"/>
      <c r="DM373" s="21"/>
      <c r="DN373" s="21"/>
      <c r="DO373" s="21"/>
      <c r="DP373" s="21"/>
      <c r="DQ373" s="21"/>
      <c r="DR373" s="21"/>
      <c r="DS373" s="21"/>
      <c r="DT373" s="21"/>
      <c r="DU373" s="21"/>
      <c r="DV373" s="21"/>
      <c r="DW373" s="21"/>
      <c r="DX373" s="21"/>
      <c r="DY373" s="21"/>
      <c r="DZ373" s="21"/>
      <c r="EA373" s="21"/>
      <c r="EB373" s="21"/>
      <c r="EC373" s="21"/>
      <c r="ED373" s="21"/>
      <c r="EE373" s="21"/>
      <c r="EF373" s="21"/>
      <c r="EG373" s="21"/>
      <c r="EH373" s="21"/>
      <c r="EI373" s="21"/>
      <c r="EJ373" s="21"/>
      <c r="EK373" s="21"/>
      <c r="EL373" s="21"/>
      <c r="EM373" s="21"/>
      <c r="EN373" s="21"/>
      <c r="EO373" s="21"/>
      <c r="EP373" s="21"/>
      <c r="EQ373" s="21"/>
      <c r="ER373" s="21"/>
      <c r="ES373" s="21"/>
      <c r="ET373" s="21"/>
      <c r="EU373" s="21"/>
      <c r="EV373" s="21"/>
      <c r="EW373" s="21"/>
      <c r="EX373" s="21"/>
      <c r="EY373" s="21"/>
      <c r="EZ373" s="21"/>
      <c r="FA373" s="21"/>
      <c r="FB373" s="21"/>
      <c r="FC373" s="21"/>
      <c r="FD373" s="21"/>
      <c r="FE373" s="21"/>
      <c r="FF373" s="21"/>
      <c r="FG373" s="21"/>
      <c r="FH373" s="21"/>
      <c r="FI373" s="21"/>
      <c r="FJ373" s="21"/>
      <c r="FK373" s="21"/>
      <c r="FL373" s="21"/>
      <c r="FM373" s="21"/>
      <c r="FN373" s="21"/>
      <c r="FO373" s="21"/>
      <c r="FP373" s="21"/>
      <c r="FQ373" s="21"/>
      <c r="FR373" s="21"/>
      <c r="FS373" s="21"/>
      <c r="FT373" s="21"/>
      <c r="FU373" s="21"/>
      <c r="FV373" s="21"/>
      <c r="FW373" s="21"/>
      <c r="FX373" s="21"/>
      <c r="FY373" s="21"/>
      <c r="FZ373" s="21"/>
      <c r="GA373" s="21"/>
      <c r="GB373" s="21"/>
      <c r="GC373" s="21"/>
      <c r="GD373" s="21"/>
      <c r="GE373" s="21"/>
      <c r="GF373" s="21"/>
      <c r="GG373" s="21"/>
      <c r="GH373" s="21"/>
      <c r="GI373" s="21"/>
      <c r="GJ373" s="21"/>
      <c r="GK373" s="21"/>
      <c r="GL373" s="21"/>
      <c r="GM373" s="21"/>
      <c r="GN373" s="21"/>
      <c r="GO373" s="21"/>
      <c r="GP373" s="21"/>
      <c r="GQ373" s="21"/>
      <c r="GR373" s="21"/>
      <c r="GS373" s="21"/>
      <c r="GT373" s="21"/>
      <c r="GU373" s="21"/>
      <c r="GV373" s="21"/>
      <c r="GW373" s="21"/>
      <c r="GX373" s="21"/>
      <c r="GY373" s="21"/>
      <c r="GZ373" s="21"/>
      <c r="HA373" s="21"/>
      <c r="HB373" s="21"/>
    </row>
    <row r="374" spans="1:210"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c r="DB374" s="21"/>
      <c r="DC374" s="21"/>
      <c r="DD374" s="21"/>
      <c r="DE374" s="21"/>
      <c r="DF374" s="21"/>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1"/>
      <c r="FH374" s="21"/>
      <c r="FI374" s="21"/>
      <c r="FJ374" s="21"/>
      <c r="FK374" s="21"/>
      <c r="FL374" s="21"/>
      <c r="FM374" s="21"/>
      <c r="FN374" s="21"/>
      <c r="FO374" s="21"/>
      <c r="FP374" s="21"/>
      <c r="FQ374" s="21"/>
      <c r="FR374" s="21"/>
      <c r="FS374" s="21"/>
      <c r="FT374" s="21"/>
      <c r="FU374" s="21"/>
      <c r="FV374" s="21"/>
      <c r="FW374" s="21"/>
      <c r="FX374" s="21"/>
      <c r="FY374" s="21"/>
      <c r="FZ374" s="21"/>
      <c r="GA374" s="21"/>
      <c r="GB374" s="21"/>
      <c r="GC374" s="21"/>
      <c r="GD374" s="21"/>
      <c r="GE374" s="21"/>
      <c r="GF374" s="21"/>
      <c r="GG374" s="21"/>
      <c r="GH374" s="21"/>
      <c r="GI374" s="21"/>
      <c r="GJ374" s="21"/>
      <c r="GK374" s="21"/>
      <c r="GL374" s="21"/>
      <c r="GM374" s="21"/>
      <c r="GN374" s="21"/>
      <c r="GO374" s="21"/>
      <c r="GP374" s="21"/>
      <c r="GQ374" s="21"/>
      <c r="GR374" s="21"/>
      <c r="GS374" s="21"/>
      <c r="GT374" s="21"/>
      <c r="GU374" s="21"/>
      <c r="GV374" s="21"/>
      <c r="GW374" s="21"/>
      <c r="GX374" s="21"/>
      <c r="GY374" s="21"/>
      <c r="GZ374" s="21"/>
      <c r="HA374" s="21"/>
      <c r="HB374" s="21"/>
    </row>
    <row r="375" spans="1:210"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c r="DB375" s="21"/>
      <c r="DC375" s="21"/>
      <c r="DD375" s="21"/>
      <c r="DE375" s="21"/>
      <c r="DF375" s="21"/>
      <c r="DG375" s="21"/>
      <c r="DH375" s="21"/>
      <c r="DI375" s="21"/>
      <c r="DJ375" s="21"/>
      <c r="DK375" s="21"/>
      <c r="DL375" s="21"/>
      <c r="DM375" s="21"/>
      <c r="DN375" s="21"/>
      <c r="DO375" s="21"/>
      <c r="DP375" s="21"/>
      <c r="DQ375" s="21"/>
      <c r="DR375" s="21"/>
      <c r="DS375" s="21"/>
      <c r="DT375" s="21"/>
      <c r="DU375" s="21"/>
      <c r="DV375" s="21"/>
      <c r="DW375" s="21"/>
      <c r="DX375" s="21"/>
      <c r="DY375" s="21"/>
      <c r="DZ375" s="21"/>
      <c r="EA375" s="21"/>
      <c r="EB375" s="21"/>
      <c r="EC375" s="21"/>
      <c r="ED375" s="21"/>
      <c r="EE375" s="21"/>
      <c r="EF375" s="21"/>
      <c r="EG375" s="21"/>
      <c r="EH375" s="21"/>
      <c r="EI375" s="21"/>
      <c r="EJ375" s="21"/>
      <c r="EK375" s="21"/>
      <c r="EL375" s="21"/>
      <c r="EM375" s="21"/>
      <c r="EN375" s="21"/>
      <c r="EO375" s="21"/>
      <c r="EP375" s="21"/>
      <c r="EQ375" s="21"/>
      <c r="ER375" s="21"/>
      <c r="ES375" s="21"/>
      <c r="ET375" s="21"/>
      <c r="EU375" s="21"/>
      <c r="EV375" s="21"/>
      <c r="EW375" s="21"/>
      <c r="EX375" s="21"/>
      <c r="EY375" s="21"/>
      <c r="EZ375" s="21"/>
      <c r="FA375" s="21"/>
      <c r="FB375" s="21"/>
      <c r="FC375" s="21"/>
      <c r="FD375" s="21"/>
      <c r="FE375" s="21"/>
      <c r="FF375" s="21"/>
      <c r="FG375" s="21"/>
      <c r="FH375" s="21"/>
      <c r="FI375" s="21"/>
      <c r="FJ375" s="21"/>
      <c r="FK375" s="21"/>
      <c r="FL375" s="21"/>
      <c r="FM375" s="21"/>
      <c r="FN375" s="21"/>
      <c r="FO375" s="21"/>
      <c r="FP375" s="21"/>
      <c r="FQ375" s="21"/>
      <c r="FR375" s="21"/>
      <c r="FS375" s="21"/>
      <c r="FT375" s="21"/>
      <c r="FU375" s="21"/>
      <c r="FV375" s="21"/>
      <c r="FW375" s="21"/>
      <c r="FX375" s="21"/>
      <c r="FY375" s="21"/>
      <c r="FZ375" s="21"/>
      <c r="GA375" s="21"/>
      <c r="GB375" s="21"/>
      <c r="GC375" s="21"/>
      <c r="GD375" s="21"/>
      <c r="GE375" s="21"/>
      <c r="GF375" s="21"/>
      <c r="GG375" s="21"/>
      <c r="GH375" s="21"/>
      <c r="GI375" s="21"/>
      <c r="GJ375" s="21"/>
      <c r="GK375" s="21"/>
      <c r="GL375" s="21"/>
      <c r="GM375" s="21"/>
      <c r="GN375" s="21"/>
      <c r="GO375" s="21"/>
      <c r="GP375" s="21"/>
      <c r="GQ375" s="21"/>
      <c r="GR375" s="21"/>
      <c r="GS375" s="21"/>
      <c r="GT375" s="21"/>
      <c r="GU375" s="21"/>
      <c r="GV375" s="21"/>
      <c r="GW375" s="21"/>
      <c r="GX375" s="21"/>
      <c r="GY375" s="21"/>
      <c r="GZ375" s="21"/>
      <c r="HA375" s="21"/>
      <c r="HB375" s="21"/>
    </row>
    <row r="376" spans="1:210"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c r="DB376" s="21"/>
      <c r="DC376" s="21"/>
      <c r="DD376" s="21"/>
      <c r="DE376" s="21"/>
      <c r="DF376" s="21"/>
      <c r="DG376" s="21"/>
      <c r="DH376" s="21"/>
      <c r="DI376" s="21"/>
      <c r="DJ376" s="21"/>
      <c r="DK376" s="21"/>
      <c r="DL376" s="21"/>
      <c r="DM376" s="21"/>
      <c r="DN376" s="21"/>
      <c r="DO376" s="21"/>
      <c r="DP376" s="21"/>
      <c r="DQ376" s="21"/>
      <c r="DR376" s="21"/>
      <c r="DS376" s="21"/>
      <c r="DT376" s="21"/>
      <c r="DU376" s="21"/>
      <c r="DV376" s="21"/>
      <c r="DW376" s="21"/>
      <c r="DX376" s="21"/>
      <c r="DY376" s="21"/>
      <c r="DZ376" s="21"/>
      <c r="EA376" s="21"/>
      <c r="EB376" s="21"/>
      <c r="EC376" s="21"/>
      <c r="ED376" s="21"/>
      <c r="EE376" s="21"/>
      <c r="EF376" s="21"/>
      <c r="EG376" s="21"/>
      <c r="EH376" s="21"/>
      <c r="EI376" s="21"/>
      <c r="EJ376" s="21"/>
      <c r="EK376" s="21"/>
      <c r="EL376" s="21"/>
      <c r="EM376" s="21"/>
      <c r="EN376" s="21"/>
      <c r="EO376" s="21"/>
      <c r="EP376" s="21"/>
      <c r="EQ376" s="21"/>
      <c r="ER376" s="21"/>
      <c r="ES376" s="21"/>
      <c r="ET376" s="21"/>
      <c r="EU376" s="21"/>
      <c r="EV376" s="21"/>
      <c r="EW376" s="21"/>
      <c r="EX376" s="21"/>
      <c r="EY376" s="21"/>
      <c r="EZ376" s="21"/>
      <c r="FA376" s="21"/>
      <c r="FB376" s="21"/>
      <c r="FC376" s="21"/>
      <c r="FD376" s="21"/>
      <c r="FE376" s="21"/>
      <c r="FF376" s="21"/>
      <c r="FG376" s="21"/>
      <c r="FH376" s="21"/>
      <c r="FI376" s="21"/>
      <c r="FJ376" s="21"/>
      <c r="FK376" s="21"/>
      <c r="FL376" s="21"/>
      <c r="FM376" s="21"/>
      <c r="FN376" s="21"/>
      <c r="FO376" s="21"/>
      <c r="FP376" s="21"/>
      <c r="FQ376" s="21"/>
      <c r="FR376" s="21"/>
      <c r="FS376" s="21"/>
      <c r="FT376" s="21"/>
      <c r="FU376" s="21"/>
      <c r="FV376" s="21"/>
      <c r="FW376" s="21"/>
      <c r="FX376" s="21"/>
      <c r="FY376" s="21"/>
      <c r="FZ376" s="21"/>
      <c r="GA376" s="21"/>
      <c r="GB376" s="21"/>
      <c r="GC376" s="21"/>
      <c r="GD376" s="21"/>
      <c r="GE376" s="21"/>
      <c r="GF376" s="21"/>
      <c r="GG376" s="21"/>
      <c r="GH376" s="21"/>
      <c r="GI376" s="21"/>
      <c r="GJ376" s="21"/>
      <c r="GK376" s="21"/>
      <c r="GL376" s="21"/>
      <c r="GM376" s="21"/>
      <c r="GN376" s="21"/>
      <c r="GO376" s="21"/>
      <c r="GP376" s="21"/>
      <c r="GQ376" s="21"/>
      <c r="GR376" s="21"/>
      <c r="GS376" s="21"/>
      <c r="GT376" s="21"/>
      <c r="GU376" s="21"/>
      <c r="GV376" s="21"/>
      <c r="GW376" s="21"/>
      <c r="GX376" s="21"/>
      <c r="GY376" s="21"/>
      <c r="GZ376" s="21"/>
      <c r="HA376" s="21"/>
      <c r="HB376" s="21"/>
    </row>
    <row r="377" spans="1:210"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c r="DB377" s="21"/>
      <c r="DC377" s="21"/>
      <c r="DD377" s="21"/>
      <c r="DE377" s="21"/>
      <c r="DF377" s="21"/>
      <c r="DG377" s="21"/>
      <c r="DH377" s="21"/>
      <c r="DI377" s="21"/>
      <c r="DJ377" s="21"/>
      <c r="DK377" s="21"/>
      <c r="DL377" s="21"/>
      <c r="DM377" s="21"/>
      <c r="DN377" s="21"/>
      <c r="DO377" s="21"/>
      <c r="DP377" s="21"/>
      <c r="DQ377" s="21"/>
      <c r="DR377" s="21"/>
      <c r="DS377" s="21"/>
      <c r="DT377" s="21"/>
      <c r="DU377" s="21"/>
      <c r="DV377" s="21"/>
      <c r="DW377" s="21"/>
      <c r="DX377" s="21"/>
      <c r="DY377" s="21"/>
      <c r="DZ377" s="21"/>
      <c r="EA377" s="21"/>
      <c r="EB377" s="21"/>
      <c r="EC377" s="21"/>
      <c r="ED377" s="21"/>
      <c r="EE377" s="21"/>
      <c r="EF377" s="21"/>
      <c r="EG377" s="21"/>
      <c r="EH377" s="21"/>
      <c r="EI377" s="21"/>
      <c r="EJ377" s="21"/>
      <c r="EK377" s="21"/>
      <c r="EL377" s="21"/>
      <c r="EM377" s="21"/>
      <c r="EN377" s="21"/>
      <c r="EO377" s="21"/>
      <c r="EP377" s="21"/>
      <c r="EQ377" s="21"/>
      <c r="ER377" s="21"/>
      <c r="ES377" s="21"/>
      <c r="ET377" s="21"/>
      <c r="EU377" s="21"/>
      <c r="EV377" s="21"/>
      <c r="EW377" s="21"/>
      <c r="EX377" s="21"/>
      <c r="EY377" s="21"/>
      <c r="EZ377" s="21"/>
      <c r="FA377" s="21"/>
      <c r="FB377" s="21"/>
      <c r="FC377" s="21"/>
      <c r="FD377" s="21"/>
      <c r="FE377" s="21"/>
      <c r="FF377" s="21"/>
      <c r="FG377" s="21"/>
      <c r="FH377" s="21"/>
      <c r="FI377" s="21"/>
      <c r="FJ377" s="21"/>
      <c r="FK377" s="21"/>
      <c r="FL377" s="21"/>
      <c r="FM377" s="21"/>
      <c r="FN377" s="21"/>
      <c r="FO377" s="21"/>
      <c r="FP377" s="21"/>
      <c r="FQ377" s="21"/>
      <c r="FR377" s="21"/>
      <c r="FS377" s="21"/>
      <c r="FT377" s="21"/>
      <c r="FU377" s="21"/>
      <c r="FV377" s="21"/>
      <c r="FW377" s="21"/>
      <c r="FX377" s="21"/>
      <c r="FY377" s="21"/>
      <c r="FZ377" s="21"/>
      <c r="GA377" s="21"/>
      <c r="GB377" s="21"/>
      <c r="GC377" s="21"/>
      <c r="GD377" s="21"/>
      <c r="GE377" s="21"/>
      <c r="GF377" s="21"/>
      <c r="GG377" s="21"/>
      <c r="GH377" s="21"/>
      <c r="GI377" s="21"/>
      <c r="GJ377" s="21"/>
      <c r="GK377" s="21"/>
      <c r="GL377" s="21"/>
      <c r="GM377" s="21"/>
      <c r="GN377" s="21"/>
      <c r="GO377" s="21"/>
      <c r="GP377" s="21"/>
      <c r="GQ377" s="21"/>
      <c r="GR377" s="21"/>
      <c r="GS377" s="21"/>
      <c r="GT377" s="21"/>
      <c r="GU377" s="21"/>
      <c r="GV377" s="21"/>
      <c r="GW377" s="21"/>
      <c r="GX377" s="21"/>
      <c r="GY377" s="21"/>
      <c r="GZ377" s="21"/>
      <c r="HA377" s="21"/>
      <c r="HB377" s="21"/>
    </row>
    <row r="378" spans="1:210"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21"/>
      <c r="CH378" s="21"/>
      <c r="CI378" s="21"/>
      <c r="CJ378" s="21"/>
      <c r="CK378" s="21"/>
      <c r="CL378" s="21"/>
      <c r="CM378" s="21"/>
      <c r="CN378" s="21"/>
      <c r="CO378" s="21"/>
      <c r="CP378" s="21"/>
      <c r="CQ378" s="21"/>
      <c r="CR378" s="21"/>
      <c r="CS378" s="21"/>
      <c r="CT378" s="21"/>
      <c r="CU378" s="21"/>
      <c r="CV378" s="21"/>
      <c r="CW378" s="21"/>
      <c r="CX378" s="21"/>
      <c r="CY378" s="21"/>
      <c r="CZ378" s="21"/>
      <c r="DA378" s="21"/>
      <c r="DB378" s="21"/>
      <c r="DC378" s="21"/>
      <c r="DD378" s="21"/>
      <c r="DE378" s="21"/>
      <c r="DF378" s="21"/>
      <c r="DG378" s="21"/>
      <c r="DH378" s="21"/>
      <c r="DI378" s="21"/>
      <c r="DJ378" s="21"/>
      <c r="DK378" s="21"/>
      <c r="DL378" s="21"/>
      <c r="DM378" s="21"/>
      <c r="DN378" s="21"/>
      <c r="DO378" s="21"/>
      <c r="DP378" s="21"/>
      <c r="DQ378" s="21"/>
      <c r="DR378" s="21"/>
      <c r="DS378" s="21"/>
      <c r="DT378" s="21"/>
      <c r="DU378" s="21"/>
      <c r="DV378" s="21"/>
      <c r="DW378" s="21"/>
      <c r="DX378" s="21"/>
      <c r="DY378" s="21"/>
      <c r="DZ378" s="21"/>
      <c r="EA378" s="21"/>
      <c r="EB378" s="21"/>
      <c r="EC378" s="21"/>
      <c r="ED378" s="21"/>
      <c r="EE378" s="21"/>
      <c r="EF378" s="21"/>
      <c r="EG378" s="21"/>
      <c r="EH378" s="21"/>
      <c r="EI378" s="21"/>
      <c r="EJ378" s="21"/>
      <c r="EK378" s="21"/>
      <c r="EL378" s="21"/>
      <c r="EM378" s="21"/>
      <c r="EN378" s="21"/>
      <c r="EO378" s="21"/>
      <c r="EP378" s="21"/>
      <c r="EQ378" s="21"/>
      <c r="ER378" s="21"/>
      <c r="ES378" s="21"/>
      <c r="ET378" s="21"/>
      <c r="EU378" s="21"/>
      <c r="EV378" s="21"/>
      <c r="EW378" s="21"/>
      <c r="EX378" s="21"/>
      <c r="EY378" s="21"/>
      <c r="EZ378" s="21"/>
      <c r="FA378" s="21"/>
      <c r="FB378" s="21"/>
      <c r="FC378" s="21"/>
      <c r="FD378" s="21"/>
      <c r="FE378" s="21"/>
      <c r="FF378" s="21"/>
      <c r="FG378" s="21"/>
      <c r="FH378" s="21"/>
      <c r="FI378" s="21"/>
      <c r="FJ378" s="21"/>
      <c r="FK378" s="21"/>
      <c r="FL378" s="21"/>
      <c r="FM378" s="21"/>
      <c r="FN378" s="21"/>
      <c r="FO378" s="21"/>
      <c r="FP378" s="21"/>
      <c r="FQ378" s="21"/>
      <c r="FR378" s="21"/>
      <c r="FS378" s="21"/>
      <c r="FT378" s="21"/>
      <c r="FU378" s="21"/>
      <c r="FV378" s="21"/>
      <c r="FW378" s="21"/>
      <c r="FX378" s="21"/>
      <c r="FY378" s="21"/>
      <c r="FZ378" s="21"/>
      <c r="GA378" s="21"/>
      <c r="GB378" s="21"/>
      <c r="GC378" s="21"/>
      <c r="GD378" s="21"/>
      <c r="GE378" s="21"/>
      <c r="GF378" s="21"/>
      <c r="GG378" s="21"/>
      <c r="GH378" s="21"/>
      <c r="GI378" s="21"/>
      <c r="GJ378" s="21"/>
      <c r="GK378" s="21"/>
      <c r="GL378" s="21"/>
      <c r="GM378" s="21"/>
      <c r="GN378" s="21"/>
      <c r="GO378" s="21"/>
      <c r="GP378" s="21"/>
      <c r="GQ378" s="21"/>
      <c r="GR378" s="21"/>
      <c r="GS378" s="21"/>
      <c r="GT378" s="21"/>
      <c r="GU378" s="21"/>
      <c r="GV378" s="21"/>
      <c r="GW378" s="21"/>
      <c r="GX378" s="21"/>
      <c r="GY378" s="21"/>
      <c r="GZ378" s="21"/>
      <c r="HA378" s="21"/>
      <c r="HB378" s="21"/>
    </row>
    <row r="379" spans="1:210"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c r="DB379" s="21"/>
      <c r="DC379" s="21"/>
      <c r="DD379" s="21"/>
      <c r="DE379" s="21"/>
      <c r="DF379" s="21"/>
      <c r="DG379" s="21"/>
      <c r="DH379" s="21"/>
      <c r="DI379" s="21"/>
      <c r="DJ379" s="21"/>
      <c r="DK379" s="21"/>
      <c r="DL379" s="21"/>
      <c r="DM379" s="21"/>
      <c r="DN379" s="21"/>
      <c r="DO379" s="21"/>
      <c r="DP379" s="21"/>
      <c r="DQ379" s="21"/>
      <c r="DR379" s="21"/>
      <c r="DS379" s="21"/>
      <c r="DT379" s="21"/>
      <c r="DU379" s="21"/>
      <c r="DV379" s="21"/>
      <c r="DW379" s="21"/>
      <c r="DX379" s="21"/>
      <c r="DY379" s="21"/>
      <c r="DZ379" s="21"/>
      <c r="EA379" s="21"/>
      <c r="EB379" s="21"/>
      <c r="EC379" s="21"/>
      <c r="ED379" s="21"/>
      <c r="EE379" s="21"/>
      <c r="EF379" s="21"/>
      <c r="EG379" s="21"/>
      <c r="EH379" s="21"/>
      <c r="EI379" s="21"/>
      <c r="EJ379" s="21"/>
      <c r="EK379" s="21"/>
      <c r="EL379" s="21"/>
      <c r="EM379" s="21"/>
      <c r="EN379" s="21"/>
      <c r="EO379" s="21"/>
      <c r="EP379" s="21"/>
      <c r="EQ379" s="21"/>
      <c r="ER379" s="21"/>
      <c r="ES379" s="21"/>
      <c r="ET379" s="21"/>
      <c r="EU379" s="21"/>
      <c r="EV379" s="21"/>
      <c r="EW379" s="21"/>
      <c r="EX379" s="21"/>
      <c r="EY379" s="21"/>
      <c r="EZ379" s="21"/>
      <c r="FA379" s="21"/>
      <c r="FB379" s="21"/>
      <c r="FC379" s="21"/>
      <c r="FD379" s="21"/>
      <c r="FE379" s="21"/>
      <c r="FF379" s="21"/>
      <c r="FG379" s="21"/>
      <c r="FH379" s="21"/>
      <c r="FI379" s="21"/>
      <c r="FJ379" s="21"/>
      <c r="FK379" s="21"/>
      <c r="FL379" s="21"/>
      <c r="FM379" s="21"/>
      <c r="FN379" s="21"/>
      <c r="FO379" s="21"/>
      <c r="FP379" s="21"/>
      <c r="FQ379" s="21"/>
      <c r="FR379" s="21"/>
      <c r="FS379" s="21"/>
      <c r="FT379" s="21"/>
      <c r="FU379" s="21"/>
      <c r="FV379" s="21"/>
      <c r="FW379" s="21"/>
      <c r="FX379" s="21"/>
      <c r="FY379" s="21"/>
      <c r="FZ379" s="21"/>
      <c r="GA379" s="21"/>
      <c r="GB379" s="21"/>
      <c r="GC379" s="21"/>
      <c r="GD379" s="21"/>
      <c r="GE379" s="21"/>
      <c r="GF379" s="21"/>
      <c r="GG379" s="21"/>
      <c r="GH379" s="21"/>
      <c r="GI379" s="21"/>
      <c r="GJ379" s="21"/>
      <c r="GK379" s="21"/>
      <c r="GL379" s="21"/>
      <c r="GM379" s="21"/>
      <c r="GN379" s="21"/>
      <c r="GO379" s="21"/>
      <c r="GP379" s="21"/>
      <c r="GQ379" s="21"/>
      <c r="GR379" s="21"/>
      <c r="GS379" s="21"/>
      <c r="GT379" s="21"/>
      <c r="GU379" s="21"/>
      <c r="GV379" s="21"/>
      <c r="GW379" s="21"/>
      <c r="GX379" s="21"/>
      <c r="GY379" s="21"/>
      <c r="GZ379" s="21"/>
      <c r="HA379" s="21"/>
      <c r="HB379" s="21"/>
    </row>
    <row r="380" spans="1:210"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c r="DB380" s="21"/>
      <c r="DC380" s="21"/>
      <c r="DD380" s="21"/>
      <c r="DE380" s="21"/>
      <c r="DF380" s="21"/>
      <c r="DG380" s="21"/>
      <c r="DH380" s="21"/>
      <c r="DI380" s="21"/>
      <c r="DJ380" s="21"/>
      <c r="DK380" s="21"/>
      <c r="DL380" s="21"/>
      <c r="DM380" s="21"/>
      <c r="DN380" s="21"/>
      <c r="DO380" s="21"/>
      <c r="DP380" s="21"/>
      <c r="DQ380" s="21"/>
      <c r="DR380" s="21"/>
      <c r="DS380" s="21"/>
      <c r="DT380" s="21"/>
      <c r="DU380" s="21"/>
      <c r="DV380" s="21"/>
      <c r="DW380" s="21"/>
      <c r="DX380" s="21"/>
      <c r="DY380" s="21"/>
      <c r="DZ380" s="21"/>
      <c r="EA380" s="21"/>
      <c r="EB380" s="21"/>
      <c r="EC380" s="21"/>
      <c r="ED380" s="21"/>
      <c r="EE380" s="21"/>
      <c r="EF380" s="21"/>
      <c r="EG380" s="21"/>
      <c r="EH380" s="21"/>
      <c r="EI380" s="21"/>
      <c r="EJ380" s="21"/>
      <c r="EK380" s="21"/>
      <c r="EL380" s="21"/>
      <c r="EM380" s="21"/>
      <c r="EN380" s="21"/>
      <c r="EO380" s="21"/>
      <c r="EP380" s="21"/>
      <c r="EQ380" s="21"/>
      <c r="ER380" s="21"/>
      <c r="ES380" s="21"/>
      <c r="ET380" s="21"/>
      <c r="EU380" s="21"/>
      <c r="EV380" s="21"/>
      <c r="EW380" s="21"/>
      <c r="EX380" s="21"/>
      <c r="EY380" s="21"/>
      <c r="EZ380" s="21"/>
      <c r="FA380" s="21"/>
      <c r="FB380" s="21"/>
      <c r="FC380" s="21"/>
      <c r="FD380" s="21"/>
      <c r="FE380" s="21"/>
      <c r="FF380" s="21"/>
      <c r="FG380" s="21"/>
      <c r="FH380" s="21"/>
      <c r="FI380" s="21"/>
      <c r="FJ380" s="21"/>
      <c r="FK380" s="21"/>
      <c r="FL380" s="21"/>
      <c r="FM380" s="21"/>
      <c r="FN380" s="21"/>
      <c r="FO380" s="21"/>
      <c r="FP380" s="21"/>
      <c r="FQ380" s="21"/>
      <c r="FR380" s="21"/>
      <c r="FS380" s="21"/>
      <c r="FT380" s="21"/>
      <c r="FU380" s="21"/>
      <c r="FV380" s="21"/>
      <c r="FW380" s="21"/>
      <c r="FX380" s="21"/>
      <c r="FY380" s="21"/>
      <c r="FZ380" s="21"/>
      <c r="GA380" s="21"/>
      <c r="GB380" s="21"/>
      <c r="GC380" s="21"/>
      <c r="GD380" s="21"/>
      <c r="GE380" s="21"/>
      <c r="GF380" s="21"/>
      <c r="GG380" s="21"/>
      <c r="GH380" s="21"/>
      <c r="GI380" s="21"/>
      <c r="GJ380" s="21"/>
      <c r="GK380" s="21"/>
      <c r="GL380" s="21"/>
      <c r="GM380" s="21"/>
      <c r="GN380" s="21"/>
      <c r="GO380" s="21"/>
      <c r="GP380" s="21"/>
      <c r="GQ380" s="21"/>
      <c r="GR380" s="21"/>
      <c r="GS380" s="21"/>
      <c r="GT380" s="21"/>
      <c r="GU380" s="21"/>
      <c r="GV380" s="21"/>
      <c r="GW380" s="21"/>
      <c r="GX380" s="21"/>
      <c r="GY380" s="21"/>
      <c r="GZ380" s="21"/>
      <c r="HA380" s="21"/>
      <c r="HB380" s="21"/>
    </row>
    <row r="381" spans="1:210"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c r="DB381" s="21"/>
      <c r="DC381" s="21"/>
      <c r="DD381" s="21"/>
      <c r="DE381" s="21"/>
      <c r="DF381" s="21"/>
      <c r="DG381" s="21"/>
      <c r="DH381" s="21"/>
      <c r="DI381" s="21"/>
      <c r="DJ381" s="21"/>
      <c r="DK381" s="21"/>
      <c r="DL381" s="21"/>
      <c r="DM381" s="21"/>
      <c r="DN381" s="21"/>
      <c r="DO381" s="21"/>
      <c r="DP381" s="21"/>
      <c r="DQ381" s="21"/>
      <c r="DR381" s="21"/>
      <c r="DS381" s="21"/>
      <c r="DT381" s="21"/>
      <c r="DU381" s="21"/>
      <c r="DV381" s="21"/>
      <c r="DW381" s="21"/>
      <c r="DX381" s="21"/>
      <c r="DY381" s="21"/>
      <c r="DZ381" s="21"/>
      <c r="EA381" s="21"/>
      <c r="EB381" s="21"/>
      <c r="EC381" s="21"/>
      <c r="ED381" s="21"/>
      <c r="EE381" s="21"/>
      <c r="EF381" s="21"/>
      <c r="EG381" s="21"/>
      <c r="EH381" s="21"/>
      <c r="EI381" s="21"/>
      <c r="EJ381" s="21"/>
      <c r="EK381" s="21"/>
      <c r="EL381" s="21"/>
      <c r="EM381" s="21"/>
      <c r="EN381" s="21"/>
      <c r="EO381" s="21"/>
      <c r="EP381" s="21"/>
      <c r="EQ381" s="21"/>
      <c r="ER381" s="21"/>
      <c r="ES381" s="21"/>
      <c r="ET381" s="21"/>
      <c r="EU381" s="21"/>
      <c r="EV381" s="21"/>
      <c r="EW381" s="21"/>
      <c r="EX381" s="21"/>
      <c r="EY381" s="21"/>
      <c r="EZ381" s="21"/>
      <c r="FA381" s="21"/>
      <c r="FB381" s="21"/>
      <c r="FC381" s="21"/>
      <c r="FD381" s="21"/>
      <c r="FE381" s="21"/>
      <c r="FF381" s="21"/>
      <c r="FG381" s="21"/>
      <c r="FH381" s="21"/>
      <c r="FI381" s="21"/>
      <c r="FJ381" s="21"/>
      <c r="FK381" s="21"/>
      <c r="FL381" s="21"/>
      <c r="FM381" s="21"/>
      <c r="FN381" s="21"/>
      <c r="FO381" s="21"/>
      <c r="FP381" s="21"/>
      <c r="FQ381" s="21"/>
      <c r="FR381" s="21"/>
      <c r="FS381" s="21"/>
      <c r="FT381" s="21"/>
      <c r="FU381" s="21"/>
      <c r="FV381" s="21"/>
      <c r="FW381" s="21"/>
      <c r="FX381" s="21"/>
      <c r="FY381" s="21"/>
      <c r="FZ381" s="21"/>
      <c r="GA381" s="21"/>
      <c r="GB381" s="21"/>
      <c r="GC381" s="21"/>
      <c r="GD381" s="21"/>
      <c r="GE381" s="21"/>
      <c r="GF381" s="21"/>
      <c r="GG381" s="21"/>
      <c r="GH381" s="21"/>
      <c r="GI381" s="21"/>
      <c r="GJ381" s="21"/>
      <c r="GK381" s="21"/>
      <c r="GL381" s="21"/>
      <c r="GM381" s="21"/>
      <c r="GN381" s="21"/>
      <c r="GO381" s="21"/>
      <c r="GP381" s="21"/>
      <c r="GQ381" s="21"/>
      <c r="GR381" s="21"/>
      <c r="GS381" s="21"/>
      <c r="GT381" s="21"/>
      <c r="GU381" s="21"/>
      <c r="GV381" s="21"/>
      <c r="GW381" s="21"/>
      <c r="GX381" s="21"/>
      <c r="GY381" s="21"/>
      <c r="GZ381" s="21"/>
      <c r="HA381" s="21"/>
      <c r="HB381" s="21"/>
    </row>
    <row r="382" spans="1:210"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c r="DE382" s="21"/>
      <c r="DF382" s="21"/>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1"/>
      <c r="FH382" s="21"/>
      <c r="FI382" s="21"/>
      <c r="FJ382" s="21"/>
      <c r="FK382" s="21"/>
      <c r="FL382" s="21"/>
      <c r="FM382" s="21"/>
      <c r="FN382" s="21"/>
      <c r="FO382" s="21"/>
      <c r="FP382" s="21"/>
      <c r="FQ382" s="21"/>
      <c r="FR382" s="21"/>
      <c r="FS382" s="21"/>
      <c r="FT382" s="21"/>
      <c r="FU382" s="21"/>
      <c r="FV382" s="21"/>
      <c r="FW382" s="21"/>
      <c r="FX382" s="21"/>
      <c r="FY382" s="21"/>
      <c r="FZ382" s="21"/>
      <c r="GA382" s="21"/>
      <c r="GB382" s="21"/>
      <c r="GC382" s="21"/>
      <c r="GD382" s="21"/>
      <c r="GE382" s="21"/>
      <c r="GF382" s="21"/>
      <c r="GG382" s="21"/>
      <c r="GH382" s="21"/>
      <c r="GI382" s="21"/>
      <c r="GJ382" s="21"/>
      <c r="GK382" s="21"/>
      <c r="GL382" s="21"/>
      <c r="GM382" s="21"/>
      <c r="GN382" s="21"/>
      <c r="GO382" s="21"/>
      <c r="GP382" s="21"/>
      <c r="GQ382" s="21"/>
      <c r="GR382" s="21"/>
      <c r="GS382" s="21"/>
      <c r="GT382" s="21"/>
      <c r="GU382" s="21"/>
      <c r="GV382" s="21"/>
      <c r="GW382" s="21"/>
      <c r="GX382" s="21"/>
      <c r="GY382" s="21"/>
      <c r="GZ382" s="21"/>
      <c r="HA382" s="21"/>
      <c r="HB382" s="21"/>
    </row>
    <row r="383" spans="1:210"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c r="DB383" s="21"/>
      <c r="DC383" s="21"/>
      <c r="DD383" s="21"/>
      <c r="DE383" s="21"/>
      <c r="DF383" s="21"/>
      <c r="DG383" s="21"/>
      <c r="DH383" s="21"/>
      <c r="DI383" s="21"/>
      <c r="DJ383" s="21"/>
      <c r="DK383" s="21"/>
      <c r="DL383" s="21"/>
      <c r="DM383" s="21"/>
      <c r="DN383" s="21"/>
      <c r="DO383" s="21"/>
      <c r="DP383" s="21"/>
      <c r="DQ383" s="21"/>
      <c r="DR383" s="21"/>
      <c r="DS383" s="21"/>
      <c r="DT383" s="21"/>
      <c r="DU383" s="21"/>
      <c r="DV383" s="21"/>
      <c r="DW383" s="21"/>
      <c r="DX383" s="21"/>
      <c r="DY383" s="21"/>
      <c r="DZ383" s="21"/>
      <c r="EA383" s="21"/>
      <c r="EB383" s="21"/>
      <c r="EC383" s="21"/>
      <c r="ED383" s="21"/>
      <c r="EE383" s="21"/>
      <c r="EF383" s="21"/>
      <c r="EG383" s="21"/>
      <c r="EH383" s="21"/>
      <c r="EI383" s="21"/>
      <c r="EJ383" s="21"/>
      <c r="EK383" s="21"/>
      <c r="EL383" s="21"/>
      <c r="EM383" s="21"/>
      <c r="EN383" s="21"/>
      <c r="EO383" s="21"/>
      <c r="EP383" s="21"/>
      <c r="EQ383" s="21"/>
      <c r="ER383" s="21"/>
      <c r="ES383" s="21"/>
      <c r="ET383" s="21"/>
      <c r="EU383" s="21"/>
      <c r="EV383" s="21"/>
      <c r="EW383" s="21"/>
      <c r="EX383" s="21"/>
      <c r="EY383" s="21"/>
      <c r="EZ383" s="21"/>
      <c r="FA383" s="21"/>
      <c r="FB383" s="21"/>
      <c r="FC383" s="21"/>
      <c r="FD383" s="21"/>
      <c r="FE383" s="21"/>
      <c r="FF383" s="21"/>
      <c r="FG383" s="21"/>
      <c r="FH383" s="21"/>
      <c r="FI383" s="21"/>
      <c r="FJ383" s="21"/>
      <c r="FK383" s="21"/>
      <c r="FL383" s="21"/>
      <c r="FM383" s="21"/>
      <c r="FN383" s="21"/>
      <c r="FO383" s="21"/>
      <c r="FP383" s="21"/>
      <c r="FQ383" s="21"/>
      <c r="FR383" s="21"/>
      <c r="FS383" s="21"/>
      <c r="FT383" s="21"/>
      <c r="FU383" s="21"/>
      <c r="FV383" s="21"/>
      <c r="FW383" s="21"/>
      <c r="FX383" s="21"/>
      <c r="FY383" s="21"/>
      <c r="FZ383" s="21"/>
      <c r="GA383" s="21"/>
      <c r="GB383" s="21"/>
      <c r="GC383" s="21"/>
      <c r="GD383" s="21"/>
      <c r="GE383" s="21"/>
      <c r="GF383" s="21"/>
      <c r="GG383" s="21"/>
      <c r="GH383" s="21"/>
      <c r="GI383" s="21"/>
      <c r="GJ383" s="21"/>
      <c r="GK383" s="21"/>
      <c r="GL383" s="21"/>
      <c r="GM383" s="21"/>
      <c r="GN383" s="21"/>
      <c r="GO383" s="21"/>
      <c r="GP383" s="21"/>
      <c r="GQ383" s="21"/>
      <c r="GR383" s="21"/>
      <c r="GS383" s="21"/>
      <c r="GT383" s="21"/>
      <c r="GU383" s="21"/>
      <c r="GV383" s="21"/>
      <c r="GW383" s="21"/>
      <c r="GX383" s="21"/>
      <c r="GY383" s="21"/>
      <c r="GZ383" s="21"/>
      <c r="HA383" s="21"/>
      <c r="HB383" s="21"/>
    </row>
    <row r="384" spans="1:210"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c r="DB384" s="21"/>
      <c r="DC384" s="21"/>
      <c r="DD384" s="21"/>
      <c r="DE384" s="21"/>
      <c r="DF384" s="21"/>
      <c r="DG384" s="21"/>
      <c r="DH384" s="21"/>
      <c r="DI384" s="21"/>
      <c r="DJ384" s="21"/>
      <c r="DK384" s="21"/>
      <c r="DL384" s="21"/>
      <c r="DM384" s="21"/>
      <c r="DN384" s="21"/>
      <c r="DO384" s="21"/>
      <c r="DP384" s="21"/>
      <c r="DQ384" s="21"/>
      <c r="DR384" s="21"/>
      <c r="DS384" s="21"/>
      <c r="DT384" s="21"/>
      <c r="DU384" s="21"/>
      <c r="DV384" s="21"/>
      <c r="DW384" s="21"/>
      <c r="DX384" s="21"/>
      <c r="DY384" s="21"/>
      <c r="DZ384" s="21"/>
      <c r="EA384" s="21"/>
      <c r="EB384" s="21"/>
      <c r="EC384" s="21"/>
      <c r="ED384" s="21"/>
      <c r="EE384" s="21"/>
      <c r="EF384" s="21"/>
      <c r="EG384" s="21"/>
      <c r="EH384" s="21"/>
      <c r="EI384" s="21"/>
      <c r="EJ384" s="21"/>
      <c r="EK384" s="21"/>
      <c r="EL384" s="21"/>
      <c r="EM384" s="21"/>
      <c r="EN384" s="21"/>
      <c r="EO384" s="21"/>
      <c r="EP384" s="21"/>
      <c r="EQ384" s="21"/>
      <c r="ER384" s="21"/>
      <c r="ES384" s="21"/>
      <c r="ET384" s="21"/>
      <c r="EU384" s="21"/>
      <c r="EV384" s="21"/>
      <c r="EW384" s="21"/>
      <c r="EX384" s="21"/>
      <c r="EY384" s="21"/>
      <c r="EZ384" s="21"/>
      <c r="FA384" s="21"/>
      <c r="FB384" s="21"/>
      <c r="FC384" s="21"/>
      <c r="FD384" s="21"/>
      <c r="FE384" s="21"/>
      <c r="FF384" s="21"/>
      <c r="FG384" s="21"/>
      <c r="FH384" s="21"/>
      <c r="FI384" s="21"/>
      <c r="FJ384" s="21"/>
      <c r="FK384" s="21"/>
      <c r="FL384" s="21"/>
      <c r="FM384" s="21"/>
      <c r="FN384" s="21"/>
      <c r="FO384" s="21"/>
      <c r="FP384" s="21"/>
      <c r="FQ384" s="21"/>
      <c r="FR384" s="21"/>
      <c r="FS384" s="21"/>
      <c r="FT384" s="21"/>
      <c r="FU384" s="21"/>
      <c r="FV384" s="21"/>
      <c r="FW384" s="21"/>
      <c r="FX384" s="21"/>
      <c r="FY384" s="21"/>
      <c r="FZ384" s="21"/>
      <c r="GA384" s="21"/>
      <c r="GB384" s="21"/>
      <c r="GC384" s="21"/>
      <c r="GD384" s="21"/>
      <c r="GE384" s="21"/>
      <c r="GF384" s="21"/>
      <c r="GG384" s="21"/>
      <c r="GH384" s="21"/>
      <c r="GI384" s="21"/>
      <c r="GJ384" s="21"/>
      <c r="GK384" s="21"/>
      <c r="GL384" s="21"/>
      <c r="GM384" s="21"/>
      <c r="GN384" s="21"/>
      <c r="GO384" s="21"/>
      <c r="GP384" s="21"/>
      <c r="GQ384" s="21"/>
      <c r="GR384" s="21"/>
      <c r="GS384" s="21"/>
      <c r="GT384" s="21"/>
      <c r="GU384" s="21"/>
      <c r="GV384" s="21"/>
      <c r="GW384" s="21"/>
      <c r="GX384" s="21"/>
      <c r="GY384" s="21"/>
      <c r="GZ384" s="21"/>
      <c r="HA384" s="21"/>
      <c r="HB384" s="21"/>
    </row>
    <row r="385" spans="1:210"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21"/>
      <c r="CH385" s="21"/>
      <c r="CI385" s="21"/>
      <c r="CJ385" s="21"/>
      <c r="CK385" s="21"/>
      <c r="CL385" s="21"/>
      <c r="CM385" s="21"/>
      <c r="CN385" s="21"/>
      <c r="CO385" s="21"/>
      <c r="CP385" s="21"/>
      <c r="CQ385" s="21"/>
      <c r="CR385" s="21"/>
      <c r="CS385" s="21"/>
      <c r="CT385" s="21"/>
      <c r="CU385" s="21"/>
      <c r="CV385" s="21"/>
      <c r="CW385" s="21"/>
      <c r="CX385" s="21"/>
      <c r="CY385" s="21"/>
      <c r="CZ385" s="21"/>
      <c r="DA385" s="21"/>
      <c r="DB385" s="21"/>
      <c r="DC385" s="21"/>
      <c r="DD385" s="21"/>
      <c r="DE385" s="21"/>
      <c r="DF385" s="21"/>
      <c r="DG385" s="21"/>
      <c r="DH385" s="21"/>
      <c r="DI385" s="21"/>
      <c r="DJ385" s="21"/>
      <c r="DK385" s="21"/>
      <c r="DL385" s="21"/>
      <c r="DM385" s="21"/>
      <c r="DN385" s="21"/>
      <c r="DO385" s="21"/>
      <c r="DP385" s="21"/>
      <c r="DQ385" s="21"/>
      <c r="DR385" s="21"/>
      <c r="DS385" s="21"/>
      <c r="DT385" s="21"/>
      <c r="DU385" s="21"/>
      <c r="DV385" s="21"/>
      <c r="DW385" s="21"/>
      <c r="DX385" s="21"/>
      <c r="DY385" s="21"/>
      <c r="DZ385" s="21"/>
      <c r="EA385" s="21"/>
      <c r="EB385" s="21"/>
      <c r="EC385" s="21"/>
      <c r="ED385" s="21"/>
      <c r="EE385" s="21"/>
      <c r="EF385" s="21"/>
      <c r="EG385" s="21"/>
      <c r="EH385" s="21"/>
      <c r="EI385" s="21"/>
      <c r="EJ385" s="21"/>
      <c r="EK385" s="21"/>
      <c r="EL385" s="21"/>
      <c r="EM385" s="21"/>
      <c r="EN385" s="21"/>
      <c r="EO385" s="21"/>
      <c r="EP385" s="21"/>
      <c r="EQ385" s="21"/>
      <c r="ER385" s="21"/>
      <c r="ES385" s="21"/>
      <c r="ET385" s="21"/>
      <c r="EU385" s="21"/>
      <c r="EV385" s="21"/>
      <c r="EW385" s="21"/>
      <c r="EX385" s="21"/>
      <c r="EY385" s="21"/>
      <c r="EZ385" s="21"/>
      <c r="FA385" s="21"/>
      <c r="FB385" s="21"/>
      <c r="FC385" s="21"/>
      <c r="FD385" s="21"/>
      <c r="FE385" s="21"/>
      <c r="FF385" s="21"/>
      <c r="FG385" s="21"/>
      <c r="FH385" s="21"/>
      <c r="FI385" s="21"/>
      <c r="FJ385" s="21"/>
      <c r="FK385" s="21"/>
      <c r="FL385" s="21"/>
      <c r="FM385" s="21"/>
      <c r="FN385" s="21"/>
      <c r="FO385" s="21"/>
      <c r="FP385" s="21"/>
      <c r="FQ385" s="21"/>
      <c r="FR385" s="21"/>
      <c r="FS385" s="21"/>
      <c r="FT385" s="21"/>
      <c r="FU385" s="21"/>
      <c r="FV385" s="21"/>
      <c r="FW385" s="21"/>
      <c r="FX385" s="21"/>
      <c r="FY385" s="21"/>
      <c r="FZ385" s="21"/>
      <c r="GA385" s="21"/>
      <c r="GB385" s="21"/>
      <c r="GC385" s="21"/>
      <c r="GD385" s="21"/>
      <c r="GE385" s="21"/>
      <c r="GF385" s="21"/>
      <c r="GG385" s="21"/>
      <c r="GH385" s="21"/>
      <c r="GI385" s="21"/>
      <c r="GJ385" s="21"/>
      <c r="GK385" s="21"/>
      <c r="GL385" s="21"/>
      <c r="GM385" s="21"/>
      <c r="GN385" s="21"/>
      <c r="GO385" s="21"/>
      <c r="GP385" s="21"/>
      <c r="GQ385" s="21"/>
      <c r="GR385" s="21"/>
      <c r="GS385" s="21"/>
      <c r="GT385" s="21"/>
      <c r="GU385" s="21"/>
      <c r="GV385" s="21"/>
      <c r="GW385" s="21"/>
      <c r="GX385" s="21"/>
      <c r="GY385" s="21"/>
      <c r="GZ385" s="21"/>
      <c r="HA385" s="21"/>
      <c r="HB385" s="21"/>
    </row>
    <row r="386" spans="1:210"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21"/>
      <c r="CH386" s="21"/>
      <c r="CI386" s="21"/>
      <c r="CJ386" s="21"/>
      <c r="CK386" s="21"/>
      <c r="CL386" s="21"/>
      <c r="CM386" s="21"/>
      <c r="CN386" s="21"/>
      <c r="CO386" s="21"/>
      <c r="CP386" s="21"/>
      <c r="CQ386" s="21"/>
      <c r="CR386" s="21"/>
      <c r="CS386" s="21"/>
      <c r="CT386" s="21"/>
      <c r="CU386" s="21"/>
      <c r="CV386" s="21"/>
      <c r="CW386" s="21"/>
      <c r="CX386" s="21"/>
      <c r="CY386" s="21"/>
      <c r="CZ386" s="21"/>
      <c r="DA386" s="21"/>
      <c r="DB386" s="21"/>
      <c r="DC386" s="21"/>
      <c r="DD386" s="21"/>
      <c r="DE386" s="21"/>
      <c r="DF386" s="21"/>
      <c r="DG386" s="21"/>
      <c r="DH386" s="21"/>
      <c r="DI386" s="21"/>
      <c r="DJ386" s="21"/>
      <c r="DK386" s="21"/>
      <c r="DL386" s="21"/>
      <c r="DM386" s="21"/>
      <c r="DN386" s="21"/>
      <c r="DO386" s="21"/>
      <c r="DP386" s="21"/>
      <c r="DQ386" s="21"/>
      <c r="DR386" s="21"/>
      <c r="DS386" s="21"/>
      <c r="DT386" s="21"/>
      <c r="DU386" s="21"/>
      <c r="DV386" s="21"/>
      <c r="DW386" s="21"/>
      <c r="DX386" s="21"/>
      <c r="DY386" s="21"/>
      <c r="DZ386" s="21"/>
      <c r="EA386" s="21"/>
      <c r="EB386" s="21"/>
      <c r="EC386" s="21"/>
      <c r="ED386" s="21"/>
      <c r="EE386" s="21"/>
      <c r="EF386" s="21"/>
      <c r="EG386" s="21"/>
      <c r="EH386" s="21"/>
      <c r="EI386" s="21"/>
      <c r="EJ386" s="21"/>
      <c r="EK386" s="21"/>
      <c r="EL386" s="21"/>
      <c r="EM386" s="21"/>
      <c r="EN386" s="21"/>
      <c r="EO386" s="21"/>
      <c r="EP386" s="21"/>
      <c r="EQ386" s="21"/>
      <c r="ER386" s="21"/>
      <c r="ES386" s="21"/>
      <c r="ET386" s="21"/>
      <c r="EU386" s="21"/>
      <c r="EV386" s="21"/>
      <c r="EW386" s="21"/>
      <c r="EX386" s="21"/>
      <c r="EY386" s="21"/>
      <c r="EZ386" s="21"/>
      <c r="FA386" s="21"/>
      <c r="FB386" s="21"/>
      <c r="FC386" s="21"/>
      <c r="FD386" s="21"/>
      <c r="FE386" s="21"/>
      <c r="FF386" s="21"/>
      <c r="FG386" s="21"/>
      <c r="FH386" s="21"/>
      <c r="FI386" s="21"/>
      <c r="FJ386" s="21"/>
      <c r="FK386" s="21"/>
      <c r="FL386" s="21"/>
      <c r="FM386" s="21"/>
      <c r="FN386" s="21"/>
      <c r="FO386" s="21"/>
      <c r="FP386" s="21"/>
      <c r="FQ386" s="21"/>
      <c r="FR386" s="21"/>
      <c r="FS386" s="21"/>
      <c r="FT386" s="21"/>
      <c r="FU386" s="21"/>
      <c r="FV386" s="21"/>
      <c r="FW386" s="21"/>
      <c r="FX386" s="21"/>
      <c r="FY386" s="21"/>
      <c r="FZ386" s="21"/>
      <c r="GA386" s="21"/>
      <c r="GB386" s="21"/>
      <c r="GC386" s="21"/>
      <c r="GD386" s="21"/>
      <c r="GE386" s="21"/>
      <c r="GF386" s="21"/>
      <c r="GG386" s="21"/>
      <c r="GH386" s="21"/>
      <c r="GI386" s="21"/>
      <c r="GJ386" s="21"/>
      <c r="GK386" s="21"/>
      <c r="GL386" s="21"/>
      <c r="GM386" s="21"/>
      <c r="GN386" s="21"/>
      <c r="GO386" s="21"/>
      <c r="GP386" s="21"/>
      <c r="GQ386" s="21"/>
      <c r="GR386" s="21"/>
      <c r="GS386" s="21"/>
      <c r="GT386" s="21"/>
      <c r="GU386" s="21"/>
      <c r="GV386" s="21"/>
      <c r="GW386" s="21"/>
      <c r="GX386" s="21"/>
      <c r="GY386" s="21"/>
      <c r="GZ386" s="21"/>
      <c r="HA386" s="21"/>
      <c r="HB386" s="21"/>
    </row>
    <row r="387" spans="1:210"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21"/>
      <c r="CH387" s="21"/>
      <c r="CI387" s="21"/>
      <c r="CJ387" s="21"/>
      <c r="CK387" s="21"/>
      <c r="CL387" s="21"/>
      <c r="CM387" s="21"/>
      <c r="CN387" s="21"/>
      <c r="CO387" s="21"/>
      <c r="CP387" s="21"/>
      <c r="CQ387" s="21"/>
      <c r="CR387" s="21"/>
      <c r="CS387" s="21"/>
      <c r="CT387" s="21"/>
      <c r="CU387" s="21"/>
      <c r="CV387" s="21"/>
      <c r="CW387" s="21"/>
      <c r="CX387" s="21"/>
      <c r="CY387" s="21"/>
      <c r="CZ387" s="21"/>
      <c r="DA387" s="21"/>
      <c r="DB387" s="21"/>
      <c r="DC387" s="21"/>
      <c r="DD387" s="21"/>
      <c r="DE387" s="21"/>
      <c r="DF387" s="21"/>
      <c r="DG387" s="21"/>
      <c r="DH387" s="21"/>
      <c r="DI387" s="21"/>
      <c r="DJ387" s="21"/>
      <c r="DK387" s="21"/>
      <c r="DL387" s="21"/>
      <c r="DM387" s="21"/>
      <c r="DN387" s="21"/>
      <c r="DO387" s="21"/>
      <c r="DP387" s="21"/>
      <c r="DQ387" s="21"/>
      <c r="DR387" s="21"/>
      <c r="DS387" s="21"/>
      <c r="DT387" s="21"/>
      <c r="DU387" s="21"/>
      <c r="DV387" s="21"/>
      <c r="DW387" s="21"/>
      <c r="DX387" s="21"/>
      <c r="DY387" s="21"/>
      <c r="DZ387" s="21"/>
      <c r="EA387" s="21"/>
      <c r="EB387" s="21"/>
      <c r="EC387" s="21"/>
      <c r="ED387" s="21"/>
      <c r="EE387" s="21"/>
      <c r="EF387" s="21"/>
      <c r="EG387" s="21"/>
      <c r="EH387" s="21"/>
      <c r="EI387" s="21"/>
      <c r="EJ387" s="21"/>
      <c r="EK387" s="21"/>
      <c r="EL387" s="21"/>
      <c r="EM387" s="21"/>
      <c r="EN387" s="21"/>
      <c r="EO387" s="21"/>
      <c r="EP387" s="21"/>
      <c r="EQ387" s="21"/>
      <c r="ER387" s="21"/>
      <c r="ES387" s="21"/>
      <c r="ET387" s="21"/>
      <c r="EU387" s="21"/>
      <c r="EV387" s="21"/>
      <c r="EW387" s="21"/>
      <c r="EX387" s="21"/>
      <c r="EY387" s="21"/>
      <c r="EZ387" s="21"/>
      <c r="FA387" s="21"/>
      <c r="FB387" s="21"/>
      <c r="FC387" s="21"/>
      <c r="FD387" s="21"/>
      <c r="FE387" s="21"/>
      <c r="FF387" s="21"/>
      <c r="FG387" s="21"/>
      <c r="FH387" s="21"/>
      <c r="FI387" s="21"/>
      <c r="FJ387" s="21"/>
      <c r="FK387" s="21"/>
      <c r="FL387" s="21"/>
      <c r="FM387" s="21"/>
      <c r="FN387" s="21"/>
      <c r="FO387" s="21"/>
      <c r="FP387" s="21"/>
      <c r="FQ387" s="21"/>
      <c r="FR387" s="21"/>
      <c r="FS387" s="21"/>
      <c r="FT387" s="21"/>
      <c r="FU387" s="21"/>
      <c r="FV387" s="21"/>
      <c r="FW387" s="21"/>
      <c r="FX387" s="21"/>
      <c r="FY387" s="21"/>
      <c r="FZ387" s="21"/>
      <c r="GA387" s="21"/>
      <c r="GB387" s="21"/>
      <c r="GC387" s="21"/>
      <c r="GD387" s="21"/>
      <c r="GE387" s="21"/>
      <c r="GF387" s="21"/>
      <c r="GG387" s="21"/>
      <c r="GH387" s="21"/>
      <c r="GI387" s="21"/>
      <c r="GJ387" s="21"/>
      <c r="GK387" s="21"/>
      <c r="GL387" s="21"/>
      <c r="GM387" s="21"/>
      <c r="GN387" s="21"/>
      <c r="GO387" s="21"/>
      <c r="GP387" s="21"/>
      <c r="GQ387" s="21"/>
      <c r="GR387" s="21"/>
      <c r="GS387" s="21"/>
      <c r="GT387" s="21"/>
      <c r="GU387" s="21"/>
      <c r="GV387" s="21"/>
      <c r="GW387" s="21"/>
      <c r="GX387" s="21"/>
      <c r="GY387" s="21"/>
      <c r="GZ387" s="21"/>
      <c r="HA387" s="21"/>
      <c r="HB387" s="21"/>
    </row>
    <row r="388" spans="1:210"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21"/>
      <c r="CH388" s="21"/>
      <c r="CI388" s="21"/>
      <c r="CJ388" s="21"/>
      <c r="CK388" s="21"/>
      <c r="CL388" s="21"/>
      <c r="CM388" s="21"/>
      <c r="CN388" s="21"/>
      <c r="CO388" s="21"/>
      <c r="CP388" s="21"/>
      <c r="CQ388" s="21"/>
      <c r="CR388" s="21"/>
      <c r="CS388" s="21"/>
      <c r="CT388" s="21"/>
      <c r="CU388" s="21"/>
      <c r="CV388" s="21"/>
      <c r="CW388" s="21"/>
      <c r="CX388" s="21"/>
      <c r="CY388" s="21"/>
      <c r="CZ388" s="21"/>
      <c r="DA388" s="21"/>
      <c r="DB388" s="21"/>
      <c r="DC388" s="21"/>
      <c r="DD388" s="21"/>
      <c r="DE388" s="21"/>
      <c r="DF388" s="21"/>
      <c r="DG388" s="21"/>
      <c r="DH388" s="21"/>
      <c r="DI388" s="21"/>
      <c r="DJ388" s="21"/>
      <c r="DK388" s="21"/>
      <c r="DL388" s="21"/>
      <c r="DM388" s="21"/>
      <c r="DN388" s="21"/>
      <c r="DO388" s="21"/>
      <c r="DP388" s="21"/>
      <c r="DQ388" s="21"/>
      <c r="DR388" s="21"/>
      <c r="DS388" s="21"/>
      <c r="DT388" s="21"/>
      <c r="DU388" s="21"/>
      <c r="DV388" s="21"/>
      <c r="DW388" s="21"/>
      <c r="DX388" s="21"/>
      <c r="DY388" s="21"/>
      <c r="DZ388" s="21"/>
      <c r="EA388" s="21"/>
      <c r="EB388" s="21"/>
      <c r="EC388" s="21"/>
      <c r="ED388" s="21"/>
      <c r="EE388" s="21"/>
      <c r="EF388" s="21"/>
      <c r="EG388" s="21"/>
      <c r="EH388" s="21"/>
      <c r="EI388" s="21"/>
      <c r="EJ388" s="21"/>
      <c r="EK388" s="21"/>
      <c r="EL388" s="21"/>
      <c r="EM388" s="21"/>
      <c r="EN388" s="21"/>
      <c r="EO388" s="21"/>
      <c r="EP388" s="21"/>
      <c r="EQ388" s="21"/>
      <c r="ER388" s="21"/>
      <c r="ES388" s="21"/>
      <c r="ET388" s="21"/>
      <c r="EU388" s="21"/>
      <c r="EV388" s="21"/>
      <c r="EW388" s="21"/>
      <c r="EX388" s="21"/>
      <c r="EY388" s="21"/>
      <c r="EZ388" s="21"/>
      <c r="FA388" s="21"/>
      <c r="FB388" s="21"/>
      <c r="FC388" s="21"/>
      <c r="FD388" s="21"/>
      <c r="FE388" s="21"/>
      <c r="FF388" s="21"/>
      <c r="FG388" s="21"/>
      <c r="FH388" s="21"/>
      <c r="FI388" s="21"/>
      <c r="FJ388" s="21"/>
      <c r="FK388" s="21"/>
      <c r="FL388" s="21"/>
      <c r="FM388" s="21"/>
      <c r="FN388" s="21"/>
      <c r="FO388" s="21"/>
      <c r="FP388" s="21"/>
      <c r="FQ388" s="21"/>
      <c r="FR388" s="21"/>
      <c r="FS388" s="21"/>
      <c r="FT388" s="21"/>
      <c r="FU388" s="21"/>
      <c r="FV388" s="21"/>
      <c r="FW388" s="21"/>
      <c r="FX388" s="21"/>
      <c r="FY388" s="21"/>
      <c r="FZ388" s="21"/>
      <c r="GA388" s="21"/>
      <c r="GB388" s="21"/>
      <c r="GC388" s="21"/>
      <c r="GD388" s="21"/>
      <c r="GE388" s="21"/>
      <c r="GF388" s="21"/>
      <c r="GG388" s="21"/>
      <c r="GH388" s="21"/>
      <c r="GI388" s="21"/>
      <c r="GJ388" s="21"/>
      <c r="GK388" s="21"/>
      <c r="GL388" s="21"/>
      <c r="GM388" s="21"/>
      <c r="GN388" s="21"/>
      <c r="GO388" s="21"/>
      <c r="GP388" s="21"/>
      <c r="GQ388" s="21"/>
      <c r="GR388" s="21"/>
      <c r="GS388" s="21"/>
      <c r="GT388" s="21"/>
      <c r="GU388" s="21"/>
      <c r="GV388" s="21"/>
      <c r="GW388" s="21"/>
      <c r="GX388" s="21"/>
      <c r="GY388" s="21"/>
      <c r="GZ388" s="21"/>
      <c r="HA388" s="21"/>
      <c r="HB388" s="21"/>
    </row>
    <row r="389" spans="1:210"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c r="DB389" s="21"/>
      <c r="DC389" s="21"/>
      <c r="DD389" s="21"/>
      <c r="DE389" s="21"/>
      <c r="DF389" s="21"/>
      <c r="DG389" s="21"/>
      <c r="DH389" s="21"/>
      <c r="DI389" s="21"/>
      <c r="DJ389" s="21"/>
      <c r="DK389" s="21"/>
      <c r="DL389" s="21"/>
      <c r="DM389" s="21"/>
      <c r="DN389" s="21"/>
      <c r="DO389" s="21"/>
      <c r="DP389" s="21"/>
      <c r="DQ389" s="21"/>
      <c r="DR389" s="21"/>
      <c r="DS389" s="21"/>
      <c r="DT389" s="21"/>
      <c r="DU389" s="21"/>
      <c r="DV389" s="21"/>
      <c r="DW389" s="21"/>
      <c r="DX389" s="21"/>
      <c r="DY389" s="21"/>
      <c r="DZ389" s="21"/>
      <c r="EA389" s="21"/>
      <c r="EB389" s="21"/>
      <c r="EC389" s="21"/>
      <c r="ED389" s="21"/>
      <c r="EE389" s="21"/>
      <c r="EF389" s="21"/>
      <c r="EG389" s="21"/>
      <c r="EH389" s="21"/>
      <c r="EI389" s="21"/>
      <c r="EJ389" s="21"/>
      <c r="EK389" s="21"/>
      <c r="EL389" s="21"/>
      <c r="EM389" s="21"/>
      <c r="EN389" s="21"/>
      <c r="EO389" s="21"/>
      <c r="EP389" s="21"/>
      <c r="EQ389" s="21"/>
      <c r="ER389" s="21"/>
      <c r="ES389" s="21"/>
      <c r="ET389" s="21"/>
      <c r="EU389" s="21"/>
      <c r="EV389" s="21"/>
      <c r="EW389" s="21"/>
      <c r="EX389" s="21"/>
      <c r="EY389" s="21"/>
      <c r="EZ389" s="21"/>
      <c r="FA389" s="21"/>
      <c r="FB389" s="21"/>
      <c r="FC389" s="21"/>
      <c r="FD389" s="21"/>
      <c r="FE389" s="21"/>
      <c r="FF389" s="21"/>
      <c r="FG389" s="21"/>
      <c r="FH389" s="21"/>
      <c r="FI389" s="21"/>
      <c r="FJ389" s="21"/>
      <c r="FK389" s="21"/>
      <c r="FL389" s="21"/>
      <c r="FM389" s="21"/>
      <c r="FN389" s="21"/>
      <c r="FO389" s="21"/>
      <c r="FP389" s="21"/>
      <c r="FQ389" s="21"/>
      <c r="FR389" s="21"/>
      <c r="FS389" s="21"/>
      <c r="FT389" s="21"/>
      <c r="FU389" s="21"/>
      <c r="FV389" s="21"/>
      <c r="FW389" s="21"/>
      <c r="FX389" s="21"/>
      <c r="FY389" s="21"/>
      <c r="FZ389" s="21"/>
      <c r="GA389" s="21"/>
      <c r="GB389" s="21"/>
      <c r="GC389" s="21"/>
      <c r="GD389" s="21"/>
      <c r="GE389" s="21"/>
      <c r="GF389" s="21"/>
      <c r="GG389" s="21"/>
      <c r="GH389" s="21"/>
      <c r="GI389" s="21"/>
      <c r="GJ389" s="21"/>
      <c r="GK389" s="21"/>
      <c r="GL389" s="21"/>
      <c r="GM389" s="21"/>
      <c r="GN389" s="21"/>
      <c r="GO389" s="21"/>
      <c r="GP389" s="21"/>
      <c r="GQ389" s="21"/>
      <c r="GR389" s="21"/>
      <c r="GS389" s="21"/>
      <c r="GT389" s="21"/>
      <c r="GU389" s="21"/>
      <c r="GV389" s="21"/>
      <c r="GW389" s="21"/>
      <c r="GX389" s="21"/>
      <c r="GY389" s="21"/>
      <c r="GZ389" s="21"/>
      <c r="HA389" s="21"/>
      <c r="HB389" s="21"/>
    </row>
    <row r="390" spans="1:210"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c r="DE390" s="21"/>
      <c r="DF390" s="21"/>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1"/>
      <c r="FH390" s="21"/>
      <c r="FI390" s="21"/>
      <c r="FJ390" s="21"/>
      <c r="FK390" s="21"/>
      <c r="FL390" s="21"/>
      <c r="FM390" s="21"/>
      <c r="FN390" s="21"/>
      <c r="FO390" s="21"/>
      <c r="FP390" s="21"/>
      <c r="FQ390" s="21"/>
      <c r="FR390" s="21"/>
      <c r="FS390" s="21"/>
      <c r="FT390" s="21"/>
      <c r="FU390" s="21"/>
      <c r="FV390" s="21"/>
      <c r="FW390" s="21"/>
      <c r="FX390" s="21"/>
      <c r="FY390" s="21"/>
      <c r="FZ390" s="21"/>
      <c r="GA390" s="21"/>
      <c r="GB390" s="21"/>
      <c r="GC390" s="21"/>
      <c r="GD390" s="21"/>
      <c r="GE390" s="21"/>
      <c r="GF390" s="21"/>
      <c r="GG390" s="21"/>
      <c r="GH390" s="21"/>
      <c r="GI390" s="21"/>
      <c r="GJ390" s="21"/>
      <c r="GK390" s="21"/>
      <c r="GL390" s="21"/>
      <c r="GM390" s="21"/>
      <c r="GN390" s="21"/>
      <c r="GO390" s="21"/>
      <c r="GP390" s="21"/>
      <c r="GQ390" s="21"/>
      <c r="GR390" s="21"/>
      <c r="GS390" s="21"/>
      <c r="GT390" s="21"/>
      <c r="GU390" s="21"/>
      <c r="GV390" s="21"/>
      <c r="GW390" s="21"/>
      <c r="GX390" s="21"/>
      <c r="GY390" s="21"/>
      <c r="GZ390" s="21"/>
      <c r="HA390" s="21"/>
      <c r="HB390" s="21"/>
    </row>
    <row r="391" spans="1:210"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c r="DB391" s="21"/>
      <c r="DC391" s="21"/>
      <c r="DD391" s="21"/>
      <c r="DE391" s="21"/>
      <c r="DF391" s="21"/>
      <c r="DG391" s="21"/>
      <c r="DH391" s="21"/>
      <c r="DI391" s="21"/>
      <c r="DJ391" s="21"/>
      <c r="DK391" s="21"/>
      <c r="DL391" s="21"/>
      <c r="DM391" s="21"/>
      <c r="DN391" s="21"/>
      <c r="DO391" s="21"/>
      <c r="DP391" s="21"/>
      <c r="DQ391" s="21"/>
      <c r="DR391" s="21"/>
      <c r="DS391" s="21"/>
      <c r="DT391" s="21"/>
      <c r="DU391" s="21"/>
      <c r="DV391" s="21"/>
      <c r="DW391" s="21"/>
      <c r="DX391" s="21"/>
      <c r="DY391" s="21"/>
      <c r="DZ391" s="21"/>
      <c r="EA391" s="21"/>
      <c r="EB391" s="21"/>
      <c r="EC391" s="21"/>
      <c r="ED391" s="21"/>
      <c r="EE391" s="21"/>
      <c r="EF391" s="21"/>
      <c r="EG391" s="21"/>
      <c r="EH391" s="21"/>
      <c r="EI391" s="21"/>
      <c r="EJ391" s="21"/>
      <c r="EK391" s="21"/>
      <c r="EL391" s="21"/>
      <c r="EM391" s="21"/>
      <c r="EN391" s="21"/>
      <c r="EO391" s="21"/>
      <c r="EP391" s="21"/>
      <c r="EQ391" s="21"/>
      <c r="ER391" s="21"/>
      <c r="ES391" s="21"/>
      <c r="ET391" s="21"/>
      <c r="EU391" s="21"/>
      <c r="EV391" s="21"/>
      <c r="EW391" s="21"/>
      <c r="EX391" s="21"/>
      <c r="EY391" s="21"/>
      <c r="EZ391" s="21"/>
      <c r="FA391" s="21"/>
      <c r="FB391" s="21"/>
      <c r="FC391" s="21"/>
      <c r="FD391" s="21"/>
      <c r="FE391" s="21"/>
      <c r="FF391" s="21"/>
      <c r="FG391" s="21"/>
      <c r="FH391" s="21"/>
      <c r="FI391" s="21"/>
      <c r="FJ391" s="21"/>
      <c r="FK391" s="21"/>
      <c r="FL391" s="21"/>
      <c r="FM391" s="21"/>
      <c r="FN391" s="21"/>
      <c r="FO391" s="21"/>
      <c r="FP391" s="21"/>
      <c r="FQ391" s="21"/>
      <c r="FR391" s="21"/>
      <c r="FS391" s="21"/>
      <c r="FT391" s="21"/>
      <c r="FU391" s="21"/>
      <c r="FV391" s="21"/>
      <c r="FW391" s="21"/>
      <c r="FX391" s="21"/>
      <c r="FY391" s="21"/>
      <c r="FZ391" s="21"/>
      <c r="GA391" s="21"/>
      <c r="GB391" s="21"/>
      <c r="GC391" s="21"/>
      <c r="GD391" s="21"/>
      <c r="GE391" s="21"/>
      <c r="GF391" s="21"/>
      <c r="GG391" s="21"/>
      <c r="GH391" s="21"/>
      <c r="GI391" s="21"/>
      <c r="GJ391" s="21"/>
      <c r="GK391" s="21"/>
      <c r="GL391" s="21"/>
      <c r="GM391" s="21"/>
      <c r="GN391" s="21"/>
      <c r="GO391" s="21"/>
      <c r="GP391" s="21"/>
      <c r="GQ391" s="21"/>
      <c r="GR391" s="21"/>
      <c r="GS391" s="21"/>
      <c r="GT391" s="21"/>
      <c r="GU391" s="21"/>
      <c r="GV391" s="21"/>
      <c r="GW391" s="21"/>
      <c r="GX391" s="21"/>
      <c r="GY391" s="21"/>
      <c r="GZ391" s="21"/>
      <c r="HA391" s="21"/>
      <c r="HB391" s="21"/>
    </row>
    <row r="392" spans="1:210"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c r="DB392" s="21"/>
      <c r="DC392" s="21"/>
      <c r="DD392" s="21"/>
      <c r="DE392" s="21"/>
      <c r="DF392" s="21"/>
      <c r="DG392" s="21"/>
      <c r="DH392" s="21"/>
      <c r="DI392" s="21"/>
      <c r="DJ392" s="21"/>
      <c r="DK392" s="21"/>
      <c r="DL392" s="21"/>
      <c r="DM392" s="21"/>
      <c r="DN392" s="21"/>
      <c r="DO392" s="21"/>
      <c r="DP392" s="21"/>
      <c r="DQ392" s="21"/>
      <c r="DR392" s="21"/>
      <c r="DS392" s="21"/>
      <c r="DT392" s="21"/>
      <c r="DU392" s="21"/>
      <c r="DV392" s="21"/>
      <c r="DW392" s="21"/>
      <c r="DX392" s="21"/>
      <c r="DY392" s="21"/>
      <c r="DZ392" s="21"/>
      <c r="EA392" s="21"/>
      <c r="EB392" s="21"/>
      <c r="EC392" s="21"/>
      <c r="ED392" s="21"/>
      <c r="EE392" s="21"/>
      <c r="EF392" s="21"/>
      <c r="EG392" s="21"/>
      <c r="EH392" s="21"/>
      <c r="EI392" s="21"/>
      <c r="EJ392" s="21"/>
      <c r="EK392" s="21"/>
      <c r="EL392" s="21"/>
      <c r="EM392" s="21"/>
      <c r="EN392" s="21"/>
      <c r="EO392" s="21"/>
      <c r="EP392" s="21"/>
      <c r="EQ392" s="21"/>
      <c r="ER392" s="21"/>
      <c r="ES392" s="21"/>
      <c r="ET392" s="21"/>
      <c r="EU392" s="21"/>
      <c r="EV392" s="21"/>
      <c r="EW392" s="21"/>
      <c r="EX392" s="21"/>
      <c r="EY392" s="21"/>
      <c r="EZ392" s="21"/>
      <c r="FA392" s="21"/>
      <c r="FB392" s="21"/>
      <c r="FC392" s="21"/>
      <c r="FD392" s="21"/>
      <c r="FE392" s="21"/>
      <c r="FF392" s="21"/>
      <c r="FG392" s="21"/>
      <c r="FH392" s="21"/>
      <c r="FI392" s="21"/>
      <c r="FJ392" s="21"/>
      <c r="FK392" s="21"/>
      <c r="FL392" s="21"/>
      <c r="FM392" s="21"/>
      <c r="FN392" s="21"/>
      <c r="FO392" s="21"/>
      <c r="FP392" s="21"/>
      <c r="FQ392" s="21"/>
      <c r="FR392" s="21"/>
      <c r="FS392" s="21"/>
      <c r="FT392" s="21"/>
      <c r="FU392" s="21"/>
      <c r="FV392" s="21"/>
      <c r="FW392" s="21"/>
      <c r="FX392" s="21"/>
      <c r="FY392" s="21"/>
      <c r="FZ392" s="21"/>
      <c r="GA392" s="21"/>
      <c r="GB392" s="21"/>
      <c r="GC392" s="21"/>
      <c r="GD392" s="21"/>
      <c r="GE392" s="21"/>
      <c r="GF392" s="21"/>
      <c r="GG392" s="21"/>
      <c r="GH392" s="21"/>
      <c r="GI392" s="21"/>
      <c r="GJ392" s="21"/>
      <c r="GK392" s="21"/>
      <c r="GL392" s="21"/>
      <c r="GM392" s="21"/>
      <c r="GN392" s="21"/>
      <c r="GO392" s="21"/>
      <c r="GP392" s="21"/>
      <c r="GQ392" s="21"/>
      <c r="GR392" s="21"/>
      <c r="GS392" s="21"/>
      <c r="GT392" s="21"/>
      <c r="GU392" s="21"/>
      <c r="GV392" s="21"/>
      <c r="GW392" s="21"/>
      <c r="GX392" s="21"/>
      <c r="GY392" s="21"/>
      <c r="GZ392" s="21"/>
      <c r="HA392" s="21"/>
      <c r="HB392" s="21"/>
    </row>
    <row r="393" spans="1:210"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21"/>
      <c r="CH393" s="21"/>
      <c r="CI393" s="21"/>
      <c r="CJ393" s="21"/>
      <c r="CK393" s="21"/>
      <c r="CL393" s="21"/>
      <c r="CM393" s="21"/>
      <c r="CN393" s="21"/>
      <c r="CO393" s="21"/>
      <c r="CP393" s="21"/>
      <c r="CQ393" s="21"/>
      <c r="CR393" s="21"/>
      <c r="CS393" s="21"/>
      <c r="CT393" s="21"/>
      <c r="CU393" s="21"/>
      <c r="CV393" s="21"/>
      <c r="CW393" s="21"/>
      <c r="CX393" s="21"/>
      <c r="CY393" s="21"/>
      <c r="CZ393" s="21"/>
      <c r="DA393" s="21"/>
      <c r="DB393" s="21"/>
      <c r="DC393" s="21"/>
      <c r="DD393" s="21"/>
      <c r="DE393" s="21"/>
      <c r="DF393" s="21"/>
      <c r="DG393" s="21"/>
      <c r="DH393" s="21"/>
      <c r="DI393" s="21"/>
      <c r="DJ393" s="21"/>
      <c r="DK393" s="21"/>
      <c r="DL393" s="21"/>
      <c r="DM393" s="21"/>
      <c r="DN393" s="21"/>
      <c r="DO393" s="21"/>
      <c r="DP393" s="21"/>
      <c r="DQ393" s="21"/>
      <c r="DR393" s="21"/>
      <c r="DS393" s="21"/>
      <c r="DT393" s="21"/>
      <c r="DU393" s="21"/>
      <c r="DV393" s="21"/>
      <c r="DW393" s="21"/>
      <c r="DX393" s="21"/>
      <c r="DY393" s="21"/>
      <c r="DZ393" s="21"/>
      <c r="EA393" s="21"/>
      <c r="EB393" s="21"/>
      <c r="EC393" s="21"/>
      <c r="ED393" s="21"/>
      <c r="EE393" s="21"/>
      <c r="EF393" s="21"/>
      <c r="EG393" s="21"/>
      <c r="EH393" s="21"/>
      <c r="EI393" s="21"/>
      <c r="EJ393" s="21"/>
      <c r="EK393" s="21"/>
      <c r="EL393" s="21"/>
      <c r="EM393" s="21"/>
      <c r="EN393" s="21"/>
      <c r="EO393" s="21"/>
      <c r="EP393" s="21"/>
      <c r="EQ393" s="21"/>
      <c r="ER393" s="21"/>
      <c r="ES393" s="21"/>
      <c r="ET393" s="21"/>
      <c r="EU393" s="21"/>
      <c r="EV393" s="21"/>
      <c r="EW393" s="21"/>
      <c r="EX393" s="21"/>
      <c r="EY393" s="21"/>
      <c r="EZ393" s="21"/>
      <c r="FA393" s="21"/>
      <c r="FB393" s="21"/>
      <c r="FC393" s="21"/>
      <c r="FD393" s="21"/>
      <c r="FE393" s="21"/>
      <c r="FF393" s="21"/>
      <c r="FG393" s="21"/>
      <c r="FH393" s="21"/>
      <c r="FI393" s="21"/>
      <c r="FJ393" s="21"/>
      <c r="FK393" s="21"/>
      <c r="FL393" s="21"/>
      <c r="FM393" s="21"/>
      <c r="FN393" s="21"/>
      <c r="FO393" s="21"/>
      <c r="FP393" s="21"/>
      <c r="FQ393" s="21"/>
      <c r="FR393" s="21"/>
      <c r="FS393" s="21"/>
      <c r="FT393" s="21"/>
      <c r="FU393" s="21"/>
      <c r="FV393" s="21"/>
      <c r="FW393" s="21"/>
      <c r="FX393" s="21"/>
      <c r="FY393" s="21"/>
      <c r="FZ393" s="21"/>
      <c r="GA393" s="21"/>
      <c r="GB393" s="21"/>
      <c r="GC393" s="21"/>
      <c r="GD393" s="21"/>
      <c r="GE393" s="21"/>
      <c r="GF393" s="21"/>
      <c r="GG393" s="21"/>
      <c r="GH393" s="21"/>
      <c r="GI393" s="21"/>
      <c r="GJ393" s="21"/>
      <c r="GK393" s="21"/>
      <c r="GL393" s="21"/>
      <c r="GM393" s="21"/>
      <c r="GN393" s="21"/>
      <c r="GO393" s="21"/>
      <c r="GP393" s="21"/>
      <c r="GQ393" s="21"/>
      <c r="GR393" s="21"/>
      <c r="GS393" s="21"/>
      <c r="GT393" s="21"/>
      <c r="GU393" s="21"/>
      <c r="GV393" s="21"/>
      <c r="GW393" s="21"/>
      <c r="GX393" s="21"/>
      <c r="GY393" s="21"/>
      <c r="GZ393" s="21"/>
      <c r="HA393" s="21"/>
      <c r="HB393" s="21"/>
    </row>
    <row r="394" spans="1:210"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c r="DB394" s="21"/>
      <c r="DC394" s="21"/>
      <c r="DD394" s="21"/>
      <c r="DE394" s="21"/>
      <c r="DF394" s="21"/>
      <c r="DG394" s="21"/>
      <c r="DH394" s="21"/>
      <c r="DI394" s="21"/>
      <c r="DJ394" s="21"/>
      <c r="DK394" s="21"/>
      <c r="DL394" s="21"/>
      <c r="DM394" s="21"/>
      <c r="DN394" s="21"/>
      <c r="DO394" s="21"/>
      <c r="DP394" s="21"/>
      <c r="DQ394" s="21"/>
      <c r="DR394" s="21"/>
      <c r="DS394" s="21"/>
      <c r="DT394" s="21"/>
      <c r="DU394" s="21"/>
      <c r="DV394" s="21"/>
      <c r="DW394" s="21"/>
      <c r="DX394" s="21"/>
      <c r="DY394" s="21"/>
      <c r="DZ394" s="21"/>
      <c r="EA394" s="21"/>
      <c r="EB394" s="21"/>
      <c r="EC394" s="21"/>
      <c r="ED394" s="21"/>
      <c r="EE394" s="21"/>
      <c r="EF394" s="21"/>
      <c r="EG394" s="21"/>
      <c r="EH394" s="21"/>
      <c r="EI394" s="21"/>
      <c r="EJ394" s="21"/>
      <c r="EK394" s="21"/>
      <c r="EL394" s="21"/>
      <c r="EM394" s="21"/>
      <c r="EN394" s="21"/>
      <c r="EO394" s="21"/>
      <c r="EP394" s="21"/>
      <c r="EQ394" s="21"/>
      <c r="ER394" s="21"/>
      <c r="ES394" s="21"/>
      <c r="ET394" s="21"/>
      <c r="EU394" s="21"/>
      <c r="EV394" s="21"/>
      <c r="EW394" s="21"/>
      <c r="EX394" s="21"/>
      <c r="EY394" s="21"/>
      <c r="EZ394" s="21"/>
      <c r="FA394" s="21"/>
      <c r="FB394" s="21"/>
      <c r="FC394" s="21"/>
      <c r="FD394" s="21"/>
      <c r="FE394" s="21"/>
      <c r="FF394" s="21"/>
      <c r="FG394" s="21"/>
      <c r="FH394" s="21"/>
      <c r="FI394" s="21"/>
      <c r="FJ394" s="21"/>
      <c r="FK394" s="21"/>
      <c r="FL394" s="21"/>
      <c r="FM394" s="21"/>
      <c r="FN394" s="21"/>
      <c r="FO394" s="21"/>
      <c r="FP394" s="21"/>
      <c r="FQ394" s="21"/>
      <c r="FR394" s="21"/>
      <c r="FS394" s="21"/>
      <c r="FT394" s="21"/>
      <c r="FU394" s="21"/>
      <c r="FV394" s="21"/>
      <c r="FW394" s="21"/>
      <c r="FX394" s="21"/>
      <c r="FY394" s="21"/>
      <c r="FZ394" s="21"/>
      <c r="GA394" s="21"/>
      <c r="GB394" s="21"/>
      <c r="GC394" s="21"/>
      <c r="GD394" s="21"/>
      <c r="GE394" s="21"/>
      <c r="GF394" s="21"/>
      <c r="GG394" s="21"/>
      <c r="GH394" s="21"/>
      <c r="GI394" s="21"/>
      <c r="GJ394" s="21"/>
      <c r="GK394" s="21"/>
      <c r="GL394" s="21"/>
      <c r="GM394" s="21"/>
      <c r="GN394" s="21"/>
      <c r="GO394" s="21"/>
      <c r="GP394" s="21"/>
      <c r="GQ394" s="21"/>
      <c r="GR394" s="21"/>
      <c r="GS394" s="21"/>
      <c r="GT394" s="21"/>
      <c r="GU394" s="21"/>
      <c r="GV394" s="21"/>
      <c r="GW394" s="21"/>
      <c r="GX394" s="21"/>
      <c r="GY394" s="21"/>
      <c r="GZ394" s="21"/>
      <c r="HA394" s="21"/>
      <c r="HB394" s="21"/>
    </row>
    <row r="395" spans="1:210"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c r="DB395" s="21"/>
      <c r="DC395" s="21"/>
      <c r="DD395" s="21"/>
      <c r="DE395" s="21"/>
      <c r="DF395" s="21"/>
      <c r="DG395" s="21"/>
      <c r="DH395" s="21"/>
      <c r="DI395" s="21"/>
      <c r="DJ395" s="21"/>
      <c r="DK395" s="21"/>
      <c r="DL395" s="21"/>
      <c r="DM395" s="21"/>
      <c r="DN395" s="21"/>
      <c r="DO395" s="21"/>
      <c r="DP395" s="21"/>
      <c r="DQ395" s="21"/>
      <c r="DR395" s="21"/>
      <c r="DS395" s="21"/>
      <c r="DT395" s="21"/>
      <c r="DU395" s="21"/>
      <c r="DV395" s="21"/>
      <c r="DW395" s="21"/>
      <c r="DX395" s="21"/>
      <c r="DY395" s="21"/>
      <c r="DZ395" s="21"/>
      <c r="EA395" s="21"/>
      <c r="EB395" s="21"/>
      <c r="EC395" s="21"/>
      <c r="ED395" s="21"/>
      <c r="EE395" s="21"/>
      <c r="EF395" s="21"/>
      <c r="EG395" s="21"/>
      <c r="EH395" s="21"/>
      <c r="EI395" s="21"/>
      <c r="EJ395" s="21"/>
      <c r="EK395" s="21"/>
      <c r="EL395" s="21"/>
      <c r="EM395" s="21"/>
      <c r="EN395" s="21"/>
      <c r="EO395" s="21"/>
      <c r="EP395" s="21"/>
      <c r="EQ395" s="21"/>
      <c r="ER395" s="21"/>
      <c r="ES395" s="21"/>
      <c r="ET395" s="21"/>
      <c r="EU395" s="21"/>
      <c r="EV395" s="21"/>
      <c r="EW395" s="21"/>
      <c r="EX395" s="21"/>
      <c r="EY395" s="21"/>
      <c r="EZ395" s="21"/>
      <c r="FA395" s="21"/>
      <c r="FB395" s="21"/>
      <c r="FC395" s="21"/>
      <c r="FD395" s="21"/>
      <c r="FE395" s="21"/>
      <c r="FF395" s="21"/>
      <c r="FG395" s="21"/>
      <c r="FH395" s="21"/>
      <c r="FI395" s="21"/>
      <c r="FJ395" s="21"/>
      <c r="FK395" s="21"/>
      <c r="FL395" s="21"/>
      <c r="FM395" s="21"/>
      <c r="FN395" s="21"/>
      <c r="FO395" s="21"/>
      <c r="FP395" s="21"/>
      <c r="FQ395" s="21"/>
      <c r="FR395" s="21"/>
      <c r="FS395" s="21"/>
      <c r="FT395" s="21"/>
      <c r="FU395" s="21"/>
      <c r="FV395" s="21"/>
      <c r="FW395" s="21"/>
      <c r="FX395" s="21"/>
      <c r="FY395" s="21"/>
      <c r="FZ395" s="21"/>
      <c r="GA395" s="21"/>
      <c r="GB395" s="21"/>
      <c r="GC395" s="21"/>
      <c r="GD395" s="21"/>
      <c r="GE395" s="21"/>
      <c r="GF395" s="21"/>
      <c r="GG395" s="21"/>
      <c r="GH395" s="21"/>
      <c r="GI395" s="21"/>
      <c r="GJ395" s="21"/>
      <c r="GK395" s="21"/>
      <c r="GL395" s="21"/>
      <c r="GM395" s="21"/>
      <c r="GN395" s="21"/>
      <c r="GO395" s="21"/>
      <c r="GP395" s="21"/>
      <c r="GQ395" s="21"/>
      <c r="GR395" s="21"/>
      <c r="GS395" s="21"/>
      <c r="GT395" s="21"/>
      <c r="GU395" s="21"/>
      <c r="GV395" s="21"/>
      <c r="GW395" s="21"/>
      <c r="GX395" s="21"/>
      <c r="GY395" s="21"/>
      <c r="GZ395" s="21"/>
      <c r="HA395" s="21"/>
      <c r="HB395" s="21"/>
    </row>
    <row r="396" spans="1:210"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c r="DB396" s="21"/>
      <c r="DC396" s="21"/>
      <c r="DD396" s="21"/>
      <c r="DE396" s="21"/>
      <c r="DF396" s="21"/>
      <c r="DG396" s="21"/>
      <c r="DH396" s="21"/>
      <c r="DI396" s="21"/>
      <c r="DJ396" s="21"/>
      <c r="DK396" s="21"/>
      <c r="DL396" s="21"/>
      <c r="DM396" s="21"/>
      <c r="DN396" s="21"/>
      <c r="DO396" s="21"/>
      <c r="DP396" s="21"/>
      <c r="DQ396" s="21"/>
      <c r="DR396" s="21"/>
      <c r="DS396" s="21"/>
      <c r="DT396" s="21"/>
      <c r="DU396" s="21"/>
      <c r="DV396" s="21"/>
      <c r="DW396" s="21"/>
      <c r="DX396" s="21"/>
      <c r="DY396" s="21"/>
      <c r="DZ396" s="21"/>
      <c r="EA396" s="21"/>
      <c r="EB396" s="21"/>
      <c r="EC396" s="21"/>
      <c r="ED396" s="21"/>
      <c r="EE396" s="21"/>
      <c r="EF396" s="21"/>
      <c r="EG396" s="21"/>
      <c r="EH396" s="21"/>
      <c r="EI396" s="21"/>
      <c r="EJ396" s="21"/>
      <c r="EK396" s="21"/>
      <c r="EL396" s="21"/>
      <c r="EM396" s="21"/>
      <c r="EN396" s="21"/>
      <c r="EO396" s="21"/>
      <c r="EP396" s="21"/>
      <c r="EQ396" s="21"/>
      <c r="ER396" s="21"/>
      <c r="ES396" s="21"/>
      <c r="ET396" s="21"/>
      <c r="EU396" s="21"/>
      <c r="EV396" s="21"/>
      <c r="EW396" s="21"/>
      <c r="EX396" s="21"/>
      <c r="EY396" s="21"/>
      <c r="EZ396" s="21"/>
      <c r="FA396" s="21"/>
      <c r="FB396" s="21"/>
      <c r="FC396" s="21"/>
      <c r="FD396" s="21"/>
      <c r="FE396" s="21"/>
      <c r="FF396" s="21"/>
      <c r="FG396" s="21"/>
      <c r="FH396" s="21"/>
      <c r="FI396" s="21"/>
      <c r="FJ396" s="21"/>
      <c r="FK396" s="21"/>
      <c r="FL396" s="21"/>
      <c r="FM396" s="21"/>
      <c r="FN396" s="21"/>
      <c r="FO396" s="21"/>
      <c r="FP396" s="21"/>
      <c r="FQ396" s="21"/>
      <c r="FR396" s="21"/>
      <c r="FS396" s="21"/>
      <c r="FT396" s="21"/>
      <c r="FU396" s="21"/>
      <c r="FV396" s="21"/>
      <c r="FW396" s="21"/>
      <c r="FX396" s="21"/>
      <c r="FY396" s="21"/>
      <c r="FZ396" s="21"/>
      <c r="GA396" s="21"/>
      <c r="GB396" s="21"/>
      <c r="GC396" s="21"/>
      <c r="GD396" s="21"/>
      <c r="GE396" s="21"/>
      <c r="GF396" s="21"/>
      <c r="GG396" s="21"/>
      <c r="GH396" s="21"/>
      <c r="GI396" s="21"/>
      <c r="GJ396" s="21"/>
      <c r="GK396" s="21"/>
      <c r="GL396" s="21"/>
      <c r="GM396" s="21"/>
      <c r="GN396" s="21"/>
      <c r="GO396" s="21"/>
      <c r="GP396" s="21"/>
      <c r="GQ396" s="21"/>
      <c r="GR396" s="21"/>
      <c r="GS396" s="21"/>
      <c r="GT396" s="21"/>
      <c r="GU396" s="21"/>
      <c r="GV396" s="21"/>
      <c r="GW396" s="21"/>
      <c r="GX396" s="21"/>
      <c r="GY396" s="21"/>
      <c r="GZ396" s="21"/>
      <c r="HA396" s="21"/>
      <c r="HB396" s="21"/>
    </row>
    <row r="397" spans="1:210"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c r="DB397" s="21"/>
      <c r="DC397" s="21"/>
      <c r="DD397" s="21"/>
      <c r="DE397" s="21"/>
      <c r="DF397" s="21"/>
      <c r="DG397" s="21"/>
      <c r="DH397" s="21"/>
      <c r="DI397" s="21"/>
      <c r="DJ397" s="21"/>
      <c r="DK397" s="21"/>
      <c r="DL397" s="21"/>
      <c r="DM397" s="21"/>
      <c r="DN397" s="21"/>
      <c r="DO397" s="21"/>
      <c r="DP397" s="21"/>
      <c r="DQ397" s="21"/>
      <c r="DR397" s="21"/>
      <c r="DS397" s="21"/>
      <c r="DT397" s="21"/>
      <c r="DU397" s="21"/>
      <c r="DV397" s="21"/>
      <c r="DW397" s="21"/>
      <c r="DX397" s="21"/>
      <c r="DY397" s="21"/>
      <c r="DZ397" s="21"/>
      <c r="EA397" s="21"/>
      <c r="EB397" s="21"/>
      <c r="EC397" s="21"/>
      <c r="ED397" s="21"/>
      <c r="EE397" s="21"/>
      <c r="EF397" s="21"/>
      <c r="EG397" s="21"/>
      <c r="EH397" s="21"/>
      <c r="EI397" s="21"/>
      <c r="EJ397" s="21"/>
      <c r="EK397" s="21"/>
      <c r="EL397" s="21"/>
      <c r="EM397" s="21"/>
      <c r="EN397" s="21"/>
      <c r="EO397" s="21"/>
      <c r="EP397" s="21"/>
      <c r="EQ397" s="21"/>
      <c r="ER397" s="21"/>
      <c r="ES397" s="21"/>
      <c r="ET397" s="21"/>
      <c r="EU397" s="21"/>
      <c r="EV397" s="21"/>
      <c r="EW397" s="21"/>
      <c r="EX397" s="21"/>
      <c r="EY397" s="21"/>
      <c r="EZ397" s="21"/>
      <c r="FA397" s="21"/>
      <c r="FB397" s="21"/>
      <c r="FC397" s="21"/>
      <c r="FD397" s="21"/>
      <c r="FE397" s="21"/>
      <c r="FF397" s="21"/>
      <c r="FG397" s="21"/>
      <c r="FH397" s="21"/>
      <c r="FI397" s="21"/>
      <c r="FJ397" s="21"/>
      <c r="FK397" s="21"/>
      <c r="FL397" s="21"/>
      <c r="FM397" s="21"/>
      <c r="FN397" s="21"/>
      <c r="FO397" s="21"/>
      <c r="FP397" s="21"/>
      <c r="FQ397" s="21"/>
      <c r="FR397" s="21"/>
      <c r="FS397" s="21"/>
      <c r="FT397" s="21"/>
      <c r="FU397" s="21"/>
      <c r="FV397" s="21"/>
      <c r="FW397" s="21"/>
      <c r="FX397" s="21"/>
      <c r="FY397" s="21"/>
      <c r="FZ397" s="21"/>
      <c r="GA397" s="21"/>
      <c r="GB397" s="21"/>
      <c r="GC397" s="21"/>
      <c r="GD397" s="21"/>
      <c r="GE397" s="21"/>
      <c r="GF397" s="21"/>
      <c r="GG397" s="21"/>
      <c r="GH397" s="21"/>
      <c r="GI397" s="21"/>
      <c r="GJ397" s="21"/>
      <c r="GK397" s="21"/>
      <c r="GL397" s="21"/>
      <c r="GM397" s="21"/>
      <c r="GN397" s="21"/>
      <c r="GO397" s="21"/>
      <c r="GP397" s="21"/>
      <c r="GQ397" s="21"/>
      <c r="GR397" s="21"/>
      <c r="GS397" s="21"/>
      <c r="GT397" s="21"/>
      <c r="GU397" s="21"/>
      <c r="GV397" s="21"/>
      <c r="GW397" s="21"/>
      <c r="GX397" s="21"/>
      <c r="GY397" s="21"/>
      <c r="GZ397" s="21"/>
      <c r="HA397" s="21"/>
      <c r="HB397" s="21"/>
    </row>
    <row r="398" spans="1:210"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c r="DE398" s="21"/>
      <c r="DF398" s="21"/>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1"/>
      <c r="FH398" s="21"/>
      <c r="FI398" s="21"/>
      <c r="FJ398" s="21"/>
      <c r="FK398" s="21"/>
      <c r="FL398" s="21"/>
      <c r="FM398" s="21"/>
      <c r="FN398" s="21"/>
      <c r="FO398" s="21"/>
      <c r="FP398" s="21"/>
      <c r="FQ398" s="21"/>
      <c r="FR398" s="21"/>
      <c r="FS398" s="21"/>
      <c r="FT398" s="21"/>
      <c r="FU398" s="21"/>
      <c r="FV398" s="21"/>
      <c r="FW398" s="21"/>
      <c r="FX398" s="21"/>
      <c r="FY398" s="21"/>
      <c r="FZ398" s="21"/>
      <c r="GA398" s="21"/>
      <c r="GB398" s="21"/>
      <c r="GC398" s="21"/>
      <c r="GD398" s="21"/>
      <c r="GE398" s="21"/>
      <c r="GF398" s="21"/>
      <c r="GG398" s="21"/>
      <c r="GH398" s="21"/>
      <c r="GI398" s="21"/>
      <c r="GJ398" s="21"/>
      <c r="GK398" s="21"/>
      <c r="GL398" s="21"/>
      <c r="GM398" s="21"/>
      <c r="GN398" s="21"/>
      <c r="GO398" s="21"/>
      <c r="GP398" s="21"/>
      <c r="GQ398" s="21"/>
      <c r="GR398" s="21"/>
      <c r="GS398" s="21"/>
      <c r="GT398" s="21"/>
      <c r="GU398" s="21"/>
      <c r="GV398" s="21"/>
      <c r="GW398" s="21"/>
      <c r="GX398" s="21"/>
      <c r="GY398" s="21"/>
      <c r="GZ398" s="21"/>
      <c r="HA398" s="21"/>
      <c r="HB398" s="21"/>
    </row>
    <row r="399" spans="1:210"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c r="DB399" s="21"/>
      <c r="DC399" s="21"/>
      <c r="DD399" s="21"/>
      <c r="DE399" s="21"/>
      <c r="DF399" s="21"/>
      <c r="DG399" s="21"/>
      <c r="DH399" s="21"/>
      <c r="DI399" s="21"/>
      <c r="DJ399" s="21"/>
      <c r="DK399" s="21"/>
      <c r="DL399" s="21"/>
      <c r="DM399" s="21"/>
      <c r="DN399" s="21"/>
      <c r="DO399" s="21"/>
      <c r="DP399" s="21"/>
      <c r="DQ399" s="21"/>
      <c r="DR399" s="21"/>
      <c r="DS399" s="21"/>
      <c r="DT399" s="21"/>
      <c r="DU399" s="21"/>
      <c r="DV399" s="21"/>
      <c r="DW399" s="21"/>
      <c r="DX399" s="21"/>
      <c r="DY399" s="21"/>
      <c r="DZ399" s="21"/>
      <c r="EA399" s="21"/>
      <c r="EB399" s="21"/>
      <c r="EC399" s="21"/>
      <c r="ED399" s="21"/>
      <c r="EE399" s="21"/>
      <c r="EF399" s="21"/>
      <c r="EG399" s="21"/>
      <c r="EH399" s="21"/>
      <c r="EI399" s="21"/>
      <c r="EJ399" s="21"/>
      <c r="EK399" s="21"/>
      <c r="EL399" s="21"/>
      <c r="EM399" s="21"/>
      <c r="EN399" s="21"/>
      <c r="EO399" s="21"/>
      <c r="EP399" s="21"/>
      <c r="EQ399" s="21"/>
      <c r="ER399" s="21"/>
      <c r="ES399" s="21"/>
      <c r="ET399" s="21"/>
      <c r="EU399" s="21"/>
      <c r="EV399" s="21"/>
      <c r="EW399" s="21"/>
      <c r="EX399" s="21"/>
      <c r="EY399" s="21"/>
      <c r="EZ399" s="21"/>
      <c r="FA399" s="21"/>
      <c r="FB399" s="21"/>
      <c r="FC399" s="21"/>
      <c r="FD399" s="21"/>
      <c r="FE399" s="21"/>
      <c r="FF399" s="21"/>
      <c r="FG399" s="21"/>
      <c r="FH399" s="21"/>
      <c r="FI399" s="21"/>
      <c r="FJ399" s="21"/>
      <c r="FK399" s="21"/>
      <c r="FL399" s="21"/>
      <c r="FM399" s="21"/>
      <c r="FN399" s="21"/>
      <c r="FO399" s="21"/>
      <c r="FP399" s="21"/>
      <c r="FQ399" s="21"/>
      <c r="FR399" s="21"/>
      <c r="FS399" s="21"/>
      <c r="FT399" s="21"/>
      <c r="FU399" s="21"/>
      <c r="FV399" s="21"/>
      <c r="FW399" s="21"/>
      <c r="FX399" s="21"/>
      <c r="FY399" s="21"/>
      <c r="FZ399" s="21"/>
      <c r="GA399" s="21"/>
      <c r="GB399" s="21"/>
      <c r="GC399" s="21"/>
      <c r="GD399" s="21"/>
      <c r="GE399" s="21"/>
      <c r="GF399" s="21"/>
      <c r="GG399" s="21"/>
      <c r="GH399" s="21"/>
      <c r="GI399" s="21"/>
      <c r="GJ399" s="21"/>
      <c r="GK399" s="21"/>
      <c r="GL399" s="21"/>
      <c r="GM399" s="21"/>
      <c r="GN399" s="21"/>
      <c r="GO399" s="21"/>
      <c r="GP399" s="21"/>
      <c r="GQ399" s="21"/>
      <c r="GR399" s="21"/>
      <c r="GS399" s="21"/>
      <c r="GT399" s="21"/>
      <c r="GU399" s="21"/>
      <c r="GV399" s="21"/>
      <c r="GW399" s="21"/>
      <c r="GX399" s="21"/>
      <c r="GY399" s="21"/>
      <c r="GZ399" s="21"/>
      <c r="HA399" s="21"/>
      <c r="HB399" s="21"/>
    </row>
    <row r="400" spans="1:210"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c r="DB400" s="21"/>
      <c r="DC400" s="21"/>
      <c r="DD400" s="21"/>
      <c r="DE400" s="21"/>
      <c r="DF400" s="21"/>
      <c r="DG400" s="21"/>
      <c r="DH400" s="21"/>
      <c r="DI400" s="21"/>
      <c r="DJ400" s="21"/>
      <c r="DK400" s="21"/>
      <c r="DL400" s="21"/>
      <c r="DM400" s="21"/>
      <c r="DN400" s="21"/>
      <c r="DO400" s="21"/>
      <c r="DP400" s="21"/>
      <c r="DQ400" s="21"/>
      <c r="DR400" s="21"/>
      <c r="DS400" s="21"/>
      <c r="DT400" s="21"/>
      <c r="DU400" s="21"/>
      <c r="DV400" s="21"/>
      <c r="DW400" s="21"/>
      <c r="DX400" s="21"/>
      <c r="DY400" s="21"/>
      <c r="DZ400" s="21"/>
      <c r="EA400" s="21"/>
      <c r="EB400" s="21"/>
      <c r="EC400" s="21"/>
      <c r="ED400" s="21"/>
      <c r="EE400" s="21"/>
      <c r="EF400" s="21"/>
      <c r="EG400" s="21"/>
      <c r="EH400" s="21"/>
      <c r="EI400" s="21"/>
      <c r="EJ400" s="21"/>
      <c r="EK400" s="21"/>
      <c r="EL400" s="21"/>
      <c r="EM400" s="21"/>
      <c r="EN400" s="21"/>
      <c r="EO400" s="21"/>
      <c r="EP400" s="21"/>
      <c r="EQ400" s="21"/>
      <c r="ER400" s="21"/>
      <c r="ES400" s="21"/>
      <c r="ET400" s="21"/>
      <c r="EU400" s="21"/>
      <c r="EV400" s="21"/>
      <c r="EW400" s="21"/>
      <c r="EX400" s="21"/>
      <c r="EY400" s="21"/>
      <c r="EZ400" s="21"/>
      <c r="FA400" s="21"/>
      <c r="FB400" s="21"/>
      <c r="FC400" s="21"/>
      <c r="FD400" s="21"/>
      <c r="FE400" s="21"/>
      <c r="FF400" s="21"/>
      <c r="FG400" s="21"/>
      <c r="FH400" s="21"/>
      <c r="FI400" s="21"/>
      <c r="FJ400" s="21"/>
      <c r="FK400" s="21"/>
      <c r="FL400" s="21"/>
      <c r="FM400" s="21"/>
      <c r="FN400" s="21"/>
      <c r="FO400" s="21"/>
      <c r="FP400" s="21"/>
      <c r="FQ400" s="21"/>
      <c r="FR400" s="21"/>
      <c r="FS400" s="21"/>
      <c r="FT400" s="21"/>
      <c r="FU400" s="21"/>
      <c r="FV400" s="21"/>
      <c r="FW400" s="21"/>
      <c r="FX400" s="21"/>
      <c r="FY400" s="21"/>
      <c r="FZ400" s="21"/>
      <c r="GA400" s="21"/>
      <c r="GB400" s="21"/>
      <c r="GC400" s="21"/>
      <c r="GD400" s="21"/>
      <c r="GE400" s="21"/>
      <c r="GF400" s="21"/>
      <c r="GG400" s="21"/>
      <c r="GH400" s="21"/>
      <c r="GI400" s="21"/>
      <c r="GJ400" s="21"/>
      <c r="GK400" s="21"/>
      <c r="GL400" s="21"/>
      <c r="GM400" s="21"/>
      <c r="GN400" s="21"/>
      <c r="GO400" s="21"/>
      <c r="GP400" s="21"/>
      <c r="GQ400" s="21"/>
      <c r="GR400" s="21"/>
      <c r="GS400" s="21"/>
      <c r="GT400" s="21"/>
      <c r="GU400" s="21"/>
      <c r="GV400" s="21"/>
      <c r="GW400" s="21"/>
      <c r="GX400" s="21"/>
      <c r="GY400" s="21"/>
      <c r="GZ400" s="21"/>
      <c r="HA400" s="21"/>
      <c r="HB400" s="21"/>
    </row>
    <row r="401" spans="1:210"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21"/>
      <c r="CH401" s="21"/>
      <c r="CI401" s="21"/>
      <c r="CJ401" s="21"/>
      <c r="CK401" s="21"/>
      <c r="CL401" s="21"/>
      <c r="CM401" s="21"/>
      <c r="CN401" s="21"/>
      <c r="CO401" s="21"/>
      <c r="CP401" s="21"/>
      <c r="CQ401" s="21"/>
      <c r="CR401" s="21"/>
      <c r="CS401" s="21"/>
      <c r="CT401" s="21"/>
      <c r="CU401" s="21"/>
      <c r="CV401" s="21"/>
      <c r="CW401" s="21"/>
      <c r="CX401" s="21"/>
      <c r="CY401" s="21"/>
      <c r="CZ401" s="21"/>
      <c r="DA401" s="21"/>
      <c r="DB401" s="21"/>
      <c r="DC401" s="21"/>
      <c r="DD401" s="21"/>
      <c r="DE401" s="21"/>
      <c r="DF401" s="21"/>
      <c r="DG401" s="21"/>
      <c r="DH401" s="21"/>
      <c r="DI401" s="21"/>
      <c r="DJ401" s="21"/>
      <c r="DK401" s="21"/>
      <c r="DL401" s="21"/>
      <c r="DM401" s="21"/>
      <c r="DN401" s="21"/>
      <c r="DO401" s="21"/>
      <c r="DP401" s="21"/>
      <c r="DQ401" s="21"/>
      <c r="DR401" s="21"/>
      <c r="DS401" s="21"/>
      <c r="DT401" s="21"/>
      <c r="DU401" s="21"/>
      <c r="DV401" s="21"/>
      <c r="DW401" s="21"/>
      <c r="DX401" s="21"/>
      <c r="DY401" s="21"/>
      <c r="DZ401" s="21"/>
      <c r="EA401" s="21"/>
      <c r="EB401" s="21"/>
      <c r="EC401" s="21"/>
      <c r="ED401" s="21"/>
      <c r="EE401" s="21"/>
      <c r="EF401" s="21"/>
      <c r="EG401" s="21"/>
      <c r="EH401" s="21"/>
      <c r="EI401" s="21"/>
      <c r="EJ401" s="21"/>
      <c r="EK401" s="21"/>
      <c r="EL401" s="21"/>
      <c r="EM401" s="21"/>
      <c r="EN401" s="21"/>
      <c r="EO401" s="21"/>
      <c r="EP401" s="21"/>
      <c r="EQ401" s="21"/>
      <c r="ER401" s="21"/>
      <c r="ES401" s="21"/>
      <c r="ET401" s="21"/>
      <c r="EU401" s="21"/>
      <c r="EV401" s="21"/>
      <c r="EW401" s="21"/>
      <c r="EX401" s="21"/>
      <c r="EY401" s="21"/>
      <c r="EZ401" s="21"/>
      <c r="FA401" s="21"/>
      <c r="FB401" s="21"/>
      <c r="FC401" s="21"/>
      <c r="FD401" s="21"/>
      <c r="FE401" s="21"/>
      <c r="FF401" s="21"/>
      <c r="FG401" s="21"/>
      <c r="FH401" s="21"/>
      <c r="FI401" s="21"/>
      <c r="FJ401" s="21"/>
      <c r="FK401" s="21"/>
      <c r="FL401" s="21"/>
      <c r="FM401" s="21"/>
      <c r="FN401" s="21"/>
      <c r="FO401" s="21"/>
      <c r="FP401" s="21"/>
      <c r="FQ401" s="21"/>
      <c r="FR401" s="21"/>
      <c r="FS401" s="21"/>
      <c r="FT401" s="21"/>
      <c r="FU401" s="21"/>
      <c r="FV401" s="21"/>
      <c r="FW401" s="21"/>
      <c r="FX401" s="21"/>
      <c r="FY401" s="21"/>
      <c r="FZ401" s="21"/>
      <c r="GA401" s="21"/>
      <c r="GB401" s="21"/>
      <c r="GC401" s="21"/>
      <c r="GD401" s="21"/>
      <c r="GE401" s="21"/>
      <c r="GF401" s="21"/>
      <c r="GG401" s="21"/>
      <c r="GH401" s="21"/>
      <c r="GI401" s="21"/>
      <c r="GJ401" s="21"/>
      <c r="GK401" s="21"/>
      <c r="GL401" s="21"/>
      <c r="GM401" s="21"/>
      <c r="GN401" s="21"/>
      <c r="GO401" s="21"/>
      <c r="GP401" s="21"/>
      <c r="GQ401" s="21"/>
      <c r="GR401" s="21"/>
      <c r="GS401" s="21"/>
      <c r="GT401" s="21"/>
      <c r="GU401" s="21"/>
      <c r="GV401" s="21"/>
      <c r="GW401" s="21"/>
      <c r="GX401" s="21"/>
      <c r="GY401" s="21"/>
      <c r="GZ401" s="21"/>
      <c r="HA401" s="21"/>
      <c r="HB401" s="21"/>
    </row>
    <row r="402" spans="1:210"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c r="DB402" s="21"/>
      <c r="DC402" s="21"/>
      <c r="DD402" s="21"/>
      <c r="DE402" s="21"/>
      <c r="DF402" s="21"/>
      <c r="DG402" s="21"/>
      <c r="DH402" s="21"/>
      <c r="DI402" s="21"/>
      <c r="DJ402" s="21"/>
      <c r="DK402" s="21"/>
      <c r="DL402" s="21"/>
      <c r="DM402" s="21"/>
      <c r="DN402" s="21"/>
      <c r="DO402" s="21"/>
      <c r="DP402" s="21"/>
      <c r="DQ402" s="21"/>
      <c r="DR402" s="21"/>
      <c r="DS402" s="21"/>
      <c r="DT402" s="21"/>
      <c r="DU402" s="21"/>
      <c r="DV402" s="21"/>
      <c r="DW402" s="21"/>
      <c r="DX402" s="21"/>
      <c r="DY402" s="21"/>
      <c r="DZ402" s="21"/>
      <c r="EA402" s="21"/>
      <c r="EB402" s="21"/>
      <c r="EC402" s="21"/>
      <c r="ED402" s="21"/>
      <c r="EE402" s="21"/>
      <c r="EF402" s="21"/>
      <c r="EG402" s="21"/>
      <c r="EH402" s="21"/>
      <c r="EI402" s="21"/>
      <c r="EJ402" s="21"/>
      <c r="EK402" s="21"/>
      <c r="EL402" s="21"/>
      <c r="EM402" s="21"/>
      <c r="EN402" s="21"/>
      <c r="EO402" s="21"/>
      <c r="EP402" s="21"/>
      <c r="EQ402" s="21"/>
      <c r="ER402" s="21"/>
      <c r="ES402" s="21"/>
      <c r="ET402" s="21"/>
      <c r="EU402" s="21"/>
      <c r="EV402" s="21"/>
      <c r="EW402" s="21"/>
      <c r="EX402" s="21"/>
      <c r="EY402" s="21"/>
      <c r="EZ402" s="21"/>
      <c r="FA402" s="21"/>
      <c r="FB402" s="21"/>
      <c r="FC402" s="21"/>
      <c r="FD402" s="21"/>
      <c r="FE402" s="21"/>
      <c r="FF402" s="21"/>
      <c r="FG402" s="21"/>
      <c r="FH402" s="21"/>
      <c r="FI402" s="21"/>
      <c r="FJ402" s="21"/>
      <c r="FK402" s="21"/>
      <c r="FL402" s="21"/>
      <c r="FM402" s="21"/>
      <c r="FN402" s="21"/>
      <c r="FO402" s="21"/>
      <c r="FP402" s="21"/>
      <c r="FQ402" s="21"/>
      <c r="FR402" s="21"/>
      <c r="FS402" s="21"/>
      <c r="FT402" s="21"/>
      <c r="FU402" s="21"/>
      <c r="FV402" s="21"/>
      <c r="FW402" s="21"/>
      <c r="FX402" s="21"/>
      <c r="FY402" s="21"/>
      <c r="FZ402" s="21"/>
      <c r="GA402" s="21"/>
      <c r="GB402" s="21"/>
      <c r="GC402" s="21"/>
      <c r="GD402" s="21"/>
      <c r="GE402" s="21"/>
      <c r="GF402" s="21"/>
      <c r="GG402" s="21"/>
      <c r="GH402" s="21"/>
      <c r="GI402" s="21"/>
      <c r="GJ402" s="21"/>
      <c r="GK402" s="21"/>
      <c r="GL402" s="21"/>
      <c r="GM402" s="21"/>
      <c r="GN402" s="21"/>
      <c r="GO402" s="21"/>
      <c r="GP402" s="21"/>
      <c r="GQ402" s="21"/>
      <c r="GR402" s="21"/>
      <c r="GS402" s="21"/>
      <c r="GT402" s="21"/>
      <c r="GU402" s="21"/>
      <c r="GV402" s="21"/>
      <c r="GW402" s="21"/>
      <c r="GX402" s="21"/>
      <c r="GY402" s="21"/>
      <c r="GZ402" s="21"/>
      <c r="HA402" s="21"/>
      <c r="HB402" s="21"/>
    </row>
    <row r="403" spans="1:210"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21"/>
      <c r="CH403" s="21"/>
      <c r="CI403" s="21"/>
      <c r="CJ403" s="21"/>
      <c r="CK403" s="21"/>
      <c r="CL403" s="21"/>
      <c r="CM403" s="21"/>
      <c r="CN403" s="21"/>
      <c r="CO403" s="21"/>
      <c r="CP403" s="21"/>
      <c r="CQ403" s="21"/>
      <c r="CR403" s="21"/>
      <c r="CS403" s="21"/>
      <c r="CT403" s="21"/>
      <c r="CU403" s="21"/>
      <c r="CV403" s="21"/>
      <c r="CW403" s="21"/>
      <c r="CX403" s="21"/>
      <c r="CY403" s="21"/>
      <c r="CZ403" s="21"/>
      <c r="DA403" s="21"/>
      <c r="DB403" s="21"/>
      <c r="DC403" s="21"/>
      <c r="DD403" s="21"/>
      <c r="DE403" s="21"/>
      <c r="DF403" s="21"/>
      <c r="DG403" s="21"/>
      <c r="DH403" s="21"/>
      <c r="DI403" s="21"/>
      <c r="DJ403" s="21"/>
      <c r="DK403" s="21"/>
      <c r="DL403" s="21"/>
      <c r="DM403" s="21"/>
      <c r="DN403" s="21"/>
      <c r="DO403" s="21"/>
      <c r="DP403" s="21"/>
      <c r="DQ403" s="21"/>
      <c r="DR403" s="21"/>
      <c r="DS403" s="21"/>
      <c r="DT403" s="21"/>
      <c r="DU403" s="21"/>
      <c r="DV403" s="21"/>
      <c r="DW403" s="21"/>
      <c r="DX403" s="21"/>
      <c r="DY403" s="21"/>
      <c r="DZ403" s="21"/>
      <c r="EA403" s="21"/>
      <c r="EB403" s="21"/>
      <c r="EC403" s="21"/>
      <c r="ED403" s="21"/>
      <c r="EE403" s="21"/>
      <c r="EF403" s="21"/>
      <c r="EG403" s="21"/>
      <c r="EH403" s="21"/>
      <c r="EI403" s="21"/>
      <c r="EJ403" s="21"/>
      <c r="EK403" s="21"/>
      <c r="EL403" s="21"/>
      <c r="EM403" s="21"/>
      <c r="EN403" s="21"/>
      <c r="EO403" s="21"/>
      <c r="EP403" s="21"/>
      <c r="EQ403" s="21"/>
      <c r="ER403" s="21"/>
      <c r="ES403" s="21"/>
      <c r="ET403" s="21"/>
      <c r="EU403" s="21"/>
      <c r="EV403" s="21"/>
      <c r="EW403" s="21"/>
      <c r="EX403" s="21"/>
      <c r="EY403" s="21"/>
      <c r="EZ403" s="21"/>
      <c r="FA403" s="21"/>
      <c r="FB403" s="21"/>
      <c r="FC403" s="21"/>
      <c r="FD403" s="21"/>
      <c r="FE403" s="21"/>
      <c r="FF403" s="21"/>
      <c r="FG403" s="21"/>
      <c r="FH403" s="21"/>
      <c r="FI403" s="21"/>
      <c r="FJ403" s="21"/>
      <c r="FK403" s="21"/>
      <c r="FL403" s="21"/>
      <c r="FM403" s="21"/>
      <c r="FN403" s="21"/>
      <c r="FO403" s="21"/>
      <c r="FP403" s="21"/>
      <c r="FQ403" s="21"/>
      <c r="FR403" s="21"/>
      <c r="FS403" s="21"/>
      <c r="FT403" s="21"/>
      <c r="FU403" s="21"/>
      <c r="FV403" s="21"/>
      <c r="FW403" s="21"/>
      <c r="FX403" s="21"/>
      <c r="FY403" s="21"/>
      <c r="FZ403" s="21"/>
      <c r="GA403" s="21"/>
      <c r="GB403" s="21"/>
      <c r="GC403" s="21"/>
      <c r="GD403" s="21"/>
      <c r="GE403" s="21"/>
      <c r="GF403" s="21"/>
      <c r="GG403" s="21"/>
      <c r="GH403" s="21"/>
      <c r="GI403" s="21"/>
      <c r="GJ403" s="21"/>
      <c r="GK403" s="21"/>
      <c r="GL403" s="21"/>
      <c r="GM403" s="21"/>
      <c r="GN403" s="21"/>
      <c r="GO403" s="21"/>
      <c r="GP403" s="21"/>
      <c r="GQ403" s="21"/>
      <c r="GR403" s="21"/>
      <c r="GS403" s="21"/>
      <c r="GT403" s="21"/>
      <c r="GU403" s="21"/>
      <c r="GV403" s="21"/>
      <c r="GW403" s="21"/>
      <c r="GX403" s="21"/>
      <c r="GY403" s="21"/>
      <c r="GZ403" s="21"/>
      <c r="HA403" s="21"/>
      <c r="HB403" s="21"/>
    </row>
    <row r="404" spans="1:210"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21"/>
      <c r="CH404" s="21"/>
      <c r="CI404" s="21"/>
      <c r="CJ404" s="21"/>
      <c r="CK404" s="21"/>
      <c r="CL404" s="21"/>
      <c r="CM404" s="21"/>
      <c r="CN404" s="21"/>
      <c r="CO404" s="21"/>
      <c r="CP404" s="21"/>
      <c r="CQ404" s="21"/>
      <c r="CR404" s="21"/>
      <c r="CS404" s="21"/>
      <c r="CT404" s="21"/>
      <c r="CU404" s="21"/>
      <c r="CV404" s="21"/>
      <c r="CW404" s="21"/>
      <c r="CX404" s="21"/>
      <c r="CY404" s="21"/>
      <c r="CZ404" s="21"/>
      <c r="DA404" s="21"/>
      <c r="DB404" s="21"/>
      <c r="DC404" s="21"/>
      <c r="DD404" s="21"/>
      <c r="DE404" s="21"/>
      <c r="DF404" s="21"/>
      <c r="DG404" s="21"/>
      <c r="DH404" s="21"/>
      <c r="DI404" s="21"/>
      <c r="DJ404" s="21"/>
      <c r="DK404" s="21"/>
      <c r="DL404" s="21"/>
      <c r="DM404" s="21"/>
      <c r="DN404" s="21"/>
      <c r="DO404" s="21"/>
      <c r="DP404" s="21"/>
      <c r="DQ404" s="21"/>
      <c r="DR404" s="21"/>
      <c r="DS404" s="21"/>
      <c r="DT404" s="21"/>
      <c r="DU404" s="21"/>
      <c r="DV404" s="21"/>
      <c r="DW404" s="21"/>
      <c r="DX404" s="21"/>
      <c r="DY404" s="21"/>
      <c r="DZ404" s="21"/>
      <c r="EA404" s="21"/>
      <c r="EB404" s="21"/>
      <c r="EC404" s="21"/>
      <c r="ED404" s="21"/>
      <c r="EE404" s="21"/>
      <c r="EF404" s="21"/>
      <c r="EG404" s="21"/>
      <c r="EH404" s="21"/>
      <c r="EI404" s="21"/>
      <c r="EJ404" s="21"/>
      <c r="EK404" s="21"/>
      <c r="EL404" s="21"/>
      <c r="EM404" s="21"/>
      <c r="EN404" s="21"/>
      <c r="EO404" s="21"/>
      <c r="EP404" s="21"/>
      <c r="EQ404" s="21"/>
      <c r="ER404" s="21"/>
      <c r="ES404" s="21"/>
      <c r="ET404" s="21"/>
      <c r="EU404" s="21"/>
      <c r="EV404" s="21"/>
      <c r="EW404" s="21"/>
      <c r="EX404" s="21"/>
      <c r="EY404" s="21"/>
      <c r="EZ404" s="21"/>
      <c r="FA404" s="21"/>
      <c r="FB404" s="21"/>
      <c r="FC404" s="21"/>
      <c r="FD404" s="21"/>
      <c r="FE404" s="21"/>
      <c r="FF404" s="21"/>
      <c r="FG404" s="21"/>
      <c r="FH404" s="21"/>
      <c r="FI404" s="21"/>
      <c r="FJ404" s="21"/>
      <c r="FK404" s="21"/>
      <c r="FL404" s="21"/>
      <c r="FM404" s="21"/>
      <c r="FN404" s="21"/>
      <c r="FO404" s="21"/>
      <c r="FP404" s="21"/>
      <c r="FQ404" s="21"/>
      <c r="FR404" s="21"/>
      <c r="FS404" s="21"/>
      <c r="FT404" s="21"/>
      <c r="FU404" s="21"/>
      <c r="FV404" s="21"/>
      <c r="FW404" s="21"/>
      <c r="FX404" s="21"/>
      <c r="FY404" s="21"/>
      <c r="FZ404" s="21"/>
      <c r="GA404" s="21"/>
      <c r="GB404" s="21"/>
      <c r="GC404" s="21"/>
      <c r="GD404" s="21"/>
      <c r="GE404" s="21"/>
      <c r="GF404" s="21"/>
      <c r="GG404" s="21"/>
      <c r="GH404" s="21"/>
      <c r="GI404" s="21"/>
      <c r="GJ404" s="21"/>
      <c r="GK404" s="21"/>
      <c r="GL404" s="21"/>
      <c r="GM404" s="21"/>
      <c r="GN404" s="21"/>
      <c r="GO404" s="21"/>
      <c r="GP404" s="21"/>
      <c r="GQ404" s="21"/>
      <c r="GR404" s="21"/>
      <c r="GS404" s="21"/>
      <c r="GT404" s="21"/>
      <c r="GU404" s="21"/>
      <c r="GV404" s="21"/>
      <c r="GW404" s="21"/>
      <c r="GX404" s="21"/>
      <c r="GY404" s="21"/>
      <c r="GZ404" s="21"/>
      <c r="HA404" s="21"/>
      <c r="HB404" s="21"/>
    </row>
    <row r="405" spans="1:210"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c r="DB405" s="21"/>
      <c r="DC405" s="21"/>
      <c r="DD405" s="21"/>
      <c r="DE405" s="21"/>
      <c r="DF405" s="21"/>
      <c r="DG405" s="21"/>
      <c r="DH405" s="21"/>
      <c r="DI405" s="21"/>
      <c r="DJ405" s="21"/>
      <c r="DK405" s="21"/>
      <c r="DL405" s="21"/>
      <c r="DM405" s="21"/>
      <c r="DN405" s="21"/>
      <c r="DO405" s="21"/>
      <c r="DP405" s="21"/>
      <c r="DQ405" s="21"/>
      <c r="DR405" s="21"/>
      <c r="DS405" s="21"/>
      <c r="DT405" s="21"/>
      <c r="DU405" s="21"/>
      <c r="DV405" s="21"/>
      <c r="DW405" s="21"/>
      <c r="DX405" s="21"/>
      <c r="DY405" s="21"/>
      <c r="DZ405" s="21"/>
      <c r="EA405" s="21"/>
      <c r="EB405" s="21"/>
      <c r="EC405" s="21"/>
      <c r="ED405" s="21"/>
      <c r="EE405" s="21"/>
      <c r="EF405" s="21"/>
      <c r="EG405" s="21"/>
      <c r="EH405" s="21"/>
      <c r="EI405" s="21"/>
      <c r="EJ405" s="21"/>
      <c r="EK405" s="21"/>
      <c r="EL405" s="21"/>
      <c r="EM405" s="21"/>
      <c r="EN405" s="21"/>
      <c r="EO405" s="21"/>
      <c r="EP405" s="21"/>
      <c r="EQ405" s="21"/>
      <c r="ER405" s="21"/>
      <c r="ES405" s="21"/>
      <c r="ET405" s="21"/>
      <c r="EU405" s="21"/>
      <c r="EV405" s="21"/>
      <c r="EW405" s="21"/>
      <c r="EX405" s="21"/>
      <c r="EY405" s="21"/>
      <c r="EZ405" s="21"/>
      <c r="FA405" s="21"/>
      <c r="FB405" s="21"/>
      <c r="FC405" s="21"/>
      <c r="FD405" s="21"/>
      <c r="FE405" s="21"/>
      <c r="FF405" s="21"/>
      <c r="FG405" s="21"/>
      <c r="FH405" s="21"/>
      <c r="FI405" s="21"/>
      <c r="FJ405" s="21"/>
      <c r="FK405" s="21"/>
      <c r="FL405" s="21"/>
      <c r="FM405" s="21"/>
      <c r="FN405" s="21"/>
      <c r="FO405" s="21"/>
      <c r="FP405" s="21"/>
      <c r="FQ405" s="21"/>
      <c r="FR405" s="21"/>
      <c r="FS405" s="21"/>
      <c r="FT405" s="21"/>
      <c r="FU405" s="21"/>
      <c r="FV405" s="21"/>
      <c r="FW405" s="21"/>
      <c r="FX405" s="21"/>
      <c r="FY405" s="21"/>
      <c r="FZ405" s="21"/>
      <c r="GA405" s="21"/>
      <c r="GB405" s="21"/>
      <c r="GC405" s="21"/>
      <c r="GD405" s="21"/>
      <c r="GE405" s="21"/>
      <c r="GF405" s="21"/>
      <c r="GG405" s="21"/>
      <c r="GH405" s="21"/>
      <c r="GI405" s="21"/>
      <c r="GJ405" s="21"/>
      <c r="GK405" s="21"/>
      <c r="GL405" s="21"/>
      <c r="GM405" s="21"/>
      <c r="GN405" s="21"/>
      <c r="GO405" s="21"/>
      <c r="GP405" s="21"/>
      <c r="GQ405" s="21"/>
      <c r="GR405" s="21"/>
      <c r="GS405" s="21"/>
      <c r="GT405" s="21"/>
      <c r="GU405" s="21"/>
      <c r="GV405" s="21"/>
      <c r="GW405" s="21"/>
      <c r="GX405" s="21"/>
      <c r="GY405" s="21"/>
      <c r="GZ405" s="21"/>
      <c r="HA405" s="21"/>
      <c r="HB405" s="21"/>
    </row>
    <row r="406" spans="1:210"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c r="DB406" s="21"/>
      <c r="DC406" s="21"/>
      <c r="DD406" s="21"/>
      <c r="DE406" s="21"/>
      <c r="DF406" s="21"/>
      <c r="DG406" s="21"/>
      <c r="DH406" s="21"/>
      <c r="DI406" s="21"/>
      <c r="DJ406" s="21"/>
      <c r="DK406" s="21"/>
      <c r="DL406" s="21"/>
      <c r="DM406" s="21"/>
      <c r="DN406" s="21"/>
      <c r="DO406" s="21"/>
      <c r="DP406" s="21"/>
      <c r="DQ406" s="21"/>
      <c r="DR406" s="21"/>
      <c r="DS406" s="21"/>
      <c r="DT406" s="21"/>
      <c r="DU406" s="21"/>
      <c r="DV406" s="21"/>
      <c r="DW406" s="21"/>
      <c r="DX406" s="21"/>
      <c r="DY406" s="21"/>
      <c r="DZ406" s="21"/>
      <c r="EA406" s="21"/>
      <c r="EB406" s="21"/>
      <c r="EC406" s="21"/>
      <c r="ED406" s="21"/>
      <c r="EE406" s="21"/>
      <c r="EF406" s="21"/>
      <c r="EG406" s="21"/>
      <c r="EH406" s="21"/>
      <c r="EI406" s="21"/>
      <c r="EJ406" s="21"/>
      <c r="EK406" s="21"/>
      <c r="EL406" s="21"/>
      <c r="EM406" s="21"/>
      <c r="EN406" s="21"/>
      <c r="EO406" s="21"/>
      <c r="EP406" s="21"/>
      <c r="EQ406" s="21"/>
      <c r="ER406" s="21"/>
      <c r="ES406" s="21"/>
      <c r="ET406" s="21"/>
      <c r="EU406" s="21"/>
      <c r="EV406" s="21"/>
      <c r="EW406" s="21"/>
      <c r="EX406" s="21"/>
      <c r="EY406" s="21"/>
      <c r="EZ406" s="21"/>
      <c r="FA406" s="21"/>
      <c r="FB406" s="21"/>
      <c r="FC406" s="21"/>
      <c r="FD406" s="21"/>
      <c r="FE406" s="21"/>
      <c r="FF406" s="21"/>
      <c r="FG406" s="21"/>
      <c r="FH406" s="21"/>
      <c r="FI406" s="21"/>
      <c r="FJ406" s="21"/>
      <c r="FK406" s="21"/>
      <c r="FL406" s="21"/>
      <c r="FM406" s="21"/>
      <c r="FN406" s="21"/>
      <c r="FO406" s="21"/>
      <c r="FP406" s="21"/>
      <c r="FQ406" s="21"/>
      <c r="FR406" s="21"/>
      <c r="FS406" s="21"/>
      <c r="FT406" s="21"/>
      <c r="FU406" s="21"/>
      <c r="FV406" s="21"/>
      <c r="FW406" s="21"/>
      <c r="FX406" s="21"/>
      <c r="FY406" s="21"/>
      <c r="FZ406" s="21"/>
      <c r="GA406" s="21"/>
      <c r="GB406" s="21"/>
      <c r="GC406" s="21"/>
      <c r="GD406" s="21"/>
      <c r="GE406" s="21"/>
      <c r="GF406" s="21"/>
      <c r="GG406" s="21"/>
      <c r="GH406" s="21"/>
      <c r="GI406" s="21"/>
      <c r="GJ406" s="21"/>
      <c r="GK406" s="21"/>
      <c r="GL406" s="21"/>
      <c r="GM406" s="21"/>
      <c r="GN406" s="21"/>
      <c r="GO406" s="21"/>
      <c r="GP406" s="21"/>
      <c r="GQ406" s="21"/>
      <c r="GR406" s="21"/>
      <c r="GS406" s="21"/>
      <c r="GT406" s="21"/>
      <c r="GU406" s="21"/>
      <c r="GV406" s="21"/>
      <c r="GW406" s="21"/>
      <c r="GX406" s="21"/>
      <c r="GY406" s="21"/>
      <c r="GZ406" s="21"/>
      <c r="HA406" s="21"/>
      <c r="HB406" s="21"/>
    </row>
    <row r="407" spans="1:210"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c r="DB407" s="21"/>
      <c r="DC407" s="21"/>
      <c r="DD407" s="21"/>
      <c r="DE407" s="21"/>
      <c r="DF407" s="21"/>
      <c r="DG407" s="21"/>
      <c r="DH407" s="21"/>
      <c r="DI407" s="21"/>
      <c r="DJ407" s="21"/>
      <c r="DK407" s="21"/>
      <c r="DL407" s="21"/>
      <c r="DM407" s="21"/>
      <c r="DN407" s="21"/>
      <c r="DO407" s="21"/>
      <c r="DP407" s="21"/>
      <c r="DQ407" s="21"/>
      <c r="DR407" s="21"/>
      <c r="DS407" s="21"/>
      <c r="DT407" s="21"/>
      <c r="DU407" s="21"/>
      <c r="DV407" s="21"/>
      <c r="DW407" s="21"/>
      <c r="DX407" s="21"/>
      <c r="DY407" s="21"/>
      <c r="DZ407" s="21"/>
      <c r="EA407" s="21"/>
      <c r="EB407" s="21"/>
      <c r="EC407" s="21"/>
      <c r="ED407" s="21"/>
      <c r="EE407" s="21"/>
      <c r="EF407" s="21"/>
      <c r="EG407" s="21"/>
      <c r="EH407" s="21"/>
      <c r="EI407" s="21"/>
      <c r="EJ407" s="21"/>
      <c r="EK407" s="21"/>
      <c r="EL407" s="21"/>
      <c r="EM407" s="21"/>
      <c r="EN407" s="21"/>
      <c r="EO407" s="21"/>
      <c r="EP407" s="21"/>
      <c r="EQ407" s="21"/>
      <c r="ER407" s="21"/>
      <c r="ES407" s="21"/>
      <c r="ET407" s="21"/>
      <c r="EU407" s="21"/>
      <c r="EV407" s="21"/>
      <c r="EW407" s="21"/>
      <c r="EX407" s="21"/>
      <c r="EY407" s="21"/>
      <c r="EZ407" s="21"/>
      <c r="FA407" s="21"/>
      <c r="FB407" s="21"/>
      <c r="FC407" s="21"/>
      <c r="FD407" s="21"/>
      <c r="FE407" s="21"/>
      <c r="FF407" s="21"/>
      <c r="FG407" s="21"/>
      <c r="FH407" s="21"/>
      <c r="FI407" s="21"/>
      <c r="FJ407" s="21"/>
      <c r="FK407" s="21"/>
      <c r="FL407" s="21"/>
      <c r="FM407" s="21"/>
      <c r="FN407" s="21"/>
      <c r="FO407" s="21"/>
      <c r="FP407" s="21"/>
      <c r="FQ407" s="21"/>
      <c r="FR407" s="21"/>
      <c r="FS407" s="21"/>
      <c r="FT407" s="21"/>
      <c r="FU407" s="21"/>
      <c r="FV407" s="21"/>
      <c r="FW407" s="21"/>
      <c r="FX407" s="21"/>
      <c r="FY407" s="21"/>
      <c r="FZ407" s="21"/>
      <c r="GA407" s="21"/>
      <c r="GB407" s="21"/>
      <c r="GC407" s="21"/>
      <c r="GD407" s="21"/>
      <c r="GE407" s="21"/>
      <c r="GF407" s="21"/>
      <c r="GG407" s="21"/>
      <c r="GH407" s="21"/>
      <c r="GI407" s="21"/>
      <c r="GJ407" s="21"/>
      <c r="GK407" s="21"/>
      <c r="GL407" s="21"/>
      <c r="GM407" s="21"/>
      <c r="GN407" s="21"/>
      <c r="GO407" s="21"/>
      <c r="GP407" s="21"/>
      <c r="GQ407" s="21"/>
      <c r="GR407" s="21"/>
      <c r="GS407" s="21"/>
      <c r="GT407" s="21"/>
      <c r="GU407" s="21"/>
      <c r="GV407" s="21"/>
      <c r="GW407" s="21"/>
      <c r="GX407" s="21"/>
      <c r="GY407" s="21"/>
      <c r="GZ407" s="21"/>
      <c r="HA407" s="21"/>
      <c r="HB407" s="21"/>
    </row>
    <row r="408" spans="1:210"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c r="DB408" s="21"/>
      <c r="DC408" s="21"/>
      <c r="DD408" s="21"/>
      <c r="DE408" s="21"/>
      <c r="DF408" s="21"/>
      <c r="DG408" s="21"/>
      <c r="DH408" s="21"/>
      <c r="DI408" s="21"/>
      <c r="DJ408" s="21"/>
      <c r="DK408" s="21"/>
      <c r="DL408" s="21"/>
      <c r="DM408" s="21"/>
      <c r="DN408" s="21"/>
      <c r="DO408" s="21"/>
      <c r="DP408" s="21"/>
      <c r="DQ408" s="21"/>
      <c r="DR408" s="21"/>
      <c r="DS408" s="21"/>
      <c r="DT408" s="21"/>
      <c r="DU408" s="21"/>
      <c r="DV408" s="21"/>
      <c r="DW408" s="21"/>
      <c r="DX408" s="21"/>
      <c r="DY408" s="21"/>
      <c r="DZ408" s="21"/>
      <c r="EA408" s="21"/>
      <c r="EB408" s="21"/>
      <c r="EC408" s="21"/>
      <c r="ED408" s="21"/>
      <c r="EE408" s="21"/>
      <c r="EF408" s="21"/>
      <c r="EG408" s="21"/>
      <c r="EH408" s="21"/>
      <c r="EI408" s="21"/>
      <c r="EJ408" s="21"/>
      <c r="EK408" s="21"/>
      <c r="EL408" s="21"/>
      <c r="EM408" s="21"/>
      <c r="EN408" s="21"/>
      <c r="EO408" s="21"/>
      <c r="EP408" s="21"/>
      <c r="EQ408" s="21"/>
      <c r="ER408" s="21"/>
      <c r="ES408" s="21"/>
      <c r="ET408" s="21"/>
      <c r="EU408" s="21"/>
      <c r="EV408" s="21"/>
      <c r="EW408" s="21"/>
      <c r="EX408" s="21"/>
      <c r="EY408" s="21"/>
      <c r="EZ408" s="21"/>
      <c r="FA408" s="21"/>
      <c r="FB408" s="21"/>
      <c r="FC408" s="21"/>
      <c r="FD408" s="21"/>
      <c r="FE408" s="21"/>
      <c r="FF408" s="21"/>
      <c r="FG408" s="21"/>
      <c r="FH408" s="21"/>
      <c r="FI408" s="21"/>
      <c r="FJ408" s="21"/>
      <c r="FK408" s="21"/>
      <c r="FL408" s="21"/>
      <c r="FM408" s="21"/>
      <c r="FN408" s="21"/>
      <c r="FO408" s="21"/>
      <c r="FP408" s="21"/>
      <c r="FQ408" s="21"/>
      <c r="FR408" s="21"/>
      <c r="FS408" s="21"/>
      <c r="FT408" s="21"/>
      <c r="FU408" s="21"/>
      <c r="FV408" s="21"/>
      <c r="FW408" s="21"/>
      <c r="FX408" s="21"/>
      <c r="FY408" s="21"/>
      <c r="FZ408" s="21"/>
      <c r="GA408" s="21"/>
      <c r="GB408" s="21"/>
      <c r="GC408" s="21"/>
      <c r="GD408" s="21"/>
      <c r="GE408" s="21"/>
      <c r="GF408" s="21"/>
      <c r="GG408" s="21"/>
      <c r="GH408" s="21"/>
      <c r="GI408" s="21"/>
      <c r="GJ408" s="21"/>
      <c r="GK408" s="21"/>
      <c r="GL408" s="21"/>
      <c r="GM408" s="21"/>
      <c r="GN408" s="21"/>
      <c r="GO408" s="21"/>
      <c r="GP408" s="21"/>
      <c r="GQ408" s="21"/>
      <c r="GR408" s="21"/>
      <c r="GS408" s="21"/>
      <c r="GT408" s="21"/>
      <c r="GU408" s="21"/>
      <c r="GV408" s="21"/>
      <c r="GW408" s="21"/>
      <c r="GX408" s="21"/>
      <c r="GY408" s="21"/>
      <c r="GZ408" s="21"/>
      <c r="HA408" s="21"/>
      <c r="HB408" s="21"/>
    </row>
    <row r="409" spans="1:210"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c r="DB409" s="21"/>
      <c r="DC409" s="21"/>
      <c r="DD409" s="21"/>
      <c r="DE409" s="21"/>
      <c r="DF409" s="21"/>
      <c r="DG409" s="21"/>
      <c r="DH409" s="21"/>
      <c r="DI409" s="21"/>
      <c r="DJ409" s="21"/>
      <c r="DK409" s="21"/>
      <c r="DL409" s="21"/>
      <c r="DM409" s="21"/>
      <c r="DN409" s="21"/>
      <c r="DO409" s="21"/>
      <c r="DP409" s="21"/>
      <c r="DQ409" s="21"/>
      <c r="DR409" s="21"/>
      <c r="DS409" s="21"/>
      <c r="DT409" s="21"/>
      <c r="DU409" s="21"/>
      <c r="DV409" s="21"/>
      <c r="DW409" s="21"/>
      <c r="DX409" s="21"/>
      <c r="DY409" s="21"/>
      <c r="DZ409" s="21"/>
      <c r="EA409" s="21"/>
      <c r="EB409" s="21"/>
      <c r="EC409" s="21"/>
      <c r="ED409" s="21"/>
      <c r="EE409" s="21"/>
      <c r="EF409" s="21"/>
      <c r="EG409" s="21"/>
      <c r="EH409" s="21"/>
      <c r="EI409" s="21"/>
      <c r="EJ409" s="21"/>
      <c r="EK409" s="21"/>
      <c r="EL409" s="21"/>
      <c r="EM409" s="21"/>
      <c r="EN409" s="21"/>
      <c r="EO409" s="21"/>
      <c r="EP409" s="21"/>
      <c r="EQ409" s="21"/>
      <c r="ER409" s="21"/>
      <c r="ES409" s="21"/>
      <c r="ET409" s="21"/>
      <c r="EU409" s="21"/>
      <c r="EV409" s="21"/>
      <c r="EW409" s="21"/>
      <c r="EX409" s="21"/>
      <c r="EY409" s="21"/>
      <c r="EZ409" s="21"/>
      <c r="FA409" s="21"/>
      <c r="FB409" s="21"/>
      <c r="FC409" s="21"/>
      <c r="FD409" s="21"/>
      <c r="FE409" s="21"/>
      <c r="FF409" s="21"/>
      <c r="FG409" s="21"/>
      <c r="FH409" s="21"/>
      <c r="FI409" s="21"/>
      <c r="FJ409" s="21"/>
      <c r="FK409" s="21"/>
      <c r="FL409" s="21"/>
      <c r="FM409" s="21"/>
      <c r="FN409" s="21"/>
      <c r="FO409" s="21"/>
      <c r="FP409" s="21"/>
      <c r="FQ409" s="21"/>
      <c r="FR409" s="21"/>
      <c r="FS409" s="21"/>
      <c r="FT409" s="21"/>
      <c r="FU409" s="21"/>
      <c r="FV409" s="21"/>
      <c r="FW409" s="21"/>
      <c r="FX409" s="21"/>
      <c r="FY409" s="21"/>
      <c r="FZ409" s="21"/>
      <c r="GA409" s="21"/>
      <c r="GB409" s="21"/>
      <c r="GC409" s="21"/>
      <c r="GD409" s="21"/>
      <c r="GE409" s="21"/>
      <c r="GF409" s="21"/>
      <c r="GG409" s="21"/>
      <c r="GH409" s="21"/>
      <c r="GI409" s="21"/>
      <c r="GJ409" s="21"/>
      <c r="GK409" s="21"/>
      <c r="GL409" s="21"/>
      <c r="GM409" s="21"/>
      <c r="GN409" s="21"/>
      <c r="GO409" s="21"/>
      <c r="GP409" s="21"/>
      <c r="GQ409" s="21"/>
      <c r="GR409" s="21"/>
      <c r="GS409" s="21"/>
      <c r="GT409" s="21"/>
      <c r="GU409" s="21"/>
      <c r="GV409" s="21"/>
      <c r="GW409" s="21"/>
      <c r="GX409" s="21"/>
      <c r="GY409" s="21"/>
      <c r="GZ409" s="21"/>
      <c r="HA409" s="21"/>
      <c r="HB409" s="21"/>
    </row>
    <row r="410" spans="1:210"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c r="DB410" s="21"/>
      <c r="DC410" s="21"/>
      <c r="DD410" s="21"/>
      <c r="DE410" s="21"/>
      <c r="DF410" s="21"/>
      <c r="DG410" s="21"/>
      <c r="DH410" s="21"/>
      <c r="DI410" s="21"/>
      <c r="DJ410" s="21"/>
      <c r="DK410" s="21"/>
      <c r="DL410" s="21"/>
      <c r="DM410" s="21"/>
      <c r="DN410" s="21"/>
      <c r="DO410" s="21"/>
      <c r="DP410" s="21"/>
      <c r="DQ410" s="21"/>
      <c r="DR410" s="21"/>
      <c r="DS410" s="21"/>
      <c r="DT410" s="21"/>
      <c r="DU410" s="21"/>
      <c r="DV410" s="21"/>
      <c r="DW410" s="21"/>
      <c r="DX410" s="21"/>
      <c r="DY410" s="21"/>
      <c r="DZ410" s="21"/>
      <c r="EA410" s="21"/>
      <c r="EB410" s="21"/>
      <c r="EC410" s="21"/>
      <c r="ED410" s="21"/>
      <c r="EE410" s="21"/>
      <c r="EF410" s="21"/>
      <c r="EG410" s="21"/>
      <c r="EH410" s="21"/>
      <c r="EI410" s="21"/>
      <c r="EJ410" s="21"/>
      <c r="EK410" s="21"/>
      <c r="EL410" s="21"/>
      <c r="EM410" s="21"/>
      <c r="EN410" s="21"/>
      <c r="EO410" s="21"/>
      <c r="EP410" s="21"/>
      <c r="EQ410" s="21"/>
      <c r="ER410" s="21"/>
      <c r="ES410" s="21"/>
      <c r="ET410" s="21"/>
      <c r="EU410" s="21"/>
      <c r="EV410" s="21"/>
      <c r="EW410" s="21"/>
      <c r="EX410" s="21"/>
      <c r="EY410" s="21"/>
      <c r="EZ410" s="21"/>
      <c r="FA410" s="21"/>
      <c r="FB410" s="21"/>
      <c r="FC410" s="21"/>
      <c r="FD410" s="21"/>
      <c r="FE410" s="21"/>
      <c r="FF410" s="21"/>
      <c r="FG410" s="21"/>
      <c r="FH410" s="21"/>
      <c r="FI410" s="21"/>
      <c r="FJ410" s="21"/>
      <c r="FK410" s="21"/>
      <c r="FL410" s="21"/>
      <c r="FM410" s="21"/>
      <c r="FN410" s="21"/>
      <c r="FO410" s="21"/>
      <c r="FP410" s="21"/>
      <c r="FQ410" s="21"/>
      <c r="FR410" s="21"/>
      <c r="FS410" s="21"/>
      <c r="FT410" s="21"/>
      <c r="FU410" s="21"/>
      <c r="FV410" s="21"/>
      <c r="FW410" s="21"/>
      <c r="FX410" s="21"/>
      <c r="FY410" s="21"/>
      <c r="FZ410" s="21"/>
      <c r="GA410" s="21"/>
      <c r="GB410" s="21"/>
      <c r="GC410" s="21"/>
      <c r="GD410" s="21"/>
      <c r="GE410" s="21"/>
      <c r="GF410" s="21"/>
      <c r="GG410" s="21"/>
      <c r="GH410" s="21"/>
      <c r="GI410" s="21"/>
      <c r="GJ410" s="21"/>
      <c r="GK410" s="21"/>
      <c r="GL410" s="21"/>
      <c r="GM410" s="21"/>
      <c r="GN410" s="21"/>
      <c r="GO410" s="21"/>
      <c r="GP410" s="21"/>
      <c r="GQ410" s="21"/>
      <c r="GR410" s="21"/>
      <c r="GS410" s="21"/>
      <c r="GT410" s="21"/>
      <c r="GU410" s="21"/>
      <c r="GV410" s="21"/>
      <c r="GW410" s="21"/>
      <c r="GX410" s="21"/>
      <c r="GY410" s="21"/>
      <c r="GZ410" s="21"/>
      <c r="HA410" s="21"/>
      <c r="HB410" s="21"/>
    </row>
    <row r="411" spans="1:210"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c r="DB411" s="21"/>
      <c r="DC411" s="21"/>
      <c r="DD411" s="21"/>
      <c r="DE411" s="21"/>
      <c r="DF411" s="21"/>
      <c r="DG411" s="21"/>
      <c r="DH411" s="21"/>
      <c r="DI411" s="21"/>
      <c r="DJ411" s="21"/>
      <c r="DK411" s="21"/>
      <c r="DL411" s="21"/>
      <c r="DM411" s="21"/>
      <c r="DN411" s="21"/>
      <c r="DO411" s="21"/>
      <c r="DP411" s="21"/>
      <c r="DQ411" s="21"/>
      <c r="DR411" s="21"/>
      <c r="DS411" s="21"/>
      <c r="DT411" s="21"/>
      <c r="DU411" s="21"/>
      <c r="DV411" s="21"/>
      <c r="DW411" s="21"/>
      <c r="DX411" s="21"/>
      <c r="DY411" s="21"/>
      <c r="DZ411" s="21"/>
      <c r="EA411" s="21"/>
      <c r="EB411" s="21"/>
      <c r="EC411" s="21"/>
      <c r="ED411" s="21"/>
      <c r="EE411" s="21"/>
      <c r="EF411" s="21"/>
      <c r="EG411" s="21"/>
      <c r="EH411" s="21"/>
      <c r="EI411" s="21"/>
      <c r="EJ411" s="21"/>
      <c r="EK411" s="21"/>
      <c r="EL411" s="21"/>
      <c r="EM411" s="21"/>
      <c r="EN411" s="21"/>
      <c r="EO411" s="21"/>
      <c r="EP411" s="21"/>
      <c r="EQ411" s="21"/>
      <c r="ER411" s="21"/>
      <c r="ES411" s="21"/>
      <c r="ET411" s="21"/>
      <c r="EU411" s="21"/>
      <c r="EV411" s="21"/>
      <c r="EW411" s="21"/>
      <c r="EX411" s="21"/>
      <c r="EY411" s="21"/>
      <c r="EZ411" s="21"/>
      <c r="FA411" s="21"/>
      <c r="FB411" s="21"/>
      <c r="FC411" s="21"/>
      <c r="FD411" s="21"/>
      <c r="FE411" s="21"/>
      <c r="FF411" s="21"/>
      <c r="FG411" s="21"/>
      <c r="FH411" s="21"/>
      <c r="FI411" s="21"/>
      <c r="FJ411" s="21"/>
      <c r="FK411" s="21"/>
      <c r="FL411" s="21"/>
      <c r="FM411" s="21"/>
      <c r="FN411" s="21"/>
      <c r="FO411" s="21"/>
      <c r="FP411" s="21"/>
      <c r="FQ411" s="21"/>
      <c r="FR411" s="21"/>
      <c r="FS411" s="21"/>
      <c r="FT411" s="21"/>
      <c r="FU411" s="21"/>
      <c r="FV411" s="21"/>
      <c r="FW411" s="21"/>
      <c r="FX411" s="21"/>
      <c r="FY411" s="21"/>
      <c r="FZ411" s="21"/>
      <c r="GA411" s="21"/>
      <c r="GB411" s="21"/>
      <c r="GC411" s="21"/>
      <c r="GD411" s="21"/>
      <c r="GE411" s="21"/>
      <c r="GF411" s="21"/>
      <c r="GG411" s="21"/>
      <c r="GH411" s="21"/>
      <c r="GI411" s="21"/>
      <c r="GJ411" s="21"/>
      <c r="GK411" s="21"/>
      <c r="GL411" s="21"/>
      <c r="GM411" s="21"/>
      <c r="GN411" s="21"/>
      <c r="GO411" s="21"/>
      <c r="GP411" s="21"/>
      <c r="GQ411" s="21"/>
      <c r="GR411" s="21"/>
      <c r="GS411" s="21"/>
      <c r="GT411" s="21"/>
      <c r="GU411" s="21"/>
      <c r="GV411" s="21"/>
      <c r="GW411" s="21"/>
      <c r="GX411" s="21"/>
      <c r="GY411" s="21"/>
      <c r="GZ411" s="21"/>
      <c r="HA411" s="21"/>
      <c r="HB411" s="21"/>
    </row>
    <row r="412" spans="1:210"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c r="DB412" s="21"/>
      <c r="DC412" s="21"/>
      <c r="DD412" s="21"/>
      <c r="DE412" s="21"/>
      <c r="DF412" s="21"/>
      <c r="DG412" s="21"/>
      <c r="DH412" s="21"/>
      <c r="DI412" s="21"/>
      <c r="DJ412" s="21"/>
      <c r="DK412" s="21"/>
      <c r="DL412" s="21"/>
      <c r="DM412" s="21"/>
      <c r="DN412" s="21"/>
      <c r="DO412" s="21"/>
      <c r="DP412" s="21"/>
      <c r="DQ412" s="21"/>
      <c r="DR412" s="21"/>
      <c r="DS412" s="21"/>
      <c r="DT412" s="21"/>
      <c r="DU412" s="21"/>
      <c r="DV412" s="21"/>
      <c r="DW412" s="21"/>
      <c r="DX412" s="21"/>
      <c r="DY412" s="21"/>
      <c r="DZ412" s="21"/>
      <c r="EA412" s="21"/>
      <c r="EB412" s="21"/>
      <c r="EC412" s="21"/>
      <c r="ED412" s="21"/>
      <c r="EE412" s="21"/>
      <c r="EF412" s="21"/>
      <c r="EG412" s="21"/>
      <c r="EH412" s="21"/>
      <c r="EI412" s="21"/>
      <c r="EJ412" s="21"/>
      <c r="EK412" s="21"/>
      <c r="EL412" s="21"/>
      <c r="EM412" s="21"/>
      <c r="EN412" s="21"/>
      <c r="EO412" s="21"/>
      <c r="EP412" s="21"/>
      <c r="EQ412" s="21"/>
      <c r="ER412" s="21"/>
      <c r="ES412" s="21"/>
      <c r="ET412" s="21"/>
      <c r="EU412" s="21"/>
      <c r="EV412" s="21"/>
      <c r="EW412" s="21"/>
      <c r="EX412" s="21"/>
      <c r="EY412" s="21"/>
      <c r="EZ412" s="21"/>
      <c r="FA412" s="21"/>
      <c r="FB412" s="21"/>
      <c r="FC412" s="21"/>
      <c r="FD412" s="21"/>
      <c r="FE412" s="21"/>
      <c r="FF412" s="21"/>
      <c r="FG412" s="21"/>
      <c r="FH412" s="21"/>
      <c r="FI412" s="21"/>
      <c r="FJ412" s="21"/>
      <c r="FK412" s="21"/>
      <c r="FL412" s="21"/>
      <c r="FM412" s="21"/>
      <c r="FN412" s="21"/>
      <c r="FO412" s="21"/>
      <c r="FP412" s="21"/>
      <c r="FQ412" s="21"/>
      <c r="FR412" s="21"/>
      <c r="FS412" s="21"/>
      <c r="FT412" s="21"/>
      <c r="FU412" s="21"/>
      <c r="FV412" s="21"/>
      <c r="FW412" s="21"/>
      <c r="FX412" s="21"/>
      <c r="FY412" s="21"/>
      <c r="FZ412" s="21"/>
      <c r="GA412" s="21"/>
      <c r="GB412" s="21"/>
      <c r="GC412" s="21"/>
      <c r="GD412" s="21"/>
      <c r="GE412" s="21"/>
      <c r="GF412" s="21"/>
      <c r="GG412" s="21"/>
      <c r="GH412" s="21"/>
      <c r="GI412" s="21"/>
      <c r="GJ412" s="21"/>
      <c r="GK412" s="21"/>
      <c r="GL412" s="21"/>
      <c r="GM412" s="21"/>
      <c r="GN412" s="21"/>
      <c r="GO412" s="21"/>
      <c r="GP412" s="21"/>
      <c r="GQ412" s="21"/>
      <c r="GR412" s="21"/>
      <c r="GS412" s="21"/>
      <c r="GT412" s="21"/>
      <c r="GU412" s="21"/>
      <c r="GV412" s="21"/>
      <c r="GW412" s="21"/>
      <c r="GX412" s="21"/>
      <c r="GY412" s="21"/>
      <c r="GZ412" s="21"/>
      <c r="HA412" s="21"/>
      <c r="HB412" s="21"/>
    </row>
    <row r="413" spans="1:210"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c r="DB413" s="21"/>
      <c r="DC413" s="21"/>
      <c r="DD413" s="21"/>
      <c r="DE413" s="21"/>
      <c r="DF413" s="21"/>
      <c r="DG413" s="21"/>
      <c r="DH413" s="21"/>
      <c r="DI413" s="21"/>
      <c r="DJ413" s="21"/>
      <c r="DK413" s="21"/>
      <c r="DL413" s="21"/>
      <c r="DM413" s="21"/>
      <c r="DN413" s="21"/>
      <c r="DO413" s="21"/>
      <c r="DP413" s="21"/>
      <c r="DQ413" s="21"/>
      <c r="DR413" s="21"/>
      <c r="DS413" s="21"/>
      <c r="DT413" s="21"/>
      <c r="DU413" s="21"/>
      <c r="DV413" s="21"/>
      <c r="DW413" s="21"/>
      <c r="DX413" s="21"/>
      <c r="DY413" s="21"/>
      <c r="DZ413" s="21"/>
      <c r="EA413" s="21"/>
      <c r="EB413" s="21"/>
      <c r="EC413" s="21"/>
      <c r="ED413" s="21"/>
      <c r="EE413" s="21"/>
      <c r="EF413" s="21"/>
      <c r="EG413" s="21"/>
      <c r="EH413" s="21"/>
      <c r="EI413" s="21"/>
      <c r="EJ413" s="21"/>
      <c r="EK413" s="21"/>
      <c r="EL413" s="21"/>
      <c r="EM413" s="21"/>
      <c r="EN413" s="21"/>
      <c r="EO413" s="21"/>
      <c r="EP413" s="21"/>
      <c r="EQ413" s="21"/>
      <c r="ER413" s="21"/>
      <c r="ES413" s="21"/>
      <c r="ET413" s="21"/>
      <c r="EU413" s="21"/>
      <c r="EV413" s="21"/>
      <c r="EW413" s="21"/>
      <c r="EX413" s="21"/>
      <c r="EY413" s="21"/>
      <c r="EZ413" s="21"/>
      <c r="FA413" s="21"/>
      <c r="FB413" s="21"/>
      <c r="FC413" s="21"/>
      <c r="FD413" s="21"/>
      <c r="FE413" s="21"/>
      <c r="FF413" s="21"/>
      <c r="FG413" s="21"/>
      <c r="FH413" s="21"/>
      <c r="FI413" s="21"/>
      <c r="FJ413" s="21"/>
      <c r="FK413" s="21"/>
      <c r="FL413" s="21"/>
      <c r="FM413" s="21"/>
      <c r="FN413" s="21"/>
      <c r="FO413" s="21"/>
      <c r="FP413" s="21"/>
      <c r="FQ413" s="21"/>
      <c r="FR413" s="21"/>
      <c r="FS413" s="21"/>
      <c r="FT413" s="21"/>
      <c r="FU413" s="21"/>
      <c r="FV413" s="21"/>
      <c r="FW413" s="21"/>
      <c r="FX413" s="21"/>
      <c r="FY413" s="21"/>
      <c r="FZ413" s="21"/>
      <c r="GA413" s="21"/>
      <c r="GB413" s="21"/>
      <c r="GC413" s="21"/>
      <c r="GD413" s="21"/>
      <c r="GE413" s="21"/>
      <c r="GF413" s="21"/>
      <c r="GG413" s="21"/>
      <c r="GH413" s="21"/>
      <c r="GI413" s="21"/>
      <c r="GJ413" s="21"/>
      <c r="GK413" s="21"/>
      <c r="GL413" s="21"/>
      <c r="GM413" s="21"/>
      <c r="GN413" s="21"/>
      <c r="GO413" s="21"/>
      <c r="GP413" s="21"/>
      <c r="GQ413" s="21"/>
      <c r="GR413" s="21"/>
      <c r="GS413" s="21"/>
      <c r="GT413" s="21"/>
      <c r="GU413" s="21"/>
      <c r="GV413" s="21"/>
      <c r="GW413" s="21"/>
      <c r="GX413" s="21"/>
      <c r="GY413" s="21"/>
      <c r="GZ413" s="21"/>
      <c r="HA413" s="21"/>
      <c r="HB413" s="21"/>
    </row>
    <row r="414" spans="1:210"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c r="DB414" s="21"/>
      <c r="DC414" s="21"/>
      <c r="DD414" s="21"/>
      <c r="DE414" s="21"/>
      <c r="DF414" s="21"/>
      <c r="DG414" s="21"/>
      <c r="DH414" s="21"/>
      <c r="DI414" s="21"/>
      <c r="DJ414" s="21"/>
      <c r="DK414" s="21"/>
      <c r="DL414" s="21"/>
      <c r="DM414" s="21"/>
      <c r="DN414" s="21"/>
      <c r="DO414" s="21"/>
      <c r="DP414" s="21"/>
      <c r="DQ414" s="21"/>
      <c r="DR414" s="21"/>
      <c r="DS414" s="21"/>
      <c r="DT414" s="21"/>
      <c r="DU414" s="21"/>
      <c r="DV414" s="21"/>
      <c r="DW414" s="21"/>
      <c r="DX414" s="21"/>
      <c r="DY414" s="21"/>
      <c r="DZ414" s="21"/>
      <c r="EA414" s="21"/>
      <c r="EB414" s="21"/>
      <c r="EC414" s="21"/>
      <c r="ED414" s="21"/>
      <c r="EE414" s="21"/>
      <c r="EF414" s="21"/>
      <c r="EG414" s="21"/>
      <c r="EH414" s="21"/>
      <c r="EI414" s="21"/>
      <c r="EJ414" s="21"/>
      <c r="EK414" s="21"/>
      <c r="EL414" s="21"/>
      <c r="EM414" s="21"/>
      <c r="EN414" s="21"/>
      <c r="EO414" s="21"/>
      <c r="EP414" s="21"/>
      <c r="EQ414" s="21"/>
      <c r="ER414" s="21"/>
      <c r="ES414" s="21"/>
      <c r="ET414" s="21"/>
      <c r="EU414" s="21"/>
      <c r="EV414" s="21"/>
      <c r="EW414" s="21"/>
      <c r="EX414" s="21"/>
      <c r="EY414" s="21"/>
      <c r="EZ414" s="21"/>
      <c r="FA414" s="21"/>
      <c r="FB414" s="21"/>
      <c r="FC414" s="21"/>
      <c r="FD414" s="21"/>
      <c r="FE414" s="21"/>
      <c r="FF414" s="21"/>
      <c r="FG414" s="21"/>
      <c r="FH414" s="21"/>
      <c r="FI414" s="21"/>
      <c r="FJ414" s="21"/>
      <c r="FK414" s="21"/>
      <c r="FL414" s="21"/>
      <c r="FM414" s="21"/>
      <c r="FN414" s="21"/>
      <c r="FO414" s="21"/>
      <c r="FP414" s="21"/>
      <c r="FQ414" s="21"/>
      <c r="FR414" s="21"/>
      <c r="FS414" s="21"/>
      <c r="FT414" s="21"/>
      <c r="FU414" s="21"/>
      <c r="FV414" s="21"/>
      <c r="FW414" s="21"/>
      <c r="FX414" s="21"/>
      <c r="FY414" s="21"/>
      <c r="FZ414" s="21"/>
      <c r="GA414" s="21"/>
      <c r="GB414" s="21"/>
      <c r="GC414" s="21"/>
      <c r="GD414" s="21"/>
      <c r="GE414" s="21"/>
      <c r="GF414" s="21"/>
      <c r="GG414" s="21"/>
      <c r="GH414" s="21"/>
      <c r="GI414" s="21"/>
      <c r="GJ414" s="21"/>
      <c r="GK414" s="21"/>
      <c r="GL414" s="21"/>
      <c r="GM414" s="21"/>
      <c r="GN414" s="21"/>
      <c r="GO414" s="21"/>
      <c r="GP414" s="21"/>
      <c r="GQ414" s="21"/>
      <c r="GR414" s="21"/>
      <c r="GS414" s="21"/>
      <c r="GT414" s="21"/>
      <c r="GU414" s="21"/>
      <c r="GV414" s="21"/>
      <c r="GW414" s="21"/>
      <c r="GX414" s="21"/>
      <c r="GY414" s="21"/>
      <c r="GZ414" s="21"/>
      <c r="HA414" s="21"/>
      <c r="HB414" s="21"/>
    </row>
    <row r="415" spans="1:210"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c r="DB415" s="21"/>
      <c r="DC415" s="21"/>
      <c r="DD415" s="21"/>
      <c r="DE415" s="21"/>
      <c r="DF415" s="21"/>
      <c r="DG415" s="21"/>
      <c r="DH415" s="21"/>
      <c r="DI415" s="21"/>
      <c r="DJ415" s="21"/>
      <c r="DK415" s="21"/>
      <c r="DL415" s="21"/>
      <c r="DM415" s="21"/>
      <c r="DN415" s="21"/>
      <c r="DO415" s="21"/>
      <c r="DP415" s="21"/>
      <c r="DQ415" s="21"/>
      <c r="DR415" s="21"/>
      <c r="DS415" s="21"/>
      <c r="DT415" s="21"/>
      <c r="DU415" s="21"/>
      <c r="DV415" s="21"/>
      <c r="DW415" s="21"/>
      <c r="DX415" s="21"/>
      <c r="DY415" s="21"/>
      <c r="DZ415" s="21"/>
      <c r="EA415" s="21"/>
      <c r="EB415" s="21"/>
      <c r="EC415" s="21"/>
      <c r="ED415" s="21"/>
      <c r="EE415" s="21"/>
      <c r="EF415" s="21"/>
      <c r="EG415" s="21"/>
      <c r="EH415" s="21"/>
      <c r="EI415" s="21"/>
      <c r="EJ415" s="21"/>
      <c r="EK415" s="21"/>
      <c r="EL415" s="21"/>
      <c r="EM415" s="21"/>
      <c r="EN415" s="21"/>
      <c r="EO415" s="21"/>
      <c r="EP415" s="21"/>
      <c r="EQ415" s="21"/>
      <c r="ER415" s="21"/>
      <c r="ES415" s="21"/>
      <c r="ET415" s="21"/>
      <c r="EU415" s="21"/>
      <c r="EV415" s="21"/>
      <c r="EW415" s="21"/>
      <c r="EX415" s="21"/>
      <c r="EY415" s="21"/>
      <c r="EZ415" s="21"/>
      <c r="FA415" s="21"/>
      <c r="FB415" s="21"/>
      <c r="FC415" s="21"/>
      <c r="FD415" s="21"/>
      <c r="FE415" s="21"/>
      <c r="FF415" s="21"/>
      <c r="FG415" s="21"/>
      <c r="FH415" s="21"/>
      <c r="FI415" s="21"/>
      <c r="FJ415" s="21"/>
      <c r="FK415" s="21"/>
      <c r="FL415" s="21"/>
      <c r="FM415" s="21"/>
      <c r="FN415" s="21"/>
      <c r="FO415" s="21"/>
      <c r="FP415" s="21"/>
      <c r="FQ415" s="21"/>
      <c r="FR415" s="21"/>
      <c r="FS415" s="21"/>
      <c r="FT415" s="21"/>
      <c r="FU415" s="21"/>
      <c r="FV415" s="21"/>
      <c r="FW415" s="21"/>
      <c r="FX415" s="21"/>
      <c r="FY415" s="21"/>
      <c r="FZ415" s="21"/>
      <c r="GA415" s="21"/>
      <c r="GB415" s="21"/>
      <c r="GC415" s="21"/>
      <c r="GD415" s="21"/>
      <c r="GE415" s="21"/>
      <c r="GF415" s="21"/>
      <c r="GG415" s="21"/>
      <c r="GH415" s="21"/>
      <c r="GI415" s="21"/>
      <c r="GJ415" s="21"/>
      <c r="GK415" s="21"/>
      <c r="GL415" s="21"/>
      <c r="GM415" s="21"/>
      <c r="GN415" s="21"/>
      <c r="GO415" s="21"/>
      <c r="GP415" s="21"/>
      <c r="GQ415" s="21"/>
      <c r="GR415" s="21"/>
      <c r="GS415" s="21"/>
      <c r="GT415" s="21"/>
      <c r="GU415" s="21"/>
      <c r="GV415" s="21"/>
      <c r="GW415" s="21"/>
      <c r="GX415" s="21"/>
      <c r="GY415" s="21"/>
      <c r="GZ415" s="21"/>
      <c r="HA415" s="21"/>
      <c r="HB415" s="21"/>
    </row>
    <row r="416" spans="1:210"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c r="DB416" s="21"/>
      <c r="DC416" s="21"/>
      <c r="DD416" s="21"/>
      <c r="DE416" s="21"/>
      <c r="DF416" s="21"/>
      <c r="DG416" s="21"/>
      <c r="DH416" s="21"/>
      <c r="DI416" s="21"/>
      <c r="DJ416" s="21"/>
      <c r="DK416" s="21"/>
      <c r="DL416" s="21"/>
      <c r="DM416" s="21"/>
      <c r="DN416" s="21"/>
      <c r="DO416" s="21"/>
      <c r="DP416" s="21"/>
      <c r="DQ416" s="21"/>
      <c r="DR416" s="21"/>
      <c r="DS416" s="21"/>
      <c r="DT416" s="21"/>
      <c r="DU416" s="21"/>
      <c r="DV416" s="21"/>
      <c r="DW416" s="21"/>
      <c r="DX416" s="21"/>
      <c r="DY416" s="21"/>
      <c r="DZ416" s="21"/>
      <c r="EA416" s="21"/>
      <c r="EB416" s="21"/>
      <c r="EC416" s="21"/>
      <c r="ED416" s="21"/>
      <c r="EE416" s="21"/>
      <c r="EF416" s="21"/>
      <c r="EG416" s="21"/>
      <c r="EH416" s="21"/>
      <c r="EI416" s="21"/>
      <c r="EJ416" s="21"/>
      <c r="EK416" s="21"/>
      <c r="EL416" s="21"/>
      <c r="EM416" s="21"/>
      <c r="EN416" s="21"/>
      <c r="EO416" s="21"/>
      <c r="EP416" s="21"/>
      <c r="EQ416" s="21"/>
      <c r="ER416" s="21"/>
      <c r="ES416" s="21"/>
      <c r="ET416" s="21"/>
      <c r="EU416" s="21"/>
      <c r="EV416" s="21"/>
      <c r="EW416" s="21"/>
      <c r="EX416" s="21"/>
      <c r="EY416" s="21"/>
      <c r="EZ416" s="21"/>
      <c r="FA416" s="21"/>
      <c r="FB416" s="21"/>
      <c r="FC416" s="21"/>
      <c r="FD416" s="21"/>
      <c r="FE416" s="21"/>
      <c r="FF416" s="21"/>
      <c r="FG416" s="21"/>
      <c r="FH416" s="21"/>
      <c r="FI416" s="21"/>
      <c r="FJ416" s="21"/>
      <c r="FK416" s="21"/>
      <c r="FL416" s="21"/>
      <c r="FM416" s="21"/>
      <c r="FN416" s="21"/>
      <c r="FO416" s="21"/>
      <c r="FP416" s="21"/>
      <c r="FQ416" s="21"/>
      <c r="FR416" s="21"/>
      <c r="FS416" s="21"/>
      <c r="FT416" s="21"/>
      <c r="FU416" s="21"/>
      <c r="FV416" s="21"/>
      <c r="FW416" s="21"/>
      <c r="FX416" s="21"/>
      <c r="FY416" s="21"/>
      <c r="FZ416" s="21"/>
      <c r="GA416" s="21"/>
      <c r="GB416" s="21"/>
      <c r="GC416" s="21"/>
      <c r="GD416" s="21"/>
      <c r="GE416" s="21"/>
      <c r="GF416" s="21"/>
      <c r="GG416" s="21"/>
      <c r="GH416" s="21"/>
      <c r="GI416" s="21"/>
      <c r="GJ416" s="21"/>
      <c r="GK416" s="21"/>
      <c r="GL416" s="21"/>
      <c r="GM416" s="21"/>
      <c r="GN416" s="21"/>
      <c r="GO416" s="21"/>
      <c r="GP416" s="21"/>
      <c r="GQ416" s="21"/>
      <c r="GR416" s="21"/>
      <c r="GS416" s="21"/>
      <c r="GT416" s="21"/>
      <c r="GU416" s="21"/>
      <c r="GV416" s="21"/>
      <c r="GW416" s="21"/>
      <c r="GX416" s="21"/>
      <c r="GY416" s="21"/>
      <c r="GZ416" s="21"/>
      <c r="HA416" s="21"/>
      <c r="HB416" s="21"/>
    </row>
    <row r="417" spans="1:210"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21"/>
      <c r="CH417" s="21"/>
      <c r="CI417" s="21"/>
      <c r="CJ417" s="21"/>
      <c r="CK417" s="21"/>
      <c r="CL417" s="21"/>
      <c r="CM417" s="21"/>
      <c r="CN417" s="21"/>
      <c r="CO417" s="21"/>
      <c r="CP417" s="21"/>
      <c r="CQ417" s="21"/>
      <c r="CR417" s="21"/>
      <c r="CS417" s="21"/>
      <c r="CT417" s="21"/>
      <c r="CU417" s="21"/>
      <c r="CV417" s="21"/>
      <c r="CW417" s="21"/>
      <c r="CX417" s="21"/>
      <c r="CY417" s="21"/>
      <c r="CZ417" s="21"/>
      <c r="DA417" s="21"/>
      <c r="DB417" s="21"/>
      <c r="DC417" s="21"/>
      <c r="DD417" s="21"/>
      <c r="DE417" s="21"/>
      <c r="DF417" s="21"/>
      <c r="DG417" s="21"/>
      <c r="DH417" s="21"/>
      <c r="DI417" s="21"/>
      <c r="DJ417" s="21"/>
      <c r="DK417" s="21"/>
      <c r="DL417" s="21"/>
      <c r="DM417" s="21"/>
      <c r="DN417" s="21"/>
      <c r="DO417" s="21"/>
      <c r="DP417" s="21"/>
      <c r="DQ417" s="21"/>
      <c r="DR417" s="21"/>
      <c r="DS417" s="21"/>
      <c r="DT417" s="21"/>
      <c r="DU417" s="21"/>
      <c r="DV417" s="21"/>
      <c r="DW417" s="21"/>
      <c r="DX417" s="21"/>
      <c r="DY417" s="21"/>
      <c r="DZ417" s="21"/>
      <c r="EA417" s="21"/>
      <c r="EB417" s="21"/>
      <c r="EC417" s="21"/>
      <c r="ED417" s="21"/>
      <c r="EE417" s="21"/>
      <c r="EF417" s="21"/>
      <c r="EG417" s="21"/>
      <c r="EH417" s="21"/>
      <c r="EI417" s="21"/>
      <c r="EJ417" s="21"/>
      <c r="EK417" s="21"/>
      <c r="EL417" s="21"/>
      <c r="EM417" s="21"/>
      <c r="EN417" s="21"/>
      <c r="EO417" s="21"/>
      <c r="EP417" s="21"/>
      <c r="EQ417" s="21"/>
      <c r="ER417" s="21"/>
      <c r="ES417" s="21"/>
      <c r="ET417" s="21"/>
      <c r="EU417" s="21"/>
      <c r="EV417" s="21"/>
      <c r="EW417" s="21"/>
      <c r="EX417" s="21"/>
      <c r="EY417" s="21"/>
      <c r="EZ417" s="21"/>
      <c r="FA417" s="21"/>
      <c r="FB417" s="21"/>
      <c r="FC417" s="21"/>
      <c r="FD417" s="21"/>
      <c r="FE417" s="21"/>
      <c r="FF417" s="21"/>
      <c r="FG417" s="21"/>
      <c r="FH417" s="21"/>
      <c r="FI417" s="21"/>
      <c r="FJ417" s="21"/>
      <c r="FK417" s="21"/>
      <c r="FL417" s="21"/>
      <c r="FM417" s="21"/>
      <c r="FN417" s="21"/>
      <c r="FO417" s="21"/>
      <c r="FP417" s="21"/>
      <c r="FQ417" s="21"/>
      <c r="FR417" s="21"/>
      <c r="FS417" s="21"/>
      <c r="FT417" s="21"/>
      <c r="FU417" s="21"/>
      <c r="FV417" s="21"/>
      <c r="FW417" s="21"/>
      <c r="FX417" s="21"/>
      <c r="FY417" s="21"/>
      <c r="FZ417" s="21"/>
      <c r="GA417" s="21"/>
      <c r="GB417" s="21"/>
      <c r="GC417" s="21"/>
      <c r="GD417" s="21"/>
      <c r="GE417" s="21"/>
      <c r="GF417" s="21"/>
      <c r="GG417" s="21"/>
      <c r="GH417" s="21"/>
      <c r="GI417" s="21"/>
      <c r="GJ417" s="21"/>
      <c r="GK417" s="21"/>
      <c r="GL417" s="21"/>
      <c r="GM417" s="21"/>
      <c r="GN417" s="21"/>
      <c r="GO417" s="21"/>
      <c r="GP417" s="21"/>
      <c r="GQ417" s="21"/>
      <c r="GR417" s="21"/>
      <c r="GS417" s="21"/>
      <c r="GT417" s="21"/>
      <c r="GU417" s="21"/>
      <c r="GV417" s="21"/>
      <c r="GW417" s="21"/>
      <c r="GX417" s="21"/>
      <c r="GY417" s="21"/>
      <c r="GZ417" s="21"/>
      <c r="HA417" s="21"/>
      <c r="HB417" s="21"/>
    </row>
    <row r="418" spans="1:210"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21"/>
      <c r="CH418" s="21"/>
      <c r="CI418" s="21"/>
      <c r="CJ418" s="21"/>
      <c r="CK418" s="21"/>
      <c r="CL418" s="21"/>
      <c r="CM418" s="21"/>
      <c r="CN418" s="21"/>
      <c r="CO418" s="21"/>
      <c r="CP418" s="21"/>
      <c r="CQ418" s="21"/>
      <c r="CR418" s="21"/>
      <c r="CS418" s="21"/>
      <c r="CT418" s="21"/>
      <c r="CU418" s="21"/>
      <c r="CV418" s="21"/>
      <c r="CW418" s="21"/>
      <c r="CX418" s="21"/>
      <c r="CY418" s="21"/>
      <c r="CZ418" s="21"/>
      <c r="DA418" s="21"/>
      <c r="DB418" s="21"/>
      <c r="DC418" s="21"/>
      <c r="DD418" s="21"/>
      <c r="DE418" s="21"/>
      <c r="DF418" s="21"/>
      <c r="DG418" s="21"/>
      <c r="DH418" s="21"/>
      <c r="DI418" s="21"/>
      <c r="DJ418" s="21"/>
      <c r="DK418" s="21"/>
      <c r="DL418" s="21"/>
      <c r="DM418" s="21"/>
      <c r="DN418" s="21"/>
      <c r="DO418" s="21"/>
      <c r="DP418" s="21"/>
      <c r="DQ418" s="21"/>
      <c r="DR418" s="21"/>
      <c r="DS418" s="21"/>
      <c r="DT418" s="21"/>
      <c r="DU418" s="21"/>
      <c r="DV418" s="21"/>
      <c r="DW418" s="21"/>
      <c r="DX418" s="21"/>
      <c r="DY418" s="21"/>
      <c r="DZ418" s="21"/>
      <c r="EA418" s="21"/>
      <c r="EB418" s="21"/>
      <c r="EC418" s="21"/>
      <c r="ED418" s="21"/>
      <c r="EE418" s="21"/>
      <c r="EF418" s="21"/>
      <c r="EG418" s="21"/>
      <c r="EH418" s="21"/>
      <c r="EI418" s="21"/>
      <c r="EJ418" s="21"/>
      <c r="EK418" s="21"/>
      <c r="EL418" s="21"/>
      <c r="EM418" s="21"/>
      <c r="EN418" s="21"/>
      <c r="EO418" s="21"/>
      <c r="EP418" s="21"/>
      <c r="EQ418" s="21"/>
      <c r="ER418" s="21"/>
      <c r="ES418" s="21"/>
      <c r="ET418" s="21"/>
      <c r="EU418" s="21"/>
      <c r="EV418" s="21"/>
      <c r="EW418" s="21"/>
      <c r="EX418" s="21"/>
      <c r="EY418" s="21"/>
      <c r="EZ418" s="21"/>
      <c r="FA418" s="21"/>
      <c r="FB418" s="21"/>
      <c r="FC418" s="21"/>
      <c r="FD418" s="21"/>
      <c r="FE418" s="21"/>
      <c r="FF418" s="21"/>
      <c r="FG418" s="21"/>
      <c r="FH418" s="21"/>
      <c r="FI418" s="21"/>
      <c r="FJ418" s="21"/>
      <c r="FK418" s="21"/>
      <c r="FL418" s="21"/>
      <c r="FM418" s="21"/>
      <c r="FN418" s="21"/>
      <c r="FO418" s="21"/>
      <c r="FP418" s="21"/>
      <c r="FQ418" s="21"/>
      <c r="FR418" s="21"/>
      <c r="FS418" s="21"/>
      <c r="FT418" s="21"/>
      <c r="FU418" s="21"/>
      <c r="FV418" s="21"/>
      <c r="FW418" s="21"/>
      <c r="FX418" s="21"/>
      <c r="FY418" s="21"/>
      <c r="FZ418" s="21"/>
      <c r="GA418" s="21"/>
      <c r="GB418" s="21"/>
      <c r="GC418" s="21"/>
      <c r="GD418" s="21"/>
      <c r="GE418" s="21"/>
      <c r="GF418" s="21"/>
      <c r="GG418" s="21"/>
      <c r="GH418" s="21"/>
      <c r="GI418" s="21"/>
      <c r="GJ418" s="21"/>
      <c r="GK418" s="21"/>
      <c r="GL418" s="21"/>
      <c r="GM418" s="21"/>
      <c r="GN418" s="21"/>
      <c r="GO418" s="21"/>
      <c r="GP418" s="21"/>
      <c r="GQ418" s="21"/>
      <c r="GR418" s="21"/>
      <c r="GS418" s="21"/>
      <c r="GT418" s="21"/>
      <c r="GU418" s="21"/>
      <c r="GV418" s="21"/>
      <c r="GW418" s="21"/>
      <c r="GX418" s="21"/>
      <c r="GY418" s="21"/>
      <c r="GZ418" s="21"/>
      <c r="HA418" s="21"/>
      <c r="HB418" s="21"/>
    </row>
    <row r="419" spans="1:210"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c r="DB419" s="21"/>
      <c r="DC419" s="21"/>
      <c r="DD419" s="21"/>
      <c r="DE419" s="21"/>
      <c r="DF419" s="21"/>
      <c r="DG419" s="21"/>
      <c r="DH419" s="21"/>
      <c r="DI419" s="21"/>
      <c r="DJ419" s="21"/>
      <c r="DK419" s="21"/>
      <c r="DL419" s="21"/>
      <c r="DM419" s="21"/>
      <c r="DN419" s="21"/>
      <c r="DO419" s="21"/>
      <c r="DP419" s="21"/>
      <c r="DQ419" s="21"/>
      <c r="DR419" s="21"/>
      <c r="DS419" s="21"/>
      <c r="DT419" s="21"/>
      <c r="DU419" s="21"/>
      <c r="DV419" s="21"/>
      <c r="DW419" s="21"/>
      <c r="DX419" s="21"/>
      <c r="DY419" s="21"/>
      <c r="DZ419" s="21"/>
      <c r="EA419" s="21"/>
      <c r="EB419" s="21"/>
      <c r="EC419" s="21"/>
      <c r="ED419" s="21"/>
      <c r="EE419" s="21"/>
      <c r="EF419" s="21"/>
      <c r="EG419" s="21"/>
      <c r="EH419" s="21"/>
      <c r="EI419" s="21"/>
      <c r="EJ419" s="21"/>
      <c r="EK419" s="21"/>
      <c r="EL419" s="21"/>
      <c r="EM419" s="21"/>
      <c r="EN419" s="21"/>
      <c r="EO419" s="21"/>
      <c r="EP419" s="21"/>
      <c r="EQ419" s="21"/>
      <c r="ER419" s="21"/>
      <c r="ES419" s="21"/>
      <c r="ET419" s="21"/>
      <c r="EU419" s="21"/>
      <c r="EV419" s="21"/>
      <c r="EW419" s="21"/>
      <c r="EX419" s="21"/>
      <c r="EY419" s="21"/>
      <c r="EZ419" s="21"/>
      <c r="FA419" s="21"/>
      <c r="FB419" s="21"/>
      <c r="FC419" s="21"/>
      <c r="FD419" s="21"/>
      <c r="FE419" s="21"/>
      <c r="FF419" s="21"/>
      <c r="FG419" s="21"/>
      <c r="FH419" s="21"/>
      <c r="FI419" s="21"/>
      <c r="FJ419" s="21"/>
      <c r="FK419" s="21"/>
      <c r="FL419" s="21"/>
      <c r="FM419" s="21"/>
      <c r="FN419" s="21"/>
      <c r="FO419" s="21"/>
      <c r="FP419" s="21"/>
      <c r="FQ419" s="21"/>
      <c r="FR419" s="21"/>
      <c r="FS419" s="21"/>
      <c r="FT419" s="21"/>
      <c r="FU419" s="21"/>
      <c r="FV419" s="21"/>
      <c r="FW419" s="21"/>
      <c r="FX419" s="21"/>
      <c r="FY419" s="21"/>
      <c r="FZ419" s="21"/>
      <c r="GA419" s="21"/>
      <c r="GB419" s="21"/>
      <c r="GC419" s="21"/>
      <c r="GD419" s="21"/>
      <c r="GE419" s="21"/>
      <c r="GF419" s="21"/>
      <c r="GG419" s="21"/>
      <c r="GH419" s="21"/>
      <c r="GI419" s="21"/>
      <c r="GJ419" s="21"/>
      <c r="GK419" s="21"/>
      <c r="GL419" s="21"/>
      <c r="GM419" s="21"/>
      <c r="GN419" s="21"/>
      <c r="GO419" s="21"/>
      <c r="GP419" s="21"/>
      <c r="GQ419" s="21"/>
      <c r="GR419" s="21"/>
      <c r="GS419" s="21"/>
      <c r="GT419" s="21"/>
      <c r="GU419" s="21"/>
      <c r="GV419" s="21"/>
      <c r="GW419" s="21"/>
      <c r="GX419" s="21"/>
      <c r="GY419" s="21"/>
      <c r="GZ419" s="21"/>
      <c r="HA419" s="21"/>
      <c r="HB419" s="21"/>
    </row>
    <row r="420" spans="1:210"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21"/>
      <c r="CH420" s="21"/>
      <c r="CI420" s="21"/>
      <c r="CJ420" s="21"/>
      <c r="CK420" s="21"/>
      <c r="CL420" s="21"/>
      <c r="CM420" s="21"/>
      <c r="CN420" s="21"/>
      <c r="CO420" s="21"/>
      <c r="CP420" s="21"/>
      <c r="CQ420" s="21"/>
      <c r="CR420" s="21"/>
      <c r="CS420" s="21"/>
      <c r="CT420" s="21"/>
      <c r="CU420" s="21"/>
      <c r="CV420" s="21"/>
      <c r="CW420" s="21"/>
      <c r="CX420" s="21"/>
      <c r="CY420" s="21"/>
      <c r="CZ420" s="21"/>
      <c r="DA420" s="21"/>
      <c r="DB420" s="21"/>
      <c r="DC420" s="21"/>
      <c r="DD420" s="21"/>
      <c r="DE420" s="21"/>
      <c r="DF420" s="21"/>
      <c r="DG420" s="21"/>
      <c r="DH420" s="21"/>
      <c r="DI420" s="21"/>
      <c r="DJ420" s="21"/>
      <c r="DK420" s="21"/>
      <c r="DL420" s="21"/>
      <c r="DM420" s="21"/>
      <c r="DN420" s="21"/>
      <c r="DO420" s="21"/>
      <c r="DP420" s="21"/>
      <c r="DQ420" s="21"/>
      <c r="DR420" s="21"/>
      <c r="DS420" s="21"/>
      <c r="DT420" s="21"/>
      <c r="DU420" s="21"/>
      <c r="DV420" s="21"/>
      <c r="DW420" s="21"/>
      <c r="DX420" s="21"/>
      <c r="DY420" s="21"/>
      <c r="DZ420" s="21"/>
      <c r="EA420" s="21"/>
      <c r="EB420" s="21"/>
      <c r="EC420" s="21"/>
      <c r="ED420" s="21"/>
      <c r="EE420" s="21"/>
      <c r="EF420" s="21"/>
      <c r="EG420" s="21"/>
      <c r="EH420" s="21"/>
      <c r="EI420" s="21"/>
      <c r="EJ420" s="21"/>
      <c r="EK420" s="21"/>
      <c r="EL420" s="21"/>
      <c r="EM420" s="21"/>
      <c r="EN420" s="21"/>
      <c r="EO420" s="21"/>
      <c r="EP420" s="21"/>
      <c r="EQ420" s="21"/>
      <c r="ER420" s="21"/>
      <c r="ES420" s="21"/>
      <c r="ET420" s="21"/>
      <c r="EU420" s="21"/>
      <c r="EV420" s="21"/>
      <c r="EW420" s="21"/>
      <c r="EX420" s="21"/>
      <c r="EY420" s="21"/>
      <c r="EZ420" s="21"/>
      <c r="FA420" s="21"/>
      <c r="FB420" s="21"/>
      <c r="FC420" s="21"/>
      <c r="FD420" s="21"/>
      <c r="FE420" s="21"/>
      <c r="FF420" s="21"/>
      <c r="FG420" s="21"/>
      <c r="FH420" s="21"/>
      <c r="FI420" s="21"/>
      <c r="FJ420" s="21"/>
      <c r="FK420" s="21"/>
      <c r="FL420" s="21"/>
      <c r="FM420" s="21"/>
      <c r="FN420" s="21"/>
      <c r="FO420" s="21"/>
      <c r="FP420" s="21"/>
      <c r="FQ420" s="21"/>
      <c r="FR420" s="21"/>
      <c r="FS420" s="21"/>
      <c r="FT420" s="21"/>
      <c r="FU420" s="21"/>
      <c r="FV420" s="21"/>
      <c r="FW420" s="21"/>
      <c r="FX420" s="21"/>
      <c r="FY420" s="21"/>
      <c r="FZ420" s="21"/>
      <c r="GA420" s="21"/>
      <c r="GB420" s="21"/>
      <c r="GC420" s="21"/>
      <c r="GD420" s="21"/>
      <c r="GE420" s="21"/>
      <c r="GF420" s="21"/>
      <c r="GG420" s="21"/>
      <c r="GH420" s="21"/>
      <c r="GI420" s="21"/>
      <c r="GJ420" s="21"/>
      <c r="GK420" s="21"/>
      <c r="GL420" s="21"/>
      <c r="GM420" s="21"/>
      <c r="GN420" s="21"/>
      <c r="GO420" s="21"/>
      <c r="GP420" s="21"/>
      <c r="GQ420" s="21"/>
      <c r="GR420" s="21"/>
      <c r="GS420" s="21"/>
      <c r="GT420" s="21"/>
      <c r="GU420" s="21"/>
      <c r="GV420" s="21"/>
      <c r="GW420" s="21"/>
      <c r="GX420" s="21"/>
      <c r="GY420" s="21"/>
      <c r="GZ420" s="21"/>
      <c r="HA420" s="21"/>
      <c r="HB420" s="21"/>
    </row>
    <row r="421" spans="1:210"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c r="DB421" s="21"/>
      <c r="DC421" s="21"/>
      <c r="DD421" s="21"/>
      <c r="DE421" s="21"/>
      <c r="DF421" s="21"/>
      <c r="DG421" s="21"/>
      <c r="DH421" s="21"/>
      <c r="DI421" s="21"/>
      <c r="DJ421" s="21"/>
      <c r="DK421" s="21"/>
      <c r="DL421" s="21"/>
      <c r="DM421" s="21"/>
      <c r="DN421" s="21"/>
      <c r="DO421" s="21"/>
      <c r="DP421" s="21"/>
      <c r="DQ421" s="21"/>
      <c r="DR421" s="21"/>
      <c r="DS421" s="21"/>
      <c r="DT421" s="21"/>
      <c r="DU421" s="21"/>
      <c r="DV421" s="21"/>
      <c r="DW421" s="21"/>
      <c r="DX421" s="21"/>
      <c r="DY421" s="21"/>
      <c r="DZ421" s="21"/>
      <c r="EA421" s="21"/>
      <c r="EB421" s="21"/>
      <c r="EC421" s="21"/>
      <c r="ED421" s="21"/>
      <c r="EE421" s="21"/>
      <c r="EF421" s="21"/>
      <c r="EG421" s="21"/>
      <c r="EH421" s="21"/>
      <c r="EI421" s="21"/>
      <c r="EJ421" s="21"/>
      <c r="EK421" s="21"/>
      <c r="EL421" s="21"/>
      <c r="EM421" s="21"/>
      <c r="EN421" s="21"/>
      <c r="EO421" s="21"/>
      <c r="EP421" s="21"/>
      <c r="EQ421" s="21"/>
      <c r="ER421" s="21"/>
      <c r="ES421" s="21"/>
      <c r="ET421" s="21"/>
      <c r="EU421" s="21"/>
      <c r="EV421" s="21"/>
      <c r="EW421" s="21"/>
      <c r="EX421" s="21"/>
      <c r="EY421" s="21"/>
      <c r="EZ421" s="21"/>
      <c r="FA421" s="21"/>
      <c r="FB421" s="21"/>
      <c r="FC421" s="21"/>
      <c r="FD421" s="21"/>
      <c r="FE421" s="21"/>
      <c r="FF421" s="21"/>
      <c r="FG421" s="21"/>
      <c r="FH421" s="21"/>
      <c r="FI421" s="21"/>
      <c r="FJ421" s="21"/>
      <c r="FK421" s="21"/>
      <c r="FL421" s="21"/>
      <c r="FM421" s="21"/>
      <c r="FN421" s="21"/>
      <c r="FO421" s="21"/>
      <c r="FP421" s="21"/>
      <c r="FQ421" s="21"/>
      <c r="FR421" s="21"/>
      <c r="FS421" s="21"/>
      <c r="FT421" s="21"/>
      <c r="FU421" s="21"/>
      <c r="FV421" s="21"/>
      <c r="FW421" s="21"/>
      <c r="FX421" s="21"/>
      <c r="FY421" s="21"/>
      <c r="FZ421" s="21"/>
      <c r="GA421" s="21"/>
      <c r="GB421" s="21"/>
      <c r="GC421" s="21"/>
      <c r="GD421" s="21"/>
      <c r="GE421" s="21"/>
      <c r="GF421" s="21"/>
      <c r="GG421" s="21"/>
      <c r="GH421" s="21"/>
      <c r="GI421" s="21"/>
      <c r="GJ421" s="21"/>
      <c r="GK421" s="21"/>
      <c r="GL421" s="21"/>
      <c r="GM421" s="21"/>
      <c r="GN421" s="21"/>
      <c r="GO421" s="21"/>
      <c r="GP421" s="21"/>
      <c r="GQ421" s="21"/>
      <c r="GR421" s="21"/>
      <c r="GS421" s="21"/>
      <c r="GT421" s="21"/>
      <c r="GU421" s="21"/>
      <c r="GV421" s="21"/>
      <c r="GW421" s="21"/>
      <c r="GX421" s="21"/>
      <c r="GY421" s="21"/>
      <c r="GZ421" s="21"/>
      <c r="HA421" s="21"/>
      <c r="HB421" s="21"/>
    </row>
    <row r="422" spans="1:210"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c r="DB422" s="21"/>
      <c r="DC422" s="21"/>
      <c r="DD422" s="21"/>
      <c r="DE422" s="21"/>
      <c r="DF422" s="21"/>
      <c r="DG422" s="21"/>
      <c r="DH422" s="21"/>
      <c r="DI422" s="21"/>
      <c r="DJ422" s="21"/>
      <c r="DK422" s="21"/>
      <c r="DL422" s="21"/>
      <c r="DM422" s="21"/>
      <c r="DN422" s="21"/>
      <c r="DO422" s="21"/>
      <c r="DP422" s="21"/>
      <c r="DQ422" s="21"/>
      <c r="DR422" s="21"/>
      <c r="DS422" s="21"/>
      <c r="DT422" s="21"/>
      <c r="DU422" s="21"/>
      <c r="DV422" s="21"/>
      <c r="DW422" s="21"/>
      <c r="DX422" s="21"/>
      <c r="DY422" s="21"/>
      <c r="DZ422" s="21"/>
      <c r="EA422" s="21"/>
      <c r="EB422" s="21"/>
      <c r="EC422" s="21"/>
      <c r="ED422" s="21"/>
      <c r="EE422" s="21"/>
      <c r="EF422" s="21"/>
      <c r="EG422" s="21"/>
      <c r="EH422" s="21"/>
      <c r="EI422" s="21"/>
      <c r="EJ422" s="21"/>
      <c r="EK422" s="21"/>
      <c r="EL422" s="21"/>
      <c r="EM422" s="21"/>
      <c r="EN422" s="21"/>
      <c r="EO422" s="21"/>
      <c r="EP422" s="21"/>
      <c r="EQ422" s="21"/>
      <c r="ER422" s="21"/>
      <c r="ES422" s="21"/>
      <c r="ET422" s="21"/>
      <c r="EU422" s="21"/>
      <c r="EV422" s="21"/>
      <c r="EW422" s="21"/>
      <c r="EX422" s="21"/>
      <c r="EY422" s="21"/>
      <c r="EZ422" s="21"/>
      <c r="FA422" s="21"/>
      <c r="FB422" s="21"/>
      <c r="FC422" s="21"/>
      <c r="FD422" s="21"/>
      <c r="FE422" s="21"/>
      <c r="FF422" s="21"/>
      <c r="FG422" s="21"/>
      <c r="FH422" s="21"/>
      <c r="FI422" s="21"/>
      <c r="FJ422" s="21"/>
      <c r="FK422" s="21"/>
      <c r="FL422" s="21"/>
      <c r="FM422" s="21"/>
      <c r="FN422" s="21"/>
      <c r="FO422" s="21"/>
      <c r="FP422" s="21"/>
      <c r="FQ422" s="21"/>
      <c r="FR422" s="21"/>
      <c r="FS422" s="21"/>
      <c r="FT422" s="21"/>
      <c r="FU422" s="21"/>
      <c r="FV422" s="21"/>
      <c r="FW422" s="21"/>
      <c r="FX422" s="21"/>
      <c r="FY422" s="21"/>
      <c r="FZ422" s="21"/>
      <c r="GA422" s="21"/>
      <c r="GB422" s="21"/>
      <c r="GC422" s="21"/>
      <c r="GD422" s="21"/>
      <c r="GE422" s="21"/>
      <c r="GF422" s="21"/>
      <c r="GG422" s="21"/>
      <c r="GH422" s="21"/>
      <c r="GI422" s="21"/>
      <c r="GJ422" s="21"/>
      <c r="GK422" s="21"/>
      <c r="GL422" s="21"/>
      <c r="GM422" s="21"/>
      <c r="GN422" s="21"/>
      <c r="GO422" s="21"/>
      <c r="GP422" s="21"/>
      <c r="GQ422" s="21"/>
      <c r="GR422" s="21"/>
      <c r="GS422" s="21"/>
      <c r="GT422" s="21"/>
      <c r="GU422" s="21"/>
      <c r="GV422" s="21"/>
      <c r="GW422" s="21"/>
      <c r="GX422" s="21"/>
      <c r="GY422" s="21"/>
      <c r="GZ422" s="21"/>
      <c r="HA422" s="21"/>
      <c r="HB422" s="21"/>
    </row>
    <row r="423" spans="1:210"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c r="DB423" s="21"/>
      <c r="DC423" s="21"/>
      <c r="DD423" s="21"/>
      <c r="DE423" s="21"/>
      <c r="DF423" s="21"/>
      <c r="DG423" s="21"/>
      <c r="DH423" s="21"/>
      <c r="DI423" s="21"/>
      <c r="DJ423" s="21"/>
      <c r="DK423" s="21"/>
      <c r="DL423" s="21"/>
      <c r="DM423" s="21"/>
      <c r="DN423" s="21"/>
      <c r="DO423" s="21"/>
      <c r="DP423" s="21"/>
      <c r="DQ423" s="21"/>
      <c r="DR423" s="21"/>
      <c r="DS423" s="21"/>
      <c r="DT423" s="21"/>
      <c r="DU423" s="21"/>
      <c r="DV423" s="21"/>
      <c r="DW423" s="21"/>
      <c r="DX423" s="21"/>
      <c r="DY423" s="21"/>
      <c r="DZ423" s="21"/>
      <c r="EA423" s="21"/>
      <c r="EB423" s="21"/>
      <c r="EC423" s="21"/>
      <c r="ED423" s="21"/>
      <c r="EE423" s="21"/>
      <c r="EF423" s="21"/>
      <c r="EG423" s="21"/>
      <c r="EH423" s="21"/>
      <c r="EI423" s="21"/>
      <c r="EJ423" s="21"/>
      <c r="EK423" s="21"/>
      <c r="EL423" s="21"/>
      <c r="EM423" s="21"/>
      <c r="EN423" s="21"/>
      <c r="EO423" s="21"/>
      <c r="EP423" s="21"/>
      <c r="EQ423" s="21"/>
      <c r="ER423" s="21"/>
      <c r="ES423" s="21"/>
      <c r="ET423" s="21"/>
      <c r="EU423" s="21"/>
      <c r="EV423" s="21"/>
      <c r="EW423" s="21"/>
      <c r="EX423" s="21"/>
      <c r="EY423" s="21"/>
      <c r="EZ423" s="21"/>
      <c r="FA423" s="21"/>
      <c r="FB423" s="21"/>
      <c r="FC423" s="21"/>
      <c r="FD423" s="21"/>
      <c r="FE423" s="21"/>
      <c r="FF423" s="21"/>
      <c r="FG423" s="21"/>
      <c r="FH423" s="21"/>
      <c r="FI423" s="21"/>
      <c r="FJ423" s="21"/>
      <c r="FK423" s="21"/>
      <c r="FL423" s="21"/>
      <c r="FM423" s="21"/>
      <c r="FN423" s="21"/>
      <c r="FO423" s="21"/>
      <c r="FP423" s="21"/>
      <c r="FQ423" s="21"/>
      <c r="FR423" s="21"/>
      <c r="FS423" s="21"/>
      <c r="FT423" s="21"/>
      <c r="FU423" s="21"/>
      <c r="FV423" s="21"/>
      <c r="FW423" s="21"/>
      <c r="FX423" s="21"/>
      <c r="FY423" s="21"/>
      <c r="FZ423" s="21"/>
      <c r="GA423" s="21"/>
      <c r="GB423" s="21"/>
      <c r="GC423" s="21"/>
      <c r="GD423" s="21"/>
      <c r="GE423" s="21"/>
      <c r="GF423" s="21"/>
      <c r="GG423" s="21"/>
      <c r="GH423" s="21"/>
      <c r="GI423" s="21"/>
      <c r="GJ423" s="21"/>
      <c r="GK423" s="21"/>
      <c r="GL423" s="21"/>
      <c r="GM423" s="21"/>
      <c r="GN423" s="21"/>
      <c r="GO423" s="21"/>
      <c r="GP423" s="21"/>
      <c r="GQ423" s="21"/>
      <c r="GR423" s="21"/>
      <c r="GS423" s="21"/>
      <c r="GT423" s="21"/>
      <c r="GU423" s="21"/>
      <c r="GV423" s="21"/>
      <c r="GW423" s="21"/>
      <c r="GX423" s="21"/>
      <c r="GY423" s="21"/>
      <c r="GZ423" s="21"/>
      <c r="HA423" s="21"/>
      <c r="HB423" s="21"/>
    </row>
    <row r="424" spans="1:210"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c r="DB424" s="21"/>
      <c r="DC424" s="21"/>
      <c r="DD424" s="21"/>
      <c r="DE424" s="21"/>
      <c r="DF424" s="21"/>
      <c r="DG424" s="21"/>
      <c r="DH424" s="21"/>
      <c r="DI424" s="21"/>
      <c r="DJ424" s="21"/>
      <c r="DK424" s="21"/>
      <c r="DL424" s="21"/>
      <c r="DM424" s="21"/>
      <c r="DN424" s="21"/>
      <c r="DO424" s="21"/>
      <c r="DP424" s="21"/>
      <c r="DQ424" s="21"/>
      <c r="DR424" s="21"/>
      <c r="DS424" s="21"/>
      <c r="DT424" s="21"/>
      <c r="DU424" s="21"/>
      <c r="DV424" s="21"/>
      <c r="DW424" s="21"/>
      <c r="DX424" s="21"/>
      <c r="DY424" s="21"/>
      <c r="DZ424" s="21"/>
      <c r="EA424" s="21"/>
      <c r="EB424" s="21"/>
      <c r="EC424" s="21"/>
      <c r="ED424" s="21"/>
      <c r="EE424" s="21"/>
      <c r="EF424" s="21"/>
      <c r="EG424" s="21"/>
      <c r="EH424" s="21"/>
      <c r="EI424" s="21"/>
      <c r="EJ424" s="21"/>
      <c r="EK424" s="21"/>
      <c r="EL424" s="21"/>
      <c r="EM424" s="21"/>
      <c r="EN424" s="21"/>
      <c r="EO424" s="21"/>
      <c r="EP424" s="21"/>
      <c r="EQ424" s="21"/>
      <c r="ER424" s="21"/>
      <c r="ES424" s="21"/>
      <c r="ET424" s="21"/>
      <c r="EU424" s="21"/>
      <c r="EV424" s="21"/>
      <c r="EW424" s="21"/>
      <c r="EX424" s="21"/>
      <c r="EY424" s="21"/>
      <c r="EZ424" s="21"/>
      <c r="FA424" s="21"/>
      <c r="FB424" s="21"/>
      <c r="FC424" s="21"/>
      <c r="FD424" s="21"/>
      <c r="FE424" s="21"/>
      <c r="FF424" s="21"/>
      <c r="FG424" s="21"/>
      <c r="FH424" s="21"/>
      <c r="FI424" s="21"/>
      <c r="FJ424" s="21"/>
      <c r="FK424" s="21"/>
      <c r="FL424" s="21"/>
      <c r="FM424" s="21"/>
      <c r="FN424" s="21"/>
      <c r="FO424" s="21"/>
      <c r="FP424" s="21"/>
      <c r="FQ424" s="21"/>
      <c r="FR424" s="21"/>
      <c r="FS424" s="21"/>
      <c r="FT424" s="21"/>
      <c r="FU424" s="21"/>
      <c r="FV424" s="21"/>
      <c r="FW424" s="21"/>
      <c r="FX424" s="21"/>
      <c r="FY424" s="21"/>
      <c r="FZ424" s="21"/>
      <c r="GA424" s="21"/>
      <c r="GB424" s="21"/>
      <c r="GC424" s="21"/>
      <c r="GD424" s="21"/>
      <c r="GE424" s="21"/>
      <c r="GF424" s="21"/>
      <c r="GG424" s="21"/>
      <c r="GH424" s="21"/>
      <c r="GI424" s="21"/>
      <c r="GJ424" s="21"/>
      <c r="GK424" s="21"/>
      <c r="GL424" s="21"/>
      <c r="GM424" s="21"/>
      <c r="GN424" s="21"/>
      <c r="GO424" s="21"/>
      <c r="GP424" s="21"/>
      <c r="GQ424" s="21"/>
      <c r="GR424" s="21"/>
      <c r="GS424" s="21"/>
      <c r="GT424" s="21"/>
      <c r="GU424" s="21"/>
      <c r="GV424" s="21"/>
      <c r="GW424" s="21"/>
      <c r="GX424" s="21"/>
      <c r="GY424" s="21"/>
      <c r="GZ424" s="21"/>
      <c r="HA424" s="21"/>
      <c r="HB424" s="21"/>
    </row>
    <row r="425" spans="1:210"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c r="DB425" s="21"/>
      <c r="DC425" s="21"/>
      <c r="DD425" s="21"/>
      <c r="DE425" s="21"/>
      <c r="DF425" s="21"/>
      <c r="DG425" s="21"/>
      <c r="DH425" s="21"/>
      <c r="DI425" s="21"/>
      <c r="DJ425" s="21"/>
      <c r="DK425" s="21"/>
      <c r="DL425" s="21"/>
      <c r="DM425" s="21"/>
      <c r="DN425" s="21"/>
      <c r="DO425" s="21"/>
      <c r="DP425" s="21"/>
      <c r="DQ425" s="21"/>
      <c r="DR425" s="21"/>
      <c r="DS425" s="21"/>
      <c r="DT425" s="21"/>
      <c r="DU425" s="21"/>
      <c r="DV425" s="21"/>
      <c r="DW425" s="21"/>
      <c r="DX425" s="21"/>
      <c r="DY425" s="21"/>
      <c r="DZ425" s="21"/>
      <c r="EA425" s="21"/>
      <c r="EB425" s="21"/>
      <c r="EC425" s="21"/>
      <c r="ED425" s="21"/>
      <c r="EE425" s="21"/>
      <c r="EF425" s="21"/>
      <c r="EG425" s="21"/>
      <c r="EH425" s="21"/>
      <c r="EI425" s="21"/>
      <c r="EJ425" s="21"/>
      <c r="EK425" s="21"/>
      <c r="EL425" s="21"/>
      <c r="EM425" s="21"/>
      <c r="EN425" s="21"/>
      <c r="EO425" s="21"/>
      <c r="EP425" s="21"/>
      <c r="EQ425" s="21"/>
      <c r="ER425" s="21"/>
      <c r="ES425" s="21"/>
      <c r="ET425" s="21"/>
      <c r="EU425" s="21"/>
      <c r="EV425" s="21"/>
      <c r="EW425" s="21"/>
      <c r="EX425" s="21"/>
      <c r="EY425" s="21"/>
      <c r="EZ425" s="21"/>
      <c r="FA425" s="21"/>
      <c r="FB425" s="21"/>
      <c r="FC425" s="21"/>
      <c r="FD425" s="21"/>
      <c r="FE425" s="21"/>
      <c r="FF425" s="21"/>
      <c r="FG425" s="21"/>
      <c r="FH425" s="21"/>
      <c r="FI425" s="21"/>
      <c r="FJ425" s="21"/>
      <c r="FK425" s="21"/>
      <c r="FL425" s="21"/>
      <c r="FM425" s="21"/>
      <c r="FN425" s="21"/>
      <c r="FO425" s="21"/>
      <c r="FP425" s="21"/>
      <c r="FQ425" s="21"/>
      <c r="FR425" s="21"/>
      <c r="FS425" s="21"/>
      <c r="FT425" s="21"/>
      <c r="FU425" s="21"/>
      <c r="FV425" s="21"/>
      <c r="FW425" s="21"/>
      <c r="FX425" s="21"/>
      <c r="FY425" s="21"/>
      <c r="FZ425" s="21"/>
      <c r="GA425" s="21"/>
      <c r="GB425" s="21"/>
      <c r="GC425" s="21"/>
      <c r="GD425" s="21"/>
      <c r="GE425" s="21"/>
      <c r="GF425" s="21"/>
      <c r="GG425" s="21"/>
      <c r="GH425" s="21"/>
      <c r="GI425" s="21"/>
      <c r="GJ425" s="21"/>
      <c r="GK425" s="21"/>
      <c r="GL425" s="21"/>
      <c r="GM425" s="21"/>
      <c r="GN425" s="21"/>
      <c r="GO425" s="21"/>
      <c r="GP425" s="21"/>
      <c r="GQ425" s="21"/>
      <c r="GR425" s="21"/>
      <c r="GS425" s="21"/>
      <c r="GT425" s="21"/>
      <c r="GU425" s="21"/>
      <c r="GV425" s="21"/>
      <c r="GW425" s="21"/>
      <c r="GX425" s="21"/>
      <c r="GY425" s="21"/>
      <c r="GZ425" s="21"/>
      <c r="HA425" s="21"/>
      <c r="HB425" s="21"/>
    </row>
    <row r="426" spans="1:210"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c r="DB426" s="21"/>
      <c r="DC426" s="21"/>
      <c r="DD426" s="21"/>
      <c r="DE426" s="21"/>
      <c r="DF426" s="21"/>
      <c r="DG426" s="21"/>
      <c r="DH426" s="21"/>
      <c r="DI426" s="21"/>
      <c r="DJ426" s="21"/>
      <c r="DK426" s="21"/>
      <c r="DL426" s="21"/>
      <c r="DM426" s="21"/>
      <c r="DN426" s="21"/>
      <c r="DO426" s="21"/>
      <c r="DP426" s="21"/>
      <c r="DQ426" s="21"/>
      <c r="DR426" s="21"/>
      <c r="DS426" s="21"/>
      <c r="DT426" s="21"/>
      <c r="DU426" s="21"/>
      <c r="DV426" s="21"/>
      <c r="DW426" s="21"/>
      <c r="DX426" s="21"/>
      <c r="DY426" s="21"/>
      <c r="DZ426" s="21"/>
      <c r="EA426" s="21"/>
      <c r="EB426" s="21"/>
      <c r="EC426" s="21"/>
      <c r="ED426" s="21"/>
      <c r="EE426" s="21"/>
      <c r="EF426" s="21"/>
      <c r="EG426" s="21"/>
      <c r="EH426" s="21"/>
      <c r="EI426" s="21"/>
      <c r="EJ426" s="21"/>
      <c r="EK426" s="21"/>
      <c r="EL426" s="21"/>
      <c r="EM426" s="21"/>
      <c r="EN426" s="21"/>
      <c r="EO426" s="21"/>
      <c r="EP426" s="21"/>
      <c r="EQ426" s="21"/>
      <c r="ER426" s="21"/>
      <c r="ES426" s="21"/>
      <c r="ET426" s="21"/>
      <c r="EU426" s="21"/>
      <c r="EV426" s="21"/>
      <c r="EW426" s="21"/>
      <c r="EX426" s="21"/>
      <c r="EY426" s="21"/>
      <c r="EZ426" s="21"/>
      <c r="FA426" s="21"/>
      <c r="FB426" s="21"/>
      <c r="FC426" s="21"/>
      <c r="FD426" s="21"/>
      <c r="FE426" s="21"/>
      <c r="FF426" s="21"/>
      <c r="FG426" s="21"/>
      <c r="FH426" s="21"/>
      <c r="FI426" s="21"/>
      <c r="FJ426" s="21"/>
      <c r="FK426" s="21"/>
      <c r="FL426" s="21"/>
      <c r="FM426" s="21"/>
      <c r="FN426" s="21"/>
      <c r="FO426" s="21"/>
      <c r="FP426" s="21"/>
      <c r="FQ426" s="21"/>
      <c r="FR426" s="21"/>
      <c r="FS426" s="21"/>
      <c r="FT426" s="21"/>
      <c r="FU426" s="21"/>
      <c r="FV426" s="21"/>
      <c r="FW426" s="21"/>
      <c r="FX426" s="21"/>
      <c r="FY426" s="21"/>
      <c r="FZ426" s="21"/>
      <c r="GA426" s="21"/>
      <c r="GB426" s="21"/>
      <c r="GC426" s="21"/>
      <c r="GD426" s="21"/>
      <c r="GE426" s="21"/>
      <c r="GF426" s="21"/>
      <c r="GG426" s="21"/>
      <c r="GH426" s="21"/>
      <c r="GI426" s="21"/>
      <c r="GJ426" s="21"/>
      <c r="GK426" s="21"/>
      <c r="GL426" s="21"/>
      <c r="GM426" s="21"/>
      <c r="GN426" s="21"/>
      <c r="GO426" s="21"/>
      <c r="GP426" s="21"/>
      <c r="GQ426" s="21"/>
      <c r="GR426" s="21"/>
      <c r="GS426" s="21"/>
      <c r="GT426" s="21"/>
      <c r="GU426" s="21"/>
      <c r="GV426" s="21"/>
      <c r="GW426" s="21"/>
      <c r="GX426" s="21"/>
      <c r="GY426" s="21"/>
      <c r="GZ426" s="21"/>
      <c r="HA426" s="21"/>
      <c r="HB426" s="21"/>
    </row>
    <row r="427" spans="1:210"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c r="DB427" s="21"/>
      <c r="DC427" s="21"/>
      <c r="DD427" s="21"/>
      <c r="DE427" s="21"/>
      <c r="DF427" s="21"/>
      <c r="DG427" s="21"/>
      <c r="DH427" s="21"/>
      <c r="DI427" s="21"/>
      <c r="DJ427" s="21"/>
      <c r="DK427" s="21"/>
      <c r="DL427" s="21"/>
      <c r="DM427" s="21"/>
      <c r="DN427" s="21"/>
      <c r="DO427" s="21"/>
      <c r="DP427" s="21"/>
      <c r="DQ427" s="21"/>
      <c r="DR427" s="21"/>
      <c r="DS427" s="21"/>
      <c r="DT427" s="21"/>
      <c r="DU427" s="21"/>
      <c r="DV427" s="21"/>
      <c r="DW427" s="21"/>
      <c r="DX427" s="21"/>
      <c r="DY427" s="21"/>
      <c r="DZ427" s="21"/>
      <c r="EA427" s="21"/>
      <c r="EB427" s="21"/>
      <c r="EC427" s="21"/>
      <c r="ED427" s="21"/>
      <c r="EE427" s="21"/>
      <c r="EF427" s="21"/>
      <c r="EG427" s="21"/>
      <c r="EH427" s="21"/>
      <c r="EI427" s="21"/>
      <c r="EJ427" s="21"/>
      <c r="EK427" s="21"/>
      <c r="EL427" s="21"/>
      <c r="EM427" s="21"/>
      <c r="EN427" s="21"/>
      <c r="EO427" s="21"/>
      <c r="EP427" s="21"/>
      <c r="EQ427" s="21"/>
      <c r="ER427" s="21"/>
      <c r="ES427" s="21"/>
      <c r="ET427" s="21"/>
      <c r="EU427" s="21"/>
      <c r="EV427" s="21"/>
      <c r="EW427" s="21"/>
      <c r="EX427" s="21"/>
      <c r="EY427" s="21"/>
      <c r="EZ427" s="21"/>
      <c r="FA427" s="21"/>
      <c r="FB427" s="21"/>
      <c r="FC427" s="21"/>
      <c r="FD427" s="21"/>
      <c r="FE427" s="21"/>
      <c r="FF427" s="21"/>
      <c r="FG427" s="21"/>
      <c r="FH427" s="21"/>
      <c r="FI427" s="21"/>
      <c r="FJ427" s="21"/>
      <c r="FK427" s="21"/>
      <c r="FL427" s="21"/>
      <c r="FM427" s="21"/>
      <c r="FN427" s="21"/>
      <c r="FO427" s="21"/>
      <c r="FP427" s="21"/>
      <c r="FQ427" s="21"/>
      <c r="FR427" s="21"/>
      <c r="FS427" s="21"/>
      <c r="FT427" s="21"/>
      <c r="FU427" s="21"/>
      <c r="FV427" s="21"/>
      <c r="FW427" s="21"/>
      <c r="FX427" s="21"/>
      <c r="FY427" s="21"/>
      <c r="FZ427" s="21"/>
      <c r="GA427" s="21"/>
      <c r="GB427" s="21"/>
      <c r="GC427" s="21"/>
      <c r="GD427" s="21"/>
      <c r="GE427" s="21"/>
      <c r="GF427" s="21"/>
      <c r="GG427" s="21"/>
      <c r="GH427" s="21"/>
      <c r="GI427" s="21"/>
      <c r="GJ427" s="21"/>
      <c r="GK427" s="21"/>
      <c r="GL427" s="21"/>
      <c r="GM427" s="21"/>
      <c r="GN427" s="21"/>
      <c r="GO427" s="21"/>
      <c r="GP427" s="21"/>
      <c r="GQ427" s="21"/>
      <c r="GR427" s="21"/>
      <c r="GS427" s="21"/>
      <c r="GT427" s="21"/>
      <c r="GU427" s="21"/>
      <c r="GV427" s="21"/>
      <c r="GW427" s="21"/>
      <c r="GX427" s="21"/>
      <c r="GY427" s="21"/>
      <c r="GZ427" s="21"/>
      <c r="HA427" s="21"/>
      <c r="HB427" s="21"/>
    </row>
    <row r="428" spans="1:210"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c r="DB428" s="21"/>
      <c r="DC428" s="21"/>
      <c r="DD428" s="21"/>
      <c r="DE428" s="21"/>
      <c r="DF428" s="21"/>
      <c r="DG428" s="21"/>
      <c r="DH428" s="21"/>
      <c r="DI428" s="21"/>
      <c r="DJ428" s="21"/>
      <c r="DK428" s="21"/>
      <c r="DL428" s="21"/>
      <c r="DM428" s="21"/>
      <c r="DN428" s="21"/>
      <c r="DO428" s="21"/>
      <c r="DP428" s="21"/>
      <c r="DQ428" s="21"/>
      <c r="DR428" s="21"/>
      <c r="DS428" s="21"/>
      <c r="DT428" s="21"/>
      <c r="DU428" s="21"/>
      <c r="DV428" s="21"/>
      <c r="DW428" s="21"/>
      <c r="DX428" s="21"/>
      <c r="DY428" s="21"/>
      <c r="DZ428" s="21"/>
      <c r="EA428" s="21"/>
      <c r="EB428" s="21"/>
      <c r="EC428" s="21"/>
      <c r="ED428" s="21"/>
      <c r="EE428" s="21"/>
      <c r="EF428" s="21"/>
      <c r="EG428" s="21"/>
      <c r="EH428" s="21"/>
      <c r="EI428" s="21"/>
      <c r="EJ428" s="21"/>
      <c r="EK428" s="21"/>
      <c r="EL428" s="21"/>
      <c r="EM428" s="21"/>
      <c r="EN428" s="21"/>
      <c r="EO428" s="21"/>
      <c r="EP428" s="21"/>
      <c r="EQ428" s="21"/>
      <c r="ER428" s="21"/>
      <c r="ES428" s="21"/>
      <c r="ET428" s="21"/>
      <c r="EU428" s="21"/>
      <c r="EV428" s="21"/>
      <c r="EW428" s="21"/>
      <c r="EX428" s="21"/>
      <c r="EY428" s="21"/>
      <c r="EZ428" s="21"/>
      <c r="FA428" s="21"/>
      <c r="FB428" s="21"/>
      <c r="FC428" s="21"/>
      <c r="FD428" s="21"/>
      <c r="FE428" s="21"/>
      <c r="FF428" s="21"/>
      <c r="FG428" s="21"/>
      <c r="FH428" s="21"/>
      <c r="FI428" s="21"/>
      <c r="FJ428" s="21"/>
      <c r="FK428" s="21"/>
      <c r="FL428" s="21"/>
      <c r="FM428" s="21"/>
      <c r="FN428" s="21"/>
      <c r="FO428" s="21"/>
      <c r="FP428" s="21"/>
      <c r="FQ428" s="21"/>
      <c r="FR428" s="21"/>
      <c r="FS428" s="21"/>
      <c r="FT428" s="21"/>
      <c r="FU428" s="21"/>
      <c r="FV428" s="21"/>
      <c r="FW428" s="21"/>
      <c r="FX428" s="21"/>
      <c r="FY428" s="21"/>
      <c r="FZ428" s="21"/>
      <c r="GA428" s="21"/>
      <c r="GB428" s="21"/>
      <c r="GC428" s="21"/>
      <c r="GD428" s="21"/>
      <c r="GE428" s="21"/>
      <c r="GF428" s="21"/>
      <c r="GG428" s="21"/>
      <c r="GH428" s="21"/>
      <c r="GI428" s="21"/>
      <c r="GJ428" s="21"/>
      <c r="GK428" s="21"/>
      <c r="GL428" s="21"/>
      <c r="GM428" s="21"/>
      <c r="GN428" s="21"/>
      <c r="GO428" s="21"/>
      <c r="GP428" s="21"/>
      <c r="GQ428" s="21"/>
      <c r="GR428" s="21"/>
      <c r="GS428" s="21"/>
      <c r="GT428" s="21"/>
      <c r="GU428" s="21"/>
      <c r="GV428" s="21"/>
      <c r="GW428" s="21"/>
      <c r="GX428" s="21"/>
      <c r="GY428" s="21"/>
      <c r="GZ428" s="21"/>
      <c r="HA428" s="21"/>
      <c r="HB428" s="21"/>
    </row>
    <row r="429" spans="1:210"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c r="DB429" s="21"/>
      <c r="DC429" s="21"/>
      <c r="DD429" s="21"/>
      <c r="DE429" s="21"/>
      <c r="DF429" s="21"/>
      <c r="DG429" s="21"/>
      <c r="DH429" s="21"/>
      <c r="DI429" s="21"/>
      <c r="DJ429" s="21"/>
      <c r="DK429" s="21"/>
      <c r="DL429" s="21"/>
      <c r="DM429" s="21"/>
      <c r="DN429" s="21"/>
      <c r="DO429" s="21"/>
      <c r="DP429" s="21"/>
      <c r="DQ429" s="21"/>
      <c r="DR429" s="21"/>
      <c r="DS429" s="21"/>
      <c r="DT429" s="21"/>
      <c r="DU429" s="21"/>
      <c r="DV429" s="21"/>
      <c r="DW429" s="21"/>
      <c r="DX429" s="21"/>
      <c r="DY429" s="21"/>
      <c r="DZ429" s="21"/>
      <c r="EA429" s="21"/>
      <c r="EB429" s="21"/>
      <c r="EC429" s="21"/>
      <c r="ED429" s="21"/>
      <c r="EE429" s="21"/>
      <c r="EF429" s="21"/>
      <c r="EG429" s="21"/>
      <c r="EH429" s="21"/>
      <c r="EI429" s="21"/>
      <c r="EJ429" s="21"/>
      <c r="EK429" s="21"/>
      <c r="EL429" s="21"/>
      <c r="EM429" s="21"/>
      <c r="EN429" s="21"/>
      <c r="EO429" s="21"/>
      <c r="EP429" s="21"/>
      <c r="EQ429" s="21"/>
      <c r="ER429" s="21"/>
      <c r="ES429" s="21"/>
      <c r="ET429" s="21"/>
      <c r="EU429" s="21"/>
      <c r="EV429" s="21"/>
      <c r="EW429" s="21"/>
      <c r="EX429" s="21"/>
      <c r="EY429" s="21"/>
      <c r="EZ429" s="21"/>
      <c r="FA429" s="21"/>
      <c r="FB429" s="21"/>
      <c r="FC429" s="21"/>
      <c r="FD429" s="21"/>
      <c r="FE429" s="21"/>
      <c r="FF429" s="21"/>
      <c r="FG429" s="21"/>
      <c r="FH429" s="21"/>
      <c r="FI429" s="21"/>
      <c r="FJ429" s="21"/>
      <c r="FK429" s="21"/>
      <c r="FL429" s="21"/>
      <c r="FM429" s="21"/>
      <c r="FN429" s="21"/>
      <c r="FO429" s="21"/>
      <c r="FP429" s="21"/>
      <c r="FQ429" s="21"/>
      <c r="FR429" s="21"/>
      <c r="FS429" s="21"/>
      <c r="FT429" s="21"/>
      <c r="FU429" s="21"/>
      <c r="FV429" s="21"/>
      <c r="FW429" s="21"/>
      <c r="FX429" s="21"/>
      <c r="FY429" s="21"/>
      <c r="FZ429" s="21"/>
      <c r="GA429" s="21"/>
      <c r="GB429" s="21"/>
      <c r="GC429" s="21"/>
      <c r="GD429" s="21"/>
      <c r="GE429" s="21"/>
      <c r="GF429" s="21"/>
      <c r="GG429" s="21"/>
      <c r="GH429" s="21"/>
      <c r="GI429" s="21"/>
      <c r="GJ429" s="21"/>
      <c r="GK429" s="21"/>
      <c r="GL429" s="21"/>
      <c r="GM429" s="21"/>
      <c r="GN429" s="21"/>
      <c r="GO429" s="21"/>
      <c r="GP429" s="21"/>
      <c r="GQ429" s="21"/>
      <c r="GR429" s="21"/>
      <c r="GS429" s="21"/>
      <c r="GT429" s="21"/>
      <c r="GU429" s="21"/>
      <c r="GV429" s="21"/>
      <c r="GW429" s="21"/>
      <c r="GX429" s="21"/>
      <c r="GY429" s="21"/>
      <c r="GZ429" s="21"/>
      <c r="HA429" s="21"/>
      <c r="HB429" s="21"/>
    </row>
    <row r="430" spans="1:210"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c r="DE430" s="21"/>
      <c r="DF430" s="21"/>
      <c r="DG430" s="21"/>
      <c r="DH430" s="21"/>
      <c r="DI430" s="21"/>
      <c r="DJ430" s="21"/>
      <c r="DK430" s="21"/>
      <c r="DL430" s="21"/>
      <c r="DM430" s="21"/>
      <c r="DN430" s="21"/>
      <c r="DO430" s="21"/>
      <c r="DP430" s="21"/>
      <c r="DQ430" s="21"/>
      <c r="DR430" s="21"/>
      <c r="DS430" s="21"/>
      <c r="DT430" s="21"/>
      <c r="DU430" s="21"/>
      <c r="DV430" s="21"/>
      <c r="DW430" s="21"/>
      <c r="DX430" s="21"/>
      <c r="DY430" s="21"/>
      <c r="DZ430" s="21"/>
      <c r="EA430" s="21"/>
      <c r="EB430" s="21"/>
      <c r="EC430" s="21"/>
      <c r="ED430" s="21"/>
      <c r="EE430" s="21"/>
      <c r="EF430" s="21"/>
      <c r="EG430" s="21"/>
      <c r="EH430" s="21"/>
      <c r="EI430" s="21"/>
      <c r="EJ430" s="21"/>
      <c r="EK430" s="21"/>
      <c r="EL430" s="21"/>
      <c r="EM430" s="21"/>
      <c r="EN430" s="21"/>
      <c r="EO430" s="21"/>
      <c r="EP430" s="21"/>
      <c r="EQ430" s="21"/>
      <c r="ER430" s="21"/>
      <c r="ES430" s="21"/>
      <c r="ET430" s="21"/>
      <c r="EU430" s="21"/>
      <c r="EV430" s="21"/>
      <c r="EW430" s="21"/>
      <c r="EX430" s="21"/>
      <c r="EY430" s="21"/>
      <c r="EZ430" s="21"/>
      <c r="FA430" s="21"/>
      <c r="FB430" s="21"/>
      <c r="FC430" s="21"/>
      <c r="FD430" s="21"/>
      <c r="FE430" s="21"/>
      <c r="FF430" s="21"/>
      <c r="FG430" s="21"/>
      <c r="FH430" s="21"/>
      <c r="FI430" s="21"/>
      <c r="FJ430" s="21"/>
      <c r="FK430" s="21"/>
      <c r="FL430" s="21"/>
      <c r="FM430" s="21"/>
      <c r="FN430" s="21"/>
      <c r="FO430" s="21"/>
      <c r="FP430" s="21"/>
      <c r="FQ430" s="21"/>
      <c r="FR430" s="21"/>
      <c r="FS430" s="21"/>
      <c r="FT430" s="21"/>
      <c r="FU430" s="21"/>
      <c r="FV430" s="21"/>
      <c r="FW430" s="21"/>
      <c r="FX430" s="21"/>
      <c r="FY430" s="21"/>
      <c r="FZ430" s="21"/>
      <c r="GA430" s="21"/>
      <c r="GB430" s="21"/>
      <c r="GC430" s="21"/>
      <c r="GD430" s="21"/>
      <c r="GE430" s="21"/>
      <c r="GF430" s="21"/>
      <c r="GG430" s="21"/>
      <c r="GH430" s="21"/>
      <c r="GI430" s="21"/>
      <c r="GJ430" s="21"/>
      <c r="GK430" s="21"/>
      <c r="GL430" s="21"/>
      <c r="GM430" s="21"/>
      <c r="GN430" s="21"/>
      <c r="GO430" s="21"/>
      <c r="GP430" s="21"/>
      <c r="GQ430" s="21"/>
      <c r="GR430" s="21"/>
      <c r="GS430" s="21"/>
      <c r="GT430" s="21"/>
      <c r="GU430" s="21"/>
      <c r="GV430" s="21"/>
      <c r="GW430" s="21"/>
      <c r="GX430" s="21"/>
      <c r="GY430" s="21"/>
      <c r="GZ430" s="21"/>
      <c r="HA430" s="21"/>
      <c r="HB430" s="21"/>
    </row>
    <row r="431" spans="1:210"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c r="DB431" s="21"/>
      <c r="DC431" s="21"/>
      <c r="DD431" s="21"/>
      <c r="DE431" s="21"/>
      <c r="DF431" s="21"/>
      <c r="DG431" s="21"/>
      <c r="DH431" s="21"/>
      <c r="DI431" s="21"/>
      <c r="DJ431" s="21"/>
      <c r="DK431" s="21"/>
      <c r="DL431" s="21"/>
      <c r="DM431" s="21"/>
      <c r="DN431" s="21"/>
      <c r="DO431" s="21"/>
      <c r="DP431" s="21"/>
      <c r="DQ431" s="21"/>
      <c r="DR431" s="21"/>
      <c r="DS431" s="21"/>
      <c r="DT431" s="21"/>
      <c r="DU431" s="21"/>
      <c r="DV431" s="21"/>
      <c r="DW431" s="21"/>
      <c r="DX431" s="21"/>
      <c r="DY431" s="21"/>
      <c r="DZ431" s="21"/>
      <c r="EA431" s="21"/>
      <c r="EB431" s="21"/>
      <c r="EC431" s="21"/>
      <c r="ED431" s="21"/>
      <c r="EE431" s="21"/>
      <c r="EF431" s="21"/>
      <c r="EG431" s="21"/>
      <c r="EH431" s="21"/>
      <c r="EI431" s="21"/>
      <c r="EJ431" s="21"/>
      <c r="EK431" s="21"/>
      <c r="EL431" s="21"/>
      <c r="EM431" s="21"/>
      <c r="EN431" s="21"/>
      <c r="EO431" s="21"/>
      <c r="EP431" s="21"/>
      <c r="EQ431" s="21"/>
      <c r="ER431" s="21"/>
      <c r="ES431" s="21"/>
      <c r="ET431" s="21"/>
      <c r="EU431" s="21"/>
      <c r="EV431" s="21"/>
      <c r="EW431" s="21"/>
      <c r="EX431" s="21"/>
      <c r="EY431" s="21"/>
      <c r="EZ431" s="21"/>
      <c r="FA431" s="21"/>
      <c r="FB431" s="21"/>
      <c r="FC431" s="21"/>
      <c r="FD431" s="21"/>
      <c r="FE431" s="21"/>
      <c r="FF431" s="21"/>
      <c r="FG431" s="21"/>
      <c r="FH431" s="21"/>
      <c r="FI431" s="21"/>
      <c r="FJ431" s="21"/>
      <c r="FK431" s="21"/>
      <c r="FL431" s="21"/>
      <c r="FM431" s="21"/>
      <c r="FN431" s="21"/>
      <c r="FO431" s="21"/>
      <c r="FP431" s="21"/>
      <c r="FQ431" s="21"/>
      <c r="FR431" s="21"/>
      <c r="FS431" s="21"/>
      <c r="FT431" s="21"/>
      <c r="FU431" s="21"/>
      <c r="FV431" s="21"/>
      <c r="FW431" s="21"/>
      <c r="FX431" s="21"/>
      <c r="FY431" s="21"/>
      <c r="FZ431" s="21"/>
      <c r="GA431" s="21"/>
      <c r="GB431" s="21"/>
      <c r="GC431" s="21"/>
      <c r="GD431" s="21"/>
      <c r="GE431" s="21"/>
      <c r="GF431" s="21"/>
      <c r="GG431" s="21"/>
      <c r="GH431" s="21"/>
      <c r="GI431" s="21"/>
      <c r="GJ431" s="21"/>
      <c r="GK431" s="21"/>
      <c r="GL431" s="21"/>
      <c r="GM431" s="21"/>
      <c r="GN431" s="21"/>
      <c r="GO431" s="21"/>
      <c r="GP431" s="21"/>
      <c r="GQ431" s="21"/>
      <c r="GR431" s="21"/>
      <c r="GS431" s="21"/>
      <c r="GT431" s="21"/>
      <c r="GU431" s="21"/>
      <c r="GV431" s="21"/>
      <c r="GW431" s="21"/>
      <c r="GX431" s="21"/>
      <c r="GY431" s="21"/>
      <c r="GZ431" s="21"/>
      <c r="HA431" s="21"/>
      <c r="HB431" s="21"/>
    </row>
    <row r="432" spans="1:210"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c r="DB432" s="21"/>
      <c r="DC432" s="21"/>
      <c r="DD432" s="21"/>
      <c r="DE432" s="21"/>
      <c r="DF432" s="21"/>
      <c r="DG432" s="21"/>
      <c r="DH432" s="21"/>
      <c r="DI432" s="21"/>
      <c r="DJ432" s="21"/>
      <c r="DK432" s="21"/>
      <c r="DL432" s="21"/>
      <c r="DM432" s="21"/>
      <c r="DN432" s="21"/>
      <c r="DO432" s="21"/>
      <c r="DP432" s="21"/>
      <c r="DQ432" s="21"/>
      <c r="DR432" s="21"/>
      <c r="DS432" s="21"/>
      <c r="DT432" s="21"/>
      <c r="DU432" s="21"/>
      <c r="DV432" s="21"/>
      <c r="DW432" s="21"/>
      <c r="DX432" s="21"/>
      <c r="DY432" s="21"/>
      <c r="DZ432" s="21"/>
      <c r="EA432" s="21"/>
      <c r="EB432" s="21"/>
      <c r="EC432" s="21"/>
      <c r="ED432" s="21"/>
      <c r="EE432" s="21"/>
      <c r="EF432" s="21"/>
      <c r="EG432" s="21"/>
      <c r="EH432" s="21"/>
      <c r="EI432" s="21"/>
      <c r="EJ432" s="21"/>
      <c r="EK432" s="21"/>
      <c r="EL432" s="21"/>
      <c r="EM432" s="21"/>
      <c r="EN432" s="21"/>
      <c r="EO432" s="21"/>
      <c r="EP432" s="21"/>
      <c r="EQ432" s="21"/>
      <c r="ER432" s="21"/>
      <c r="ES432" s="21"/>
      <c r="ET432" s="21"/>
      <c r="EU432" s="21"/>
      <c r="EV432" s="21"/>
      <c r="EW432" s="21"/>
      <c r="EX432" s="21"/>
      <c r="EY432" s="21"/>
      <c r="EZ432" s="21"/>
      <c r="FA432" s="21"/>
      <c r="FB432" s="21"/>
      <c r="FC432" s="21"/>
      <c r="FD432" s="21"/>
      <c r="FE432" s="21"/>
      <c r="FF432" s="21"/>
      <c r="FG432" s="21"/>
      <c r="FH432" s="21"/>
      <c r="FI432" s="21"/>
      <c r="FJ432" s="21"/>
      <c r="FK432" s="21"/>
      <c r="FL432" s="21"/>
      <c r="FM432" s="21"/>
      <c r="FN432" s="21"/>
      <c r="FO432" s="21"/>
      <c r="FP432" s="21"/>
      <c r="FQ432" s="21"/>
      <c r="FR432" s="21"/>
      <c r="FS432" s="21"/>
      <c r="FT432" s="21"/>
      <c r="FU432" s="21"/>
      <c r="FV432" s="21"/>
      <c r="FW432" s="21"/>
      <c r="FX432" s="21"/>
      <c r="FY432" s="21"/>
      <c r="FZ432" s="21"/>
      <c r="GA432" s="21"/>
      <c r="GB432" s="21"/>
      <c r="GC432" s="21"/>
      <c r="GD432" s="21"/>
      <c r="GE432" s="21"/>
      <c r="GF432" s="21"/>
      <c r="GG432" s="21"/>
      <c r="GH432" s="21"/>
      <c r="GI432" s="21"/>
      <c r="GJ432" s="21"/>
      <c r="GK432" s="21"/>
      <c r="GL432" s="21"/>
      <c r="GM432" s="21"/>
      <c r="GN432" s="21"/>
      <c r="GO432" s="21"/>
      <c r="GP432" s="21"/>
      <c r="GQ432" s="21"/>
      <c r="GR432" s="21"/>
      <c r="GS432" s="21"/>
      <c r="GT432" s="21"/>
      <c r="GU432" s="21"/>
      <c r="GV432" s="21"/>
      <c r="GW432" s="21"/>
      <c r="GX432" s="21"/>
      <c r="GY432" s="21"/>
      <c r="GZ432" s="21"/>
      <c r="HA432" s="21"/>
      <c r="HB432" s="21"/>
    </row>
    <row r="433" spans="1:210"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c r="DB433" s="21"/>
      <c r="DC433" s="21"/>
      <c r="DD433" s="21"/>
      <c r="DE433" s="21"/>
      <c r="DF433" s="21"/>
      <c r="DG433" s="21"/>
      <c r="DH433" s="21"/>
      <c r="DI433" s="21"/>
      <c r="DJ433" s="21"/>
      <c r="DK433" s="21"/>
      <c r="DL433" s="21"/>
      <c r="DM433" s="21"/>
      <c r="DN433" s="21"/>
      <c r="DO433" s="21"/>
      <c r="DP433" s="21"/>
      <c r="DQ433" s="21"/>
      <c r="DR433" s="21"/>
      <c r="DS433" s="21"/>
      <c r="DT433" s="21"/>
      <c r="DU433" s="21"/>
      <c r="DV433" s="21"/>
      <c r="DW433" s="21"/>
      <c r="DX433" s="21"/>
      <c r="DY433" s="21"/>
      <c r="DZ433" s="21"/>
      <c r="EA433" s="21"/>
      <c r="EB433" s="21"/>
      <c r="EC433" s="21"/>
      <c r="ED433" s="21"/>
      <c r="EE433" s="21"/>
      <c r="EF433" s="21"/>
      <c r="EG433" s="21"/>
      <c r="EH433" s="21"/>
      <c r="EI433" s="21"/>
      <c r="EJ433" s="21"/>
      <c r="EK433" s="21"/>
      <c r="EL433" s="21"/>
      <c r="EM433" s="21"/>
      <c r="EN433" s="21"/>
      <c r="EO433" s="21"/>
      <c r="EP433" s="21"/>
      <c r="EQ433" s="21"/>
      <c r="ER433" s="21"/>
      <c r="ES433" s="21"/>
      <c r="ET433" s="21"/>
      <c r="EU433" s="21"/>
      <c r="EV433" s="21"/>
      <c r="EW433" s="21"/>
      <c r="EX433" s="21"/>
      <c r="EY433" s="21"/>
      <c r="EZ433" s="21"/>
      <c r="FA433" s="21"/>
      <c r="FB433" s="21"/>
      <c r="FC433" s="21"/>
      <c r="FD433" s="21"/>
      <c r="FE433" s="21"/>
      <c r="FF433" s="21"/>
      <c r="FG433" s="21"/>
      <c r="FH433" s="21"/>
      <c r="FI433" s="21"/>
      <c r="FJ433" s="21"/>
      <c r="FK433" s="21"/>
      <c r="FL433" s="21"/>
      <c r="FM433" s="21"/>
      <c r="FN433" s="21"/>
      <c r="FO433" s="21"/>
      <c r="FP433" s="21"/>
      <c r="FQ433" s="21"/>
      <c r="FR433" s="21"/>
      <c r="FS433" s="21"/>
      <c r="FT433" s="21"/>
      <c r="FU433" s="21"/>
      <c r="FV433" s="21"/>
      <c r="FW433" s="21"/>
      <c r="FX433" s="21"/>
      <c r="FY433" s="21"/>
      <c r="FZ433" s="21"/>
      <c r="GA433" s="21"/>
      <c r="GB433" s="21"/>
      <c r="GC433" s="21"/>
      <c r="GD433" s="21"/>
      <c r="GE433" s="21"/>
      <c r="GF433" s="21"/>
      <c r="GG433" s="21"/>
      <c r="GH433" s="21"/>
      <c r="GI433" s="21"/>
      <c r="GJ433" s="21"/>
      <c r="GK433" s="21"/>
      <c r="GL433" s="21"/>
      <c r="GM433" s="21"/>
      <c r="GN433" s="21"/>
      <c r="GO433" s="21"/>
      <c r="GP433" s="21"/>
      <c r="GQ433" s="21"/>
      <c r="GR433" s="21"/>
      <c r="GS433" s="21"/>
      <c r="GT433" s="21"/>
      <c r="GU433" s="21"/>
      <c r="GV433" s="21"/>
      <c r="GW433" s="21"/>
      <c r="GX433" s="21"/>
      <c r="GY433" s="21"/>
      <c r="GZ433" s="21"/>
      <c r="HA433" s="21"/>
      <c r="HB433" s="21"/>
    </row>
    <row r="434" spans="1:210"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c r="DB434" s="21"/>
      <c r="DC434" s="21"/>
      <c r="DD434" s="21"/>
      <c r="DE434" s="21"/>
      <c r="DF434" s="21"/>
      <c r="DG434" s="21"/>
      <c r="DH434" s="21"/>
      <c r="DI434" s="21"/>
      <c r="DJ434" s="21"/>
      <c r="DK434" s="21"/>
      <c r="DL434" s="21"/>
      <c r="DM434" s="21"/>
      <c r="DN434" s="21"/>
      <c r="DO434" s="21"/>
      <c r="DP434" s="21"/>
      <c r="DQ434" s="21"/>
      <c r="DR434" s="21"/>
      <c r="DS434" s="21"/>
      <c r="DT434" s="21"/>
      <c r="DU434" s="21"/>
      <c r="DV434" s="21"/>
      <c r="DW434" s="21"/>
      <c r="DX434" s="21"/>
      <c r="DY434" s="21"/>
      <c r="DZ434" s="21"/>
      <c r="EA434" s="21"/>
      <c r="EB434" s="21"/>
      <c r="EC434" s="21"/>
      <c r="ED434" s="21"/>
      <c r="EE434" s="21"/>
      <c r="EF434" s="21"/>
      <c r="EG434" s="21"/>
      <c r="EH434" s="21"/>
      <c r="EI434" s="21"/>
      <c r="EJ434" s="21"/>
      <c r="EK434" s="21"/>
      <c r="EL434" s="21"/>
      <c r="EM434" s="21"/>
      <c r="EN434" s="21"/>
      <c r="EO434" s="21"/>
      <c r="EP434" s="21"/>
      <c r="EQ434" s="21"/>
      <c r="ER434" s="21"/>
      <c r="ES434" s="21"/>
      <c r="ET434" s="21"/>
      <c r="EU434" s="21"/>
      <c r="EV434" s="21"/>
      <c r="EW434" s="21"/>
      <c r="EX434" s="21"/>
      <c r="EY434" s="21"/>
      <c r="EZ434" s="21"/>
      <c r="FA434" s="21"/>
      <c r="FB434" s="21"/>
      <c r="FC434" s="21"/>
      <c r="FD434" s="21"/>
      <c r="FE434" s="21"/>
      <c r="FF434" s="21"/>
      <c r="FG434" s="21"/>
      <c r="FH434" s="21"/>
      <c r="FI434" s="21"/>
      <c r="FJ434" s="21"/>
      <c r="FK434" s="21"/>
      <c r="FL434" s="21"/>
      <c r="FM434" s="21"/>
      <c r="FN434" s="21"/>
      <c r="FO434" s="21"/>
      <c r="FP434" s="21"/>
      <c r="FQ434" s="21"/>
      <c r="FR434" s="21"/>
      <c r="FS434" s="21"/>
      <c r="FT434" s="21"/>
      <c r="FU434" s="21"/>
      <c r="FV434" s="21"/>
      <c r="FW434" s="21"/>
      <c r="FX434" s="21"/>
      <c r="FY434" s="21"/>
      <c r="FZ434" s="21"/>
      <c r="GA434" s="21"/>
      <c r="GB434" s="21"/>
      <c r="GC434" s="21"/>
      <c r="GD434" s="21"/>
      <c r="GE434" s="21"/>
      <c r="GF434" s="21"/>
      <c r="GG434" s="21"/>
      <c r="GH434" s="21"/>
      <c r="GI434" s="21"/>
      <c r="GJ434" s="21"/>
      <c r="GK434" s="21"/>
      <c r="GL434" s="21"/>
      <c r="GM434" s="21"/>
      <c r="GN434" s="21"/>
      <c r="GO434" s="21"/>
      <c r="GP434" s="21"/>
      <c r="GQ434" s="21"/>
      <c r="GR434" s="21"/>
      <c r="GS434" s="21"/>
      <c r="GT434" s="21"/>
      <c r="GU434" s="21"/>
      <c r="GV434" s="21"/>
      <c r="GW434" s="21"/>
      <c r="GX434" s="21"/>
      <c r="GY434" s="21"/>
      <c r="GZ434" s="21"/>
      <c r="HA434" s="21"/>
      <c r="HB434" s="21"/>
    </row>
    <row r="435" spans="1:210"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21"/>
      <c r="CH435" s="21"/>
      <c r="CI435" s="21"/>
      <c r="CJ435" s="21"/>
      <c r="CK435" s="21"/>
      <c r="CL435" s="21"/>
      <c r="CM435" s="21"/>
      <c r="CN435" s="21"/>
      <c r="CO435" s="21"/>
      <c r="CP435" s="21"/>
      <c r="CQ435" s="21"/>
      <c r="CR435" s="21"/>
      <c r="CS435" s="21"/>
      <c r="CT435" s="21"/>
      <c r="CU435" s="21"/>
      <c r="CV435" s="21"/>
      <c r="CW435" s="21"/>
      <c r="CX435" s="21"/>
      <c r="CY435" s="21"/>
      <c r="CZ435" s="21"/>
      <c r="DA435" s="21"/>
      <c r="DB435" s="21"/>
      <c r="DC435" s="21"/>
      <c r="DD435" s="21"/>
      <c r="DE435" s="21"/>
      <c r="DF435" s="21"/>
      <c r="DG435" s="21"/>
      <c r="DH435" s="21"/>
      <c r="DI435" s="21"/>
      <c r="DJ435" s="21"/>
      <c r="DK435" s="21"/>
      <c r="DL435" s="21"/>
      <c r="DM435" s="21"/>
      <c r="DN435" s="21"/>
      <c r="DO435" s="21"/>
      <c r="DP435" s="21"/>
      <c r="DQ435" s="21"/>
      <c r="DR435" s="21"/>
      <c r="DS435" s="21"/>
      <c r="DT435" s="21"/>
      <c r="DU435" s="21"/>
      <c r="DV435" s="21"/>
      <c r="DW435" s="21"/>
      <c r="DX435" s="21"/>
      <c r="DY435" s="21"/>
      <c r="DZ435" s="21"/>
      <c r="EA435" s="21"/>
      <c r="EB435" s="21"/>
      <c r="EC435" s="21"/>
      <c r="ED435" s="21"/>
      <c r="EE435" s="21"/>
      <c r="EF435" s="21"/>
      <c r="EG435" s="21"/>
      <c r="EH435" s="21"/>
      <c r="EI435" s="21"/>
      <c r="EJ435" s="21"/>
      <c r="EK435" s="21"/>
      <c r="EL435" s="21"/>
      <c r="EM435" s="21"/>
      <c r="EN435" s="21"/>
      <c r="EO435" s="21"/>
      <c r="EP435" s="21"/>
      <c r="EQ435" s="21"/>
      <c r="ER435" s="21"/>
      <c r="ES435" s="21"/>
      <c r="ET435" s="21"/>
      <c r="EU435" s="21"/>
      <c r="EV435" s="21"/>
      <c r="EW435" s="21"/>
      <c r="EX435" s="21"/>
      <c r="EY435" s="21"/>
      <c r="EZ435" s="21"/>
      <c r="FA435" s="21"/>
      <c r="FB435" s="21"/>
      <c r="FC435" s="21"/>
      <c r="FD435" s="21"/>
      <c r="FE435" s="21"/>
      <c r="FF435" s="21"/>
      <c r="FG435" s="21"/>
      <c r="FH435" s="21"/>
      <c r="FI435" s="21"/>
      <c r="FJ435" s="21"/>
      <c r="FK435" s="21"/>
      <c r="FL435" s="21"/>
      <c r="FM435" s="21"/>
      <c r="FN435" s="21"/>
      <c r="FO435" s="21"/>
      <c r="FP435" s="21"/>
      <c r="FQ435" s="21"/>
      <c r="FR435" s="21"/>
      <c r="FS435" s="21"/>
      <c r="FT435" s="21"/>
      <c r="FU435" s="21"/>
      <c r="FV435" s="21"/>
      <c r="FW435" s="21"/>
      <c r="FX435" s="21"/>
      <c r="FY435" s="21"/>
      <c r="FZ435" s="21"/>
      <c r="GA435" s="21"/>
      <c r="GB435" s="21"/>
      <c r="GC435" s="21"/>
      <c r="GD435" s="21"/>
      <c r="GE435" s="21"/>
      <c r="GF435" s="21"/>
      <c r="GG435" s="21"/>
      <c r="GH435" s="21"/>
      <c r="GI435" s="21"/>
      <c r="GJ435" s="21"/>
      <c r="GK435" s="21"/>
      <c r="GL435" s="21"/>
      <c r="GM435" s="21"/>
      <c r="GN435" s="21"/>
      <c r="GO435" s="21"/>
      <c r="GP435" s="21"/>
      <c r="GQ435" s="21"/>
      <c r="GR435" s="21"/>
      <c r="GS435" s="21"/>
      <c r="GT435" s="21"/>
      <c r="GU435" s="21"/>
      <c r="GV435" s="21"/>
      <c r="GW435" s="21"/>
      <c r="GX435" s="21"/>
      <c r="GY435" s="21"/>
      <c r="GZ435" s="21"/>
      <c r="HA435" s="21"/>
      <c r="HB435" s="21"/>
    </row>
    <row r="436" spans="1:210"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21"/>
      <c r="CH436" s="21"/>
      <c r="CI436" s="21"/>
      <c r="CJ436" s="21"/>
      <c r="CK436" s="21"/>
      <c r="CL436" s="21"/>
      <c r="CM436" s="21"/>
      <c r="CN436" s="21"/>
      <c r="CO436" s="21"/>
      <c r="CP436" s="21"/>
      <c r="CQ436" s="21"/>
      <c r="CR436" s="21"/>
      <c r="CS436" s="21"/>
      <c r="CT436" s="21"/>
      <c r="CU436" s="21"/>
      <c r="CV436" s="21"/>
      <c r="CW436" s="21"/>
      <c r="CX436" s="21"/>
      <c r="CY436" s="21"/>
      <c r="CZ436" s="21"/>
      <c r="DA436" s="21"/>
      <c r="DB436" s="21"/>
      <c r="DC436" s="21"/>
      <c r="DD436" s="21"/>
      <c r="DE436" s="21"/>
      <c r="DF436" s="21"/>
      <c r="DG436" s="21"/>
      <c r="DH436" s="21"/>
      <c r="DI436" s="21"/>
      <c r="DJ436" s="21"/>
      <c r="DK436" s="21"/>
      <c r="DL436" s="21"/>
      <c r="DM436" s="21"/>
      <c r="DN436" s="21"/>
      <c r="DO436" s="21"/>
      <c r="DP436" s="21"/>
      <c r="DQ436" s="21"/>
      <c r="DR436" s="21"/>
      <c r="DS436" s="21"/>
      <c r="DT436" s="21"/>
      <c r="DU436" s="21"/>
      <c r="DV436" s="21"/>
      <c r="DW436" s="21"/>
      <c r="DX436" s="21"/>
      <c r="DY436" s="21"/>
      <c r="DZ436" s="21"/>
      <c r="EA436" s="21"/>
      <c r="EB436" s="21"/>
      <c r="EC436" s="21"/>
      <c r="ED436" s="21"/>
      <c r="EE436" s="21"/>
      <c r="EF436" s="21"/>
      <c r="EG436" s="21"/>
      <c r="EH436" s="21"/>
      <c r="EI436" s="21"/>
      <c r="EJ436" s="21"/>
      <c r="EK436" s="21"/>
      <c r="EL436" s="21"/>
      <c r="EM436" s="21"/>
      <c r="EN436" s="21"/>
      <c r="EO436" s="21"/>
      <c r="EP436" s="21"/>
      <c r="EQ436" s="21"/>
      <c r="ER436" s="21"/>
      <c r="ES436" s="21"/>
      <c r="ET436" s="21"/>
      <c r="EU436" s="21"/>
      <c r="EV436" s="21"/>
      <c r="EW436" s="21"/>
      <c r="EX436" s="21"/>
      <c r="EY436" s="21"/>
      <c r="EZ436" s="21"/>
      <c r="FA436" s="21"/>
      <c r="FB436" s="21"/>
      <c r="FC436" s="21"/>
      <c r="FD436" s="21"/>
      <c r="FE436" s="21"/>
      <c r="FF436" s="21"/>
      <c r="FG436" s="21"/>
      <c r="FH436" s="21"/>
      <c r="FI436" s="21"/>
      <c r="FJ436" s="21"/>
      <c r="FK436" s="21"/>
      <c r="FL436" s="21"/>
      <c r="FM436" s="21"/>
      <c r="FN436" s="21"/>
      <c r="FO436" s="21"/>
      <c r="FP436" s="21"/>
      <c r="FQ436" s="21"/>
      <c r="FR436" s="21"/>
      <c r="FS436" s="21"/>
      <c r="FT436" s="21"/>
      <c r="FU436" s="21"/>
      <c r="FV436" s="21"/>
      <c r="FW436" s="21"/>
      <c r="FX436" s="21"/>
      <c r="FY436" s="21"/>
      <c r="FZ436" s="21"/>
      <c r="GA436" s="21"/>
      <c r="GB436" s="21"/>
      <c r="GC436" s="21"/>
      <c r="GD436" s="21"/>
      <c r="GE436" s="21"/>
      <c r="GF436" s="21"/>
      <c r="GG436" s="21"/>
      <c r="GH436" s="21"/>
      <c r="GI436" s="21"/>
      <c r="GJ436" s="21"/>
      <c r="GK436" s="21"/>
      <c r="GL436" s="21"/>
      <c r="GM436" s="21"/>
      <c r="GN436" s="21"/>
      <c r="GO436" s="21"/>
      <c r="GP436" s="21"/>
      <c r="GQ436" s="21"/>
      <c r="GR436" s="21"/>
      <c r="GS436" s="21"/>
      <c r="GT436" s="21"/>
      <c r="GU436" s="21"/>
      <c r="GV436" s="21"/>
      <c r="GW436" s="21"/>
      <c r="GX436" s="21"/>
      <c r="GY436" s="21"/>
      <c r="GZ436" s="21"/>
      <c r="HA436" s="21"/>
      <c r="HB436" s="21"/>
    </row>
    <row r="437" spans="1:210"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c r="DB437" s="21"/>
      <c r="DC437" s="21"/>
      <c r="DD437" s="21"/>
      <c r="DE437" s="21"/>
      <c r="DF437" s="21"/>
      <c r="DG437" s="21"/>
      <c r="DH437" s="21"/>
      <c r="DI437" s="21"/>
      <c r="DJ437" s="21"/>
      <c r="DK437" s="21"/>
      <c r="DL437" s="21"/>
      <c r="DM437" s="21"/>
      <c r="DN437" s="21"/>
      <c r="DO437" s="21"/>
      <c r="DP437" s="21"/>
      <c r="DQ437" s="21"/>
      <c r="DR437" s="21"/>
      <c r="DS437" s="21"/>
      <c r="DT437" s="21"/>
      <c r="DU437" s="21"/>
      <c r="DV437" s="21"/>
      <c r="DW437" s="21"/>
      <c r="DX437" s="21"/>
      <c r="DY437" s="21"/>
      <c r="DZ437" s="21"/>
      <c r="EA437" s="21"/>
      <c r="EB437" s="21"/>
      <c r="EC437" s="21"/>
      <c r="ED437" s="21"/>
      <c r="EE437" s="21"/>
      <c r="EF437" s="21"/>
      <c r="EG437" s="21"/>
      <c r="EH437" s="21"/>
      <c r="EI437" s="21"/>
      <c r="EJ437" s="21"/>
      <c r="EK437" s="21"/>
      <c r="EL437" s="21"/>
      <c r="EM437" s="21"/>
      <c r="EN437" s="21"/>
      <c r="EO437" s="21"/>
      <c r="EP437" s="21"/>
      <c r="EQ437" s="21"/>
      <c r="ER437" s="21"/>
      <c r="ES437" s="21"/>
      <c r="ET437" s="21"/>
      <c r="EU437" s="21"/>
      <c r="EV437" s="21"/>
      <c r="EW437" s="21"/>
      <c r="EX437" s="21"/>
      <c r="EY437" s="21"/>
      <c r="EZ437" s="21"/>
      <c r="FA437" s="21"/>
      <c r="FB437" s="21"/>
      <c r="FC437" s="21"/>
      <c r="FD437" s="21"/>
      <c r="FE437" s="21"/>
      <c r="FF437" s="21"/>
      <c r="FG437" s="21"/>
      <c r="FH437" s="21"/>
      <c r="FI437" s="21"/>
      <c r="FJ437" s="21"/>
      <c r="FK437" s="21"/>
      <c r="FL437" s="21"/>
      <c r="FM437" s="21"/>
      <c r="FN437" s="21"/>
      <c r="FO437" s="21"/>
      <c r="FP437" s="21"/>
      <c r="FQ437" s="21"/>
      <c r="FR437" s="21"/>
      <c r="FS437" s="21"/>
      <c r="FT437" s="21"/>
      <c r="FU437" s="21"/>
      <c r="FV437" s="21"/>
      <c r="FW437" s="21"/>
      <c r="FX437" s="21"/>
      <c r="FY437" s="21"/>
      <c r="FZ437" s="21"/>
      <c r="GA437" s="21"/>
      <c r="GB437" s="21"/>
      <c r="GC437" s="21"/>
      <c r="GD437" s="21"/>
      <c r="GE437" s="21"/>
      <c r="GF437" s="21"/>
      <c r="GG437" s="21"/>
      <c r="GH437" s="21"/>
      <c r="GI437" s="21"/>
      <c r="GJ437" s="21"/>
      <c r="GK437" s="21"/>
      <c r="GL437" s="21"/>
      <c r="GM437" s="21"/>
      <c r="GN437" s="21"/>
      <c r="GO437" s="21"/>
      <c r="GP437" s="21"/>
      <c r="GQ437" s="21"/>
      <c r="GR437" s="21"/>
      <c r="GS437" s="21"/>
      <c r="GT437" s="21"/>
      <c r="GU437" s="21"/>
      <c r="GV437" s="21"/>
      <c r="GW437" s="21"/>
      <c r="GX437" s="21"/>
      <c r="GY437" s="21"/>
      <c r="GZ437" s="21"/>
      <c r="HA437" s="21"/>
      <c r="HB437" s="21"/>
    </row>
    <row r="438" spans="1:210"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c r="DE438" s="21"/>
      <c r="DF438" s="21"/>
      <c r="DG438" s="21"/>
      <c r="DH438" s="21"/>
      <c r="DI438" s="21"/>
      <c r="DJ438" s="21"/>
      <c r="DK438" s="21"/>
      <c r="DL438" s="21"/>
      <c r="DM438" s="21"/>
      <c r="DN438" s="21"/>
      <c r="DO438" s="21"/>
      <c r="DP438" s="21"/>
      <c r="DQ438" s="21"/>
      <c r="DR438" s="21"/>
      <c r="DS438" s="21"/>
      <c r="DT438" s="21"/>
      <c r="DU438" s="21"/>
      <c r="DV438" s="21"/>
      <c r="DW438" s="21"/>
      <c r="DX438" s="21"/>
      <c r="DY438" s="21"/>
      <c r="DZ438" s="21"/>
      <c r="EA438" s="21"/>
      <c r="EB438" s="21"/>
      <c r="EC438" s="21"/>
      <c r="ED438" s="21"/>
      <c r="EE438" s="21"/>
      <c r="EF438" s="21"/>
      <c r="EG438" s="21"/>
      <c r="EH438" s="21"/>
      <c r="EI438" s="21"/>
      <c r="EJ438" s="21"/>
      <c r="EK438" s="21"/>
      <c r="EL438" s="21"/>
      <c r="EM438" s="21"/>
      <c r="EN438" s="21"/>
      <c r="EO438" s="21"/>
      <c r="EP438" s="21"/>
      <c r="EQ438" s="21"/>
      <c r="ER438" s="21"/>
      <c r="ES438" s="21"/>
      <c r="ET438" s="21"/>
      <c r="EU438" s="21"/>
      <c r="EV438" s="21"/>
      <c r="EW438" s="21"/>
      <c r="EX438" s="21"/>
      <c r="EY438" s="21"/>
      <c r="EZ438" s="21"/>
      <c r="FA438" s="21"/>
      <c r="FB438" s="21"/>
      <c r="FC438" s="21"/>
      <c r="FD438" s="21"/>
      <c r="FE438" s="21"/>
      <c r="FF438" s="21"/>
      <c r="FG438" s="21"/>
      <c r="FH438" s="21"/>
      <c r="FI438" s="21"/>
      <c r="FJ438" s="21"/>
      <c r="FK438" s="21"/>
      <c r="FL438" s="21"/>
      <c r="FM438" s="21"/>
      <c r="FN438" s="21"/>
      <c r="FO438" s="21"/>
      <c r="FP438" s="21"/>
      <c r="FQ438" s="21"/>
      <c r="FR438" s="21"/>
      <c r="FS438" s="21"/>
      <c r="FT438" s="21"/>
      <c r="FU438" s="21"/>
      <c r="FV438" s="21"/>
      <c r="FW438" s="21"/>
      <c r="FX438" s="21"/>
      <c r="FY438" s="21"/>
      <c r="FZ438" s="21"/>
      <c r="GA438" s="21"/>
      <c r="GB438" s="21"/>
      <c r="GC438" s="21"/>
      <c r="GD438" s="21"/>
      <c r="GE438" s="21"/>
      <c r="GF438" s="21"/>
      <c r="GG438" s="21"/>
      <c r="GH438" s="21"/>
      <c r="GI438" s="21"/>
      <c r="GJ438" s="21"/>
      <c r="GK438" s="21"/>
      <c r="GL438" s="21"/>
      <c r="GM438" s="21"/>
      <c r="GN438" s="21"/>
      <c r="GO438" s="21"/>
      <c r="GP438" s="21"/>
      <c r="GQ438" s="21"/>
      <c r="GR438" s="21"/>
      <c r="GS438" s="21"/>
      <c r="GT438" s="21"/>
      <c r="GU438" s="21"/>
      <c r="GV438" s="21"/>
      <c r="GW438" s="21"/>
      <c r="GX438" s="21"/>
      <c r="GY438" s="21"/>
      <c r="GZ438" s="21"/>
      <c r="HA438" s="21"/>
      <c r="HB438" s="21"/>
    </row>
    <row r="439" spans="1:210"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c r="DB439" s="21"/>
      <c r="DC439" s="21"/>
      <c r="DD439" s="21"/>
      <c r="DE439" s="21"/>
      <c r="DF439" s="21"/>
      <c r="DG439" s="21"/>
      <c r="DH439" s="21"/>
      <c r="DI439" s="21"/>
      <c r="DJ439" s="21"/>
      <c r="DK439" s="21"/>
      <c r="DL439" s="21"/>
      <c r="DM439" s="21"/>
      <c r="DN439" s="21"/>
      <c r="DO439" s="21"/>
      <c r="DP439" s="21"/>
      <c r="DQ439" s="21"/>
      <c r="DR439" s="21"/>
      <c r="DS439" s="21"/>
      <c r="DT439" s="21"/>
      <c r="DU439" s="21"/>
      <c r="DV439" s="21"/>
      <c r="DW439" s="21"/>
      <c r="DX439" s="21"/>
      <c r="DY439" s="21"/>
      <c r="DZ439" s="21"/>
      <c r="EA439" s="21"/>
      <c r="EB439" s="21"/>
      <c r="EC439" s="21"/>
      <c r="ED439" s="21"/>
      <c r="EE439" s="21"/>
      <c r="EF439" s="21"/>
      <c r="EG439" s="21"/>
      <c r="EH439" s="21"/>
      <c r="EI439" s="21"/>
      <c r="EJ439" s="21"/>
      <c r="EK439" s="21"/>
      <c r="EL439" s="21"/>
      <c r="EM439" s="21"/>
      <c r="EN439" s="21"/>
      <c r="EO439" s="21"/>
      <c r="EP439" s="21"/>
      <c r="EQ439" s="21"/>
      <c r="ER439" s="21"/>
      <c r="ES439" s="21"/>
      <c r="ET439" s="21"/>
      <c r="EU439" s="21"/>
      <c r="EV439" s="21"/>
      <c r="EW439" s="21"/>
      <c r="EX439" s="21"/>
      <c r="EY439" s="21"/>
      <c r="EZ439" s="21"/>
      <c r="FA439" s="21"/>
      <c r="FB439" s="21"/>
      <c r="FC439" s="21"/>
      <c r="FD439" s="21"/>
      <c r="FE439" s="21"/>
      <c r="FF439" s="21"/>
      <c r="FG439" s="21"/>
      <c r="FH439" s="21"/>
      <c r="FI439" s="21"/>
      <c r="FJ439" s="21"/>
      <c r="FK439" s="21"/>
      <c r="FL439" s="21"/>
      <c r="FM439" s="21"/>
      <c r="FN439" s="21"/>
      <c r="FO439" s="21"/>
      <c r="FP439" s="21"/>
      <c r="FQ439" s="21"/>
      <c r="FR439" s="21"/>
      <c r="FS439" s="21"/>
      <c r="FT439" s="21"/>
      <c r="FU439" s="21"/>
      <c r="FV439" s="21"/>
      <c r="FW439" s="21"/>
      <c r="FX439" s="21"/>
      <c r="FY439" s="21"/>
      <c r="FZ439" s="21"/>
      <c r="GA439" s="21"/>
      <c r="GB439" s="21"/>
      <c r="GC439" s="21"/>
      <c r="GD439" s="21"/>
      <c r="GE439" s="21"/>
      <c r="GF439" s="21"/>
      <c r="GG439" s="21"/>
      <c r="GH439" s="21"/>
      <c r="GI439" s="21"/>
      <c r="GJ439" s="21"/>
      <c r="GK439" s="21"/>
      <c r="GL439" s="21"/>
      <c r="GM439" s="21"/>
      <c r="GN439" s="21"/>
      <c r="GO439" s="21"/>
      <c r="GP439" s="21"/>
      <c r="GQ439" s="21"/>
      <c r="GR439" s="21"/>
      <c r="GS439" s="21"/>
      <c r="GT439" s="21"/>
      <c r="GU439" s="21"/>
      <c r="GV439" s="21"/>
      <c r="GW439" s="21"/>
      <c r="GX439" s="21"/>
      <c r="GY439" s="21"/>
      <c r="GZ439" s="21"/>
      <c r="HA439" s="21"/>
      <c r="HB439" s="21"/>
    </row>
    <row r="440" spans="1:210"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c r="DB440" s="21"/>
      <c r="DC440" s="21"/>
      <c r="DD440" s="21"/>
      <c r="DE440" s="21"/>
      <c r="DF440" s="21"/>
      <c r="DG440" s="21"/>
      <c r="DH440" s="21"/>
      <c r="DI440" s="21"/>
      <c r="DJ440" s="21"/>
      <c r="DK440" s="21"/>
      <c r="DL440" s="21"/>
      <c r="DM440" s="21"/>
      <c r="DN440" s="21"/>
      <c r="DO440" s="21"/>
      <c r="DP440" s="21"/>
      <c r="DQ440" s="21"/>
      <c r="DR440" s="21"/>
      <c r="DS440" s="21"/>
      <c r="DT440" s="21"/>
      <c r="DU440" s="21"/>
      <c r="DV440" s="21"/>
      <c r="DW440" s="21"/>
      <c r="DX440" s="21"/>
      <c r="DY440" s="21"/>
      <c r="DZ440" s="21"/>
      <c r="EA440" s="21"/>
      <c r="EB440" s="21"/>
      <c r="EC440" s="21"/>
      <c r="ED440" s="21"/>
      <c r="EE440" s="21"/>
      <c r="EF440" s="21"/>
      <c r="EG440" s="21"/>
      <c r="EH440" s="21"/>
      <c r="EI440" s="21"/>
      <c r="EJ440" s="21"/>
      <c r="EK440" s="21"/>
      <c r="EL440" s="21"/>
      <c r="EM440" s="21"/>
      <c r="EN440" s="21"/>
      <c r="EO440" s="21"/>
      <c r="EP440" s="21"/>
      <c r="EQ440" s="21"/>
      <c r="ER440" s="21"/>
      <c r="ES440" s="21"/>
      <c r="ET440" s="21"/>
      <c r="EU440" s="21"/>
      <c r="EV440" s="21"/>
      <c r="EW440" s="21"/>
      <c r="EX440" s="21"/>
      <c r="EY440" s="21"/>
      <c r="EZ440" s="21"/>
      <c r="FA440" s="21"/>
      <c r="FB440" s="21"/>
      <c r="FC440" s="21"/>
      <c r="FD440" s="21"/>
      <c r="FE440" s="21"/>
      <c r="FF440" s="21"/>
      <c r="FG440" s="21"/>
      <c r="FH440" s="21"/>
      <c r="FI440" s="21"/>
      <c r="FJ440" s="21"/>
      <c r="FK440" s="21"/>
      <c r="FL440" s="21"/>
      <c r="FM440" s="21"/>
      <c r="FN440" s="21"/>
      <c r="FO440" s="21"/>
      <c r="FP440" s="21"/>
      <c r="FQ440" s="21"/>
      <c r="FR440" s="21"/>
      <c r="FS440" s="21"/>
      <c r="FT440" s="21"/>
      <c r="FU440" s="21"/>
      <c r="FV440" s="21"/>
      <c r="FW440" s="21"/>
      <c r="FX440" s="21"/>
      <c r="FY440" s="21"/>
      <c r="FZ440" s="21"/>
      <c r="GA440" s="21"/>
      <c r="GB440" s="21"/>
      <c r="GC440" s="21"/>
      <c r="GD440" s="21"/>
      <c r="GE440" s="21"/>
      <c r="GF440" s="21"/>
      <c r="GG440" s="21"/>
      <c r="GH440" s="21"/>
      <c r="GI440" s="21"/>
      <c r="GJ440" s="21"/>
      <c r="GK440" s="21"/>
      <c r="GL440" s="21"/>
      <c r="GM440" s="21"/>
      <c r="GN440" s="21"/>
      <c r="GO440" s="21"/>
      <c r="GP440" s="21"/>
      <c r="GQ440" s="21"/>
      <c r="GR440" s="21"/>
      <c r="GS440" s="21"/>
      <c r="GT440" s="21"/>
      <c r="GU440" s="21"/>
      <c r="GV440" s="21"/>
      <c r="GW440" s="21"/>
      <c r="GX440" s="21"/>
      <c r="GY440" s="21"/>
      <c r="GZ440" s="21"/>
      <c r="HA440" s="21"/>
      <c r="HB440" s="21"/>
    </row>
    <row r="441" spans="1:210"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c r="DB441" s="21"/>
      <c r="DC441" s="21"/>
      <c r="DD441" s="21"/>
      <c r="DE441" s="21"/>
      <c r="DF441" s="21"/>
      <c r="DG441" s="21"/>
      <c r="DH441" s="21"/>
      <c r="DI441" s="21"/>
      <c r="DJ441" s="21"/>
      <c r="DK441" s="21"/>
      <c r="DL441" s="21"/>
      <c r="DM441" s="21"/>
      <c r="DN441" s="21"/>
      <c r="DO441" s="21"/>
      <c r="DP441" s="21"/>
      <c r="DQ441" s="21"/>
      <c r="DR441" s="21"/>
      <c r="DS441" s="21"/>
      <c r="DT441" s="21"/>
      <c r="DU441" s="21"/>
      <c r="DV441" s="21"/>
      <c r="DW441" s="21"/>
      <c r="DX441" s="21"/>
      <c r="DY441" s="21"/>
      <c r="DZ441" s="21"/>
      <c r="EA441" s="21"/>
      <c r="EB441" s="21"/>
      <c r="EC441" s="21"/>
      <c r="ED441" s="21"/>
      <c r="EE441" s="21"/>
      <c r="EF441" s="21"/>
      <c r="EG441" s="21"/>
      <c r="EH441" s="21"/>
      <c r="EI441" s="21"/>
      <c r="EJ441" s="21"/>
      <c r="EK441" s="21"/>
      <c r="EL441" s="21"/>
      <c r="EM441" s="21"/>
      <c r="EN441" s="21"/>
      <c r="EO441" s="21"/>
      <c r="EP441" s="21"/>
      <c r="EQ441" s="21"/>
      <c r="ER441" s="21"/>
      <c r="ES441" s="21"/>
      <c r="ET441" s="21"/>
      <c r="EU441" s="21"/>
      <c r="EV441" s="21"/>
      <c r="EW441" s="21"/>
      <c r="EX441" s="21"/>
      <c r="EY441" s="21"/>
      <c r="EZ441" s="21"/>
      <c r="FA441" s="21"/>
      <c r="FB441" s="21"/>
      <c r="FC441" s="21"/>
      <c r="FD441" s="21"/>
      <c r="FE441" s="21"/>
      <c r="FF441" s="21"/>
      <c r="FG441" s="21"/>
      <c r="FH441" s="21"/>
      <c r="FI441" s="21"/>
      <c r="FJ441" s="21"/>
      <c r="FK441" s="21"/>
      <c r="FL441" s="21"/>
      <c r="FM441" s="21"/>
      <c r="FN441" s="21"/>
      <c r="FO441" s="21"/>
      <c r="FP441" s="21"/>
      <c r="FQ441" s="21"/>
      <c r="FR441" s="21"/>
      <c r="FS441" s="21"/>
      <c r="FT441" s="21"/>
      <c r="FU441" s="21"/>
      <c r="FV441" s="21"/>
      <c r="FW441" s="21"/>
      <c r="FX441" s="21"/>
      <c r="FY441" s="21"/>
      <c r="FZ441" s="21"/>
      <c r="GA441" s="21"/>
      <c r="GB441" s="21"/>
      <c r="GC441" s="21"/>
      <c r="GD441" s="21"/>
      <c r="GE441" s="21"/>
      <c r="GF441" s="21"/>
      <c r="GG441" s="21"/>
      <c r="GH441" s="21"/>
      <c r="GI441" s="21"/>
      <c r="GJ441" s="21"/>
      <c r="GK441" s="21"/>
      <c r="GL441" s="21"/>
      <c r="GM441" s="21"/>
      <c r="GN441" s="21"/>
      <c r="GO441" s="21"/>
      <c r="GP441" s="21"/>
      <c r="GQ441" s="21"/>
      <c r="GR441" s="21"/>
      <c r="GS441" s="21"/>
      <c r="GT441" s="21"/>
      <c r="GU441" s="21"/>
      <c r="GV441" s="21"/>
      <c r="GW441" s="21"/>
      <c r="GX441" s="21"/>
      <c r="GY441" s="21"/>
      <c r="GZ441" s="21"/>
      <c r="HA441" s="21"/>
      <c r="HB441" s="21"/>
    </row>
    <row r="442" spans="1:210"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c r="DB442" s="21"/>
      <c r="DC442" s="21"/>
      <c r="DD442" s="21"/>
      <c r="DE442" s="21"/>
      <c r="DF442" s="21"/>
      <c r="DG442" s="21"/>
      <c r="DH442" s="21"/>
      <c r="DI442" s="21"/>
      <c r="DJ442" s="21"/>
      <c r="DK442" s="21"/>
      <c r="DL442" s="21"/>
      <c r="DM442" s="21"/>
      <c r="DN442" s="21"/>
      <c r="DO442" s="21"/>
      <c r="DP442" s="21"/>
      <c r="DQ442" s="21"/>
      <c r="DR442" s="21"/>
      <c r="DS442" s="21"/>
      <c r="DT442" s="21"/>
      <c r="DU442" s="21"/>
      <c r="DV442" s="21"/>
      <c r="DW442" s="21"/>
      <c r="DX442" s="21"/>
      <c r="DY442" s="21"/>
      <c r="DZ442" s="21"/>
      <c r="EA442" s="21"/>
      <c r="EB442" s="21"/>
      <c r="EC442" s="21"/>
      <c r="ED442" s="21"/>
      <c r="EE442" s="21"/>
      <c r="EF442" s="21"/>
      <c r="EG442" s="21"/>
      <c r="EH442" s="21"/>
      <c r="EI442" s="21"/>
      <c r="EJ442" s="21"/>
      <c r="EK442" s="21"/>
      <c r="EL442" s="21"/>
      <c r="EM442" s="21"/>
      <c r="EN442" s="21"/>
      <c r="EO442" s="21"/>
      <c r="EP442" s="21"/>
      <c r="EQ442" s="21"/>
      <c r="ER442" s="21"/>
      <c r="ES442" s="21"/>
      <c r="ET442" s="21"/>
      <c r="EU442" s="21"/>
      <c r="EV442" s="21"/>
      <c r="EW442" s="21"/>
      <c r="EX442" s="21"/>
      <c r="EY442" s="21"/>
      <c r="EZ442" s="21"/>
      <c r="FA442" s="21"/>
      <c r="FB442" s="21"/>
      <c r="FC442" s="21"/>
      <c r="FD442" s="21"/>
      <c r="FE442" s="21"/>
      <c r="FF442" s="21"/>
      <c r="FG442" s="21"/>
      <c r="FH442" s="21"/>
      <c r="FI442" s="21"/>
      <c r="FJ442" s="21"/>
      <c r="FK442" s="21"/>
      <c r="FL442" s="21"/>
      <c r="FM442" s="21"/>
      <c r="FN442" s="21"/>
      <c r="FO442" s="21"/>
      <c r="FP442" s="21"/>
      <c r="FQ442" s="21"/>
      <c r="FR442" s="21"/>
      <c r="FS442" s="21"/>
      <c r="FT442" s="21"/>
      <c r="FU442" s="21"/>
      <c r="FV442" s="21"/>
      <c r="FW442" s="21"/>
      <c r="FX442" s="21"/>
      <c r="FY442" s="21"/>
      <c r="FZ442" s="21"/>
      <c r="GA442" s="21"/>
      <c r="GB442" s="21"/>
      <c r="GC442" s="21"/>
      <c r="GD442" s="21"/>
      <c r="GE442" s="21"/>
      <c r="GF442" s="21"/>
      <c r="GG442" s="21"/>
      <c r="GH442" s="21"/>
      <c r="GI442" s="21"/>
      <c r="GJ442" s="21"/>
      <c r="GK442" s="21"/>
      <c r="GL442" s="21"/>
      <c r="GM442" s="21"/>
      <c r="GN442" s="21"/>
      <c r="GO442" s="21"/>
      <c r="GP442" s="21"/>
      <c r="GQ442" s="21"/>
      <c r="GR442" s="21"/>
      <c r="GS442" s="21"/>
      <c r="GT442" s="21"/>
      <c r="GU442" s="21"/>
      <c r="GV442" s="21"/>
      <c r="GW442" s="21"/>
      <c r="GX442" s="21"/>
      <c r="GY442" s="21"/>
      <c r="GZ442" s="21"/>
      <c r="HA442" s="21"/>
      <c r="HB442" s="21"/>
    </row>
    <row r="443" spans="1:210"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21"/>
      <c r="CH443" s="21"/>
      <c r="CI443" s="21"/>
      <c r="CJ443" s="21"/>
      <c r="CK443" s="21"/>
      <c r="CL443" s="21"/>
      <c r="CM443" s="21"/>
      <c r="CN443" s="21"/>
      <c r="CO443" s="21"/>
      <c r="CP443" s="21"/>
      <c r="CQ443" s="21"/>
      <c r="CR443" s="21"/>
      <c r="CS443" s="21"/>
      <c r="CT443" s="21"/>
      <c r="CU443" s="21"/>
      <c r="CV443" s="21"/>
      <c r="CW443" s="21"/>
      <c r="CX443" s="21"/>
      <c r="CY443" s="21"/>
      <c r="CZ443" s="21"/>
      <c r="DA443" s="21"/>
      <c r="DB443" s="21"/>
      <c r="DC443" s="21"/>
      <c r="DD443" s="21"/>
      <c r="DE443" s="21"/>
      <c r="DF443" s="21"/>
      <c r="DG443" s="21"/>
      <c r="DH443" s="21"/>
      <c r="DI443" s="21"/>
      <c r="DJ443" s="21"/>
      <c r="DK443" s="21"/>
      <c r="DL443" s="21"/>
      <c r="DM443" s="21"/>
      <c r="DN443" s="21"/>
      <c r="DO443" s="21"/>
      <c r="DP443" s="21"/>
      <c r="DQ443" s="21"/>
      <c r="DR443" s="21"/>
      <c r="DS443" s="21"/>
      <c r="DT443" s="21"/>
      <c r="DU443" s="21"/>
      <c r="DV443" s="21"/>
      <c r="DW443" s="21"/>
      <c r="DX443" s="21"/>
      <c r="DY443" s="21"/>
      <c r="DZ443" s="21"/>
      <c r="EA443" s="21"/>
      <c r="EB443" s="21"/>
      <c r="EC443" s="21"/>
      <c r="ED443" s="21"/>
      <c r="EE443" s="21"/>
      <c r="EF443" s="21"/>
      <c r="EG443" s="21"/>
      <c r="EH443" s="21"/>
      <c r="EI443" s="21"/>
      <c r="EJ443" s="21"/>
      <c r="EK443" s="21"/>
      <c r="EL443" s="21"/>
      <c r="EM443" s="21"/>
      <c r="EN443" s="21"/>
      <c r="EO443" s="21"/>
      <c r="EP443" s="21"/>
      <c r="EQ443" s="21"/>
      <c r="ER443" s="21"/>
      <c r="ES443" s="21"/>
      <c r="ET443" s="21"/>
      <c r="EU443" s="21"/>
      <c r="EV443" s="21"/>
      <c r="EW443" s="21"/>
      <c r="EX443" s="21"/>
      <c r="EY443" s="21"/>
      <c r="EZ443" s="21"/>
      <c r="FA443" s="21"/>
      <c r="FB443" s="21"/>
      <c r="FC443" s="21"/>
      <c r="FD443" s="21"/>
      <c r="FE443" s="21"/>
      <c r="FF443" s="21"/>
      <c r="FG443" s="21"/>
      <c r="FH443" s="21"/>
      <c r="FI443" s="21"/>
      <c r="FJ443" s="21"/>
      <c r="FK443" s="21"/>
      <c r="FL443" s="21"/>
      <c r="FM443" s="21"/>
      <c r="FN443" s="21"/>
      <c r="FO443" s="21"/>
      <c r="FP443" s="21"/>
      <c r="FQ443" s="21"/>
      <c r="FR443" s="21"/>
      <c r="FS443" s="21"/>
      <c r="FT443" s="21"/>
      <c r="FU443" s="21"/>
      <c r="FV443" s="21"/>
      <c r="FW443" s="21"/>
      <c r="FX443" s="21"/>
      <c r="FY443" s="21"/>
      <c r="FZ443" s="21"/>
      <c r="GA443" s="21"/>
      <c r="GB443" s="21"/>
      <c r="GC443" s="21"/>
      <c r="GD443" s="21"/>
      <c r="GE443" s="21"/>
      <c r="GF443" s="21"/>
      <c r="GG443" s="21"/>
      <c r="GH443" s="21"/>
      <c r="GI443" s="21"/>
      <c r="GJ443" s="21"/>
      <c r="GK443" s="21"/>
      <c r="GL443" s="21"/>
      <c r="GM443" s="21"/>
      <c r="GN443" s="21"/>
      <c r="GO443" s="21"/>
      <c r="GP443" s="21"/>
      <c r="GQ443" s="21"/>
      <c r="GR443" s="21"/>
      <c r="GS443" s="21"/>
      <c r="GT443" s="21"/>
      <c r="GU443" s="21"/>
      <c r="GV443" s="21"/>
      <c r="GW443" s="21"/>
      <c r="GX443" s="21"/>
      <c r="GY443" s="21"/>
      <c r="GZ443" s="21"/>
      <c r="HA443" s="21"/>
      <c r="HB443" s="21"/>
    </row>
    <row r="444" spans="1:210"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c r="DB444" s="21"/>
      <c r="DC444" s="21"/>
      <c r="DD444" s="21"/>
      <c r="DE444" s="21"/>
      <c r="DF444" s="21"/>
      <c r="DG444" s="21"/>
      <c r="DH444" s="21"/>
      <c r="DI444" s="21"/>
      <c r="DJ444" s="21"/>
      <c r="DK444" s="21"/>
      <c r="DL444" s="21"/>
      <c r="DM444" s="21"/>
      <c r="DN444" s="21"/>
      <c r="DO444" s="21"/>
      <c r="DP444" s="21"/>
      <c r="DQ444" s="21"/>
      <c r="DR444" s="21"/>
      <c r="DS444" s="21"/>
      <c r="DT444" s="21"/>
      <c r="DU444" s="21"/>
      <c r="DV444" s="21"/>
      <c r="DW444" s="21"/>
      <c r="DX444" s="21"/>
      <c r="DY444" s="21"/>
      <c r="DZ444" s="21"/>
      <c r="EA444" s="21"/>
      <c r="EB444" s="21"/>
      <c r="EC444" s="21"/>
      <c r="ED444" s="21"/>
      <c r="EE444" s="21"/>
      <c r="EF444" s="21"/>
      <c r="EG444" s="21"/>
      <c r="EH444" s="21"/>
      <c r="EI444" s="21"/>
      <c r="EJ444" s="21"/>
      <c r="EK444" s="21"/>
      <c r="EL444" s="21"/>
      <c r="EM444" s="21"/>
      <c r="EN444" s="21"/>
      <c r="EO444" s="21"/>
      <c r="EP444" s="21"/>
      <c r="EQ444" s="21"/>
      <c r="ER444" s="21"/>
      <c r="ES444" s="21"/>
      <c r="ET444" s="21"/>
      <c r="EU444" s="21"/>
      <c r="EV444" s="21"/>
      <c r="EW444" s="21"/>
      <c r="EX444" s="21"/>
      <c r="EY444" s="21"/>
      <c r="EZ444" s="21"/>
      <c r="FA444" s="21"/>
      <c r="FB444" s="21"/>
      <c r="FC444" s="21"/>
      <c r="FD444" s="21"/>
      <c r="FE444" s="21"/>
      <c r="FF444" s="21"/>
      <c r="FG444" s="21"/>
      <c r="FH444" s="21"/>
      <c r="FI444" s="21"/>
      <c r="FJ444" s="21"/>
      <c r="FK444" s="21"/>
      <c r="FL444" s="21"/>
      <c r="FM444" s="21"/>
      <c r="FN444" s="21"/>
      <c r="FO444" s="21"/>
      <c r="FP444" s="21"/>
      <c r="FQ444" s="21"/>
      <c r="FR444" s="21"/>
      <c r="FS444" s="21"/>
      <c r="FT444" s="21"/>
      <c r="FU444" s="21"/>
      <c r="FV444" s="21"/>
      <c r="FW444" s="21"/>
      <c r="FX444" s="21"/>
      <c r="FY444" s="21"/>
      <c r="FZ444" s="21"/>
      <c r="GA444" s="21"/>
      <c r="GB444" s="21"/>
      <c r="GC444" s="21"/>
      <c r="GD444" s="21"/>
      <c r="GE444" s="21"/>
      <c r="GF444" s="21"/>
      <c r="GG444" s="21"/>
      <c r="GH444" s="21"/>
      <c r="GI444" s="21"/>
      <c r="GJ444" s="21"/>
      <c r="GK444" s="21"/>
      <c r="GL444" s="21"/>
      <c r="GM444" s="21"/>
      <c r="GN444" s="21"/>
      <c r="GO444" s="21"/>
      <c r="GP444" s="21"/>
      <c r="GQ444" s="21"/>
      <c r="GR444" s="21"/>
      <c r="GS444" s="21"/>
      <c r="GT444" s="21"/>
      <c r="GU444" s="21"/>
      <c r="GV444" s="21"/>
      <c r="GW444" s="21"/>
      <c r="GX444" s="21"/>
      <c r="GY444" s="21"/>
      <c r="GZ444" s="21"/>
      <c r="HA444" s="21"/>
      <c r="HB444" s="21"/>
    </row>
    <row r="445" spans="1:210"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c r="DB445" s="21"/>
      <c r="DC445" s="21"/>
      <c r="DD445" s="21"/>
      <c r="DE445" s="21"/>
      <c r="DF445" s="21"/>
      <c r="DG445" s="21"/>
      <c r="DH445" s="21"/>
      <c r="DI445" s="21"/>
      <c r="DJ445" s="21"/>
      <c r="DK445" s="21"/>
      <c r="DL445" s="21"/>
      <c r="DM445" s="21"/>
      <c r="DN445" s="21"/>
      <c r="DO445" s="21"/>
      <c r="DP445" s="21"/>
      <c r="DQ445" s="21"/>
      <c r="DR445" s="21"/>
      <c r="DS445" s="21"/>
      <c r="DT445" s="21"/>
      <c r="DU445" s="21"/>
      <c r="DV445" s="21"/>
      <c r="DW445" s="21"/>
      <c r="DX445" s="21"/>
      <c r="DY445" s="21"/>
      <c r="DZ445" s="21"/>
      <c r="EA445" s="21"/>
      <c r="EB445" s="21"/>
      <c r="EC445" s="21"/>
      <c r="ED445" s="21"/>
      <c r="EE445" s="21"/>
      <c r="EF445" s="21"/>
      <c r="EG445" s="21"/>
      <c r="EH445" s="21"/>
      <c r="EI445" s="21"/>
      <c r="EJ445" s="21"/>
      <c r="EK445" s="21"/>
      <c r="EL445" s="21"/>
      <c r="EM445" s="21"/>
      <c r="EN445" s="21"/>
      <c r="EO445" s="21"/>
      <c r="EP445" s="21"/>
      <c r="EQ445" s="21"/>
      <c r="ER445" s="21"/>
      <c r="ES445" s="21"/>
      <c r="ET445" s="21"/>
      <c r="EU445" s="21"/>
      <c r="EV445" s="21"/>
      <c r="EW445" s="21"/>
      <c r="EX445" s="21"/>
      <c r="EY445" s="21"/>
      <c r="EZ445" s="21"/>
      <c r="FA445" s="21"/>
      <c r="FB445" s="21"/>
      <c r="FC445" s="21"/>
      <c r="FD445" s="21"/>
      <c r="FE445" s="21"/>
      <c r="FF445" s="21"/>
      <c r="FG445" s="21"/>
      <c r="FH445" s="21"/>
      <c r="FI445" s="21"/>
      <c r="FJ445" s="21"/>
      <c r="FK445" s="21"/>
      <c r="FL445" s="21"/>
      <c r="FM445" s="21"/>
      <c r="FN445" s="21"/>
      <c r="FO445" s="21"/>
      <c r="FP445" s="21"/>
      <c r="FQ445" s="21"/>
      <c r="FR445" s="21"/>
      <c r="FS445" s="21"/>
      <c r="FT445" s="21"/>
      <c r="FU445" s="21"/>
      <c r="FV445" s="21"/>
      <c r="FW445" s="21"/>
      <c r="FX445" s="21"/>
      <c r="FY445" s="21"/>
      <c r="FZ445" s="21"/>
      <c r="GA445" s="21"/>
      <c r="GB445" s="21"/>
      <c r="GC445" s="21"/>
      <c r="GD445" s="21"/>
      <c r="GE445" s="21"/>
      <c r="GF445" s="21"/>
      <c r="GG445" s="21"/>
      <c r="GH445" s="21"/>
      <c r="GI445" s="21"/>
      <c r="GJ445" s="21"/>
      <c r="GK445" s="21"/>
      <c r="GL445" s="21"/>
      <c r="GM445" s="21"/>
      <c r="GN445" s="21"/>
      <c r="GO445" s="21"/>
      <c r="GP445" s="21"/>
      <c r="GQ445" s="21"/>
      <c r="GR445" s="21"/>
      <c r="GS445" s="21"/>
      <c r="GT445" s="21"/>
      <c r="GU445" s="21"/>
      <c r="GV445" s="21"/>
      <c r="GW445" s="21"/>
      <c r="GX445" s="21"/>
      <c r="GY445" s="21"/>
      <c r="GZ445" s="21"/>
      <c r="HA445" s="21"/>
      <c r="HB445" s="21"/>
    </row>
    <row r="446" spans="1:210"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c r="DB446" s="21"/>
      <c r="DC446" s="21"/>
      <c r="DD446" s="21"/>
      <c r="DE446" s="21"/>
      <c r="DF446" s="21"/>
      <c r="DG446" s="21"/>
      <c r="DH446" s="21"/>
      <c r="DI446" s="21"/>
      <c r="DJ446" s="21"/>
      <c r="DK446" s="21"/>
      <c r="DL446" s="21"/>
      <c r="DM446" s="21"/>
      <c r="DN446" s="21"/>
      <c r="DO446" s="21"/>
      <c r="DP446" s="21"/>
      <c r="DQ446" s="21"/>
      <c r="DR446" s="21"/>
      <c r="DS446" s="21"/>
      <c r="DT446" s="21"/>
      <c r="DU446" s="21"/>
      <c r="DV446" s="21"/>
      <c r="DW446" s="21"/>
      <c r="DX446" s="21"/>
      <c r="DY446" s="21"/>
      <c r="DZ446" s="21"/>
      <c r="EA446" s="21"/>
      <c r="EB446" s="21"/>
      <c r="EC446" s="21"/>
      <c r="ED446" s="21"/>
      <c r="EE446" s="21"/>
      <c r="EF446" s="21"/>
      <c r="EG446" s="21"/>
      <c r="EH446" s="21"/>
      <c r="EI446" s="21"/>
      <c r="EJ446" s="21"/>
      <c r="EK446" s="21"/>
      <c r="EL446" s="21"/>
      <c r="EM446" s="21"/>
      <c r="EN446" s="21"/>
      <c r="EO446" s="21"/>
      <c r="EP446" s="21"/>
      <c r="EQ446" s="21"/>
      <c r="ER446" s="21"/>
      <c r="ES446" s="21"/>
      <c r="ET446" s="21"/>
      <c r="EU446" s="21"/>
      <c r="EV446" s="21"/>
      <c r="EW446" s="21"/>
      <c r="EX446" s="21"/>
      <c r="EY446" s="21"/>
      <c r="EZ446" s="21"/>
      <c r="FA446" s="21"/>
      <c r="FB446" s="21"/>
      <c r="FC446" s="21"/>
      <c r="FD446" s="21"/>
      <c r="FE446" s="21"/>
      <c r="FF446" s="21"/>
      <c r="FG446" s="21"/>
      <c r="FH446" s="21"/>
      <c r="FI446" s="21"/>
      <c r="FJ446" s="21"/>
      <c r="FK446" s="21"/>
      <c r="FL446" s="21"/>
      <c r="FM446" s="21"/>
      <c r="FN446" s="21"/>
      <c r="FO446" s="21"/>
      <c r="FP446" s="21"/>
      <c r="FQ446" s="21"/>
      <c r="FR446" s="21"/>
      <c r="FS446" s="21"/>
      <c r="FT446" s="21"/>
      <c r="FU446" s="21"/>
      <c r="FV446" s="21"/>
      <c r="FW446" s="21"/>
      <c r="FX446" s="21"/>
      <c r="FY446" s="21"/>
      <c r="FZ446" s="21"/>
      <c r="GA446" s="21"/>
      <c r="GB446" s="21"/>
      <c r="GC446" s="21"/>
      <c r="GD446" s="21"/>
      <c r="GE446" s="21"/>
      <c r="GF446" s="21"/>
      <c r="GG446" s="21"/>
      <c r="GH446" s="21"/>
      <c r="GI446" s="21"/>
      <c r="GJ446" s="21"/>
      <c r="GK446" s="21"/>
      <c r="GL446" s="21"/>
      <c r="GM446" s="21"/>
      <c r="GN446" s="21"/>
      <c r="GO446" s="21"/>
      <c r="GP446" s="21"/>
      <c r="GQ446" s="21"/>
      <c r="GR446" s="21"/>
      <c r="GS446" s="21"/>
      <c r="GT446" s="21"/>
      <c r="GU446" s="21"/>
      <c r="GV446" s="21"/>
      <c r="GW446" s="21"/>
      <c r="GX446" s="21"/>
      <c r="GY446" s="21"/>
      <c r="GZ446" s="21"/>
      <c r="HA446" s="21"/>
      <c r="HB446" s="21"/>
    </row>
    <row r="447" spans="1:210"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c r="DB447" s="21"/>
      <c r="DC447" s="21"/>
      <c r="DD447" s="21"/>
      <c r="DE447" s="21"/>
      <c r="DF447" s="21"/>
      <c r="DG447" s="21"/>
      <c r="DH447" s="21"/>
      <c r="DI447" s="21"/>
      <c r="DJ447" s="21"/>
      <c r="DK447" s="21"/>
      <c r="DL447" s="21"/>
      <c r="DM447" s="21"/>
      <c r="DN447" s="21"/>
      <c r="DO447" s="21"/>
      <c r="DP447" s="21"/>
      <c r="DQ447" s="21"/>
      <c r="DR447" s="21"/>
      <c r="DS447" s="21"/>
      <c r="DT447" s="21"/>
      <c r="DU447" s="21"/>
      <c r="DV447" s="21"/>
      <c r="DW447" s="21"/>
      <c r="DX447" s="21"/>
      <c r="DY447" s="21"/>
      <c r="DZ447" s="21"/>
      <c r="EA447" s="21"/>
      <c r="EB447" s="21"/>
      <c r="EC447" s="21"/>
      <c r="ED447" s="21"/>
      <c r="EE447" s="21"/>
      <c r="EF447" s="21"/>
      <c r="EG447" s="21"/>
      <c r="EH447" s="21"/>
      <c r="EI447" s="21"/>
      <c r="EJ447" s="21"/>
      <c r="EK447" s="21"/>
      <c r="EL447" s="21"/>
      <c r="EM447" s="21"/>
      <c r="EN447" s="21"/>
      <c r="EO447" s="21"/>
      <c r="EP447" s="21"/>
      <c r="EQ447" s="21"/>
      <c r="ER447" s="21"/>
      <c r="ES447" s="21"/>
      <c r="ET447" s="21"/>
      <c r="EU447" s="21"/>
      <c r="EV447" s="21"/>
      <c r="EW447" s="21"/>
      <c r="EX447" s="21"/>
      <c r="EY447" s="21"/>
      <c r="EZ447" s="21"/>
      <c r="FA447" s="21"/>
      <c r="FB447" s="21"/>
      <c r="FC447" s="21"/>
      <c r="FD447" s="21"/>
      <c r="FE447" s="21"/>
      <c r="FF447" s="21"/>
      <c r="FG447" s="21"/>
      <c r="FH447" s="21"/>
      <c r="FI447" s="21"/>
      <c r="FJ447" s="21"/>
      <c r="FK447" s="21"/>
      <c r="FL447" s="21"/>
      <c r="FM447" s="21"/>
      <c r="FN447" s="21"/>
      <c r="FO447" s="21"/>
      <c r="FP447" s="21"/>
      <c r="FQ447" s="21"/>
      <c r="FR447" s="21"/>
      <c r="FS447" s="21"/>
      <c r="FT447" s="21"/>
      <c r="FU447" s="21"/>
      <c r="FV447" s="21"/>
      <c r="FW447" s="21"/>
      <c r="FX447" s="21"/>
      <c r="FY447" s="21"/>
      <c r="FZ447" s="21"/>
      <c r="GA447" s="21"/>
      <c r="GB447" s="21"/>
      <c r="GC447" s="21"/>
      <c r="GD447" s="21"/>
      <c r="GE447" s="21"/>
      <c r="GF447" s="21"/>
      <c r="GG447" s="21"/>
      <c r="GH447" s="21"/>
      <c r="GI447" s="21"/>
      <c r="GJ447" s="21"/>
      <c r="GK447" s="21"/>
      <c r="GL447" s="21"/>
      <c r="GM447" s="21"/>
      <c r="GN447" s="21"/>
      <c r="GO447" s="21"/>
      <c r="GP447" s="21"/>
      <c r="GQ447" s="21"/>
      <c r="GR447" s="21"/>
      <c r="GS447" s="21"/>
      <c r="GT447" s="21"/>
      <c r="GU447" s="21"/>
      <c r="GV447" s="21"/>
      <c r="GW447" s="21"/>
      <c r="GX447" s="21"/>
      <c r="GY447" s="21"/>
      <c r="GZ447" s="21"/>
      <c r="HA447" s="21"/>
      <c r="HB447" s="21"/>
    </row>
    <row r="448" spans="1:210"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c r="DB448" s="21"/>
      <c r="DC448" s="21"/>
      <c r="DD448" s="21"/>
      <c r="DE448" s="21"/>
      <c r="DF448" s="21"/>
      <c r="DG448" s="21"/>
      <c r="DH448" s="21"/>
      <c r="DI448" s="21"/>
      <c r="DJ448" s="21"/>
      <c r="DK448" s="21"/>
      <c r="DL448" s="21"/>
      <c r="DM448" s="21"/>
      <c r="DN448" s="21"/>
      <c r="DO448" s="21"/>
      <c r="DP448" s="21"/>
      <c r="DQ448" s="21"/>
      <c r="DR448" s="21"/>
      <c r="DS448" s="21"/>
      <c r="DT448" s="21"/>
      <c r="DU448" s="21"/>
      <c r="DV448" s="21"/>
      <c r="DW448" s="21"/>
      <c r="DX448" s="21"/>
      <c r="DY448" s="21"/>
      <c r="DZ448" s="21"/>
      <c r="EA448" s="21"/>
      <c r="EB448" s="21"/>
      <c r="EC448" s="21"/>
      <c r="ED448" s="21"/>
      <c r="EE448" s="21"/>
      <c r="EF448" s="21"/>
      <c r="EG448" s="21"/>
      <c r="EH448" s="21"/>
      <c r="EI448" s="21"/>
      <c r="EJ448" s="21"/>
      <c r="EK448" s="21"/>
      <c r="EL448" s="21"/>
      <c r="EM448" s="21"/>
      <c r="EN448" s="21"/>
      <c r="EO448" s="21"/>
      <c r="EP448" s="21"/>
      <c r="EQ448" s="21"/>
      <c r="ER448" s="21"/>
      <c r="ES448" s="21"/>
      <c r="ET448" s="21"/>
      <c r="EU448" s="21"/>
      <c r="EV448" s="21"/>
      <c r="EW448" s="21"/>
      <c r="EX448" s="21"/>
      <c r="EY448" s="21"/>
      <c r="EZ448" s="21"/>
      <c r="FA448" s="21"/>
      <c r="FB448" s="21"/>
      <c r="FC448" s="21"/>
      <c r="FD448" s="21"/>
      <c r="FE448" s="21"/>
      <c r="FF448" s="21"/>
      <c r="FG448" s="21"/>
      <c r="FH448" s="21"/>
      <c r="FI448" s="21"/>
      <c r="FJ448" s="21"/>
      <c r="FK448" s="21"/>
      <c r="FL448" s="21"/>
      <c r="FM448" s="21"/>
      <c r="FN448" s="21"/>
      <c r="FO448" s="21"/>
      <c r="FP448" s="21"/>
      <c r="FQ448" s="21"/>
      <c r="FR448" s="21"/>
      <c r="FS448" s="21"/>
      <c r="FT448" s="21"/>
      <c r="FU448" s="21"/>
      <c r="FV448" s="21"/>
      <c r="FW448" s="21"/>
      <c r="FX448" s="21"/>
      <c r="FY448" s="21"/>
      <c r="FZ448" s="21"/>
      <c r="GA448" s="21"/>
      <c r="GB448" s="21"/>
      <c r="GC448" s="21"/>
      <c r="GD448" s="21"/>
      <c r="GE448" s="21"/>
      <c r="GF448" s="21"/>
      <c r="GG448" s="21"/>
      <c r="GH448" s="21"/>
      <c r="GI448" s="21"/>
      <c r="GJ448" s="21"/>
      <c r="GK448" s="21"/>
      <c r="GL448" s="21"/>
      <c r="GM448" s="21"/>
      <c r="GN448" s="21"/>
      <c r="GO448" s="21"/>
      <c r="GP448" s="21"/>
      <c r="GQ448" s="21"/>
      <c r="GR448" s="21"/>
      <c r="GS448" s="21"/>
      <c r="GT448" s="21"/>
      <c r="GU448" s="21"/>
      <c r="GV448" s="21"/>
      <c r="GW448" s="21"/>
      <c r="GX448" s="21"/>
      <c r="GY448" s="21"/>
      <c r="GZ448" s="21"/>
      <c r="HA448" s="21"/>
      <c r="HB448" s="21"/>
    </row>
    <row r="449" spans="1:210"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21"/>
      <c r="CH449" s="21"/>
      <c r="CI449" s="21"/>
      <c r="CJ449" s="21"/>
      <c r="CK449" s="21"/>
      <c r="CL449" s="21"/>
      <c r="CM449" s="21"/>
      <c r="CN449" s="21"/>
      <c r="CO449" s="21"/>
      <c r="CP449" s="21"/>
      <c r="CQ449" s="21"/>
      <c r="CR449" s="21"/>
      <c r="CS449" s="21"/>
      <c r="CT449" s="21"/>
      <c r="CU449" s="21"/>
      <c r="CV449" s="21"/>
      <c r="CW449" s="21"/>
      <c r="CX449" s="21"/>
      <c r="CY449" s="21"/>
      <c r="CZ449" s="21"/>
      <c r="DA449" s="21"/>
      <c r="DB449" s="21"/>
      <c r="DC449" s="21"/>
      <c r="DD449" s="21"/>
      <c r="DE449" s="21"/>
      <c r="DF449" s="21"/>
      <c r="DG449" s="21"/>
      <c r="DH449" s="21"/>
      <c r="DI449" s="21"/>
      <c r="DJ449" s="21"/>
      <c r="DK449" s="21"/>
      <c r="DL449" s="21"/>
      <c r="DM449" s="21"/>
      <c r="DN449" s="21"/>
      <c r="DO449" s="21"/>
      <c r="DP449" s="21"/>
      <c r="DQ449" s="21"/>
      <c r="DR449" s="21"/>
      <c r="DS449" s="21"/>
      <c r="DT449" s="21"/>
      <c r="DU449" s="21"/>
      <c r="DV449" s="21"/>
      <c r="DW449" s="21"/>
      <c r="DX449" s="21"/>
      <c r="DY449" s="21"/>
      <c r="DZ449" s="21"/>
      <c r="EA449" s="21"/>
      <c r="EB449" s="21"/>
      <c r="EC449" s="21"/>
      <c r="ED449" s="21"/>
      <c r="EE449" s="21"/>
      <c r="EF449" s="21"/>
      <c r="EG449" s="21"/>
      <c r="EH449" s="21"/>
      <c r="EI449" s="21"/>
      <c r="EJ449" s="21"/>
      <c r="EK449" s="21"/>
      <c r="EL449" s="21"/>
      <c r="EM449" s="21"/>
      <c r="EN449" s="21"/>
      <c r="EO449" s="21"/>
      <c r="EP449" s="21"/>
      <c r="EQ449" s="21"/>
      <c r="ER449" s="21"/>
      <c r="ES449" s="21"/>
      <c r="ET449" s="21"/>
      <c r="EU449" s="21"/>
      <c r="EV449" s="21"/>
      <c r="EW449" s="21"/>
      <c r="EX449" s="21"/>
      <c r="EY449" s="21"/>
      <c r="EZ449" s="21"/>
      <c r="FA449" s="21"/>
      <c r="FB449" s="21"/>
      <c r="FC449" s="21"/>
      <c r="FD449" s="21"/>
      <c r="FE449" s="21"/>
      <c r="FF449" s="21"/>
      <c r="FG449" s="21"/>
      <c r="FH449" s="21"/>
      <c r="FI449" s="21"/>
      <c r="FJ449" s="21"/>
      <c r="FK449" s="21"/>
      <c r="FL449" s="21"/>
      <c r="FM449" s="21"/>
      <c r="FN449" s="21"/>
      <c r="FO449" s="21"/>
      <c r="FP449" s="21"/>
      <c r="FQ449" s="21"/>
      <c r="FR449" s="21"/>
      <c r="FS449" s="21"/>
      <c r="FT449" s="21"/>
      <c r="FU449" s="21"/>
      <c r="FV449" s="21"/>
      <c r="FW449" s="21"/>
      <c r="FX449" s="21"/>
      <c r="FY449" s="21"/>
      <c r="FZ449" s="21"/>
      <c r="GA449" s="21"/>
      <c r="GB449" s="21"/>
      <c r="GC449" s="21"/>
      <c r="GD449" s="21"/>
      <c r="GE449" s="21"/>
      <c r="GF449" s="21"/>
      <c r="GG449" s="21"/>
      <c r="GH449" s="21"/>
      <c r="GI449" s="21"/>
      <c r="GJ449" s="21"/>
      <c r="GK449" s="21"/>
      <c r="GL449" s="21"/>
      <c r="GM449" s="21"/>
      <c r="GN449" s="21"/>
      <c r="GO449" s="21"/>
      <c r="GP449" s="21"/>
      <c r="GQ449" s="21"/>
      <c r="GR449" s="21"/>
      <c r="GS449" s="21"/>
      <c r="GT449" s="21"/>
      <c r="GU449" s="21"/>
      <c r="GV449" s="21"/>
      <c r="GW449" s="21"/>
      <c r="GX449" s="21"/>
      <c r="GY449" s="21"/>
      <c r="GZ449" s="21"/>
      <c r="HA449" s="21"/>
      <c r="HB449" s="21"/>
    </row>
    <row r="450" spans="1:210"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21"/>
      <c r="CH450" s="21"/>
      <c r="CI450" s="21"/>
      <c r="CJ450" s="21"/>
      <c r="CK450" s="21"/>
      <c r="CL450" s="21"/>
      <c r="CM450" s="21"/>
      <c r="CN450" s="21"/>
      <c r="CO450" s="21"/>
      <c r="CP450" s="21"/>
      <c r="CQ450" s="21"/>
      <c r="CR450" s="21"/>
      <c r="CS450" s="21"/>
      <c r="CT450" s="21"/>
      <c r="CU450" s="21"/>
      <c r="CV450" s="21"/>
      <c r="CW450" s="21"/>
      <c r="CX450" s="21"/>
      <c r="CY450" s="21"/>
      <c r="CZ450" s="21"/>
      <c r="DA450" s="21"/>
      <c r="DB450" s="21"/>
      <c r="DC450" s="21"/>
      <c r="DD450" s="21"/>
      <c r="DE450" s="21"/>
      <c r="DF450" s="21"/>
      <c r="DG450" s="21"/>
      <c r="DH450" s="21"/>
      <c r="DI450" s="21"/>
      <c r="DJ450" s="21"/>
      <c r="DK450" s="21"/>
      <c r="DL450" s="21"/>
      <c r="DM450" s="21"/>
      <c r="DN450" s="21"/>
      <c r="DO450" s="21"/>
      <c r="DP450" s="21"/>
      <c r="DQ450" s="21"/>
      <c r="DR450" s="21"/>
      <c r="DS450" s="21"/>
      <c r="DT450" s="21"/>
      <c r="DU450" s="21"/>
      <c r="DV450" s="21"/>
      <c r="DW450" s="21"/>
      <c r="DX450" s="21"/>
      <c r="DY450" s="21"/>
      <c r="DZ450" s="21"/>
      <c r="EA450" s="21"/>
      <c r="EB450" s="21"/>
      <c r="EC450" s="21"/>
      <c r="ED450" s="21"/>
      <c r="EE450" s="21"/>
      <c r="EF450" s="21"/>
      <c r="EG450" s="21"/>
      <c r="EH450" s="21"/>
      <c r="EI450" s="21"/>
      <c r="EJ450" s="21"/>
      <c r="EK450" s="21"/>
      <c r="EL450" s="21"/>
      <c r="EM450" s="21"/>
      <c r="EN450" s="21"/>
      <c r="EO450" s="21"/>
      <c r="EP450" s="21"/>
      <c r="EQ450" s="21"/>
      <c r="ER450" s="21"/>
      <c r="ES450" s="21"/>
      <c r="ET450" s="21"/>
      <c r="EU450" s="21"/>
      <c r="EV450" s="21"/>
      <c r="EW450" s="21"/>
      <c r="EX450" s="21"/>
      <c r="EY450" s="21"/>
      <c r="EZ450" s="21"/>
      <c r="FA450" s="21"/>
      <c r="FB450" s="21"/>
      <c r="FC450" s="21"/>
      <c r="FD450" s="21"/>
      <c r="FE450" s="21"/>
      <c r="FF450" s="21"/>
      <c r="FG450" s="21"/>
      <c r="FH450" s="21"/>
      <c r="FI450" s="21"/>
      <c r="FJ450" s="21"/>
      <c r="FK450" s="21"/>
      <c r="FL450" s="21"/>
      <c r="FM450" s="21"/>
      <c r="FN450" s="21"/>
      <c r="FO450" s="21"/>
      <c r="FP450" s="21"/>
      <c r="FQ450" s="21"/>
      <c r="FR450" s="21"/>
      <c r="FS450" s="21"/>
      <c r="FT450" s="21"/>
      <c r="FU450" s="21"/>
      <c r="FV450" s="21"/>
      <c r="FW450" s="21"/>
      <c r="FX450" s="21"/>
      <c r="FY450" s="21"/>
      <c r="FZ450" s="21"/>
      <c r="GA450" s="21"/>
      <c r="GB450" s="21"/>
      <c r="GC450" s="21"/>
      <c r="GD450" s="21"/>
      <c r="GE450" s="21"/>
      <c r="GF450" s="21"/>
      <c r="GG450" s="21"/>
      <c r="GH450" s="21"/>
      <c r="GI450" s="21"/>
      <c r="GJ450" s="21"/>
      <c r="GK450" s="21"/>
      <c r="GL450" s="21"/>
      <c r="GM450" s="21"/>
      <c r="GN450" s="21"/>
      <c r="GO450" s="21"/>
      <c r="GP450" s="21"/>
      <c r="GQ450" s="21"/>
      <c r="GR450" s="21"/>
      <c r="GS450" s="21"/>
      <c r="GT450" s="21"/>
      <c r="GU450" s="21"/>
      <c r="GV450" s="21"/>
      <c r="GW450" s="21"/>
      <c r="GX450" s="21"/>
      <c r="GY450" s="21"/>
      <c r="GZ450" s="21"/>
      <c r="HA450" s="21"/>
      <c r="HB450" s="21"/>
    </row>
    <row r="451" spans="1:210"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21"/>
      <c r="CH451" s="21"/>
      <c r="CI451" s="21"/>
      <c r="CJ451" s="21"/>
      <c r="CK451" s="21"/>
      <c r="CL451" s="21"/>
      <c r="CM451" s="21"/>
      <c r="CN451" s="21"/>
      <c r="CO451" s="21"/>
      <c r="CP451" s="21"/>
      <c r="CQ451" s="21"/>
      <c r="CR451" s="21"/>
      <c r="CS451" s="21"/>
      <c r="CT451" s="21"/>
      <c r="CU451" s="21"/>
      <c r="CV451" s="21"/>
      <c r="CW451" s="21"/>
      <c r="CX451" s="21"/>
      <c r="CY451" s="21"/>
      <c r="CZ451" s="21"/>
      <c r="DA451" s="21"/>
      <c r="DB451" s="21"/>
      <c r="DC451" s="21"/>
      <c r="DD451" s="21"/>
      <c r="DE451" s="21"/>
      <c r="DF451" s="21"/>
      <c r="DG451" s="21"/>
      <c r="DH451" s="21"/>
      <c r="DI451" s="21"/>
      <c r="DJ451" s="21"/>
      <c r="DK451" s="21"/>
      <c r="DL451" s="21"/>
      <c r="DM451" s="21"/>
      <c r="DN451" s="21"/>
      <c r="DO451" s="21"/>
      <c r="DP451" s="21"/>
      <c r="DQ451" s="21"/>
      <c r="DR451" s="21"/>
      <c r="DS451" s="21"/>
      <c r="DT451" s="21"/>
      <c r="DU451" s="21"/>
      <c r="DV451" s="21"/>
      <c r="DW451" s="21"/>
      <c r="DX451" s="21"/>
      <c r="DY451" s="21"/>
      <c r="DZ451" s="21"/>
      <c r="EA451" s="21"/>
      <c r="EB451" s="21"/>
      <c r="EC451" s="21"/>
      <c r="ED451" s="21"/>
      <c r="EE451" s="21"/>
      <c r="EF451" s="21"/>
      <c r="EG451" s="21"/>
      <c r="EH451" s="21"/>
      <c r="EI451" s="21"/>
      <c r="EJ451" s="21"/>
      <c r="EK451" s="21"/>
      <c r="EL451" s="21"/>
      <c r="EM451" s="21"/>
      <c r="EN451" s="21"/>
      <c r="EO451" s="21"/>
      <c r="EP451" s="21"/>
      <c r="EQ451" s="21"/>
      <c r="ER451" s="21"/>
      <c r="ES451" s="21"/>
      <c r="ET451" s="21"/>
      <c r="EU451" s="21"/>
      <c r="EV451" s="21"/>
      <c r="EW451" s="21"/>
      <c r="EX451" s="21"/>
      <c r="EY451" s="21"/>
      <c r="EZ451" s="21"/>
      <c r="FA451" s="21"/>
      <c r="FB451" s="21"/>
      <c r="FC451" s="21"/>
      <c r="FD451" s="21"/>
      <c r="FE451" s="21"/>
      <c r="FF451" s="21"/>
      <c r="FG451" s="21"/>
      <c r="FH451" s="21"/>
      <c r="FI451" s="21"/>
      <c r="FJ451" s="21"/>
      <c r="FK451" s="21"/>
      <c r="FL451" s="21"/>
      <c r="FM451" s="21"/>
      <c r="FN451" s="21"/>
      <c r="FO451" s="21"/>
      <c r="FP451" s="21"/>
      <c r="FQ451" s="21"/>
      <c r="FR451" s="21"/>
      <c r="FS451" s="21"/>
      <c r="FT451" s="21"/>
      <c r="FU451" s="21"/>
      <c r="FV451" s="21"/>
      <c r="FW451" s="21"/>
      <c r="FX451" s="21"/>
      <c r="FY451" s="21"/>
      <c r="FZ451" s="21"/>
      <c r="GA451" s="21"/>
      <c r="GB451" s="21"/>
      <c r="GC451" s="21"/>
      <c r="GD451" s="21"/>
      <c r="GE451" s="21"/>
      <c r="GF451" s="21"/>
      <c r="GG451" s="21"/>
      <c r="GH451" s="21"/>
      <c r="GI451" s="21"/>
      <c r="GJ451" s="21"/>
      <c r="GK451" s="21"/>
      <c r="GL451" s="21"/>
      <c r="GM451" s="21"/>
      <c r="GN451" s="21"/>
      <c r="GO451" s="21"/>
      <c r="GP451" s="21"/>
      <c r="GQ451" s="21"/>
      <c r="GR451" s="21"/>
      <c r="GS451" s="21"/>
      <c r="GT451" s="21"/>
      <c r="GU451" s="21"/>
      <c r="GV451" s="21"/>
      <c r="GW451" s="21"/>
      <c r="GX451" s="21"/>
      <c r="GY451" s="21"/>
      <c r="GZ451" s="21"/>
      <c r="HA451" s="21"/>
      <c r="HB451" s="21"/>
    </row>
    <row r="452" spans="1:210"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c r="DB452" s="21"/>
      <c r="DC452" s="21"/>
      <c r="DD452" s="21"/>
      <c r="DE452" s="21"/>
      <c r="DF452" s="21"/>
      <c r="DG452" s="21"/>
      <c r="DH452" s="21"/>
      <c r="DI452" s="21"/>
      <c r="DJ452" s="21"/>
      <c r="DK452" s="21"/>
      <c r="DL452" s="21"/>
      <c r="DM452" s="21"/>
      <c r="DN452" s="21"/>
      <c r="DO452" s="21"/>
      <c r="DP452" s="21"/>
      <c r="DQ452" s="21"/>
      <c r="DR452" s="21"/>
      <c r="DS452" s="21"/>
      <c r="DT452" s="21"/>
      <c r="DU452" s="21"/>
      <c r="DV452" s="21"/>
      <c r="DW452" s="21"/>
      <c r="DX452" s="21"/>
      <c r="DY452" s="21"/>
      <c r="DZ452" s="21"/>
      <c r="EA452" s="21"/>
      <c r="EB452" s="21"/>
      <c r="EC452" s="21"/>
      <c r="ED452" s="21"/>
      <c r="EE452" s="21"/>
      <c r="EF452" s="21"/>
      <c r="EG452" s="21"/>
      <c r="EH452" s="21"/>
      <c r="EI452" s="21"/>
      <c r="EJ452" s="21"/>
      <c r="EK452" s="21"/>
      <c r="EL452" s="21"/>
      <c r="EM452" s="21"/>
      <c r="EN452" s="21"/>
      <c r="EO452" s="21"/>
      <c r="EP452" s="21"/>
      <c r="EQ452" s="21"/>
      <c r="ER452" s="21"/>
      <c r="ES452" s="21"/>
      <c r="ET452" s="21"/>
      <c r="EU452" s="21"/>
      <c r="EV452" s="21"/>
      <c r="EW452" s="21"/>
      <c r="EX452" s="21"/>
      <c r="EY452" s="21"/>
      <c r="EZ452" s="21"/>
      <c r="FA452" s="21"/>
      <c r="FB452" s="21"/>
      <c r="FC452" s="21"/>
      <c r="FD452" s="21"/>
      <c r="FE452" s="21"/>
      <c r="FF452" s="21"/>
      <c r="FG452" s="21"/>
      <c r="FH452" s="21"/>
      <c r="FI452" s="21"/>
      <c r="FJ452" s="21"/>
      <c r="FK452" s="21"/>
      <c r="FL452" s="21"/>
      <c r="FM452" s="21"/>
      <c r="FN452" s="21"/>
      <c r="FO452" s="21"/>
      <c r="FP452" s="21"/>
      <c r="FQ452" s="21"/>
      <c r="FR452" s="21"/>
      <c r="FS452" s="21"/>
      <c r="FT452" s="21"/>
      <c r="FU452" s="21"/>
      <c r="FV452" s="21"/>
      <c r="FW452" s="21"/>
      <c r="FX452" s="21"/>
      <c r="FY452" s="21"/>
      <c r="FZ452" s="21"/>
      <c r="GA452" s="21"/>
      <c r="GB452" s="21"/>
      <c r="GC452" s="21"/>
      <c r="GD452" s="21"/>
      <c r="GE452" s="21"/>
      <c r="GF452" s="21"/>
      <c r="GG452" s="21"/>
      <c r="GH452" s="21"/>
      <c r="GI452" s="21"/>
      <c r="GJ452" s="21"/>
      <c r="GK452" s="21"/>
      <c r="GL452" s="21"/>
      <c r="GM452" s="21"/>
      <c r="GN452" s="21"/>
      <c r="GO452" s="21"/>
      <c r="GP452" s="21"/>
      <c r="GQ452" s="21"/>
      <c r="GR452" s="21"/>
      <c r="GS452" s="21"/>
      <c r="GT452" s="21"/>
      <c r="GU452" s="21"/>
      <c r="GV452" s="21"/>
      <c r="GW452" s="21"/>
      <c r="GX452" s="21"/>
      <c r="GY452" s="21"/>
      <c r="GZ452" s="21"/>
      <c r="HA452" s="21"/>
      <c r="HB452" s="21"/>
    </row>
    <row r="453" spans="1:210"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c r="DB453" s="21"/>
      <c r="DC453" s="21"/>
      <c r="DD453" s="21"/>
      <c r="DE453" s="21"/>
      <c r="DF453" s="21"/>
      <c r="DG453" s="21"/>
      <c r="DH453" s="21"/>
      <c r="DI453" s="21"/>
      <c r="DJ453" s="21"/>
      <c r="DK453" s="21"/>
      <c r="DL453" s="21"/>
      <c r="DM453" s="21"/>
      <c r="DN453" s="21"/>
      <c r="DO453" s="21"/>
      <c r="DP453" s="21"/>
      <c r="DQ453" s="21"/>
      <c r="DR453" s="21"/>
      <c r="DS453" s="21"/>
      <c r="DT453" s="21"/>
      <c r="DU453" s="21"/>
      <c r="DV453" s="21"/>
      <c r="DW453" s="21"/>
      <c r="DX453" s="21"/>
      <c r="DY453" s="21"/>
      <c r="DZ453" s="21"/>
      <c r="EA453" s="21"/>
      <c r="EB453" s="21"/>
      <c r="EC453" s="21"/>
      <c r="ED453" s="21"/>
      <c r="EE453" s="21"/>
      <c r="EF453" s="21"/>
      <c r="EG453" s="21"/>
      <c r="EH453" s="21"/>
      <c r="EI453" s="21"/>
      <c r="EJ453" s="21"/>
      <c r="EK453" s="21"/>
      <c r="EL453" s="21"/>
      <c r="EM453" s="21"/>
      <c r="EN453" s="21"/>
      <c r="EO453" s="21"/>
      <c r="EP453" s="21"/>
      <c r="EQ453" s="21"/>
      <c r="ER453" s="21"/>
      <c r="ES453" s="21"/>
      <c r="ET453" s="21"/>
      <c r="EU453" s="21"/>
      <c r="EV453" s="21"/>
      <c r="EW453" s="21"/>
      <c r="EX453" s="21"/>
      <c r="EY453" s="21"/>
      <c r="EZ453" s="21"/>
      <c r="FA453" s="21"/>
      <c r="FB453" s="21"/>
      <c r="FC453" s="21"/>
      <c r="FD453" s="21"/>
      <c r="FE453" s="21"/>
      <c r="FF453" s="21"/>
      <c r="FG453" s="21"/>
      <c r="FH453" s="21"/>
      <c r="FI453" s="21"/>
      <c r="FJ453" s="21"/>
      <c r="FK453" s="21"/>
      <c r="FL453" s="21"/>
      <c r="FM453" s="21"/>
      <c r="FN453" s="21"/>
      <c r="FO453" s="21"/>
      <c r="FP453" s="21"/>
      <c r="FQ453" s="21"/>
      <c r="FR453" s="21"/>
      <c r="FS453" s="21"/>
      <c r="FT453" s="21"/>
      <c r="FU453" s="21"/>
      <c r="FV453" s="21"/>
      <c r="FW453" s="21"/>
      <c r="FX453" s="21"/>
      <c r="FY453" s="21"/>
      <c r="FZ453" s="21"/>
      <c r="GA453" s="21"/>
      <c r="GB453" s="21"/>
      <c r="GC453" s="21"/>
      <c r="GD453" s="21"/>
      <c r="GE453" s="21"/>
      <c r="GF453" s="21"/>
      <c r="GG453" s="21"/>
      <c r="GH453" s="21"/>
      <c r="GI453" s="21"/>
      <c r="GJ453" s="21"/>
      <c r="GK453" s="21"/>
      <c r="GL453" s="21"/>
      <c r="GM453" s="21"/>
      <c r="GN453" s="21"/>
      <c r="GO453" s="21"/>
      <c r="GP453" s="21"/>
      <c r="GQ453" s="21"/>
      <c r="GR453" s="21"/>
      <c r="GS453" s="21"/>
      <c r="GT453" s="21"/>
      <c r="GU453" s="21"/>
      <c r="GV453" s="21"/>
      <c r="GW453" s="21"/>
      <c r="GX453" s="21"/>
      <c r="GY453" s="21"/>
      <c r="GZ453" s="21"/>
      <c r="HA453" s="21"/>
      <c r="HB453" s="21"/>
    </row>
    <row r="454" spans="1:210"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c r="DE454" s="21"/>
      <c r="DF454" s="21"/>
      <c r="DG454" s="21"/>
      <c r="DH454" s="21"/>
      <c r="DI454" s="21"/>
      <c r="DJ454" s="21"/>
      <c r="DK454" s="21"/>
      <c r="DL454" s="21"/>
      <c r="DM454" s="21"/>
      <c r="DN454" s="21"/>
      <c r="DO454" s="21"/>
      <c r="DP454" s="21"/>
      <c r="DQ454" s="21"/>
      <c r="DR454" s="21"/>
      <c r="DS454" s="21"/>
      <c r="DT454" s="21"/>
      <c r="DU454" s="21"/>
      <c r="DV454" s="21"/>
      <c r="DW454" s="21"/>
      <c r="DX454" s="21"/>
      <c r="DY454" s="21"/>
      <c r="DZ454" s="21"/>
      <c r="EA454" s="21"/>
      <c r="EB454" s="21"/>
      <c r="EC454" s="21"/>
      <c r="ED454" s="21"/>
      <c r="EE454" s="21"/>
      <c r="EF454" s="21"/>
      <c r="EG454" s="21"/>
      <c r="EH454" s="21"/>
      <c r="EI454" s="21"/>
      <c r="EJ454" s="21"/>
      <c r="EK454" s="21"/>
      <c r="EL454" s="21"/>
      <c r="EM454" s="21"/>
      <c r="EN454" s="21"/>
      <c r="EO454" s="21"/>
      <c r="EP454" s="21"/>
      <c r="EQ454" s="21"/>
      <c r="ER454" s="21"/>
      <c r="ES454" s="21"/>
      <c r="ET454" s="21"/>
      <c r="EU454" s="21"/>
      <c r="EV454" s="21"/>
      <c r="EW454" s="21"/>
      <c r="EX454" s="21"/>
      <c r="EY454" s="21"/>
      <c r="EZ454" s="21"/>
      <c r="FA454" s="21"/>
      <c r="FB454" s="21"/>
      <c r="FC454" s="21"/>
      <c r="FD454" s="21"/>
      <c r="FE454" s="21"/>
      <c r="FF454" s="21"/>
      <c r="FG454" s="21"/>
      <c r="FH454" s="21"/>
      <c r="FI454" s="21"/>
      <c r="FJ454" s="21"/>
      <c r="FK454" s="21"/>
      <c r="FL454" s="21"/>
      <c r="FM454" s="21"/>
      <c r="FN454" s="21"/>
      <c r="FO454" s="21"/>
      <c r="FP454" s="21"/>
      <c r="FQ454" s="21"/>
      <c r="FR454" s="21"/>
      <c r="FS454" s="21"/>
      <c r="FT454" s="21"/>
      <c r="FU454" s="21"/>
      <c r="FV454" s="21"/>
      <c r="FW454" s="21"/>
      <c r="FX454" s="21"/>
      <c r="FY454" s="21"/>
      <c r="FZ454" s="21"/>
      <c r="GA454" s="21"/>
      <c r="GB454" s="21"/>
      <c r="GC454" s="21"/>
      <c r="GD454" s="21"/>
      <c r="GE454" s="21"/>
      <c r="GF454" s="21"/>
      <c r="GG454" s="21"/>
      <c r="GH454" s="21"/>
      <c r="GI454" s="21"/>
      <c r="GJ454" s="21"/>
      <c r="GK454" s="21"/>
      <c r="GL454" s="21"/>
      <c r="GM454" s="21"/>
      <c r="GN454" s="21"/>
      <c r="GO454" s="21"/>
      <c r="GP454" s="21"/>
      <c r="GQ454" s="21"/>
      <c r="GR454" s="21"/>
      <c r="GS454" s="21"/>
      <c r="GT454" s="21"/>
      <c r="GU454" s="21"/>
      <c r="GV454" s="21"/>
      <c r="GW454" s="21"/>
      <c r="GX454" s="21"/>
      <c r="GY454" s="21"/>
      <c r="GZ454" s="21"/>
      <c r="HA454" s="21"/>
      <c r="HB454" s="21"/>
    </row>
    <row r="455" spans="1:210"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c r="DB455" s="21"/>
      <c r="DC455" s="21"/>
      <c r="DD455" s="21"/>
      <c r="DE455" s="21"/>
      <c r="DF455" s="21"/>
      <c r="DG455" s="21"/>
      <c r="DH455" s="21"/>
      <c r="DI455" s="21"/>
      <c r="DJ455" s="21"/>
      <c r="DK455" s="21"/>
      <c r="DL455" s="21"/>
      <c r="DM455" s="21"/>
      <c r="DN455" s="21"/>
      <c r="DO455" s="21"/>
      <c r="DP455" s="21"/>
      <c r="DQ455" s="21"/>
      <c r="DR455" s="21"/>
      <c r="DS455" s="21"/>
      <c r="DT455" s="21"/>
      <c r="DU455" s="21"/>
      <c r="DV455" s="21"/>
      <c r="DW455" s="21"/>
      <c r="DX455" s="21"/>
      <c r="DY455" s="21"/>
      <c r="DZ455" s="21"/>
      <c r="EA455" s="21"/>
      <c r="EB455" s="21"/>
      <c r="EC455" s="21"/>
      <c r="ED455" s="21"/>
      <c r="EE455" s="21"/>
      <c r="EF455" s="21"/>
      <c r="EG455" s="21"/>
      <c r="EH455" s="21"/>
      <c r="EI455" s="21"/>
      <c r="EJ455" s="21"/>
      <c r="EK455" s="21"/>
      <c r="EL455" s="21"/>
      <c r="EM455" s="21"/>
      <c r="EN455" s="21"/>
      <c r="EO455" s="21"/>
      <c r="EP455" s="21"/>
      <c r="EQ455" s="21"/>
      <c r="ER455" s="21"/>
      <c r="ES455" s="21"/>
      <c r="ET455" s="21"/>
      <c r="EU455" s="21"/>
      <c r="EV455" s="21"/>
      <c r="EW455" s="21"/>
      <c r="EX455" s="21"/>
      <c r="EY455" s="21"/>
      <c r="EZ455" s="21"/>
      <c r="FA455" s="21"/>
      <c r="FB455" s="21"/>
      <c r="FC455" s="21"/>
      <c r="FD455" s="21"/>
      <c r="FE455" s="21"/>
      <c r="FF455" s="21"/>
      <c r="FG455" s="21"/>
      <c r="FH455" s="21"/>
      <c r="FI455" s="21"/>
      <c r="FJ455" s="21"/>
      <c r="FK455" s="21"/>
      <c r="FL455" s="21"/>
      <c r="FM455" s="21"/>
      <c r="FN455" s="21"/>
      <c r="FO455" s="21"/>
      <c r="FP455" s="21"/>
      <c r="FQ455" s="21"/>
      <c r="FR455" s="21"/>
      <c r="FS455" s="21"/>
      <c r="FT455" s="21"/>
      <c r="FU455" s="21"/>
      <c r="FV455" s="21"/>
      <c r="FW455" s="21"/>
      <c r="FX455" s="21"/>
      <c r="FY455" s="21"/>
      <c r="FZ455" s="21"/>
      <c r="GA455" s="21"/>
      <c r="GB455" s="21"/>
      <c r="GC455" s="21"/>
      <c r="GD455" s="21"/>
      <c r="GE455" s="21"/>
      <c r="GF455" s="21"/>
      <c r="GG455" s="21"/>
      <c r="GH455" s="21"/>
      <c r="GI455" s="21"/>
      <c r="GJ455" s="21"/>
      <c r="GK455" s="21"/>
      <c r="GL455" s="21"/>
      <c r="GM455" s="21"/>
      <c r="GN455" s="21"/>
      <c r="GO455" s="21"/>
      <c r="GP455" s="21"/>
      <c r="GQ455" s="21"/>
      <c r="GR455" s="21"/>
      <c r="GS455" s="21"/>
      <c r="GT455" s="21"/>
      <c r="GU455" s="21"/>
      <c r="GV455" s="21"/>
      <c r="GW455" s="21"/>
      <c r="GX455" s="21"/>
      <c r="GY455" s="21"/>
      <c r="GZ455" s="21"/>
      <c r="HA455" s="21"/>
      <c r="HB455" s="21"/>
    </row>
    <row r="456" spans="1:210"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c r="DB456" s="21"/>
      <c r="DC456" s="21"/>
      <c r="DD456" s="21"/>
      <c r="DE456" s="21"/>
      <c r="DF456" s="21"/>
      <c r="DG456" s="21"/>
      <c r="DH456" s="21"/>
      <c r="DI456" s="21"/>
      <c r="DJ456" s="21"/>
      <c r="DK456" s="21"/>
      <c r="DL456" s="21"/>
      <c r="DM456" s="21"/>
      <c r="DN456" s="21"/>
      <c r="DO456" s="21"/>
      <c r="DP456" s="21"/>
      <c r="DQ456" s="21"/>
      <c r="DR456" s="21"/>
      <c r="DS456" s="21"/>
      <c r="DT456" s="21"/>
      <c r="DU456" s="21"/>
      <c r="DV456" s="21"/>
      <c r="DW456" s="21"/>
      <c r="DX456" s="21"/>
      <c r="DY456" s="21"/>
      <c r="DZ456" s="21"/>
      <c r="EA456" s="21"/>
      <c r="EB456" s="21"/>
      <c r="EC456" s="21"/>
      <c r="ED456" s="21"/>
      <c r="EE456" s="21"/>
      <c r="EF456" s="21"/>
      <c r="EG456" s="21"/>
      <c r="EH456" s="21"/>
      <c r="EI456" s="21"/>
      <c r="EJ456" s="21"/>
      <c r="EK456" s="21"/>
      <c r="EL456" s="21"/>
      <c r="EM456" s="21"/>
      <c r="EN456" s="21"/>
      <c r="EO456" s="21"/>
      <c r="EP456" s="21"/>
      <c r="EQ456" s="21"/>
      <c r="ER456" s="21"/>
      <c r="ES456" s="21"/>
      <c r="ET456" s="21"/>
      <c r="EU456" s="21"/>
      <c r="EV456" s="21"/>
      <c r="EW456" s="21"/>
      <c r="EX456" s="21"/>
      <c r="EY456" s="21"/>
      <c r="EZ456" s="21"/>
      <c r="FA456" s="21"/>
      <c r="FB456" s="21"/>
      <c r="FC456" s="21"/>
      <c r="FD456" s="21"/>
      <c r="FE456" s="21"/>
      <c r="FF456" s="21"/>
      <c r="FG456" s="21"/>
      <c r="FH456" s="21"/>
      <c r="FI456" s="21"/>
      <c r="FJ456" s="21"/>
      <c r="FK456" s="21"/>
      <c r="FL456" s="21"/>
      <c r="FM456" s="21"/>
      <c r="FN456" s="21"/>
      <c r="FO456" s="21"/>
      <c r="FP456" s="21"/>
      <c r="FQ456" s="21"/>
      <c r="FR456" s="21"/>
      <c r="FS456" s="21"/>
      <c r="FT456" s="21"/>
      <c r="FU456" s="21"/>
      <c r="FV456" s="21"/>
      <c r="FW456" s="21"/>
      <c r="FX456" s="21"/>
      <c r="FY456" s="21"/>
      <c r="FZ456" s="21"/>
      <c r="GA456" s="21"/>
      <c r="GB456" s="21"/>
      <c r="GC456" s="21"/>
      <c r="GD456" s="21"/>
      <c r="GE456" s="21"/>
      <c r="GF456" s="21"/>
      <c r="GG456" s="21"/>
      <c r="GH456" s="21"/>
      <c r="GI456" s="21"/>
      <c r="GJ456" s="21"/>
      <c r="GK456" s="21"/>
      <c r="GL456" s="21"/>
      <c r="GM456" s="21"/>
      <c r="GN456" s="21"/>
      <c r="GO456" s="21"/>
      <c r="GP456" s="21"/>
      <c r="GQ456" s="21"/>
      <c r="GR456" s="21"/>
      <c r="GS456" s="21"/>
      <c r="GT456" s="21"/>
      <c r="GU456" s="21"/>
      <c r="GV456" s="21"/>
      <c r="GW456" s="21"/>
      <c r="GX456" s="21"/>
      <c r="GY456" s="21"/>
      <c r="GZ456" s="21"/>
      <c r="HA456" s="21"/>
      <c r="HB456" s="21"/>
    </row>
    <row r="457" spans="1:210"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c r="DB457" s="21"/>
      <c r="DC457" s="21"/>
      <c r="DD457" s="21"/>
      <c r="DE457" s="21"/>
      <c r="DF457" s="21"/>
      <c r="DG457" s="21"/>
      <c r="DH457" s="21"/>
      <c r="DI457" s="21"/>
      <c r="DJ457" s="21"/>
      <c r="DK457" s="21"/>
      <c r="DL457" s="21"/>
      <c r="DM457" s="21"/>
      <c r="DN457" s="21"/>
      <c r="DO457" s="21"/>
      <c r="DP457" s="21"/>
      <c r="DQ457" s="21"/>
      <c r="DR457" s="21"/>
      <c r="DS457" s="21"/>
      <c r="DT457" s="21"/>
      <c r="DU457" s="21"/>
      <c r="DV457" s="21"/>
      <c r="DW457" s="21"/>
      <c r="DX457" s="21"/>
      <c r="DY457" s="21"/>
      <c r="DZ457" s="21"/>
      <c r="EA457" s="21"/>
      <c r="EB457" s="21"/>
      <c r="EC457" s="21"/>
      <c r="ED457" s="21"/>
      <c r="EE457" s="21"/>
      <c r="EF457" s="21"/>
      <c r="EG457" s="21"/>
      <c r="EH457" s="21"/>
      <c r="EI457" s="21"/>
      <c r="EJ457" s="21"/>
      <c r="EK457" s="21"/>
      <c r="EL457" s="21"/>
      <c r="EM457" s="21"/>
      <c r="EN457" s="21"/>
      <c r="EO457" s="21"/>
      <c r="EP457" s="21"/>
      <c r="EQ457" s="21"/>
      <c r="ER457" s="21"/>
      <c r="ES457" s="21"/>
      <c r="ET457" s="21"/>
      <c r="EU457" s="21"/>
      <c r="EV457" s="21"/>
      <c r="EW457" s="21"/>
      <c r="EX457" s="21"/>
      <c r="EY457" s="21"/>
      <c r="EZ457" s="21"/>
      <c r="FA457" s="21"/>
      <c r="FB457" s="21"/>
      <c r="FC457" s="21"/>
      <c r="FD457" s="21"/>
      <c r="FE457" s="21"/>
      <c r="FF457" s="21"/>
      <c r="FG457" s="21"/>
      <c r="FH457" s="21"/>
      <c r="FI457" s="21"/>
      <c r="FJ457" s="21"/>
      <c r="FK457" s="21"/>
      <c r="FL457" s="21"/>
      <c r="FM457" s="21"/>
      <c r="FN457" s="21"/>
      <c r="FO457" s="21"/>
      <c r="FP457" s="21"/>
      <c r="FQ457" s="21"/>
      <c r="FR457" s="21"/>
      <c r="FS457" s="21"/>
      <c r="FT457" s="21"/>
      <c r="FU457" s="21"/>
      <c r="FV457" s="21"/>
      <c r="FW457" s="21"/>
      <c r="FX457" s="21"/>
      <c r="FY457" s="21"/>
      <c r="FZ457" s="21"/>
      <c r="GA457" s="21"/>
      <c r="GB457" s="21"/>
      <c r="GC457" s="21"/>
      <c r="GD457" s="21"/>
      <c r="GE457" s="21"/>
      <c r="GF457" s="21"/>
      <c r="GG457" s="21"/>
      <c r="GH457" s="21"/>
      <c r="GI457" s="21"/>
      <c r="GJ457" s="21"/>
      <c r="GK457" s="21"/>
      <c r="GL457" s="21"/>
      <c r="GM457" s="21"/>
      <c r="GN457" s="21"/>
      <c r="GO457" s="21"/>
      <c r="GP457" s="21"/>
      <c r="GQ457" s="21"/>
      <c r="GR457" s="21"/>
      <c r="GS457" s="21"/>
      <c r="GT457" s="21"/>
      <c r="GU457" s="21"/>
      <c r="GV457" s="21"/>
      <c r="GW457" s="21"/>
      <c r="GX457" s="21"/>
      <c r="GY457" s="21"/>
      <c r="GZ457" s="21"/>
      <c r="HA457" s="21"/>
      <c r="HB457" s="21"/>
    </row>
    <row r="458" spans="1:210"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c r="DB458" s="21"/>
      <c r="DC458" s="21"/>
      <c r="DD458" s="21"/>
      <c r="DE458" s="21"/>
      <c r="DF458" s="21"/>
      <c r="DG458" s="21"/>
      <c r="DH458" s="21"/>
      <c r="DI458" s="21"/>
      <c r="DJ458" s="21"/>
      <c r="DK458" s="21"/>
      <c r="DL458" s="21"/>
      <c r="DM458" s="21"/>
      <c r="DN458" s="21"/>
      <c r="DO458" s="21"/>
      <c r="DP458" s="21"/>
      <c r="DQ458" s="21"/>
      <c r="DR458" s="21"/>
      <c r="DS458" s="21"/>
      <c r="DT458" s="21"/>
      <c r="DU458" s="21"/>
      <c r="DV458" s="21"/>
      <c r="DW458" s="21"/>
      <c r="DX458" s="21"/>
      <c r="DY458" s="21"/>
      <c r="DZ458" s="21"/>
      <c r="EA458" s="21"/>
      <c r="EB458" s="21"/>
      <c r="EC458" s="21"/>
      <c r="ED458" s="21"/>
      <c r="EE458" s="21"/>
      <c r="EF458" s="21"/>
      <c r="EG458" s="21"/>
      <c r="EH458" s="21"/>
      <c r="EI458" s="21"/>
      <c r="EJ458" s="21"/>
      <c r="EK458" s="21"/>
      <c r="EL458" s="21"/>
      <c r="EM458" s="21"/>
      <c r="EN458" s="21"/>
      <c r="EO458" s="21"/>
      <c r="EP458" s="21"/>
      <c r="EQ458" s="21"/>
      <c r="ER458" s="21"/>
      <c r="ES458" s="21"/>
      <c r="ET458" s="21"/>
      <c r="EU458" s="21"/>
      <c r="EV458" s="21"/>
      <c r="EW458" s="21"/>
      <c r="EX458" s="21"/>
      <c r="EY458" s="21"/>
      <c r="EZ458" s="21"/>
      <c r="FA458" s="21"/>
      <c r="FB458" s="21"/>
      <c r="FC458" s="21"/>
      <c r="FD458" s="21"/>
      <c r="FE458" s="21"/>
      <c r="FF458" s="21"/>
      <c r="FG458" s="21"/>
      <c r="FH458" s="21"/>
      <c r="FI458" s="21"/>
      <c r="FJ458" s="21"/>
      <c r="FK458" s="21"/>
      <c r="FL458" s="21"/>
      <c r="FM458" s="21"/>
      <c r="FN458" s="21"/>
      <c r="FO458" s="21"/>
      <c r="FP458" s="21"/>
      <c r="FQ458" s="21"/>
      <c r="FR458" s="21"/>
      <c r="FS458" s="21"/>
      <c r="FT458" s="21"/>
      <c r="FU458" s="21"/>
      <c r="FV458" s="21"/>
      <c r="FW458" s="21"/>
      <c r="FX458" s="21"/>
      <c r="FY458" s="21"/>
      <c r="FZ458" s="21"/>
      <c r="GA458" s="21"/>
      <c r="GB458" s="21"/>
      <c r="GC458" s="21"/>
      <c r="GD458" s="21"/>
      <c r="GE458" s="21"/>
      <c r="GF458" s="21"/>
      <c r="GG458" s="21"/>
      <c r="GH458" s="21"/>
      <c r="GI458" s="21"/>
      <c r="GJ458" s="21"/>
      <c r="GK458" s="21"/>
      <c r="GL458" s="21"/>
      <c r="GM458" s="21"/>
      <c r="GN458" s="21"/>
      <c r="GO458" s="21"/>
      <c r="GP458" s="21"/>
      <c r="GQ458" s="21"/>
      <c r="GR458" s="21"/>
      <c r="GS458" s="21"/>
      <c r="GT458" s="21"/>
      <c r="GU458" s="21"/>
      <c r="GV458" s="21"/>
      <c r="GW458" s="21"/>
      <c r="GX458" s="21"/>
      <c r="GY458" s="21"/>
      <c r="GZ458" s="21"/>
      <c r="HA458" s="21"/>
      <c r="HB458" s="21"/>
    </row>
    <row r="459" spans="1:210"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21"/>
      <c r="CH459" s="21"/>
      <c r="CI459" s="21"/>
      <c r="CJ459" s="21"/>
      <c r="CK459" s="21"/>
      <c r="CL459" s="21"/>
      <c r="CM459" s="21"/>
      <c r="CN459" s="21"/>
      <c r="CO459" s="21"/>
      <c r="CP459" s="21"/>
      <c r="CQ459" s="21"/>
      <c r="CR459" s="21"/>
      <c r="CS459" s="21"/>
      <c r="CT459" s="21"/>
      <c r="CU459" s="21"/>
      <c r="CV459" s="21"/>
      <c r="CW459" s="21"/>
      <c r="CX459" s="21"/>
      <c r="CY459" s="21"/>
      <c r="CZ459" s="21"/>
      <c r="DA459" s="21"/>
      <c r="DB459" s="21"/>
      <c r="DC459" s="21"/>
      <c r="DD459" s="21"/>
      <c r="DE459" s="21"/>
      <c r="DF459" s="21"/>
      <c r="DG459" s="21"/>
      <c r="DH459" s="21"/>
      <c r="DI459" s="21"/>
      <c r="DJ459" s="21"/>
      <c r="DK459" s="21"/>
      <c r="DL459" s="21"/>
      <c r="DM459" s="21"/>
      <c r="DN459" s="21"/>
      <c r="DO459" s="21"/>
      <c r="DP459" s="21"/>
      <c r="DQ459" s="21"/>
      <c r="DR459" s="21"/>
      <c r="DS459" s="21"/>
      <c r="DT459" s="21"/>
      <c r="DU459" s="21"/>
      <c r="DV459" s="21"/>
      <c r="DW459" s="21"/>
      <c r="DX459" s="21"/>
      <c r="DY459" s="21"/>
      <c r="DZ459" s="21"/>
      <c r="EA459" s="21"/>
      <c r="EB459" s="21"/>
      <c r="EC459" s="21"/>
      <c r="ED459" s="21"/>
      <c r="EE459" s="21"/>
      <c r="EF459" s="21"/>
      <c r="EG459" s="21"/>
      <c r="EH459" s="21"/>
      <c r="EI459" s="21"/>
      <c r="EJ459" s="21"/>
      <c r="EK459" s="21"/>
      <c r="EL459" s="21"/>
      <c r="EM459" s="21"/>
      <c r="EN459" s="21"/>
      <c r="EO459" s="21"/>
      <c r="EP459" s="21"/>
      <c r="EQ459" s="21"/>
      <c r="ER459" s="21"/>
      <c r="ES459" s="21"/>
      <c r="ET459" s="21"/>
      <c r="EU459" s="21"/>
      <c r="EV459" s="21"/>
      <c r="EW459" s="21"/>
      <c r="EX459" s="21"/>
      <c r="EY459" s="21"/>
      <c r="EZ459" s="21"/>
      <c r="FA459" s="21"/>
      <c r="FB459" s="21"/>
      <c r="FC459" s="21"/>
      <c r="FD459" s="21"/>
      <c r="FE459" s="21"/>
      <c r="FF459" s="21"/>
      <c r="FG459" s="21"/>
      <c r="FH459" s="21"/>
      <c r="FI459" s="21"/>
      <c r="FJ459" s="21"/>
      <c r="FK459" s="21"/>
      <c r="FL459" s="21"/>
      <c r="FM459" s="21"/>
      <c r="FN459" s="21"/>
      <c r="FO459" s="21"/>
      <c r="FP459" s="21"/>
      <c r="FQ459" s="21"/>
      <c r="FR459" s="21"/>
      <c r="FS459" s="21"/>
      <c r="FT459" s="21"/>
      <c r="FU459" s="21"/>
      <c r="FV459" s="21"/>
      <c r="FW459" s="21"/>
      <c r="FX459" s="21"/>
      <c r="FY459" s="21"/>
      <c r="FZ459" s="21"/>
      <c r="GA459" s="21"/>
      <c r="GB459" s="21"/>
      <c r="GC459" s="21"/>
      <c r="GD459" s="21"/>
      <c r="GE459" s="21"/>
      <c r="GF459" s="21"/>
      <c r="GG459" s="21"/>
      <c r="GH459" s="21"/>
      <c r="GI459" s="21"/>
      <c r="GJ459" s="21"/>
      <c r="GK459" s="21"/>
      <c r="GL459" s="21"/>
      <c r="GM459" s="21"/>
      <c r="GN459" s="21"/>
      <c r="GO459" s="21"/>
      <c r="GP459" s="21"/>
      <c r="GQ459" s="21"/>
      <c r="GR459" s="21"/>
      <c r="GS459" s="21"/>
      <c r="GT459" s="21"/>
      <c r="GU459" s="21"/>
      <c r="GV459" s="21"/>
      <c r="GW459" s="21"/>
      <c r="GX459" s="21"/>
      <c r="GY459" s="21"/>
      <c r="GZ459" s="21"/>
      <c r="HA459" s="21"/>
      <c r="HB459" s="21"/>
    </row>
    <row r="460" spans="1:210"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21"/>
      <c r="CH460" s="21"/>
      <c r="CI460" s="21"/>
      <c r="CJ460" s="21"/>
      <c r="CK460" s="21"/>
      <c r="CL460" s="21"/>
      <c r="CM460" s="21"/>
      <c r="CN460" s="21"/>
      <c r="CO460" s="21"/>
      <c r="CP460" s="21"/>
      <c r="CQ460" s="21"/>
      <c r="CR460" s="21"/>
      <c r="CS460" s="21"/>
      <c r="CT460" s="21"/>
      <c r="CU460" s="21"/>
      <c r="CV460" s="21"/>
      <c r="CW460" s="21"/>
      <c r="CX460" s="21"/>
      <c r="CY460" s="21"/>
      <c r="CZ460" s="21"/>
      <c r="DA460" s="21"/>
      <c r="DB460" s="21"/>
      <c r="DC460" s="21"/>
      <c r="DD460" s="21"/>
      <c r="DE460" s="21"/>
      <c r="DF460" s="21"/>
      <c r="DG460" s="21"/>
      <c r="DH460" s="21"/>
      <c r="DI460" s="21"/>
      <c r="DJ460" s="21"/>
      <c r="DK460" s="21"/>
      <c r="DL460" s="21"/>
      <c r="DM460" s="21"/>
      <c r="DN460" s="21"/>
      <c r="DO460" s="21"/>
      <c r="DP460" s="21"/>
      <c r="DQ460" s="21"/>
      <c r="DR460" s="21"/>
      <c r="DS460" s="21"/>
      <c r="DT460" s="21"/>
      <c r="DU460" s="21"/>
      <c r="DV460" s="21"/>
      <c r="DW460" s="21"/>
      <c r="DX460" s="21"/>
      <c r="DY460" s="21"/>
      <c r="DZ460" s="21"/>
      <c r="EA460" s="21"/>
      <c r="EB460" s="21"/>
      <c r="EC460" s="21"/>
      <c r="ED460" s="21"/>
      <c r="EE460" s="21"/>
      <c r="EF460" s="21"/>
      <c r="EG460" s="21"/>
      <c r="EH460" s="21"/>
      <c r="EI460" s="21"/>
      <c r="EJ460" s="21"/>
      <c r="EK460" s="21"/>
      <c r="EL460" s="21"/>
      <c r="EM460" s="21"/>
      <c r="EN460" s="21"/>
      <c r="EO460" s="21"/>
      <c r="EP460" s="21"/>
      <c r="EQ460" s="21"/>
      <c r="ER460" s="21"/>
      <c r="ES460" s="21"/>
      <c r="ET460" s="21"/>
      <c r="EU460" s="21"/>
      <c r="EV460" s="21"/>
      <c r="EW460" s="21"/>
      <c r="EX460" s="21"/>
      <c r="EY460" s="21"/>
      <c r="EZ460" s="21"/>
      <c r="FA460" s="21"/>
      <c r="FB460" s="21"/>
      <c r="FC460" s="21"/>
      <c r="FD460" s="21"/>
      <c r="FE460" s="21"/>
      <c r="FF460" s="21"/>
      <c r="FG460" s="21"/>
      <c r="FH460" s="21"/>
      <c r="FI460" s="21"/>
      <c r="FJ460" s="21"/>
      <c r="FK460" s="21"/>
      <c r="FL460" s="21"/>
      <c r="FM460" s="21"/>
      <c r="FN460" s="21"/>
      <c r="FO460" s="21"/>
      <c r="FP460" s="21"/>
      <c r="FQ460" s="21"/>
      <c r="FR460" s="21"/>
      <c r="FS460" s="21"/>
      <c r="FT460" s="21"/>
      <c r="FU460" s="21"/>
      <c r="FV460" s="21"/>
      <c r="FW460" s="21"/>
      <c r="FX460" s="21"/>
      <c r="FY460" s="21"/>
      <c r="FZ460" s="21"/>
      <c r="GA460" s="21"/>
      <c r="GB460" s="21"/>
      <c r="GC460" s="21"/>
      <c r="GD460" s="21"/>
      <c r="GE460" s="21"/>
      <c r="GF460" s="21"/>
      <c r="GG460" s="21"/>
      <c r="GH460" s="21"/>
      <c r="GI460" s="21"/>
      <c r="GJ460" s="21"/>
      <c r="GK460" s="21"/>
      <c r="GL460" s="21"/>
      <c r="GM460" s="21"/>
      <c r="GN460" s="21"/>
      <c r="GO460" s="21"/>
      <c r="GP460" s="21"/>
      <c r="GQ460" s="21"/>
      <c r="GR460" s="21"/>
      <c r="GS460" s="21"/>
      <c r="GT460" s="21"/>
      <c r="GU460" s="21"/>
      <c r="GV460" s="21"/>
      <c r="GW460" s="21"/>
      <c r="GX460" s="21"/>
      <c r="GY460" s="21"/>
      <c r="GZ460" s="21"/>
      <c r="HA460" s="21"/>
      <c r="HB460" s="21"/>
    </row>
    <row r="461" spans="1:210"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21"/>
      <c r="CH461" s="21"/>
      <c r="CI461" s="21"/>
      <c r="CJ461" s="21"/>
      <c r="CK461" s="21"/>
      <c r="CL461" s="21"/>
      <c r="CM461" s="21"/>
      <c r="CN461" s="21"/>
      <c r="CO461" s="21"/>
      <c r="CP461" s="21"/>
      <c r="CQ461" s="21"/>
      <c r="CR461" s="21"/>
      <c r="CS461" s="21"/>
      <c r="CT461" s="21"/>
      <c r="CU461" s="21"/>
      <c r="CV461" s="21"/>
      <c r="CW461" s="21"/>
      <c r="CX461" s="21"/>
      <c r="CY461" s="21"/>
      <c r="CZ461" s="21"/>
      <c r="DA461" s="21"/>
      <c r="DB461" s="21"/>
      <c r="DC461" s="21"/>
      <c r="DD461" s="21"/>
      <c r="DE461" s="21"/>
      <c r="DF461" s="21"/>
      <c r="DG461" s="21"/>
      <c r="DH461" s="21"/>
      <c r="DI461" s="21"/>
      <c r="DJ461" s="21"/>
      <c r="DK461" s="21"/>
      <c r="DL461" s="21"/>
      <c r="DM461" s="21"/>
      <c r="DN461" s="21"/>
      <c r="DO461" s="21"/>
      <c r="DP461" s="21"/>
      <c r="DQ461" s="21"/>
      <c r="DR461" s="21"/>
      <c r="DS461" s="21"/>
      <c r="DT461" s="21"/>
      <c r="DU461" s="21"/>
      <c r="DV461" s="21"/>
      <c r="DW461" s="21"/>
      <c r="DX461" s="21"/>
      <c r="DY461" s="21"/>
      <c r="DZ461" s="21"/>
      <c r="EA461" s="21"/>
      <c r="EB461" s="21"/>
      <c r="EC461" s="21"/>
      <c r="ED461" s="21"/>
      <c r="EE461" s="21"/>
      <c r="EF461" s="21"/>
      <c r="EG461" s="21"/>
      <c r="EH461" s="21"/>
      <c r="EI461" s="21"/>
      <c r="EJ461" s="21"/>
      <c r="EK461" s="21"/>
      <c r="EL461" s="21"/>
      <c r="EM461" s="21"/>
      <c r="EN461" s="21"/>
      <c r="EO461" s="21"/>
      <c r="EP461" s="21"/>
      <c r="EQ461" s="21"/>
      <c r="ER461" s="21"/>
      <c r="ES461" s="21"/>
      <c r="ET461" s="21"/>
      <c r="EU461" s="21"/>
      <c r="EV461" s="21"/>
      <c r="EW461" s="21"/>
      <c r="EX461" s="21"/>
      <c r="EY461" s="21"/>
      <c r="EZ461" s="21"/>
      <c r="FA461" s="21"/>
      <c r="FB461" s="21"/>
      <c r="FC461" s="21"/>
      <c r="FD461" s="21"/>
      <c r="FE461" s="21"/>
      <c r="FF461" s="21"/>
      <c r="FG461" s="21"/>
      <c r="FH461" s="21"/>
      <c r="FI461" s="21"/>
      <c r="FJ461" s="21"/>
      <c r="FK461" s="21"/>
      <c r="FL461" s="21"/>
      <c r="FM461" s="21"/>
      <c r="FN461" s="21"/>
      <c r="FO461" s="21"/>
      <c r="FP461" s="21"/>
      <c r="FQ461" s="21"/>
      <c r="FR461" s="21"/>
      <c r="FS461" s="21"/>
      <c r="FT461" s="21"/>
      <c r="FU461" s="21"/>
      <c r="FV461" s="21"/>
      <c r="FW461" s="21"/>
      <c r="FX461" s="21"/>
      <c r="FY461" s="21"/>
      <c r="FZ461" s="21"/>
      <c r="GA461" s="21"/>
      <c r="GB461" s="21"/>
      <c r="GC461" s="21"/>
      <c r="GD461" s="21"/>
      <c r="GE461" s="21"/>
      <c r="GF461" s="21"/>
      <c r="GG461" s="21"/>
      <c r="GH461" s="21"/>
      <c r="GI461" s="21"/>
      <c r="GJ461" s="21"/>
      <c r="GK461" s="21"/>
      <c r="GL461" s="21"/>
      <c r="GM461" s="21"/>
      <c r="GN461" s="21"/>
      <c r="GO461" s="21"/>
      <c r="GP461" s="21"/>
      <c r="GQ461" s="21"/>
      <c r="GR461" s="21"/>
      <c r="GS461" s="21"/>
      <c r="GT461" s="21"/>
      <c r="GU461" s="21"/>
      <c r="GV461" s="21"/>
      <c r="GW461" s="21"/>
      <c r="GX461" s="21"/>
      <c r="GY461" s="21"/>
      <c r="GZ461" s="21"/>
      <c r="HA461" s="21"/>
      <c r="HB461" s="21"/>
    </row>
    <row r="462" spans="1:210"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21"/>
      <c r="CH462" s="21"/>
      <c r="CI462" s="21"/>
      <c r="CJ462" s="21"/>
      <c r="CK462" s="21"/>
      <c r="CL462" s="21"/>
      <c r="CM462" s="21"/>
      <c r="CN462" s="21"/>
      <c r="CO462" s="21"/>
      <c r="CP462" s="21"/>
      <c r="CQ462" s="21"/>
      <c r="CR462" s="21"/>
      <c r="CS462" s="21"/>
      <c r="CT462" s="21"/>
      <c r="CU462" s="21"/>
      <c r="CV462" s="21"/>
      <c r="CW462" s="21"/>
      <c r="CX462" s="21"/>
      <c r="CY462" s="21"/>
      <c r="CZ462" s="21"/>
      <c r="DA462" s="21"/>
      <c r="DB462" s="21"/>
      <c r="DC462" s="21"/>
      <c r="DD462" s="21"/>
      <c r="DE462" s="21"/>
      <c r="DF462" s="21"/>
      <c r="DG462" s="21"/>
      <c r="DH462" s="21"/>
      <c r="DI462" s="21"/>
      <c r="DJ462" s="21"/>
      <c r="DK462" s="21"/>
      <c r="DL462" s="21"/>
      <c r="DM462" s="21"/>
      <c r="DN462" s="21"/>
      <c r="DO462" s="21"/>
      <c r="DP462" s="21"/>
      <c r="DQ462" s="21"/>
      <c r="DR462" s="21"/>
      <c r="DS462" s="21"/>
      <c r="DT462" s="21"/>
      <c r="DU462" s="21"/>
      <c r="DV462" s="21"/>
      <c r="DW462" s="21"/>
      <c r="DX462" s="21"/>
      <c r="DY462" s="21"/>
      <c r="DZ462" s="21"/>
      <c r="EA462" s="21"/>
      <c r="EB462" s="21"/>
      <c r="EC462" s="21"/>
      <c r="ED462" s="21"/>
      <c r="EE462" s="21"/>
      <c r="EF462" s="21"/>
      <c r="EG462" s="21"/>
      <c r="EH462" s="21"/>
      <c r="EI462" s="21"/>
      <c r="EJ462" s="21"/>
      <c r="EK462" s="21"/>
      <c r="EL462" s="21"/>
      <c r="EM462" s="21"/>
      <c r="EN462" s="21"/>
      <c r="EO462" s="21"/>
      <c r="EP462" s="21"/>
      <c r="EQ462" s="21"/>
      <c r="ER462" s="21"/>
      <c r="ES462" s="21"/>
      <c r="ET462" s="21"/>
      <c r="EU462" s="21"/>
      <c r="EV462" s="21"/>
      <c r="EW462" s="21"/>
      <c r="EX462" s="21"/>
      <c r="EY462" s="21"/>
      <c r="EZ462" s="21"/>
      <c r="FA462" s="21"/>
      <c r="FB462" s="21"/>
      <c r="FC462" s="21"/>
      <c r="FD462" s="21"/>
      <c r="FE462" s="21"/>
      <c r="FF462" s="21"/>
      <c r="FG462" s="21"/>
      <c r="FH462" s="21"/>
      <c r="FI462" s="21"/>
      <c r="FJ462" s="21"/>
      <c r="FK462" s="21"/>
      <c r="FL462" s="21"/>
      <c r="FM462" s="21"/>
      <c r="FN462" s="21"/>
      <c r="FO462" s="21"/>
      <c r="FP462" s="21"/>
      <c r="FQ462" s="21"/>
      <c r="FR462" s="21"/>
      <c r="FS462" s="21"/>
      <c r="FT462" s="21"/>
      <c r="FU462" s="21"/>
      <c r="FV462" s="21"/>
      <c r="FW462" s="21"/>
      <c r="FX462" s="21"/>
      <c r="FY462" s="21"/>
      <c r="FZ462" s="21"/>
      <c r="GA462" s="21"/>
      <c r="GB462" s="21"/>
      <c r="GC462" s="21"/>
      <c r="GD462" s="21"/>
      <c r="GE462" s="21"/>
      <c r="GF462" s="21"/>
      <c r="GG462" s="21"/>
      <c r="GH462" s="21"/>
      <c r="GI462" s="21"/>
      <c r="GJ462" s="21"/>
      <c r="GK462" s="21"/>
      <c r="GL462" s="21"/>
      <c r="GM462" s="21"/>
      <c r="GN462" s="21"/>
      <c r="GO462" s="21"/>
      <c r="GP462" s="21"/>
      <c r="GQ462" s="21"/>
      <c r="GR462" s="21"/>
      <c r="GS462" s="21"/>
      <c r="GT462" s="21"/>
      <c r="GU462" s="21"/>
      <c r="GV462" s="21"/>
      <c r="GW462" s="21"/>
      <c r="GX462" s="21"/>
      <c r="GY462" s="21"/>
      <c r="GZ462" s="21"/>
      <c r="HA462" s="21"/>
      <c r="HB462" s="21"/>
    </row>
    <row r="463" spans="1:210"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21"/>
      <c r="CH463" s="21"/>
      <c r="CI463" s="21"/>
      <c r="CJ463" s="21"/>
      <c r="CK463" s="21"/>
      <c r="CL463" s="21"/>
      <c r="CM463" s="21"/>
      <c r="CN463" s="21"/>
      <c r="CO463" s="21"/>
      <c r="CP463" s="21"/>
      <c r="CQ463" s="21"/>
      <c r="CR463" s="21"/>
      <c r="CS463" s="21"/>
      <c r="CT463" s="21"/>
      <c r="CU463" s="21"/>
      <c r="CV463" s="21"/>
      <c r="CW463" s="21"/>
      <c r="CX463" s="21"/>
      <c r="CY463" s="21"/>
      <c r="CZ463" s="21"/>
      <c r="DA463" s="21"/>
      <c r="DB463" s="21"/>
      <c r="DC463" s="21"/>
      <c r="DD463" s="21"/>
      <c r="DE463" s="21"/>
      <c r="DF463" s="21"/>
      <c r="DG463" s="21"/>
      <c r="DH463" s="21"/>
      <c r="DI463" s="21"/>
      <c r="DJ463" s="21"/>
      <c r="DK463" s="21"/>
      <c r="DL463" s="21"/>
      <c r="DM463" s="21"/>
      <c r="DN463" s="21"/>
      <c r="DO463" s="21"/>
      <c r="DP463" s="21"/>
      <c r="DQ463" s="21"/>
      <c r="DR463" s="21"/>
      <c r="DS463" s="21"/>
      <c r="DT463" s="21"/>
      <c r="DU463" s="21"/>
      <c r="DV463" s="21"/>
      <c r="DW463" s="21"/>
      <c r="DX463" s="21"/>
      <c r="DY463" s="21"/>
      <c r="DZ463" s="21"/>
      <c r="EA463" s="21"/>
      <c r="EB463" s="21"/>
      <c r="EC463" s="21"/>
      <c r="ED463" s="21"/>
      <c r="EE463" s="21"/>
      <c r="EF463" s="21"/>
      <c r="EG463" s="21"/>
      <c r="EH463" s="21"/>
      <c r="EI463" s="21"/>
      <c r="EJ463" s="21"/>
      <c r="EK463" s="21"/>
      <c r="EL463" s="21"/>
      <c r="EM463" s="21"/>
      <c r="EN463" s="21"/>
      <c r="EO463" s="21"/>
      <c r="EP463" s="21"/>
      <c r="EQ463" s="21"/>
      <c r="ER463" s="21"/>
      <c r="ES463" s="21"/>
      <c r="ET463" s="21"/>
      <c r="EU463" s="21"/>
      <c r="EV463" s="21"/>
      <c r="EW463" s="21"/>
      <c r="EX463" s="21"/>
      <c r="EY463" s="21"/>
      <c r="EZ463" s="21"/>
      <c r="FA463" s="21"/>
      <c r="FB463" s="21"/>
      <c r="FC463" s="21"/>
      <c r="FD463" s="21"/>
      <c r="FE463" s="21"/>
      <c r="FF463" s="21"/>
      <c r="FG463" s="21"/>
      <c r="FH463" s="21"/>
      <c r="FI463" s="21"/>
      <c r="FJ463" s="21"/>
      <c r="FK463" s="21"/>
      <c r="FL463" s="21"/>
      <c r="FM463" s="21"/>
      <c r="FN463" s="21"/>
      <c r="FO463" s="21"/>
      <c r="FP463" s="21"/>
      <c r="FQ463" s="21"/>
      <c r="FR463" s="21"/>
      <c r="FS463" s="21"/>
      <c r="FT463" s="21"/>
      <c r="FU463" s="21"/>
      <c r="FV463" s="21"/>
      <c r="FW463" s="21"/>
      <c r="FX463" s="21"/>
      <c r="FY463" s="21"/>
      <c r="FZ463" s="21"/>
      <c r="GA463" s="21"/>
      <c r="GB463" s="21"/>
      <c r="GC463" s="21"/>
      <c r="GD463" s="21"/>
      <c r="GE463" s="21"/>
      <c r="GF463" s="21"/>
      <c r="GG463" s="21"/>
      <c r="GH463" s="21"/>
      <c r="GI463" s="21"/>
      <c r="GJ463" s="21"/>
      <c r="GK463" s="21"/>
      <c r="GL463" s="21"/>
      <c r="GM463" s="21"/>
      <c r="GN463" s="21"/>
      <c r="GO463" s="21"/>
      <c r="GP463" s="21"/>
      <c r="GQ463" s="21"/>
      <c r="GR463" s="21"/>
      <c r="GS463" s="21"/>
      <c r="GT463" s="21"/>
      <c r="GU463" s="21"/>
      <c r="GV463" s="21"/>
      <c r="GW463" s="21"/>
      <c r="GX463" s="21"/>
      <c r="GY463" s="21"/>
      <c r="GZ463" s="21"/>
      <c r="HA463" s="21"/>
      <c r="HB463" s="21"/>
    </row>
    <row r="464" spans="1:210"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c r="DB464" s="21"/>
      <c r="DC464" s="21"/>
      <c r="DD464" s="21"/>
      <c r="DE464" s="21"/>
      <c r="DF464" s="21"/>
      <c r="DG464" s="21"/>
      <c r="DH464" s="21"/>
      <c r="DI464" s="21"/>
      <c r="DJ464" s="21"/>
      <c r="DK464" s="21"/>
      <c r="DL464" s="21"/>
      <c r="DM464" s="21"/>
      <c r="DN464" s="21"/>
      <c r="DO464" s="21"/>
      <c r="DP464" s="21"/>
      <c r="DQ464" s="21"/>
      <c r="DR464" s="21"/>
      <c r="DS464" s="21"/>
      <c r="DT464" s="21"/>
      <c r="DU464" s="21"/>
      <c r="DV464" s="21"/>
      <c r="DW464" s="21"/>
      <c r="DX464" s="21"/>
      <c r="DY464" s="21"/>
      <c r="DZ464" s="21"/>
      <c r="EA464" s="21"/>
      <c r="EB464" s="21"/>
      <c r="EC464" s="21"/>
      <c r="ED464" s="21"/>
      <c r="EE464" s="21"/>
      <c r="EF464" s="21"/>
      <c r="EG464" s="21"/>
      <c r="EH464" s="21"/>
      <c r="EI464" s="21"/>
      <c r="EJ464" s="21"/>
      <c r="EK464" s="21"/>
      <c r="EL464" s="21"/>
      <c r="EM464" s="21"/>
      <c r="EN464" s="21"/>
      <c r="EO464" s="21"/>
      <c r="EP464" s="21"/>
      <c r="EQ464" s="21"/>
      <c r="ER464" s="21"/>
      <c r="ES464" s="21"/>
      <c r="ET464" s="21"/>
      <c r="EU464" s="21"/>
      <c r="EV464" s="21"/>
      <c r="EW464" s="21"/>
      <c r="EX464" s="21"/>
      <c r="EY464" s="21"/>
      <c r="EZ464" s="21"/>
      <c r="FA464" s="21"/>
      <c r="FB464" s="21"/>
      <c r="FC464" s="21"/>
      <c r="FD464" s="21"/>
      <c r="FE464" s="21"/>
      <c r="FF464" s="21"/>
      <c r="FG464" s="21"/>
      <c r="FH464" s="21"/>
      <c r="FI464" s="21"/>
      <c r="FJ464" s="21"/>
      <c r="FK464" s="21"/>
      <c r="FL464" s="21"/>
      <c r="FM464" s="21"/>
      <c r="FN464" s="21"/>
      <c r="FO464" s="21"/>
      <c r="FP464" s="21"/>
      <c r="FQ464" s="21"/>
      <c r="FR464" s="21"/>
      <c r="FS464" s="21"/>
      <c r="FT464" s="21"/>
      <c r="FU464" s="21"/>
      <c r="FV464" s="21"/>
      <c r="FW464" s="21"/>
      <c r="FX464" s="21"/>
      <c r="FY464" s="21"/>
      <c r="FZ464" s="21"/>
      <c r="GA464" s="21"/>
      <c r="GB464" s="21"/>
      <c r="GC464" s="21"/>
      <c r="GD464" s="21"/>
      <c r="GE464" s="21"/>
      <c r="GF464" s="21"/>
      <c r="GG464" s="21"/>
      <c r="GH464" s="21"/>
      <c r="GI464" s="21"/>
      <c r="GJ464" s="21"/>
      <c r="GK464" s="21"/>
      <c r="GL464" s="21"/>
      <c r="GM464" s="21"/>
      <c r="GN464" s="21"/>
      <c r="GO464" s="21"/>
      <c r="GP464" s="21"/>
      <c r="GQ464" s="21"/>
      <c r="GR464" s="21"/>
      <c r="GS464" s="21"/>
      <c r="GT464" s="21"/>
      <c r="GU464" s="21"/>
      <c r="GV464" s="21"/>
      <c r="GW464" s="21"/>
      <c r="GX464" s="21"/>
      <c r="GY464" s="21"/>
      <c r="GZ464" s="21"/>
      <c r="HA464" s="21"/>
      <c r="HB464" s="21"/>
    </row>
    <row r="465" spans="1:210"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c r="DB465" s="21"/>
      <c r="DC465" s="21"/>
      <c r="DD465" s="21"/>
      <c r="DE465" s="21"/>
      <c r="DF465" s="21"/>
      <c r="DG465" s="21"/>
      <c r="DH465" s="21"/>
      <c r="DI465" s="21"/>
      <c r="DJ465" s="21"/>
      <c r="DK465" s="21"/>
      <c r="DL465" s="21"/>
      <c r="DM465" s="21"/>
      <c r="DN465" s="21"/>
      <c r="DO465" s="21"/>
      <c r="DP465" s="21"/>
      <c r="DQ465" s="21"/>
      <c r="DR465" s="21"/>
      <c r="DS465" s="21"/>
      <c r="DT465" s="21"/>
      <c r="DU465" s="21"/>
      <c r="DV465" s="21"/>
      <c r="DW465" s="21"/>
      <c r="DX465" s="21"/>
      <c r="DY465" s="21"/>
      <c r="DZ465" s="21"/>
      <c r="EA465" s="21"/>
      <c r="EB465" s="21"/>
      <c r="EC465" s="21"/>
      <c r="ED465" s="21"/>
      <c r="EE465" s="21"/>
      <c r="EF465" s="21"/>
      <c r="EG465" s="21"/>
      <c r="EH465" s="21"/>
      <c r="EI465" s="21"/>
      <c r="EJ465" s="21"/>
      <c r="EK465" s="21"/>
      <c r="EL465" s="21"/>
      <c r="EM465" s="21"/>
      <c r="EN465" s="21"/>
      <c r="EO465" s="21"/>
      <c r="EP465" s="21"/>
      <c r="EQ465" s="21"/>
      <c r="ER465" s="21"/>
      <c r="ES465" s="21"/>
      <c r="ET465" s="21"/>
      <c r="EU465" s="21"/>
      <c r="EV465" s="21"/>
      <c r="EW465" s="21"/>
      <c r="EX465" s="21"/>
      <c r="EY465" s="21"/>
      <c r="EZ465" s="21"/>
      <c r="FA465" s="21"/>
      <c r="FB465" s="21"/>
      <c r="FC465" s="21"/>
      <c r="FD465" s="21"/>
      <c r="FE465" s="21"/>
      <c r="FF465" s="21"/>
      <c r="FG465" s="21"/>
      <c r="FH465" s="21"/>
      <c r="FI465" s="21"/>
      <c r="FJ465" s="21"/>
      <c r="FK465" s="21"/>
      <c r="FL465" s="21"/>
      <c r="FM465" s="21"/>
      <c r="FN465" s="21"/>
      <c r="FO465" s="21"/>
      <c r="FP465" s="21"/>
      <c r="FQ465" s="21"/>
      <c r="FR465" s="21"/>
      <c r="FS465" s="21"/>
      <c r="FT465" s="21"/>
      <c r="FU465" s="21"/>
      <c r="FV465" s="21"/>
      <c r="FW465" s="21"/>
      <c r="FX465" s="21"/>
      <c r="FY465" s="21"/>
      <c r="FZ465" s="21"/>
      <c r="GA465" s="21"/>
      <c r="GB465" s="21"/>
      <c r="GC465" s="21"/>
      <c r="GD465" s="21"/>
      <c r="GE465" s="21"/>
      <c r="GF465" s="21"/>
      <c r="GG465" s="21"/>
      <c r="GH465" s="21"/>
      <c r="GI465" s="21"/>
      <c r="GJ465" s="21"/>
      <c r="GK465" s="21"/>
      <c r="GL465" s="21"/>
      <c r="GM465" s="21"/>
      <c r="GN465" s="21"/>
      <c r="GO465" s="21"/>
      <c r="GP465" s="21"/>
      <c r="GQ465" s="21"/>
      <c r="GR465" s="21"/>
      <c r="GS465" s="21"/>
      <c r="GT465" s="21"/>
      <c r="GU465" s="21"/>
      <c r="GV465" s="21"/>
      <c r="GW465" s="21"/>
      <c r="GX465" s="21"/>
      <c r="GY465" s="21"/>
      <c r="GZ465" s="21"/>
      <c r="HA465" s="21"/>
      <c r="HB465" s="21"/>
    </row>
    <row r="466" spans="1:210"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c r="DB466" s="21"/>
      <c r="DC466" s="21"/>
      <c r="DD466" s="21"/>
      <c r="DE466" s="21"/>
      <c r="DF466" s="21"/>
      <c r="DG466" s="21"/>
      <c r="DH466" s="21"/>
      <c r="DI466" s="21"/>
      <c r="DJ466" s="21"/>
      <c r="DK466" s="21"/>
      <c r="DL466" s="21"/>
      <c r="DM466" s="21"/>
      <c r="DN466" s="21"/>
      <c r="DO466" s="21"/>
      <c r="DP466" s="21"/>
      <c r="DQ466" s="21"/>
      <c r="DR466" s="21"/>
      <c r="DS466" s="21"/>
      <c r="DT466" s="21"/>
      <c r="DU466" s="21"/>
      <c r="DV466" s="21"/>
      <c r="DW466" s="21"/>
      <c r="DX466" s="21"/>
      <c r="DY466" s="21"/>
      <c r="DZ466" s="21"/>
      <c r="EA466" s="21"/>
      <c r="EB466" s="21"/>
      <c r="EC466" s="21"/>
      <c r="ED466" s="21"/>
      <c r="EE466" s="21"/>
      <c r="EF466" s="21"/>
      <c r="EG466" s="21"/>
      <c r="EH466" s="21"/>
      <c r="EI466" s="21"/>
      <c r="EJ466" s="21"/>
      <c r="EK466" s="21"/>
      <c r="EL466" s="21"/>
      <c r="EM466" s="21"/>
      <c r="EN466" s="21"/>
      <c r="EO466" s="21"/>
      <c r="EP466" s="21"/>
      <c r="EQ466" s="21"/>
      <c r="ER466" s="21"/>
      <c r="ES466" s="21"/>
      <c r="ET466" s="21"/>
      <c r="EU466" s="21"/>
      <c r="EV466" s="21"/>
      <c r="EW466" s="21"/>
      <c r="EX466" s="21"/>
      <c r="EY466" s="21"/>
      <c r="EZ466" s="21"/>
      <c r="FA466" s="21"/>
      <c r="FB466" s="21"/>
      <c r="FC466" s="21"/>
      <c r="FD466" s="21"/>
      <c r="FE466" s="21"/>
      <c r="FF466" s="21"/>
      <c r="FG466" s="21"/>
      <c r="FH466" s="21"/>
      <c r="FI466" s="21"/>
      <c r="FJ466" s="21"/>
      <c r="FK466" s="21"/>
      <c r="FL466" s="21"/>
      <c r="FM466" s="21"/>
      <c r="FN466" s="21"/>
      <c r="FO466" s="21"/>
      <c r="FP466" s="21"/>
      <c r="FQ466" s="21"/>
      <c r="FR466" s="21"/>
      <c r="FS466" s="21"/>
      <c r="FT466" s="21"/>
      <c r="FU466" s="21"/>
      <c r="FV466" s="21"/>
      <c r="FW466" s="21"/>
      <c r="FX466" s="21"/>
      <c r="FY466" s="21"/>
      <c r="FZ466" s="21"/>
      <c r="GA466" s="21"/>
      <c r="GB466" s="21"/>
      <c r="GC466" s="21"/>
      <c r="GD466" s="21"/>
      <c r="GE466" s="21"/>
      <c r="GF466" s="21"/>
      <c r="GG466" s="21"/>
      <c r="GH466" s="21"/>
      <c r="GI466" s="21"/>
      <c r="GJ466" s="21"/>
      <c r="GK466" s="21"/>
      <c r="GL466" s="21"/>
      <c r="GM466" s="21"/>
      <c r="GN466" s="21"/>
      <c r="GO466" s="21"/>
      <c r="GP466" s="21"/>
      <c r="GQ466" s="21"/>
      <c r="GR466" s="21"/>
      <c r="GS466" s="21"/>
      <c r="GT466" s="21"/>
      <c r="GU466" s="21"/>
      <c r="GV466" s="21"/>
      <c r="GW466" s="21"/>
      <c r="GX466" s="21"/>
      <c r="GY466" s="21"/>
      <c r="GZ466" s="21"/>
      <c r="HA466" s="21"/>
      <c r="HB466" s="21"/>
    </row>
    <row r="467" spans="1:210"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21"/>
      <c r="CH467" s="21"/>
      <c r="CI467" s="21"/>
      <c r="CJ467" s="21"/>
      <c r="CK467" s="21"/>
      <c r="CL467" s="21"/>
      <c r="CM467" s="21"/>
      <c r="CN467" s="21"/>
      <c r="CO467" s="21"/>
      <c r="CP467" s="21"/>
      <c r="CQ467" s="21"/>
      <c r="CR467" s="21"/>
      <c r="CS467" s="21"/>
      <c r="CT467" s="21"/>
      <c r="CU467" s="21"/>
      <c r="CV467" s="21"/>
      <c r="CW467" s="21"/>
      <c r="CX467" s="21"/>
      <c r="CY467" s="21"/>
      <c r="CZ467" s="21"/>
      <c r="DA467" s="21"/>
      <c r="DB467" s="21"/>
      <c r="DC467" s="21"/>
      <c r="DD467" s="21"/>
      <c r="DE467" s="21"/>
      <c r="DF467" s="21"/>
      <c r="DG467" s="21"/>
      <c r="DH467" s="21"/>
      <c r="DI467" s="21"/>
      <c r="DJ467" s="21"/>
      <c r="DK467" s="21"/>
      <c r="DL467" s="21"/>
      <c r="DM467" s="21"/>
      <c r="DN467" s="21"/>
      <c r="DO467" s="21"/>
      <c r="DP467" s="21"/>
      <c r="DQ467" s="21"/>
      <c r="DR467" s="21"/>
      <c r="DS467" s="21"/>
      <c r="DT467" s="21"/>
      <c r="DU467" s="21"/>
      <c r="DV467" s="21"/>
      <c r="DW467" s="21"/>
      <c r="DX467" s="21"/>
      <c r="DY467" s="21"/>
      <c r="DZ467" s="21"/>
      <c r="EA467" s="21"/>
      <c r="EB467" s="21"/>
      <c r="EC467" s="21"/>
      <c r="ED467" s="21"/>
      <c r="EE467" s="21"/>
      <c r="EF467" s="21"/>
      <c r="EG467" s="21"/>
      <c r="EH467" s="21"/>
      <c r="EI467" s="21"/>
      <c r="EJ467" s="21"/>
      <c r="EK467" s="21"/>
      <c r="EL467" s="21"/>
      <c r="EM467" s="21"/>
      <c r="EN467" s="21"/>
      <c r="EO467" s="21"/>
      <c r="EP467" s="21"/>
      <c r="EQ467" s="21"/>
      <c r="ER467" s="21"/>
      <c r="ES467" s="21"/>
      <c r="ET467" s="21"/>
      <c r="EU467" s="21"/>
      <c r="EV467" s="21"/>
      <c r="EW467" s="21"/>
      <c r="EX467" s="21"/>
      <c r="EY467" s="21"/>
      <c r="EZ467" s="21"/>
      <c r="FA467" s="21"/>
      <c r="FB467" s="21"/>
      <c r="FC467" s="21"/>
      <c r="FD467" s="21"/>
      <c r="FE467" s="21"/>
      <c r="FF467" s="21"/>
      <c r="FG467" s="21"/>
      <c r="FH467" s="21"/>
      <c r="FI467" s="21"/>
      <c r="FJ467" s="21"/>
      <c r="FK467" s="21"/>
      <c r="FL467" s="21"/>
      <c r="FM467" s="21"/>
      <c r="FN467" s="21"/>
      <c r="FO467" s="21"/>
      <c r="FP467" s="21"/>
      <c r="FQ467" s="21"/>
      <c r="FR467" s="21"/>
      <c r="FS467" s="21"/>
      <c r="FT467" s="21"/>
      <c r="FU467" s="21"/>
      <c r="FV467" s="21"/>
      <c r="FW467" s="21"/>
      <c r="FX467" s="21"/>
      <c r="FY467" s="21"/>
      <c r="FZ467" s="21"/>
      <c r="GA467" s="21"/>
      <c r="GB467" s="21"/>
      <c r="GC467" s="21"/>
      <c r="GD467" s="21"/>
      <c r="GE467" s="21"/>
      <c r="GF467" s="21"/>
      <c r="GG467" s="21"/>
      <c r="GH467" s="21"/>
      <c r="GI467" s="21"/>
      <c r="GJ467" s="21"/>
      <c r="GK467" s="21"/>
      <c r="GL467" s="21"/>
      <c r="GM467" s="21"/>
      <c r="GN467" s="21"/>
      <c r="GO467" s="21"/>
      <c r="GP467" s="21"/>
      <c r="GQ467" s="21"/>
      <c r="GR467" s="21"/>
      <c r="GS467" s="21"/>
      <c r="GT467" s="21"/>
      <c r="GU467" s="21"/>
      <c r="GV467" s="21"/>
      <c r="GW467" s="21"/>
      <c r="GX467" s="21"/>
      <c r="GY467" s="21"/>
      <c r="GZ467" s="21"/>
      <c r="HA467" s="21"/>
      <c r="HB467" s="21"/>
    </row>
    <row r="468" spans="1:210"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21"/>
      <c r="CH468" s="21"/>
      <c r="CI468" s="21"/>
      <c r="CJ468" s="21"/>
      <c r="CK468" s="21"/>
      <c r="CL468" s="21"/>
      <c r="CM468" s="21"/>
      <c r="CN468" s="21"/>
      <c r="CO468" s="21"/>
      <c r="CP468" s="21"/>
      <c r="CQ468" s="21"/>
      <c r="CR468" s="21"/>
      <c r="CS468" s="21"/>
      <c r="CT468" s="21"/>
      <c r="CU468" s="21"/>
      <c r="CV468" s="21"/>
      <c r="CW468" s="21"/>
      <c r="CX468" s="21"/>
      <c r="CY468" s="21"/>
      <c r="CZ468" s="21"/>
      <c r="DA468" s="21"/>
      <c r="DB468" s="21"/>
      <c r="DC468" s="21"/>
      <c r="DD468" s="21"/>
      <c r="DE468" s="21"/>
      <c r="DF468" s="21"/>
      <c r="DG468" s="21"/>
      <c r="DH468" s="21"/>
      <c r="DI468" s="21"/>
      <c r="DJ468" s="21"/>
      <c r="DK468" s="21"/>
      <c r="DL468" s="21"/>
      <c r="DM468" s="21"/>
      <c r="DN468" s="21"/>
      <c r="DO468" s="21"/>
      <c r="DP468" s="21"/>
      <c r="DQ468" s="21"/>
      <c r="DR468" s="21"/>
      <c r="DS468" s="21"/>
      <c r="DT468" s="21"/>
      <c r="DU468" s="21"/>
      <c r="DV468" s="21"/>
      <c r="DW468" s="21"/>
      <c r="DX468" s="21"/>
      <c r="DY468" s="21"/>
      <c r="DZ468" s="21"/>
      <c r="EA468" s="21"/>
      <c r="EB468" s="21"/>
      <c r="EC468" s="21"/>
      <c r="ED468" s="21"/>
      <c r="EE468" s="21"/>
      <c r="EF468" s="21"/>
      <c r="EG468" s="21"/>
      <c r="EH468" s="21"/>
      <c r="EI468" s="21"/>
      <c r="EJ468" s="21"/>
      <c r="EK468" s="21"/>
      <c r="EL468" s="21"/>
      <c r="EM468" s="21"/>
      <c r="EN468" s="21"/>
      <c r="EO468" s="21"/>
      <c r="EP468" s="21"/>
      <c r="EQ468" s="21"/>
      <c r="ER468" s="21"/>
      <c r="ES468" s="21"/>
      <c r="ET468" s="21"/>
      <c r="EU468" s="21"/>
      <c r="EV468" s="21"/>
      <c r="EW468" s="21"/>
      <c r="EX468" s="21"/>
      <c r="EY468" s="21"/>
      <c r="EZ468" s="21"/>
      <c r="FA468" s="21"/>
      <c r="FB468" s="21"/>
      <c r="FC468" s="21"/>
      <c r="FD468" s="21"/>
      <c r="FE468" s="21"/>
      <c r="FF468" s="21"/>
      <c r="FG468" s="21"/>
      <c r="FH468" s="21"/>
      <c r="FI468" s="21"/>
      <c r="FJ468" s="21"/>
      <c r="FK468" s="21"/>
      <c r="FL468" s="21"/>
      <c r="FM468" s="21"/>
      <c r="FN468" s="21"/>
      <c r="FO468" s="21"/>
      <c r="FP468" s="21"/>
      <c r="FQ468" s="21"/>
      <c r="FR468" s="21"/>
      <c r="FS468" s="21"/>
      <c r="FT468" s="21"/>
      <c r="FU468" s="21"/>
      <c r="FV468" s="21"/>
      <c r="FW468" s="21"/>
      <c r="FX468" s="21"/>
      <c r="FY468" s="21"/>
      <c r="FZ468" s="21"/>
      <c r="GA468" s="21"/>
      <c r="GB468" s="21"/>
      <c r="GC468" s="21"/>
      <c r="GD468" s="21"/>
      <c r="GE468" s="21"/>
      <c r="GF468" s="21"/>
      <c r="GG468" s="21"/>
      <c r="GH468" s="21"/>
      <c r="GI468" s="21"/>
      <c r="GJ468" s="21"/>
      <c r="GK468" s="21"/>
      <c r="GL468" s="21"/>
      <c r="GM468" s="21"/>
      <c r="GN468" s="21"/>
      <c r="GO468" s="21"/>
      <c r="GP468" s="21"/>
      <c r="GQ468" s="21"/>
      <c r="GR468" s="21"/>
      <c r="GS468" s="21"/>
      <c r="GT468" s="21"/>
      <c r="GU468" s="21"/>
      <c r="GV468" s="21"/>
      <c r="GW468" s="21"/>
      <c r="GX468" s="21"/>
      <c r="GY468" s="21"/>
      <c r="GZ468" s="21"/>
      <c r="HA468" s="21"/>
      <c r="HB468" s="21"/>
    </row>
    <row r="469" spans="1:210"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c r="DB469" s="21"/>
      <c r="DC469" s="21"/>
      <c r="DD469" s="21"/>
      <c r="DE469" s="21"/>
      <c r="DF469" s="21"/>
      <c r="DG469" s="21"/>
      <c r="DH469" s="21"/>
      <c r="DI469" s="21"/>
      <c r="DJ469" s="21"/>
      <c r="DK469" s="21"/>
      <c r="DL469" s="21"/>
      <c r="DM469" s="21"/>
      <c r="DN469" s="21"/>
      <c r="DO469" s="21"/>
      <c r="DP469" s="21"/>
      <c r="DQ469" s="21"/>
      <c r="DR469" s="21"/>
      <c r="DS469" s="21"/>
      <c r="DT469" s="21"/>
      <c r="DU469" s="21"/>
      <c r="DV469" s="21"/>
      <c r="DW469" s="21"/>
      <c r="DX469" s="21"/>
      <c r="DY469" s="21"/>
      <c r="DZ469" s="21"/>
      <c r="EA469" s="21"/>
      <c r="EB469" s="21"/>
      <c r="EC469" s="21"/>
      <c r="ED469" s="21"/>
      <c r="EE469" s="21"/>
      <c r="EF469" s="21"/>
      <c r="EG469" s="21"/>
      <c r="EH469" s="21"/>
      <c r="EI469" s="21"/>
      <c r="EJ469" s="21"/>
      <c r="EK469" s="21"/>
      <c r="EL469" s="21"/>
      <c r="EM469" s="21"/>
      <c r="EN469" s="21"/>
      <c r="EO469" s="21"/>
      <c r="EP469" s="21"/>
      <c r="EQ469" s="21"/>
      <c r="ER469" s="21"/>
      <c r="ES469" s="21"/>
      <c r="ET469" s="21"/>
      <c r="EU469" s="21"/>
      <c r="EV469" s="21"/>
      <c r="EW469" s="21"/>
      <c r="EX469" s="21"/>
      <c r="EY469" s="21"/>
      <c r="EZ469" s="21"/>
      <c r="FA469" s="21"/>
      <c r="FB469" s="21"/>
      <c r="FC469" s="21"/>
      <c r="FD469" s="21"/>
      <c r="FE469" s="21"/>
      <c r="FF469" s="21"/>
      <c r="FG469" s="21"/>
      <c r="FH469" s="21"/>
      <c r="FI469" s="21"/>
      <c r="FJ469" s="21"/>
      <c r="FK469" s="21"/>
      <c r="FL469" s="21"/>
      <c r="FM469" s="21"/>
      <c r="FN469" s="21"/>
      <c r="FO469" s="21"/>
      <c r="FP469" s="21"/>
      <c r="FQ469" s="21"/>
      <c r="FR469" s="21"/>
      <c r="FS469" s="21"/>
      <c r="FT469" s="21"/>
      <c r="FU469" s="21"/>
      <c r="FV469" s="21"/>
      <c r="FW469" s="21"/>
      <c r="FX469" s="21"/>
      <c r="FY469" s="21"/>
      <c r="FZ469" s="21"/>
      <c r="GA469" s="21"/>
      <c r="GB469" s="21"/>
      <c r="GC469" s="21"/>
      <c r="GD469" s="21"/>
      <c r="GE469" s="21"/>
      <c r="GF469" s="21"/>
      <c r="GG469" s="21"/>
      <c r="GH469" s="21"/>
      <c r="GI469" s="21"/>
      <c r="GJ469" s="21"/>
      <c r="GK469" s="21"/>
      <c r="GL469" s="21"/>
      <c r="GM469" s="21"/>
      <c r="GN469" s="21"/>
      <c r="GO469" s="21"/>
      <c r="GP469" s="21"/>
      <c r="GQ469" s="21"/>
      <c r="GR469" s="21"/>
      <c r="GS469" s="21"/>
      <c r="GT469" s="21"/>
      <c r="GU469" s="21"/>
      <c r="GV469" s="21"/>
      <c r="GW469" s="21"/>
      <c r="GX469" s="21"/>
      <c r="GY469" s="21"/>
      <c r="GZ469" s="21"/>
      <c r="HA469" s="21"/>
      <c r="HB469" s="21"/>
    </row>
    <row r="470" spans="1:210"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c r="DB470" s="21"/>
      <c r="DC470" s="21"/>
      <c r="DD470" s="21"/>
      <c r="DE470" s="21"/>
      <c r="DF470" s="21"/>
      <c r="DG470" s="21"/>
      <c r="DH470" s="21"/>
      <c r="DI470" s="21"/>
      <c r="DJ470" s="21"/>
      <c r="DK470" s="21"/>
      <c r="DL470" s="21"/>
      <c r="DM470" s="21"/>
      <c r="DN470" s="21"/>
      <c r="DO470" s="21"/>
      <c r="DP470" s="21"/>
      <c r="DQ470" s="21"/>
      <c r="DR470" s="21"/>
      <c r="DS470" s="21"/>
      <c r="DT470" s="21"/>
      <c r="DU470" s="21"/>
      <c r="DV470" s="21"/>
      <c r="DW470" s="21"/>
      <c r="DX470" s="21"/>
      <c r="DY470" s="21"/>
      <c r="DZ470" s="21"/>
      <c r="EA470" s="21"/>
      <c r="EB470" s="21"/>
      <c r="EC470" s="21"/>
      <c r="ED470" s="21"/>
      <c r="EE470" s="21"/>
      <c r="EF470" s="21"/>
      <c r="EG470" s="21"/>
      <c r="EH470" s="21"/>
      <c r="EI470" s="21"/>
      <c r="EJ470" s="21"/>
      <c r="EK470" s="21"/>
      <c r="EL470" s="21"/>
      <c r="EM470" s="21"/>
      <c r="EN470" s="21"/>
      <c r="EO470" s="21"/>
      <c r="EP470" s="21"/>
      <c r="EQ470" s="21"/>
      <c r="ER470" s="21"/>
      <c r="ES470" s="21"/>
      <c r="ET470" s="21"/>
      <c r="EU470" s="21"/>
      <c r="EV470" s="21"/>
      <c r="EW470" s="21"/>
      <c r="EX470" s="21"/>
      <c r="EY470" s="21"/>
      <c r="EZ470" s="21"/>
      <c r="FA470" s="21"/>
      <c r="FB470" s="21"/>
      <c r="FC470" s="21"/>
      <c r="FD470" s="21"/>
      <c r="FE470" s="21"/>
      <c r="FF470" s="21"/>
      <c r="FG470" s="21"/>
      <c r="FH470" s="21"/>
      <c r="FI470" s="21"/>
      <c r="FJ470" s="21"/>
      <c r="FK470" s="21"/>
      <c r="FL470" s="21"/>
      <c r="FM470" s="21"/>
      <c r="FN470" s="21"/>
      <c r="FO470" s="21"/>
      <c r="FP470" s="21"/>
      <c r="FQ470" s="21"/>
      <c r="FR470" s="21"/>
      <c r="FS470" s="21"/>
      <c r="FT470" s="21"/>
      <c r="FU470" s="21"/>
      <c r="FV470" s="21"/>
      <c r="FW470" s="21"/>
      <c r="FX470" s="21"/>
      <c r="FY470" s="21"/>
      <c r="FZ470" s="21"/>
      <c r="GA470" s="21"/>
      <c r="GB470" s="21"/>
      <c r="GC470" s="21"/>
      <c r="GD470" s="21"/>
      <c r="GE470" s="21"/>
      <c r="GF470" s="21"/>
      <c r="GG470" s="21"/>
      <c r="GH470" s="21"/>
      <c r="GI470" s="21"/>
      <c r="GJ470" s="21"/>
      <c r="GK470" s="21"/>
      <c r="GL470" s="21"/>
      <c r="GM470" s="21"/>
      <c r="GN470" s="21"/>
      <c r="GO470" s="21"/>
      <c r="GP470" s="21"/>
      <c r="GQ470" s="21"/>
      <c r="GR470" s="21"/>
      <c r="GS470" s="21"/>
      <c r="GT470" s="21"/>
      <c r="GU470" s="21"/>
      <c r="GV470" s="21"/>
      <c r="GW470" s="21"/>
      <c r="GX470" s="21"/>
      <c r="GY470" s="21"/>
      <c r="GZ470" s="21"/>
      <c r="HA470" s="21"/>
      <c r="HB470" s="21"/>
    </row>
    <row r="471" spans="1:210"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21"/>
      <c r="CH471" s="21"/>
      <c r="CI471" s="21"/>
      <c r="CJ471" s="21"/>
      <c r="CK471" s="21"/>
      <c r="CL471" s="21"/>
      <c r="CM471" s="21"/>
      <c r="CN471" s="21"/>
      <c r="CO471" s="21"/>
      <c r="CP471" s="21"/>
      <c r="CQ471" s="21"/>
      <c r="CR471" s="21"/>
      <c r="CS471" s="21"/>
      <c r="CT471" s="21"/>
      <c r="CU471" s="21"/>
      <c r="CV471" s="21"/>
      <c r="CW471" s="21"/>
      <c r="CX471" s="21"/>
      <c r="CY471" s="21"/>
      <c r="CZ471" s="21"/>
      <c r="DA471" s="21"/>
      <c r="DB471" s="21"/>
      <c r="DC471" s="21"/>
      <c r="DD471" s="21"/>
      <c r="DE471" s="21"/>
      <c r="DF471" s="21"/>
      <c r="DG471" s="21"/>
      <c r="DH471" s="21"/>
      <c r="DI471" s="21"/>
      <c r="DJ471" s="21"/>
      <c r="DK471" s="21"/>
      <c r="DL471" s="21"/>
      <c r="DM471" s="21"/>
      <c r="DN471" s="21"/>
      <c r="DO471" s="21"/>
      <c r="DP471" s="21"/>
      <c r="DQ471" s="21"/>
      <c r="DR471" s="21"/>
      <c r="DS471" s="21"/>
      <c r="DT471" s="21"/>
      <c r="DU471" s="21"/>
      <c r="DV471" s="21"/>
      <c r="DW471" s="21"/>
      <c r="DX471" s="21"/>
      <c r="DY471" s="21"/>
      <c r="DZ471" s="21"/>
      <c r="EA471" s="21"/>
      <c r="EB471" s="21"/>
      <c r="EC471" s="21"/>
      <c r="ED471" s="21"/>
      <c r="EE471" s="21"/>
      <c r="EF471" s="21"/>
      <c r="EG471" s="21"/>
      <c r="EH471" s="21"/>
      <c r="EI471" s="21"/>
      <c r="EJ471" s="21"/>
      <c r="EK471" s="21"/>
      <c r="EL471" s="21"/>
      <c r="EM471" s="21"/>
      <c r="EN471" s="21"/>
      <c r="EO471" s="21"/>
      <c r="EP471" s="21"/>
      <c r="EQ471" s="21"/>
      <c r="ER471" s="21"/>
      <c r="ES471" s="21"/>
      <c r="ET471" s="21"/>
      <c r="EU471" s="21"/>
      <c r="EV471" s="21"/>
      <c r="EW471" s="21"/>
      <c r="EX471" s="21"/>
      <c r="EY471" s="21"/>
      <c r="EZ471" s="21"/>
      <c r="FA471" s="21"/>
      <c r="FB471" s="21"/>
      <c r="FC471" s="21"/>
      <c r="FD471" s="21"/>
      <c r="FE471" s="21"/>
      <c r="FF471" s="21"/>
      <c r="FG471" s="21"/>
      <c r="FH471" s="21"/>
      <c r="FI471" s="21"/>
      <c r="FJ471" s="21"/>
      <c r="FK471" s="21"/>
      <c r="FL471" s="21"/>
      <c r="FM471" s="21"/>
      <c r="FN471" s="21"/>
      <c r="FO471" s="21"/>
      <c r="FP471" s="21"/>
      <c r="FQ471" s="21"/>
      <c r="FR471" s="21"/>
      <c r="FS471" s="21"/>
      <c r="FT471" s="21"/>
      <c r="FU471" s="21"/>
      <c r="FV471" s="21"/>
      <c r="FW471" s="21"/>
      <c r="FX471" s="21"/>
      <c r="FY471" s="21"/>
      <c r="FZ471" s="21"/>
      <c r="GA471" s="21"/>
      <c r="GB471" s="21"/>
      <c r="GC471" s="21"/>
      <c r="GD471" s="21"/>
      <c r="GE471" s="21"/>
      <c r="GF471" s="21"/>
      <c r="GG471" s="21"/>
      <c r="GH471" s="21"/>
      <c r="GI471" s="21"/>
      <c r="GJ471" s="21"/>
      <c r="GK471" s="21"/>
      <c r="GL471" s="21"/>
      <c r="GM471" s="21"/>
      <c r="GN471" s="21"/>
      <c r="GO471" s="21"/>
      <c r="GP471" s="21"/>
      <c r="GQ471" s="21"/>
      <c r="GR471" s="21"/>
      <c r="GS471" s="21"/>
      <c r="GT471" s="21"/>
      <c r="GU471" s="21"/>
      <c r="GV471" s="21"/>
      <c r="GW471" s="21"/>
      <c r="GX471" s="21"/>
      <c r="GY471" s="21"/>
      <c r="GZ471" s="21"/>
      <c r="HA471" s="21"/>
      <c r="HB471" s="21"/>
    </row>
    <row r="472" spans="1:210"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21"/>
      <c r="CH472" s="21"/>
      <c r="CI472" s="21"/>
      <c r="CJ472" s="21"/>
      <c r="CK472" s="21"/>
      <c r="CL472" s="21"/>
      <c r="CM472" s="21"/>
      <c r="CN472" s="21"/>
      <c r="CO472" s="21"/>
      <c r="CP472" s="21"/>
      <c r="CQ472" s="21"/>
      <c r="CR472" s="21"/>
      <c r="CS472" s="21"/>
      <c r="CT472" s="21"/>
      <c r="CU472" s="21"/>
      <c r="CV472" s="21"/>
      <c r="CW472" s="21"/>
      <c r="CX472" s="21"/>
      <c r="CY472" s="21"/>
      <c r="CZ472" s="21"/>
      <c r="DA472" s="21"/>
      <c r="DB472" s="21"/>
      <c r="DC472" s="21"/>
      <c r="DD472" s="21"/>
      <c r="DE472" s="21"/>
      <c r="DF472" s="21"/>
      <c r="DG472" s="21"/>
      <c r="DH472" s="21"/>
      <c r="DI472" s="21"/>
      <c r="DJ472" s="21"/>
      <c r="DK472" s="21"/>
      <c r="DL472" s="21"/>
      <c r="DM472" s="21"/>
      <c r="DN472" s="21"/>
      <c r="DO472" s="21"/>
      <c r="DP472" s="21"/>
      <c r="DQ472" s="21"/>
      <c r="DR472" s="21"/>
      <c r="DS472" s="21"/>
      <c r="DT472" s="21"/>
      <c r="DU472" s="21"/>
      <c r="DV472" s="21"/>
      <c r="DW472" s="21"/>
      <c r="DX472" s="21"/>
      <c r="DY472" s="21"/>
      <c r="DZ472" s="21"/>
      <c r="EA472" s="21"/>
      <c r="EB472" s="21"/>
      <c r="EC472" s="21"/>
      <c r="ED472" s="21"/>
      <c r="EE472" s="21"/>
      <c r="EF472" s="21"/>
      <c r="EG472" s="21"/>
      <c r="EH472" s="21"/>
      <c r="EI472" s="21"/>
      <c r="EJ472" s="21"/>
      <c r="EK472" s="21"/>
      <c r="EL472" s="21"/>
      <c r="EM472" s="21"/>
      <c r="EN472" s="21"/>
      <c r="EO472" s="21"/>
      <c r="EP472" s="21"/>
      <c r="EQ472" s="21"/>
      <c r="ER472" s="21"/>
      <c r="ES472" s="21"/>
      <c r="ET472" s="21"/>
      <c r="EU472" s="21"/>
      <c r="EV472" s="21"/>
      <c r="EW472" s="21"/>
      <c r="EX472" s="21"/>
      <c r="EY472" s="21"/>
      <c r="EZ472" s="21"/>
      <c r="FA472" s="21"/>
      <c r="FB472" s="21"/>
      <c r="FC472" s="21"/>
      <c r="FD472" s="21"/>
      <c r="FE472" s="21"/>
      <c r="FF472" s="21"/>
      <c r="FG472" s="21"/>
      <c r="FH472" s="21"/>
      <c r="FI472" s="21"/>
      <c r="FJ472" s="21"/>
      <c r="FK472" s="21"/>
      <c r="FL472" s="21"/>
      <c r="FM472" s="21"/>
      <c r="FN472" s="21"/>
      <c r="FO472" s="21"/>
      <c r="FP472" s="21"/>
      <c r="FQ472" s="21"/>
      <c r="FR472" s="21"/>
      <c r="FS472" s="21"/>
      <c r="FT472" s="21"/>
      <c r="FU472" s="21"/>
      <c r="FV472" s="21"/>
      <c r="FW472" s="21"/>
      <c r="FX472" s="21"/>
      <c r="FY472" s="21"/>
      <c r="FZ472" s="21"/>
      <c r="GA472" s="21"/>
      <c r="GB472" s="21"/>
      <c r="GC472" s="21"/>
      <c r="GD472" s="21"/>
      <c r="GE472" s="21"/>
      <c r="GF472" s="21"/>
      <c r="GG472" s="21"/>
      <c r="GH472" s="21"/>
      <c r="GI472" s="21"/>
      <c r="GJ472" s="21"/>
      <c r="GK472" s="21"/>
      <c r="GL472" s="21"/>
      <c r="GM472" s="21"/>
      <c r="GN472" s="21"/>
      <c r="GO472" s="21"/>
      <c r="GP472" s="21"/>
      <c r="GQ472" s="21"/>
      <c r="GR472" s="21"/>
      <c r="GS472" s="21"/>
      <c r="GT472" s="21"/>
      <c r="GU472" s="21"/>
      <c r="GV472" s="21"/>
      <c r="GW472" s="21"/>
      <c r="GX472" s="21"/>
      <c r="GY472" s="21"/>
      <c r="GZ472" s="21"/>
      <c r="HA472" s="21"/>
      <c r="HB472" s="21"/>
    </row>
    <row r="473" spans="1:210"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c r="DB473" s="21"/>
      <c r="DC473" s="21"/>
      <c r="DD473" s="21"/>
      <c r="DE473" s="21"/>
      <c r="DF473" s="21"/>
      <c r="DG473" s="21"/>
      <c r="DH473" s="21"/>
      <c r="DI473" s="21"/>
      <c r="DJ473" s="21"/>
      <c r="DK473" s="21"/>
      <c r="DL473" s="21"/>
      <c r="DM473" s="21"/>
      <c r="DN473" s="21"/>
      <c r="DO473" s="21"/>
      <c r="DP473" s="21"/>
      <c r="DQ473" s="21"/>
      <c r="DR473" s="21"/>
      <c r="DS473" s="21"/>
      <c r="DT473" s="21"/>
      <c r="DU473" s="21"/>
      <c r="DV473" s="21"/>
      <c r="DW473" s="21"/>
      <c r="DX473" s="21"/>
      <c r="DY473" s="21"/>
      <c r="DZ473" s="21"/>
      <c r="EA473" s="21"/>
      <c r="EB473" s="21"/>
      <c r="EC473" s="21"/>
      <c r="ED473" s="21"/>
      <c r="EE473" s="21"/>
      <c r="EF473" s="21"/>
      <c r="EG473" s="21"/>
      <c r="EH473" s="21"/>
      <c r="EI473" s="21"/>
      <c r="EJ473" s="21"/>
      <c r="EK473" s="21"/>
      <c r="EL473" s="21"/>
      <c r="EM473" s="21"/>
      <c r="EN473" s="21"/>
      <c r="EO473" s="21"/>
      <c r="EP473" s="21"/>
      <c r="EQ473" s="21"/>
      <c r="ER473" s="21"/>
      <c r="ES473" s="21"/>
      <c r="ET473" s="21"/>
      <c r="EU473" s="21"/>
      <c r="EV473" s="21"/>
      <c r="EW473" s="21"/>
      <c r="EX473" s="21"/>
      <c r="EY473" s="21"/>
      <c r="EZ473" s="21"/>
      <c r="FA473" s="21"/>
      <c r="FB473" s="21"/>
      <c r="FC473" s="21"/>
      <c r="FD473" s="21"/>
      <c r="FE473" s="21"/>
      <c r="FF473" s="21"/>
      <c r="FG473" s="21"/>
      <c r="FH473" s="21"/>
      <c r="FI473" s="21"/>
      <c r="FJ473" s="21"/>
      <c r="FK473" s="21"/>
      <c r="FL473" s="21"/>
      <c r="FM473" s="21"/>
      <c r="FN473" s="21"/>
      <c r="FO473" s="21"/>
      <c r="FP473" s="21"/>
      <c r="FQ473" s="21"/>
      <c r="FR473" s="21"/>
      <c r="FS473" s="21"/>
      <c r="FT473" s="21"/>
      <c r="FU473" s="21"/>
      <c r="FV473" s="21"/>
      <c r="FW473" s="21"/>
      <c r="FX473" s="21"/>
      <c r="FY473" s="21"/>
      <c r="FZ473" s="21"/>
      <c r="GA473" s="21"/>
      <c r="GB473" s="21"/>
      <c r="GC473" s="21"/>
      <c r="GD473" s="21"/>
      <c r="GE473" s="21"/>
      <c r="GF473" s="21"/>
      <c r="GG473" s="21"/>
      <c r="GH473" s="21"/>
      <c r="GI473" s="21"/>
      <c r="GJ473" s="21"/>
      <c r="GK473" s="21"/>
      <c r="GL473" s="21"/>
      <c r="GM473" s="21"/>
      <c r="GN473" s="21"/>
      <c r="GO473" s="21"/>
      <c r="GP473" s="21"/>
      <c r="GQ473" s="21"/>
      <c r="GR473" s="21"/>
      <c r="GS473" s="21"/>
      <c r="GT473" s="21"/>
      <c r="GU473" s="21"/>
      <c r="GV473" s="21"/>
      <c r="GW473" s="21"/>
      <c r="GX473" s="21"/>
      <c r="GY473" s="21"/>
      <c r="GZ473" s="21"/>
      <c r="HA473" s="21"/>
      <c r="HB473" s="21"/>
    </row>
    <row r="474" spans="1:210"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21"/>
      <c r="CH474" s="21"/>
      <c r="CI474" s="21"/>
      <c r="CJ474" s="21"/>
      <c r="CK474" s="21"/>
      <c r="CL474" s="21"/>
      <c r="CM474" s="21"/>
      <c r="CN474" s="21"/>
      <c r="CO474" s="21"/>
      <c r="CP474" s="21"/>
      <c r="CQ474" s="21"/>
      <c r="CR474" s="21"/>
      <c r="CS474" s="21"/>
      <c r="CT474" s="21"/>
      <c r="CU474" s="21"/>
      <c r="CV474" s="21"/>
      <c r="CW474" s="21"/>
      <c r="CX474" s="21"/>
      <c r="CY474" s="21"/>
      <c r="CZ474" s="21"/>
      <c r="DA474" s="21"/>
      <c r="DB474" s="21"/>
      <c r="DC474" s="21"/>
      <c r="DD474" s="21"/>
      <c r="DE474" s="21"/>
      <c r="DF474" s="21"/>
      <c r="DG474" s="21"/>
      <c r="DH474" s="21"/>
      <c r="DI474" s="21"/>
      <c r="DJ474" s="21"/>
      <c r="DK474" s="21"/>
      <c r="DL474" s="21"/>
      <c r="DM474" s="21"/>
      <c r="DN474" s="21"/>
      <c r="DO474" s="21"/>
      <c r="DP474" s="21"/>
      <c r="DQ474" s="21"/>
      <c r="DR474" s="21"/>
      <c r="DS474" s="21"/>
      <c r="DT474" s="21"/>
      <c r="DU474" s="21"/>
      <c r="DV474" s="21"/>
      <c r="DW474" s="21"/>
      <c r="DX474" s="21"/>
      <c r="DY474" s="21"/>
      <c r="DZ474" s="21"/>
      <c r="EA474" s="21"/>
      <c r="EB474" s="21"/>
      <c r="EC474" s="21"/>
      <c r="ED474" s="21"/>
      <c r="EE474" s="21"/>
      <c r="EF474" s="21"/>
      <c r="EG474" s="21"/>
      <c r="EH474" s="21"/>
      <c r="EI474" s="21"/>
      <c r="EJ474" s="21"/>
      <c r="EK474" s="21"/>
      <c r="EL474" s="21"/>
      <c r="EM474" s="21"/>
      <c r="EN474" s="21"/>
      <c r="EO474" s="21"/>
      <c r="EP474" s="21"/>
      <c r="EQ474" s="21"/>
      <c r="ER474" s="21"/>
      <c r="ES474" s="21"/>
      <c r="ET474" s="21"/>
      <c r="EU474" s="21"/>
      <c r="EV474" s="21"/>
      <c r="EW474" s="21"/>
      <c r="EX474" s="21"/>
      <c r="EY474" s="21"/>
      <c r="EZ474" s="21"/>
      <c r="FA474" s="21"/>
      <c r="FB474" s="21"/>
      <c r="FC474" s="21"/>
      <c r="FD474" s="21"/>
      <c r="FE474" s="21"/>
      <c r="FF474" s="21"/>
      <c r="FG474" s="21"/>
      <c r="FH474" s="21"/>
      <c r="FI474" s="21"/>
      <c r="FJ474" s="21"/>
      <c r="FK474" s="21"/>
      <c r="FL474" s="21"/>
      <c r="FM474" s="21"/>
      <c r="FN474" s="21"/>
      <c r="FO474" s="21"/>
      <c r="FP474" s="21"/>
      <c r="FQ474" s="21"/>
      <c r="FR474" s="21"/>
      <c r="FS474" s="21"/>
      <c r="FT474" s="21"/>
      <c r="FU474" s="21"/>
      <c r="FV474" s="21"/>
      <c r="FW474" s="21"/>
      <c r="FX474" s="21"/>
      <c r="FY474" s="21"/>
      <c r="FZ474" s="21"/>
      <c r="GA474" s="21"/>
      <c r="GB474" s="21"/>
      <c r="GC474" s="21"/>
      <c r="GD474" s="21"/>
      <c r="GE474" s="21"/>
      <c r="GF474" s="21"/>
      <c r="GG474" s="21"/>
      <c r="GH474" s="21"/>
      <c r="GI474" s="21"/>
      <c r="GJ474" s="21"/>
      <c r="GK474" s="21"/>
      <c r="GL474" s="21"/>
      <c r="GM474" s="21"/>
      <c r="GN474" s="21"/>
      <c r="GO474" s="21"/>
      <c r="GP474" s="21"/>
      <c r="GQ474" s="21"/>
      <c r="GR474" s="21"/>
      <c r="GS474" s="21"/>
      <c r="GT474" s="21"/>
      <c r="GU474" s="21"/>
      <c r="GV474" s="21"/>
      <c r="GW474" s="21"/>
      <c r="GX474" s="21"/>
      <c r="GY474" s="21"/>
      <c r="GZ474" s="21"/>
      <c r="HA474" s="21"/>
      <c r="HB474" s="21"/>
    </row>
    <row r="475" spans="1:210"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c r="DB475" s="21"/>
      <c r="DC475" s="21"/>
      <c r="DD475" s="21"/>
      <c r="DE475" s="21"/>
      <c r="DF475" s="21"/>
      <c r="DG475" s="21"/>
      <c r="DH475" s="21"/>
      <c r="DI475" s="21"/>
      <c r="DJ475" s="21"/>
      <c r="DK475" s="21"/>
      <c r="DL475" s="21"/>
      <c r="DM475" s="21"/>
      <c r="DN475" s="21"/>
      <c r="DO475" s="21"/>
      <c r="DP475" s="21"/>
      <c r="DQ475" s="21"/>
      <c r="DR475" s="21"/>
      <c r="DS475" s="21"/>
      <c r="DT475" s="21"/>
      <c r="DU475" s="21"/>
      <c r="DV475" s="21"/>
      <c r="DW475" s="21"/>
      <c r="DX475" s="21"/>
      <c r="DY475" s="21"/>
      <c r="DZ475" s="21"/>
      <c r="EA475" s="21"/>
      <c r="EB475" s="21"/>
      <c r="EC475" s="21"/>
      <c r="ED475" s="21"/>
      <c r="EE475" s="21"/>
      <c r="EF475" s="21"/>
      <c r="EG475" s="21"/>
      <c r="EH475" s="21"/>
      <c r="EI475" s="21"/>
      <c r="EJ475" s="21"/>
      <c r="EK475" s="21"/>
      <c r="EL475" s="21"/>
      <c r="EM475" s="21"/>
      <c r="EN475" s="21"/>
      <c r="EO475" s="21"/>
      <c r="EP475" s="21"/>
      <c r="EQ475" s="21"/>
      <c r="ER475" s="21"/>
      <c r="ES475" s="21"/>
      <c r="ET475" s="21"/>
      <c r="EU475" s="21"/>
      <c r="EV475" s="21"/>
      <c r="EW475" s="21"/>
      <c r="EX475" s="21"/>
      <c r="EY475" s="21"/>
      <c r="EZ475" s="21"/>
      <c r="FA475" s="21"/>
      <c r="FB475" s="21"/>
      <c r="FC475" s="21"/>
      <c r="FD475" s="21"/>
      <c r="FE475" s="21"/>
      <c r="FF475" s="21"/>
      <c r="FG475" s="21"/>
      <c r="FH475" s="21"/>
      <c r="FI475" s="21"/>
      <c r="FJ475" s="21"/>
      <c r="FK475" s="21"/>
      <c r="FL475" s="21"/>
      <c r="FM475" s="21"/>
      <c r="FN475" s="21"/>
      <c r="FO475" s="21"/>
      <c r="FP475" s="21"/>
      <c r="FQ475" s="21"/>
      <c r="FR475" s="21"/>
      <c r="FS475" s="21"/>
      <c r="FT475" s="21"/>
      <c r="FU475" s="21"/>
      <c r="FV475" s="21"/>
      <c r="FW475" s="21"/>
      <c r="FX475" s="21"/>
      <c r="FY475" s="21"/>
      <c r="FZ475" s="21"/>
      <c r="GA475" s="21"/>
      <c r="GB475" s="21"/>
      <c r="GC475" s="21"/>
      <c r="GD475" s="21"/>
      <c r="GE475" s="21"/>
      <c r="GF475" s="21"/>
      <c r="GG475" s="21"/>
      <c r="GH475" s="21"/>
      <c r="GI475" s="21"/>
      <c r="GJ475" s="21"/>
      <c r="GK475" s="21"/>
      <c r="GL475" s="21"/>
      <c r="GM475" s="21"/>
      <c r="GN475" s="21"/>
      <c r="GO475" s="21"/>
      <c r="GP475" s="21"/>
      <c r="GQ475" s="21"/>
      <c r="GR475" s="21"/>
      <c r="GS475" s="21"/>
      <c r="GT475" s="21"/>
      <c r="GU475" s="21"/>
      <c r="GV475" s="21"/>
      <c r="GW475" s="21"/>
      <c r="GX475" s="21"/>
      <c r="GY475" s="21"/>
      <c r="GZ475" s="21"/>
      <c r="HA475" s="21"/>
      <c r="HB475" s="21"/>
    </row>
    <row r="476" spans="1:210"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c r="DB476" s="21"/>
      <c r="DC476" s="21"/>
      <c r="DD476" s="21"/>
      <c r="DE476" s="21"/>
      <c r="DF476" s="21"/>
      <c r="DG476" s="21"/>
      <c r="DH476" s="21"/>
      <c r="DI476" s="21"/>
      <c r="DJ476" s="21"/>
      <c r="DK476" s="21"/>
      <c r="DL476" s="21"/>
      <c r="DM476" s="21"/>
      <c r="DN476" s="21"/>
      <c r="DO476" s="21"/>
      <c r="DP476" s="21"/>
      <c r="DQ476" s="21"/>
      <c r="DR476" s="21"/>
      <c r="DS476" s="21"/>
      <c r="DT476" s="21"/>
      <c r="DU476" s="21"/>
      <c r="DV476" s="21"/>
      <c r="DW476" s="21"/>
      <c r="DX476" s="21"/>
      <c r="DY476" s="21"/>
      <c r="DZ476" s="21"/>
      <c r="EA476" s="21"/>
      <c r="EB476" s="21"/>
      <c r="EC476" s="21"/>
      <c r="ED476" s="21"/>
      <c r="EE476" s="21"/>
      <c r="EF476" s="21"/>
      <c r="EG476" s="21"/>
      <c r="EH476" s="21"/>
      <c r="EI476" s="21"/>
      <c r="EJ476" s="21"/>
      <c r="EK476" s="21"/>
      <c r="EL476" s="21"/>
      <c r="EM476" s="21"/>
      <c r="EN476" s="21"/>
      <c r="EO476" s="21"/>
      <c r="EP476" s="21"/>
      <c r="EQ476" s="21"/>
      <c r="ER476" s="21"/>
      <c r="ES476" s="21"/>
      <c r="ET476" s="21"/>
      <c r="EU476" s="21"/>
      <c r="EV476" s="21"/>
      <c r="EW476" s="21"/>
      <c r="EX476" s="21"/>
      <c r="EY476" s="21"/>
      <c r="EZ476" s="21"/>
      <c r="FA476" s="21"/>
      <c r="FB476" s="21"/>
      <c r="FC476" s="21"/>
      <c r="FD476" s="21"/>
      <c r="FE476" s="21"/>
      <c r="FF476" s="21"/>
      <c r="FG476" s="21"/>
      <c r="FH476" s="21"/>
      <c r="FI476" s="21"/>
      <c r="FJ476" s="21"/>
      <c r="FK476" s="21"/>
      <c r="FL476" s="21"/>
      <c r="FM476" s="21"/>
      <c r="FN476" s="21"/>
      <c r="FO476" s="21"/>
      <c r="FP476" s="21"/>
      <c r="FQ476" s="21"/>
      <c r="FR476" s="21"/>
      <c r="FS476" s="21"/>
      <c r="FT476" s="21"/>
      <c r="FU476" s="21"/>
      <c r="FV476" s="21"/>
      <c r="FW476" s="21"/>
      <c r="FX476" s="21"/>
      <c r="FY476" s="21"/>
      <c r="FZ476" s="21"/>
      <c r="GA476" s="21"/>
      <c r="GB476" s="21"/>
      <c r="GC476" s="21"/>
      <c r="GD476" s="21"/>
      <c r="GE476" s="21"/>
      <c r="GF476" s="21"/>
      <c r="GG476" s="21"/>
      <c r="GH476" s="21"/>
      <c r="GI476" s="21"/>
      <c r="GJ476" s="21"/>
      <c r="GK476" s="21"/>
      <c r="GL476" s="21"/>
      <c r="GM476" s="21"/>
      <c r="GN476" s="21"/>
      <c r="GO476" s="21"/>
      <c r="GP476" s="21"/>
      <c r="GQ476" s="21"/>
      <c r="GR476" s="21"/>
      <c r="GS476" s="21"/>
      <c r="GT476" s="21"/>
      <c r="GU476" s="21"/>
      <c r="GV476" s="21"/>
      <c r="GW476" s="21"/>
      <c r="GX476" s="21"/>
      <c r="GY476" s="21"/>
      <c r="GZ476" s="21"/>
      <c r="HA476" s="21"/>
      <c r="HB476" s="21"/>
    </row>
    <row r="477" spans="1:210"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21"/>
      <c r="CH477" s="21"/>
      <c r="CI477" s="21"/>
      <c r="CJ477" s="21"/>
      <c r="CK477" s="21"/>
      <c r="CL477" s="21"/>
      <c r="CM477" s="21"/>
      <c r="CN477" s="21"/>
      <c r="CO477" s="21"/>
      <c r="CP477" s="21"/>
      <c r="CQ477" s="21"/>
      <c r="CR477" s="21"/>
      <c r="CS477" s="21"/>
      <c r="CT477" s="21"/>
      <c r="CU477" s="21"/>
      <c r="CV477" s="21"/>
      <c r="CW477" s="21"/>
      <c r="CX477" s="21"/>
      <c r="CY477" s="21"/>
      <c r="CZ477" s="21"/>
      <c r="DA477" s="21"/>
      <c r="DB477" s="21"/>
      <c r="DC477" s="21"/>
      <c r="DD477" s="21"/>
      <c r="DE477" s="21"/>
      <c r="DF477" s="21"/>
      <c r="DG477" s="21"/>
      <c r="DH477" s="21"/>
      <c r="DI477" s="21"/>
      <c r="DJ477" s="21"/>
      <c r="DK477" s="21"/>
      <c r="DL477" s="21"/>
      <c r="DM477" s="21"/>
      <c r="DN477" s="21"/>
      <c r="DO477" s="21"/>
      <c r="DP477" s="21"/>
      <c r="DQ477" s="21"/>
      <c r="DR477" s="21"/>
      <c r="DS477" s="21"/>
      <c r="DT477" s="21"/>
      <c r="DU477" s="21"/>
      <c r="DV477" s="21"/>
      <c r="DW477" s="21"/>
      <c r="DX477" s="21"/>
      <c r="DY477" s="21"/>
      <c r="DZ477" s="21"/>
      <c r="EA477" s="21"/>
      <c r="EB477" s="21"/>
      <c r="EC477" s="21"/>
      <c r="ED477" s="21"/>
      <c r="EE477" s="21"/>
      <c r="EF477" s="21"/>
      <c r="EG477" s="21"/>
      <c r="EH477" s="21"/>
      <c r="EI477" s="21"/>
      <c r="EJ477" s="21"/>
      <c r="EK477" s="21"/>
      <c r="EL477" s="21"/>
      <c r="EM477" s="21"/>
      <c r="EN477" s="21"/>
      <c r="EO477" s="21"/>
      <c r="EP477" s="21"/>
      <c r="EQ477" s="21"/>
      <c r="ER477" s="21"/>
      <c r="ES477" s="21"/>
      <c r="ET477" s="21"/>
      <c r="EU477" s="21"/>
      <c r="EV477" s="21"/>
      <c r="EW477" s="21"/>
      <c r="EX477" s="21"/>
      <c r="EY477" s="21"/>
      <c r="EZ477" s="21"/>
      <c r="FA477" s="21"/>
      <c r="FB477" s="21"/>
      <c r="FC477" s="21"/>
      <c r="FD477" s="21"/>
      <c r="FE477" s="21"/>
      <c r="FF477" s="21"/>
      <c r="FG477" s="21"/>
      <c r="FH477" s="21"/>
      <c r="FI477" s="21"/>
      <c r="FJ477" s="21"/>
      <c r="FK477" s="21"/>
      <c r="FL477" s="21"/>
      <c r="FM477" s="21"/>
      <c r="FN477" s="21"/>
      <c r="FO477" s="21"/>
      <c r="FP477" s="21"/>
      <c r="FQ477" s="21"/>
      <c r="FR477" s="21"/>
      <c r="FS477" s="21"/>
      <c r="FT477" s="21"/>
      <c r="FU477" s="21"/>
      <c r="FV477" s="21"/>
      <c r="FW477" s="21"/>
      <c r="FX477" s="21"/>
      <c r="FY477" s="21"/>
      <c r="FZ477" s="21"/>
      <c r="GA477" s="21"/>
      <c r="GB477" s="21"/>
      <c r="GC477" s="21"/>
      <c r="GD477" s="21"/>
      <c r="GE477" s="21"/>
      <c r="GF477" s="21"/>
      <c r="GG477" s="21"/>
      <c r="GH477" s="21"/>
      <c r="GI477" s="21"/>
      <c r="GJ477" s="21"/>
      <c r="GK477" s="21"/>
      <c r="GL477" s="21"/>
      <c r="GM477" s="21"/>
      <c r="GN477" s="21"/>
      <c r="GO477" s="21"/>
      <c r="GP477" s="21"/>
      <c r="GQ477" s="21"/>
      <c r="GR477" s="21"/>
      <c r="GS477" s="21"/>
      <c r="GT477" s="21"/>
      <c r="GU477" s="21"/>
      <c r="GV477" s="21"/>
      <c r="GW477" s="21"/>
      <c r="GX477" s="21"/>
      <c r="GY477" s="21"/>
      <c r="GZ477" s="21"/>
      <c r="HA477" s="21"/>
      <c r="HB477" s="21"/>
    </row>
    <row r="478" spans="1:210"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21"/>
      <c r="CH478" s="21"/>
      <c r="CI478" s="21"/>
      <c r="CJ478" s="21"/>
      <c r="CK478" s="21"/>
      <c r="CL478" s="21"/>
      <c r="CM478" s="21"/>
      <c r="CN478" s="21"/>
      <c r="CO478" s="21"/>
      <c r="CP478" s="21"/>
      <c r="CQ478" s="21"/>
      <c r="CR478" s="21"/>
      <c r="CS478" s="21"/>
      <c r="CT478" s="21"/>
      <c r="CU478" s="21"/>
      <c r="CV478" s="21"/>
      <c r="CW478" s="21"/>
      <c r="CX478" s="21"/>
      <c r="CY478" s="21"/>
      <c r="CZ478" s="21"/>
      <c r="DA478" s="21"/>
      <c r="DB478" s="21"/>
      <c r="DC478" s="21"/>
      <c r="DD478" s="21"/>
      <c r="DE478" s="21"/>
      <c r="DF478" s="21"/>
      <c r="DG478" s="21"/>
      <c r="DH478" s="21"/>
      <c r="DI478" s="21"/>
      <c r="DJ478" s="21"/>
      <c r="DK478" s="21"/>
      <c r="DL478" s="21"/>
      <c r="DM478" s="21"/>
      <c r="DN478" s="21"/>
      <c r="DO478" s="21"/>
      <c r="DP478" s="21"/>
      <c r="DQ478" s="21"/>
      <c r="DR478" s="21"/>
      <c r="DS478" s="21"/>
      <c r="DT478" s="21"/>
      <c r="DU478" s="21"/>
      <c r="DV478" s="21"/>
      <c r="DW478" s="21"/>
      <c r="DX478" s="21"/>
      <c r="DY478" s="21"/>
      <c r="DZ478" s="21"/>
      <c r="EA478" s="21"/>
      <c r="EB478" s="21"/>
      <c r="EC478" s="21"/>
      <c r="ED478" s="21"/>
      <c r="EE478" s="21"/>
      <c r="EF478" s="21"/>
      <c r="EG478" s="21"/>
      <c r="EH478" s="21"/>
      <c r="EI478" s="21"/>
      <c r="EJ478" s="21"/>
      <c r="EK478" s="21"/>
      <c r="EL478" s="21"/>
      <c r="EM478" s="21"/>
      <c r="EN478" s="21"/>
      <c r="EO478" s="21"/>
      <c r="EP478" s="21"/>
      <c r="EQ478" s="21"/>
      <c r="ER478" s="21"/>
      <c r="ES478" s="21"/>
      <c r="ET478" s="21"/>
      <c r="EU478" s="21"/>
      <c r="EV478" s="21"/>
      <c r="EW478" s="21"/>
      <c r="EX478" s="21"/>
      <c r="EY478" s="21"/>
      <c r="EZ478" s="21"/>
      <c r="FA478" s="21"/>
      <c r="FB478" s="21"/>
      <c r="FC478" s="21"/>
      <c r="FD478" s="21"/>
      <c r="FE478" s="21"/>
      <c r="FF478" s="21"/>
      <c r="FG478" s="21"/>
      <c r="FH478" s="21"/>
      <c r="FI478" s="21"/>
      <c r="FJ478" s="21"/>
      <c r="FK478" s="21"/>
      <c r="FL478" s="21"/>
      <c r="FM478" s="21"/>
      <c r="FN478" s="21"/>
      <c r="FO478" s="21"/>
      <c r="FP478" s="21"/>
      <c r="FQ478" s="21"/>
      <c r="FR478" s="21"/>
      <c r="FS478" s="21"/>
      <c r="FT478" s="21"/>
      <c r="FU478" s="21"/>
      <c r="FV478" s="21"/>
      <c r="FW478" s="21"/>
      <c r="FX478" s="21"/>
      <c r="FY478" s="21"/>
      <c r="FZ478" s="21"/>
      <c r="GA478" s="21"/>
      <c r="GB478" s="21"/>
      <c r="GC478" s="21"/>
      <c r="GD478" s="21"/>
      <c r="GE478" s="21"/>
      <c r="GF478" s="21"/>
      <c r="GG478" s="21"/>
      <c r="GH478" s="21"/>
      <c r="GI478" s="21"/>
      <c r="GJ478" s="21"/>
      <c r="GK478" s="21"/>
      <c r="GL478" s="21"/>
      <c r="GM478" s="21"/>
      <c r="GN478" s="21"/>
      <c r="GO478" s="21"/>
      <c r="GP478" s="21"/>
      <c r="GQ478" s="21"/>
      <c r="GR478" s="21"/>
      <c r="GS478" s="21"/>
      <c r="GT478" s="21"/>
      <c r="GU478" s="21"/>
      <c r="GV478" s="21"/>
      <c r="GW478" s="21"/>
      <c r="GX478" s="21"/>
      <c r="GY478" s="21"/>
      <c r="GZ478" s="21"/>
      <c r="HA478" s="21"/>
      <c r="HB478" s="21"/>
    </row>
    <row r="479" spans="1:210"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c r="DB479" s="21"/>
      <c r="DC479" s="21"/>
      <c r="DD479" s="21"/>
      <c r="DE479" s="21"/>
      <c r="DF479" s="21"/>
      <c r="DG479" s="21"/>
      <c r="DH479" s="21"/>
      <c r="DI479" s="21"/>
      <c r="DJ479" s="21"/>
      <c r="DK479" s="21"/>
      <c r="DL479" s="21"/>
      <c r="DM479" s="21"/>
      <c r="DN479" s="21"/>
      <c r="DO479" s="21"/>
      <c r="DP479" s="21"/>
      <c r="DQ479" s="21"/>
      <c r="DR479" s="21"/>
      <c r="DS479" s="21"/>
      <c r="DT479" s="21"/>
      <c r="DU479" s="21"/>
      <c r="DV479" s="21"/>
      <c r="DW479" s="21"/>
      <c r="DX479" s="21"/>
      <c r="DY479" s="21"/>
      <c r="DZ479" s="21"/>
      <c r="EA479" s="21"/>
      <c r="EB479" s="21"/>
      <c r="EC479" s="21"/>
      <c r="ED479" s="21"/>
      <c r="EE479" s="21"/>
      <c r="EF479" s="21"/>
      <c r="EG479" s="21"/>
      <c r="EH479" s="21"/>
      <c r="EI479" s="21"/>
      <c r="EJ479" s="21"/>
      <c r="EK479" s="21"/>
      <c r="EL479" s="21"/>
      <c r="EM479" s="21"/>
      <c r="EN479" s="21"/>
      <c r="EO479" s="21"/>
      <c r="EP479" s="21"/>
      <c r="EQ479" s="21"/>
      <c r="ER479" s="21"/>
      <c r="ES479" s="21"/>
      <c r="ET479" s="21"/>
      <c r="EU479" s="21"/>
      <c r="EV479" s="21"/>
      <c r="EW479" s="21"/>
      <c r="EX479" s="21"/>
      <c r="EY479" s="21"/>
      <c r="EZ479" s="21"/>
      <c r="FA479" s="21"/>
      <c r="FB479" s="21"/>
      <c r="FC479" s="21"/>
      <c r="FD479" s="21"/>
      <c r="FE479" s="21"/>
      <c r="FF479" s="21"/>
      <c r="FG479" s="21"/>
      <c r="FH479" s="21"/>
      <c r="FI479" s="21"/>
      <c r="FJ479" s="21"/>
      <c r="FK479" s="21"/>
      <c r="FL479" s="21"/>
      <c r="FM479" s="21"/>
      <c r="FN479" s="21"/>
      <c r="FO479" s="21"/>
      <c r="FP479" s="21"/>
      <c r="FQ479" s="21"/>
      <c r="FR479" s="21"/>
      <c r="FS479" s="21"/>
      <c r="FT479" s="21"/>
      <c r="FU479" s="21"/>
      <c r="FV479" s="21"/>
      <c r="FW479" s="21"/>
      <c r="FX479" s="21"/>
      <c r="FY479" s="21"/>
      <c r="FZ479" s="21"/>
      <c r="GA479" s="21"/>
      <c r="GB479" s="21"/>
      <c r="GC479" s="21"/>
      <c r="GD479" s="21"/>
      <c r="GE479" s="21"/>
      <c r="GF479" s="21"/>
      <c r="GG479" s="21"/>
      <c r="GH479" s="21"/>
      <c r="GI479" s="21"/>
      <c r="GJ479" s="21"/>
      <c r="GK479" s="21"/>
      <c r="GL479" s="21"/>
      <c r="GM479" s="21"/>
      <c r="GN479" s="21"/>
      <c r="GO479" s="21"/>
      <c r="GP479" s="21"/>
      <c r="GQ479" s="21"/>
      <c r="GR479" s="21"/>
      <c r="GS479" s="21"/>
      <c r="GT479" s="21"/>
      <c r="GU479" s="21"/>
      <c r="GV479" s="21"/>
      <c r="GW479" s="21"/>
      <c r="GX479" s="21"/>
      <c r="GY479" s="21"/>
      <c r="GZ479" s="21"/>
      <c r="HA479" s="21"/>
      <c r="HB479" s="21"/>
    </row>
    <row r="480" spans="1:210"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c r="DB480" s="21"/>
      <c r="DC480" s="21"/>
      <c r="DD480" s="21"/>
      <c r="DE480" s="21"/>
      <c r="DF480" s="21"/>
      <c r="DG480" s="21"/>
      <c r="DH480" s="21"/>
      <c r="DI480" s="21"/>
      <c r="DJ480" s="21"/>
      <c r="DK480" s="21"/>
      <c r="DL480" s="21"/>
      <c r="DM480" s="21"/>
      <c r="DN480" s="21"/>
      <c r="DO480" s="21"/>
      <c r="DP480" s="21"/>
      <c r="DQ480" s="21"/>
      <c r="DR480" s="21"/>
      <c r="DS480" s="21"/>
      <c r="DT480" s="21"/>
      <c r="DU480" s="21"/>
      <c r="DV480" s="21"/>
      <c r="DW480" s="21"/>
      <c r="DX480" s="21"/>
      <c r="DY480" s="21"/>
      <c r="DZ480" s="21"/>
      <c r="EA480" s="21"/>
      <c r="EB480" s="21"/>
      <c r="EC480" s="21"/>
      <c r="ED480" s="21"/>
      <c r="EE480" s="21"/>
      <c r="EF480" s="21"/>
      <c r="EG480" s="21"/>
      <c r="EH480" s="21"/>
      <c r="EI480" s="21"/>
      <c r="EJ480" s="21"/>
      <c r="EK480" s="21"/>
      <c r="EL480" s="21"/>
      <c r="EM480" s="21"/>
      <c r="EN480" s="21"/>
      <c r="EO480" s="21"/>
      <c r="EP480" s="21"/>
      <c r="EQ480" s="21"/>
      <c r="ER480" s="21"/>
      <c r="ES480" s="21"/>
      <c r="ET480" s="21"/>
      <c r="EU480" s="21"/>
      <c r="EV480" s="21"/>
      <c r="EW480" s="21"/>
      <c r="EX480" s="21"/>
      <c r="EY480" s="21"/>
      <c r="EZ480" s="21"/>
      <c r="FA480" s="21"/>
      <c r="FB480" s="21"/>
      <c r="FC480" s="21"/>
      <c r="FD480" s="21"/>
      <c r="FE480" s="21"/>
      <c r="FF480" s="21"/>
      <c r="FG480" s="21"/>
      <c r="FH480" s="21"/>
      <c r="FI480" s="21"/>
      <c r="FJ480" s="21"/>
      <c r="FK480" s="21"/>
      <c r="FL480" s="21"/>
      <c r="FM480" s="21"/>
      <c r="FN480" s="21"/>
      <c r="FO480" s="21"/>
      <c r="FP480" s="21"/>
      <c r="FQ480" s="21"/>
      <c r="FR480" s="21"/>
      <c r="FS480" s="21"/>
      <c r="FT480" s="21"/>
      <c r="FU480" s="21"/>
      <c r="FV480" s="21"/>
      <c r="FW480" s="21"/>
      <c r="FX480" s="21"/>
      <c r="FY480" s="21"/>
      <c r="FZ480" s="21"/>
      <c r="GA480" s="21"/>
      <c r="GB480" s="21"/>
      <c r="GC480" s="21"/>
      <c r="GD480" s="21"/>
      <c r="GE480" s="21"/>
      <c r="GF480" s="21"/>
      <c r="GG480" s="21"/>
      <c r="GH480" s="21"/>
      <c r="GI480" s="21"/>
      <c r="GJ480" s="21"/>
      <c r="GK480" s="21"/>
      <c r="GL480" s="21"/>
      <c r="GM480" s="21"/>
      <c r="GN480" s="21"/>
      <c r="GO480" s="21"/>
      <c r="GP480" s="21"/>
      <c r="GQ480" s="21"/>
      <c r="GR480" s="21"/>
      <c r="GS480" s="21"/>
      <c r="GT480" s="21"/>
      <c r="GU480" s="21"/>
      <c r="GV480" s="21"/>
      <c r="GW480" s="21"/>
      <c r="GX480" s="21"/>
      <c r="GY480" s="21"/>
      <c r="GZ480" s="21"/>
      <c r="HA480" s="21"/>
      <c r="HB480" s="21"/>
    </row>
    <row r="481" spans="1:210"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c r="DB481" s="21"/>
      <c r="DC481" s="21"/>
      <c r="DD481" s="21"/>
      <c r="DE481" s="21"/>
      <c r="DF481" s="21"/>
      <c r="DG481" s="21"/>
      <c r="DH481" s="21"/>
      <c r="DI481" s="21"/>
      <c r="DJ481" s="21"/>
      <c r="DK481" s="21"/>
      <c r="DL481" s="21"/>
      <c r="DM481" s="21"/>
      <c r="DN481" s="21"/>
      <c r="DO481" s="21"/>
      <c r="DP481" s="21"/>
      <c r="DQ481" s="21"/>
      <c r="DR481" s="21"/>
      <c r="DS481" s="21"/>
      <c r="DT481" s="21"/>
      <c r="DU481" s="21"/>
      <c r="DV481" s="21"/>
      <c r="DW481" s="21"/>
      <c r="DX481" s="21"/>
      <c r="DY481" s="21"/>
      <c r="DZ481" s="21"/>
      <c r="EA481" s="21"/>
      <c r="EB481" s="21"/>
      <c r="EC481" s="21"/>
      <c r="ED481" s="21"/>
      <c r="EE481" s="21"/>
      <c r="EF481" s="21"/>
      <c r="EG481" s="21"/>
      <c r="EH481" s="21"/>
      <c r="EI481" s="21"/>
      <c r="EJ481" s="21"/>
      <c r="EK481" s="21"/>
      <c r="EL481" s="21"/>
      <c r="EM481" s="21"/>
      <c r="EN481" s="21"/>
      <c r="EO481" s="21"/>
      <c r="EP481" s="21"/>
      <c r="EQ481" s="21"/>
      <c r="ER481" s="21"/>
      <c r="ES481" s="21"/>
      <c r="ET481" s="21"/>
      <c r="EU481" s="21"/>
      <c r="EV481" s="21"/>
      <c r="EW481" s="21"/>
      <c r="EX481" s="21"/>
      <c r="EY481" s="21"/>
      <c r="EZ481" s="21"/>
      <c r="FA481" s="21"/>
      <c r="FB481" s="21"/>
      <c r="FC481" s="21"/>
      <c r="FD481" s="21"/>
      <c r="FE481" s="21"/>
      <c r="FF481" s="21"/>
      <c r="FG481" s="21"/>
      <c r="FH481" s="21"/>
      <c r="FI481" s="21"/>
      <c r="FJ481" s="21"/>
      <c r="FK481" s="21"/>
      <c r="FL481" s="21"/>
      <c r="FM481" s="21"/>
      <c r="FN481" s="21"/>
      <c r="FO481" s="21"/>
      <c r="FP481" s="21"/>
      <c r="FQ481" s="21"/>
      <c r="FR481" s="21"/>
      <c r="FS481" s="21"/>
      <c r="FT481" s="21"/>
      <c r="FU481" s="21"/>
      <c r="FV481" s="21"/>
      <c r="FW481" s="21"/>
      <c r="FX481" s="21"/>
      <c r="FY481" s="21"/>
      <c r="FZ481" s="21"/>
      <c r="GA481" s="21"/>
      <c r="GB481" s="21"/>
      <c r="GC481" s="21"/>
      <c r="GD481" s="21"/>
      <c r="GE481" s="21"/>
      <c r="GF481" s="21"/>
      <c r="GG481" s="21"/>
      <c r="GH481" s="21"/>
      <c r="GI481" s="21"/>
      <c r="GJ481" s="21"/>
      <c r="GK481" s="21"/>
      <c r="GL481" s="21"/>
      <c r="GM481" s="21"/>
      <c r="GN481" s="21"/>
      <c r="GO481" s="21"/>
      <c r="GP481" s="21"/>
      <c r="GQ481" s="21"/>
      <c r="GR481" s="21"/>
      <c r="GS481" s="21"/>
      <c r="GT481" s="21"/>
      <c r="GU481" s="21"/>
      <c r="GV481" s="21"/>
      <c r="GW481" s="21"/>
      <c r="GX481" s="21"/>
      <c r="GY481" s="21"/>
      <c r="GZ481" s="21"/>
      <c r="HA481" s="21"/>
      <c r="HB481" s="21"/>
    </row>
    <row r="482" spans="1:210"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c r="DB482" s="21"/>
      <c r="DC482" s="21"/>
      <c r="DD482" s="21"/>
      <c r="DE482" s="21"/>
      <c r="DF482" s="21"/>
      <c r="DG482" s="21"/>
      <c r="DH482" s="21"/>
      <c r="DI482" s="21"/>
      <c r="DJ482" s="21"/>
      <c r="DK482" s="21"/>
      <c r="DL482" s="21"/>
      <c r="DM482" s="21"/>
      <c r="DN482" s="21"/>
      <c r="DO482" s="21"/>
      <c r="DP482" s="21"/>
      <c r="DQ482" s="21"/>
      <c r="DR482" s="21"/>
      <c r="DS482" s="21"/>
      <c r="DT482" s="21"/>
      <c r="DU482" s="21"/>
      <c r="DV482" s="21"/>
      <c r="DW482" s="21"/>
      <c r="DX482" s="21"/>
      <c r="DY482" s="21"/>
      <c r="DZ482" s="21"/>
      <c r="EA482" s="21"/>
      <c r="EB482" s="21"/>
      <c r="EC482" s="21"/>
      <c r="ED482" s="21"/>
      <c r="EE482" s="21"/>
      <c r="EF482" s="21"/>
      <c r="EG482" s="21"/>
      <c r="EH482" s="21"/>
      <c r="EI482" s="21"/>
      <c r="EJ482" s="21"/>
      <c r="EK482" s="21"/>
      <c r="EL482" s="21"/>
      <c r="EM482" s="21"/>
      <c r="EN482" s="21"/>
      <c r="EO482" s="21"/>
      <c r="EP482" s="21"/>
      <c r="EQ482" s="21"/>
      <c r="ER482" s="21"/>
      <c r="ES482" s="21"/>
      <c r="ET482" s="21"/>
      <c r="EU482" s="21"/>
      <c r="EV482" s="21"/>
      <c r="EW482" s="21"/>
      <c r="EX482" s="21"/>
      <c r="EY482" s="21"/>
      <c r="EZ482" s="21"/>
      <c r="FA482" s="21"/>
      <c r="FB482" s="21"/>
      <c r="FC482" s="21"/>
      <c r="FD482" s="21"/>
      <c r="FE482" s="21"/>
      <c r="FF482" s="21"/>
      <c r="FG482" s="21"/>
      <c r="FH482" s="21"/>
      <c r="FI482" s="21"/>
      <c r="FJ482" s="21"/>
      <c r="FK482" s="21"/>
      <c r="FL482" s="21"/>
      <c r="FM482" s="21"/>
      <c r="FN482" s="21"/>
      <c r="FO482" s="21"/>
      <c r="FP482" s="21"/>
      <c r="FQ482" s="21"/>
      <c r="FR482" s="21"/>
      <c r="FS482" s="21"/>
      <c r="FT482" s="21"/>
      <c r="FU482" s="21"/>
      <c r="FV482" s="21"/>
      <c r="FW482" s="21"/>
      <c r="FX482" s="21"/>
      <c r="FY482" s="21"/>
      <c r="FZ482" s="21"/>
      <c r="GA482" s="21"/>
      <c r="GB482" s="21"/>
      <c r="GC482" s="21"/>
      <c r="GD482" s="21"/>
      <c r="GE482" s="21"/>
      <c r="GF482" s="21"/>
      <c r="GG482" s="21"/>
      <c r="GH482" s="21"/>
      <c r="GI482" s="21"/>
      <c r="GJ482" s="21"/>
      <c r="GK482" s="21"/>
      <c r="GL482" s="21"/>
      <c r="GM482" s="21"/>
      <c r="GN482" s="21"/>
      <c r="GO482" s="21"/>
      <c r="GP482" s="21"/>
      <c r="GQ482" s="21"/>
      <c r="GR482" s="21"/>
      <c r="GS482" s="21"/>
      <c r="GT482" s="21"/>
      <c r="GU482" s="21"/>
      <c r="GV482" s="21"/>
      <c r="GW482" s="21"/>
      <c r="GX482" s="21"/>
      <c r="GY482" s="21"/>
      <c r="GZ482" s="21"/>
      <c r="HA482" s="21"/>
      <c r="HB482" s="21"/>
    </row>
    <row r="483" spans="1:210"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c r="DB483" s="21"/>
      <c r="DC483" s="21"/>
      <c r="DD483" s="21"/>
      <c r="DE483" s="21"/>
      <c r="DF483" s="21"/>
      <c r="DG483" s="21"/>
      <c r="DH483" s="21"/>
      <c r="DI483" s="21"/>
      <c r="DJ483" s="21"/>
      <c r="DK483" s="21"/>
      <c r="DL483" s="21"/>
      <c r="DM483" s="21"/>
      <c r="DN483" s="21"/>
      <c r="DO483" s="21"/>
      <c r="DP483" s="21"/>
      <c r="DQ483" s="21"/>
      <c r="DR483" s="21"/>
      <c r="DS483" s="21"/>
      <c r="DT483" s="21"/>
      <c r="DU483" s="21"/>
      <c r="DV483" s="21"/>
      <c r="DW483" s="21"/>
      <c r="DX483" s="21"/>
      <c r="DY483" s="21"/>
      <c r="DZ483" s="21"/>
      <c r="EA483" s="21"/>
      <c r="EB483" s="21"/>
      <c r="EC483" s="21"/>
      <c r="ED483" s="21"/>
      <c r="EE483" s="21"/>
      <c r="EF483" s="21"/>
      <c r="EG483" s="21"/>
      <c r="EH483" s="21"/>
      <c r="EI483" s="21"/>
      <c r="EJ483" s="21"/>
      <c r="EK483" s="21"/>
      <c r="EL483" s="21"/>
      <c r="EM483" s="21"/>
      <c r="EN483" s="21"/>
      <c r="EO483" s="21"/>
      <c r="EP483" s="21"/>
      <c r="EQ483" s="21"/>
      <c r="ER483" s="21"/>
      <c r="ES483" s="21"/>
      <c r="ET483" s="21"/>
      <c r="EU483" s="21"/>
      <c r="EV483" s="21"/>
      <c r="EW483" s="21"/>
      <c r="EX483" s="21"/>
      <c r="EY483" s="21"/>
      <c r="EZ483" s="21"/>
      <c r="FA483" s="21"/>
      <c r="FB483" s="21"/>
      <c r="FC483" s="21"/>
      <c r="FD483" s="21"/>
      <c r="FE483" s="21"/>
      <c r="FF483" s="21"/>
      <c r="FG483" s="21"/>
      <c r="FH483" s="21"/>
      <c r="FI483" s="21"/>
      <c r="FJ483" s="21"/>
      <c r="FK483" s="21"/>
      <c r="FL483" s="21"/>
      <c r="FM483" s="21"/>
      <c r="FN483" s="21"/>
      <c r="FO483" s="21"/>
      <c r="FP483" s="21"/>
      <c r="FQ483" s="21"/>
      <c r="FR483" s="21"/>
      <c r="FS483" s="21"/>
      <c r="FT483" s="21"/>
      <c r="FU483" s="21"/>
      <c r="FV483" s="21"/>
      <c r="FW483" s="21"/>
      <c r="FX483" s="21"/>
      <c r="FY483" s="21"/>
      <c r="FZ483" s="21"/>
      <c r="GA483" s="21"/>
      <c r="GB483" s="21"/>
      <c r="GC483" s="21"/>
      <c r="GD483" s="21"/>
      <c r="GE483" s="21"/>
      <c r="GF483" s="21"/>
      <c r="GG483" s="21"/>
      <c r="GH483" s="21"/>
      <c r="GI483" s="21"/>
      <c r="GJ483" s="21"/>
      <c r="GK483" s="21"/>
      <c r="GL483" s="21"/>
      <c r="GM483" s="21"/>
      <c r="GN483" s="21"/>
      <c r="GO483" s="21"/>
      <c r="GP483" s="21"/>
      <c r="GQ483" s="21"/>
      <c r="GR483" s="21"/>
      <c r="GS483" s="21"/>
      <c r="GT483" s="21"/>
      <c r="GU483" s="21"/>
      <c r="GV483" s="21"/>
      <c r="GW483" s="21"/>
      <c r="GX483" s="21"/>
      <c r="GY483" s="21"/>
      <c r="GZ483" s="21"/>
      <c r="HA483" s="21"/>
      <c r="HB483" s="21"/>
    </row>
    <row r="484" spans="1:210"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c r="DB484" s="21"/>
      <c r="DC484" s="21"/>
      <c r="DD484" s="21"/>
      <c r="DE484" s="21"/>
      <c r="DF484" s="21"/>
      <c r="DG484" s="21"/>
      <c r="DH484" s="21"/>
      <c r="DI484" s="21"/>
      <c r="DJ484" s="21"/>
      <c r="DK484" s="21"/>
      <c r="DL484" s="21"/>
      <c r="DM484" s="21"/>
      <c r="DN484" s="21"/>
      <c r="DO484" s="21"/>
      <c r="DP484" s="21"/>
      <c r="DQ484" s="21"/>
      <c r="DR484" s="21"/>
      <c r="DS484" s="21"/>
      <c r="DT484" s="21"/>
      <c r="DU484" s="21"/>
      <c r="DV484" s="21"/>
      <c r="DW484" s="21"/>
      <c r="DX484" s="21"/>
      <c r="DY484" s="21"/>
      <c r="DZ484" s="21"/>
      <c r="EA484" s="21"/>
      <c r="EB484" s="21"/>
      <c r="EC484" s="21"/>
      <c r="ED484" s="21"/>
      <c r="EE484" s="21"/>
      <c r="EF484" s="21"/>
      <c r="EG484" s="21"/>
      <c r="EH484" s="21"/>
      <c r="EI484" s="21"/>
      <c r="EJ484" s="21"/>
      <c r="EK484" s="21"/>
      <c r="EL484" s="21"/>
      <c r="EM484" s="21"/>
      <c r="EN484" s="21"/>
      <c r="EO484" s="21"/>
      <c r="EP484" s="21"/>
      <c r="EQ484" s="21"/>
      <c r="ER484" s="21"/>
      <c r="ES484" s="21"/>
      <c r="ET484" s="21"/>
      <c r="EU484" s="21"/>
      <c r="EV484" s="21"/>
      <c r="EW484" s="21"/>
      <c r="EX484" s="21"/>
      <c r="EY484" s="21"/>
      <c r="EZ484" s="21"/>
      <c r="FA484" s="21"/>
      <c r="FB484" s="21"/>
      <c r="FC484" s="21"/>
      <c r="FD484" s="21"/>
      <c r="FE484" s="21"/>
      <c r="FF484" s="21"/>
      <c r="FG484" s="21"/>
      <c r="FH484" s="21"/>
      <c r="FI484" s="21"/>
      <c r="FJ484" s="21"/>
      <c r="FK484" s="21"/>
      <c r="FL484" s="21"/>
      <c r="FM484" s="21"/>
      <c r="FN484" s="21"/>
      <c r="FO484" s="21"/>
      <c r="FP484" s="21"/>
      <c r="FQ484" s="21"/>
      <c r="FR484" s="21"/>
      <c r="FS484" s="21"/>
      <c r="FT484" s="21"/>
      <c r="FU484" s="21"/>
      <c r="FV484" s="21"/>
      <c r="FW484" s="21"/>
      <c r="FX484" s="21"/>
      <c r="FY484" s="21"/>
      <c r="FZ484" s="21"/>
      <c r="GA484" s="21"/>
      <c r="GB484" s="21"/>
      <c r="GC484" s="21"/>
      <c r="GD484" s="21"/>
      <c r="GE484" s="21"/>
      <c r="GF484" s="21"/>
      <c r="GG484" s="21"/>
      <c r="GH484" s="21"/>
      <c r="GI484" s="21"/>
      <c r="GJ484" s="21"/>
      <c r="GK484" s="21"/>
      <c r="GL484" s="21"/>
      <c r="GM484" s="21"/>
      <c r="GN484" s="21"/>
      <c r="GO484" s="21"/>
      <c r="GP484" s="21"/>
      <c r="GQ484" s="21"/>
      <c r="GR484" s="21"/>
      <c r="GS484" s="21"/>
      <c r="GT484" s="21"/>
      <c r="GU484" s="21"/>
      <c r="GV484" s="21"/>
      <c r="GW484" s="21"/>
      <c r="GX484" s="21"/>
      <c r="GY484" s="21"/>
      <c r="GZ484" s="21"/>
      <c r="HA484" s="21"/>
      <c r="HB484" s="21"/>
    </row>
    <row r="485" spans="1:210"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21"/>
      <c r="CH485" s="21"/>
      <c r="CI485" s="21"/>
      <c r="CJ485" s="21"/>
      <c r="CK485" s="21"/>
      <c r="CL485" s="21"/>
      <c r="CM485" s="21"/>
      <c r="CN485" s="21"/>
      <c r="CO485" s="21"/>
      <c r="CP485" s="21"/>
      <c r="CQ485" s="21"/>
      <c r="CR485" s="21"/>
      <c r="CS485" s="21"/>
      <c r="CT485" s="21"/>
      <c r="CU485" s="21"/>
      <c r="CV485" s="21"/>
      <c r="CW485" s="21"/>
      <c r="CX485" s="21"/>
      <c r="CY485" s="21"/>
      <c r="CZ485" s="21"/>
      <c r="DA485" s="21"/>
      <c r="DB485" s="21"/>
      <c r="DC485" s="21"/>
      <c r="DD485" s="21"/>
      <c r="DE485" s="21"/>
      <c r="DF485" s="21"/>
      <c r="DG485" s="21"/>
      <c r="DH485" s="21"/>
      <c r="DI485" s="21"/>
      <c r="DJ485" s="21"/>
      <c r="DK485" s="21"/>
      <c r="DL485" s="21"/>
      <c r="DM485" s="21"/>
      <c r="DN485" s="21"/>
      <c r="DO485" s="21"/>
      <c r="DP485" s="21"/>
      <c r="DQ485" s="21"/>
      <c r="DR485" s="21"/>
      <c r="DS485" s="21"/>
      <c r="DT485" s="21"/>
      <c r="DU485" s="21"/>
      <c r="DV485" s="21"/>
      <c r="DW485" s="21"/>
      <c r="DX485" s="21"/>
      <c r="DY485" s="21"/>
      <c r="DZ485" s="21"/>
      <c r="EA485" s="21"/>
      <c r="EB485" s="21"/>
      <c r="EC485" s="21"/>
      <c r="ED485" s="21"/>
      <c r="EE485" s="21"/>
      <c r="EF485" s="21"/>
      <c r="EG485" s="21"/>
      <c r="EH485" s="21"/>
      <c r="EI485" s="21"/>
      <c r="EJ485" s="21"/>
      <c r="EK485" s="21"/>
      <c r="EL485" s="21"/>
      <c r="EM485" s="21"/>
      <c r="EN485" s="21"/>
      <c r="EO485" s="21"/>
      <c r="EP485" s="21"/>
      <c r="EQ485" s="21"/>
      <c r="ER485" s="21"/>
      <c r="ES485" s="21"/>
      <c r="ET485" s="21"/>
      <c r="EU485" s="21"/>
      <c r="EV485" s="21"/>
      <c r="EW485" s="21"/>
      <c r="EX485" s="21"/>
      <c r="EY485" s="21"/>
      <c r="EZ485" s="21"/>
      <c r="FA485" s="21"/>
      <c r="FB485" s="21"/>
      <c r="FC485" s="21"/>
      <c r="FD485" s="21"/>
      <c r="FE485" s="21"/>
      <c r="FF485" s="21"/>
      <c r="FG485" s="21"/>
      <c r="FH485" s="21"/>
      <c r="FI485" s="21"/>
      <c r="FJ485" s="21"/>
      <c r="FK485" s="21"/>
      <c r="FL485" s="21"/>
      <c r="FM485" s="21"/>
      <c r="FN485" s="21"/>
      <c r="FO485" s="21"/>
      <c r="FP485" s="21"/>
      <c r="FQ485" s="21"/>
      <c r="FR485" s="21"/>
      <c r="FS485" s="21"/>
      <c r="FT485" s="21"/>
      <c r="FU485" s="21"/>
      <c r="FV485" s="21"/>
      <c r="FW485" s="21"/>
      <c r="FX485" s="21"/>
      <c r="FY485" s="21"/>
      <c r="FZ485" s="21"/>
      <c r="GA485" s="21"/>
      <c r="GB485" s="21"/>
      <c r="GC485" s="21"/>
      <c r="GD485" s="21"/>
      <c r="GE485" s="21"/>
      <c r="GF485" s="21"/>
      <c r="GG485" s="21"/>
      <c r="GH485" s="21"/>
      <c r="GI485" s="21"/>
      <c r="GJ485" s="21"/>
      <c r="GK485" s="21"/>
      <c r="GL485" s="21"/>
      <c r="GM485" s="21"/>
      <c r="GN485" s="21"/>
      <c r="GO485" s="21"/>
      <c r="GP485" s="21"/>
      <c r="GQ485" s="21"/>
      <c r="GR485" s="21"/>
      <c r="GS485" s="21"/>
      <c r="GT485" s="21"/>
      <c r="GU485" s="21"/>
      <c r="GV485" s="21"/>
      <c r="GW485" s="21"/>
      <c r="GX485" s="21"/>
      <c r="GY485" s="21"/>
      <c r="GZ485" s="21"/>
      <c r="HA485" s="21"/>
      <c r="HB485" s="21"/>
    </row>
    <row r="486" spans="1:210"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c r="DB486" s="21"/>
      <c r="DC486" s="21"/>
      <c r="DD486" s="21"/>
      <c r="DE486" s="21"/>
      <c r="DF486" s="21"/>
      <c r="DG486" s="21"/>
      <c r="DH486" s="21"/>
      <c r="DI486" s="21"/>
      <c r="DJ486" s="21"/>
      <c r="DK486" s="21"/>
      <c r="DL486" s="21"/>
      <c r="DM486" s="21"/>
      <c r="DN486" s="21"/>
      <c r="DO486" s="21"/>
      <c r="DP486" s="21"/>
      <c r="DQ486" s="21"/>
      <c r="DR486" s="21"/>
      <c r="DS486" s="21"/>
      <c r="DT486" s="21"/>
      <c r="DU486" s="21"/>
      <c r="DV486" s="21"/>
      <c r="DW486" s="21"/>
      <c r="DX486" s="21"/>
      <c r="DY486" s="21"/>
      <c r="DZ486" s="21"/>
      <c r="EA486" s="21"/>
      <c r="EB486" s="21"/>
      <c r="EC486" s="21"/>
      <c r="ED486" s="21"/>
      <c r="EE486" s="21"/>
      <c r="EF486" s="21"/>
      <c r="EG486" s="21"/>
      <c r="EH486" s="21"/>
      <c r="EI486" s="21"/>
      <c r="EJ486" s="21"/>
      <c r="EK486" s="21"/>
      <c r="EL486" s="21"/>
      <c r="EM486" s="21"/>
      <c r="EN486" s="21"/>
      <c r="EO486" s="21"/>
      <c r="EP486" s="21"/>
      <c r="EQ486" s="21"/>
      <c r="ER486" s="21"/>
      <c r="ES486" s="21"/>
      <c r="ET486" s="21"/>
      <c r="EU486" s="21"/>
      <c r="EV486" s="21"/>
      <c r="EW486" s="21"/>
      <c r="EX486" s="21"/>
      <c r="EY486" s="21"/>
      <c r="EZ486" s="21"/>
      <c r="FA486" s="21"/>
      <c r="FB486" s="21"/>
      <c r="FC486" s="21"/>
      <c r="FD486" s="21"/>
      <c r="FE486" s="21"/>
      <c r="FF486" s="21"/>
      <c r="FG486" s="21"/>
      <c r="FH486" s="21"/>
      <c r="FI486" s="21"/>
      <c r="FJ486" s="21"/>
      <c r="FK486" s="21"/>
      <c r="FL486" s="21"/>
      <c r="FM486" s="21"/>
      <c r="FN486" s="21"/>
      <c r="FO486" s="21"/>
      <c r="FP486" s="21"/>
      <c r="FQ486" s="21"/>
      <c r="FR486" s="21"/>
      <c r="FS486" s="21"/>
      <c r="FT486" s="21"/>
      <c r="FU486" s="21"/>
      <c r="FV486" s="21"/>
      <c r="FW486" s="21"/>
      <c r="FX486" s="21"/>
      <c r="FY486" s="21"/>
      <c r="FZ486" s="21"/>
      <c r="GA486" s="21"/>
      <c r="GB486" s="21"/>
      <c r="GC486" s="21"/>
      <c r="GD486" s="21"/>
      <c r="GE486" s="21"/>
      <c r="GF486" s="21"/>
      <c r="GG486" s="21"/>
      <c r="GH486" s="21"/>
      <c r="GI486" s="21"/>
      <c r="GJ486" s="21"/>
      <c r="GK486" s="21"/>
      <c r="GL486" s="21"/>
      <c r="GM486" s="21"/>
      <c r="GN486" s="21"/>
      <c r="GO486" s="21"/>
      <c r="GP486" s="21"/>
      <c r="GQ486" s="21"/>
      <c r="GR486" s="21"/>
      <c r="GS486" s="21"/>
      <c r="GT486" s="21"/>
      <c r="GU486" s="21"/>
      <c r="GV486" s="21"/>
      <c r="GW486" s="21"/>
      <c r="GX486" s="21"/>
      <c r="GY486" s="21"/>
      <c r="GZ486" s="21"/>
      <c r="HA486" s="21"/>
      <c r="HB486" s="21"/>
    </row>
    <row r="487" spans="1:210"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c r="DB487" s="21"/>
      <c r="DC487" s="21"/>
      <c r="DD487" s="21"/>
      <c r="DE487" s="21"/>
      <c r="DF487" s="21"/>
      <c r="DG487" s="21"/>
      <c r="DH487" s="21"/>
      <c r="DI487" s="21"/>
      <c r="DJ487" s="21"/>
      <c r="DK487" s="21"/>
      <c r="DL487" s="21"/>
      <c r="DM487" s="21"/>
      <c r="DN487" s="21"/>
      <c r="DO487" s="21"/>
      <c r="DP487" s="21"/>
      <c r="DQ487" s="21"/>
      <c r="DR487" s="21"/>
      <c r="DS487" s="21"/>
      <c r="DT487" s="21"/>
      <c r="DU487" s="21"/>
      <c r="DV487" s="21"/>
      <c r="DW487" s="21"/>
      <c r="DX487" s="21"/>
      <c r="DY487" s="21"/>
      <c r="DZ487" s="21"/>
      <c r="EA487" s="21"/>
      <c r="EB487" s="21"/>
      <c r="EC487" s="21"/>
      <c r="ED487" s="21"/>
      <c r="EE487" s="21"/>
      <c r="EF487" s="21"/>
      <c r="EG487" s="21"/>
      <c r="EH487" s="21"/>
      <c r="EI487" s="21"/>
      <c r="EJ487" s="21"/>
      <c r="EK487" s="21"/>
      <c r="EL487" s="21"/>
      <c r="EM487" s="21"/>
      <c r="EN487" s="21"/>
      <c r="EO487" s="21"/>
      <c r="EP487" s="21"/>
      <c r="EQ487" s="21"/>
      <c r="ER487" s="21"/>
      <c r="ES487" s="21"/>
      <c r="ET487" s="21"/>
      <c r="EU487" s="21"/>
      <c r="EV487" s="21"/>
      <c r="EW487" s="21"/>
      <c r="EX487" s="21"/>
      <c r="EY487" s="21"/>
      <c r="EZ487" s="21"/>
      <c r="FA487" s="21"/>
      <c r="FB487" s="21"/>
      <c r="FC487" s="21"/>
      <c r="FD487" s="21"/>
      <c r="FE487" s="21"/>
      <c r="FF487" s="21"/>
      <c r="FG487" s="21"/>
      <c r="FH487" s="21"/>
      <c r="FI487" s="21"/>
      <c r="FJ487" s="21"/>
      <c r="FK487" s="21"/>
      <c r="FL487" s="21"/>
      <c r="FM487" s="21"/>
      <c r="FN487" s="21"/>
      <c r="FO487" s="21"/>
      <c r="FP487" s="21"/>
      <c r="FQ487" s="21"/>
      <c r="FR487" s="21"/>
      <c r="FS487" s="21"/>
      <c r="FT487" s="21"/>
      <c r="FU487" s="21"/>
      <c r="FV487" s="21"/>
      <c r="FW487" s="21"/>
      <c r="FX487" s="21"/>
      <c r="FY487" s="21"/>
      <c r="FZ487" s="21"/>
      <c r="GA487" s="21"/>
      <c r="GB487" s="21"/>
      <c r="GC487" s="21"/>
      <c r="GD487" s="21"/>
      <c r="GE487" s="21"/>
      <c r="GF487" s="21"/>
      <c r="GG487" s="21"/>
      <c r="GH487" s="21"/>
      <c r="GI487" s="21"/>
      <c r="GJ487" s="21"/>
      <c r="GK487" s="21"/>
      <c r="GL487" s="21"/>
      <c r="GM487" s="21"/>
      <c r="GN487" s="21"/>
      <c r="GO487" s="21"/>
      <c r="GP487" s="21"/>
      <c r="GQ487" s="21"/>
      <c r="GR487" s="21"/>
      <c r="GS487" s="21"/>
      <c r="GT487" s="21"/>
      <c r="GU487" s="21"/>
      <c r="GV487" s="21"/>
      <c r="GW487" s="21"/>
      <c r="GX487" s="21"/>
      <c r="GY487" s="21"/>
      <c r="GZ487" s="21"/>
      <c r="HA487" s="21"/>
      <c r="HB487" s="21"/>
    </row>
    <row r="488" spans="1:210"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21"/>
      <c r="CH488" s="21"/>
      <c r="CI488" s="21"/>
      <c r="CJ488" s="21"/>
      <c r="CK488" s="21"/>
      <c r="CL488" s="21"/>
      <c r="CM488" s="21"/>
      <c r="CN488" s="21"/>
      <c r="CO488" s="21"/>
      <c r="CP488" s="21"/>
      <c r="CQ488" s="21"/>
      <c r="CR488" s="21"/>
      <c r="CS488" s="21"/>
      <c r="CT488" s="21"/>
      <c r="CU488" s="21"/>
      <c r="CV488" s="21"/>
      <c r="CW488" s="21"/>
      <c r="CX488" s="21"/>
      <c r="CY488" s="21"/>
      <c r="CZ488" s="21"/>
      <c r="DA488" s="21"/>
      <c r="DB488" s="21"/>
      <c r="DC488" s="21"/>
      <c r="DD488" s="21"/>
      <c r="DE488" s="21"/>
      <c r="DF488" s="21"/>
      <c r="DG488" s="21"/>
      <c r="DH488" s="21"/>
      <c r="DI488" s="21"/>
      <c r="DJ488" s="21"/>
      <c r="DK488" s="21"/>
      <c r="DL488" s="21"/>
      <c r="DM488" s="21"/>
      <c r="DN488" s="21"/>
      <c r="DO488" s="21"/>
      <c r="DP488" s="21"/>
      <c r="DQ488" s="21"/>
      <c r="DR488" s="21"/>
      <c r="DS488" s="21"/>
      <c r="DT488" s="21"/>
      <c r="DU488" s="21"/>
      <c r="DV488" s="21"/>
      <c r="DW488" s="21"/>
      <c r="DX488" s="21"/>
      <c r="DY488" s="21"/>
      <c r="DZ488" s="21"/>
      <c r="EA488" s="21"/>
      <c r="EB488" s="21"/>
      <c r="EC488" s="21"/>
      <c r="ED488" s="21"/>
      <c r="EE488" s="21"/>
      <c r="EF488" s="21"/>
      <c r="EG488" s="21"/>
      <c r="EH488" s="21"/>
      <c r="EI488" s="21"/>
      <c r="EJ488" s="21"/>
      <c r="EK488" s="21"/>
      <c r="EL488" s="21"/>
      <c r="EM488" s="21"/>
      <c r="EN488" s="21"/>
      <c r="EO488" s="21"/>
      <c r="EP488" s="21"/>
      <c r="EQ488" s="21"/>
      <c r="ER488" s="21"/>
      <c r="ES488" s="21"/>
      <c r="ET488" s="21"/>
      <c r="EU488" s="21"/>
      <c r="EV488" s="21"/>
      <c r="EW488" s="21"/>
      <c r="EX488" s="21"/>
      <c r="EY488" s="21"/>
      <c r="EZ488" s="21"/>
      <c r="FA488" s="21"/>
      <c r="FB488" s="21"/>
      <c r="FC488" s="21"/>
      <c r="FD488" s="21"/>
      <c r="FE488" s="21"/>
      <c r="FF488" s="21"/>
      <c r="FG488" s="21"/>
      <c r="FH488" s="21"/>
      <c r="FI488" s="21"/>
      <c r="FJ488" s="21"/>
      <c r="FK488" s="21"/>
      <c r="FL488" s="21"/>
      <c r="FM488" s="21"/>
      <c r="FN488" s="21"/>
      <c r="FO488" s="21"/>
      <c r="FP488" s="21"/>
      <c r="FQ488" s="21"/>
      <c r="FR488" s="21"/>
      <c r="FS488" s="21"/>
      <c r="FT488" s="21"/>
      <c r="FU488" s="21"/>
      <c r="FV488" s="21"/>
      <c r="FW488" s="21"/>
      <c r="FX488" s="21"/>
      <c r="FY488" s="21"/>
      <c r="FZ488" s="21"/>
      <c r="GA488" s="21"/>
      <c r="GB488" s="21"/>
      <c r="GC488" s="21"/>
      <c r="GD488" s="21"/>
      <c r="GE488" s="21"/>
      <c r="GF488" s="21"/>
      <c r="GG488" s="21"/>
      <c r="GH488" s="21"/>
      <c r="GI488" s="21"/>
      <c r="GJ488" s="21"/>
      <c r="GK488" s="21"/>
      <c r="GL488" s="21"/>
      <c r="GM488" s="21"/>
      <c r="GN488" s="21"/>
      <c r="GO488" s="21"/>
      <c r="GP488" s="21"/>
      <c r="GQ488" s="21"/>
      <c r="GR488" s="21"/>
      <c r="GS488" s="21"/>
      <c r="GT488" s="21"/>
      <c r="GU488" s="21"/>
      <c r="GV488" s="21"/>
      <c r="GW488" s="21"/>
      <c r="GX488" s="21"/>
      <c r="GY488" s="21"/>
      <c r="GZ488" s="21"/>
      <c r="HA488" s="21"/>
      <c r="HB488" s="21"/>
    </row>
    <row r="489" spans="1:210"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21"/>
      <c r="CH489" s="21"/>
      <c r="CI489" s="21"/>
      <c r="CJ489" s="21"/>
      <c r="CK489" s="21"/>
      <c r="CL489" s="21"/>
      <c r="CM489" s="21"/>
      <c r="CN489" s="21"/>
      <c r="CO489" s="21"/>
      <c r="CP489" s="21"/>
      <c r="CQ489" s="21"/>
      <c r="CR489" s="21"/>
      <c r="CS489" s="21"/>
      <c r="CT489" s="21"/>
      <c r="CU489" s="21"/>
      <c r="CV489" s="21"/>
      <c r="CW489" s="21"/>
      <c r="CX489" s="21"/>
      <c r="CY489" s="21"/>
      <c r="CZ489" s="21"/>
      <c r="DA489" s="21"/>
      <c r="DB489" s="21"/>
      <c r="DC489" s="21"/>
      <c r="DD489" s="21"/>
      <c r="DE489" s="21"/>
      <c r="DF489" s="21"/>
      <c r="DG489" s="21"/>
      <c r="DH489" s="21"/>
      <c r="DI489" s="21"/>
      <c r="DJ489" s="21"/>
      <c r="DK489" s="21"/>
      <c r="DL489" s="21"/>
      <c r="DM489" s="21"/>
      <c r="DN489" s="21"/>
      <c r="DO489" s="21"/>
      <c r="DP489" s="21"/>
      <c r="DQ489" s="21"/>
      <c r="DR489" s="21"/>
      <c r="DS489" s="21"/>
      <c r="DT489" s="21"/>
      <c r="DU489" s="21"/>
      <c r="DV489" s="21"/>
      <c r="DW489" s="21"/>
      <c r="DX489" s="21"/>
      <c r="DY489" s="21"/>
      <c r="DZ489" s="21"/>
      <c r="EA489" s="21"/>
      <c r="EB489" s="21"/>
      <c r="EC489" s="21"/>
      <c r="ED489" s="21"/>
      <c r="EE489" s="21"/>
      <c r="EF489" s="21"/>
      <c r="EG489" s="21"/>
      <c r="EH489" s="21"/>
      <c r="EI489" s="21"/>
      <c r="EJ489" s="21"/>
      <c r="EK489" s="21"/>
      <c r="EL489" s="21"/>
      <c r="EM489" s="21"/>
      <c r="EN489" s="21"/>
      <c r="EO489" s="21"/>
      <c r="EP489" s="21"/>
      <c r="EQ489" s="21"/>
      <c r="ER489" s="21"/>
      <c r="ES489" s="21"/>
      <c r="ET489" s="21"/>
      <c r="EU489" s="21"/>
      <c r="EV489" s="21"/>
      <c r="EW489" s="21"/>
      <c r="EX489" s="21"/>
      <c r="EY489" s="21"/>
      <c r="EZ489" s="21"/>
      <c r="FA489" s="21"/>
      <c r="FB489" s="21"/>
      <c r="FC489" s="21"/>
      <c r="FD489" s="21"/>
      <c r="FE489" s="21"/>
      <c r="FF489" s="21"/>
      <c r="FG489" s="21"/>
      <c r="FH489" s="21"/>
      <c r="FI489" s="21"/>
      <c r="FJ489" s="21"/>
      <c r="FK489" s="21"/>
      <c r="FL489" s="21"/>
      <c r="FM489" s="21"/>
      <c r="FN489" s="21"/>
      <c r="FO489" s="21"/>
      <c r="FP489" s="21"/>
      <c r="FQ489" s="21"/>
      <c r="FR489" s="21"/>
      <c r="FS489" s="21"/>
      <c r="FT489" s="21"/>
      <c r="FU489" s="21"/>
      <c r="FV489" s="21"/>
      <c r="FW489" s="21"/>
      <c r="FX489" s="21"/>
      <c r="FY489" s="21"/>
      <c r="FZ489" s="21"/>
      <c r="GA489" s="21"/>
      <c r="GB489" s="21"/>
      <c r="GC489" s="21"/>
      <c r="GD489" s="21"/>
      <c r="GE489" s="21"/>
      <c r="GF489" s="21"/>
      <c r="GG489" s="21"/>
      <c r="GH489" s="21"/>
      <c r="GI489" s="21"/>
      <c r="GJ489" s="21"/>
      <c r="GK489" s="21"/>
      <c r="GL489" s="21"/>
      <c r="GM489" s="21"/>
      <c r="GN489" s="21"/>
      <c r="GO489" s="21"/>
      <c r="GP489" s="21"/>
      <c r="GQ489" s="21"/>
      <c r="GR489" s="21"/>
      <c r="GS489" s="21"/>
      <c r="GT489" s="21"/>
      <c r="GU489" s="21"/>
      <c r="GV489" s="21"/>
      <c r="GW489" s="21"/>
      <c r="GX489" s="21"/>
      <c r="GY489" s="21"/>
      <c r="GZ489" s="21"/>
      <c r="HA489" s="21"/>
      <c r="HB489" s="21"/>
    </row>
    <row r="490" spans="1:210"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21"/>
      <c r="CH490" s="21"/>
      <c r="CI490" s="21"/>
      <c r="CJ490" s="21"/>
      <c r="CK490" s="21"/>
      <c r="CL490" s="21"/>
      <c r="CM490" s="21"/>
      <c r="CN490" s="21"/>
      <c r="CO490" s="21"/>
      <c r="CP490" s="21"/>
      <c r="CQ490" s="21"/>
      <c r="CR490" s="21"/>
      <c r="CS490" s="21"/>
      <c r="CT490" s="21"/>
      <c r="CU490" s="21"/>
      <c r="CV490" s="21"/>
      <c r="CW490" s="21"/>
      <c r="CX490" s="21"/>
      <c r="CY490" s="21"/>
      <c r="CZ490" s="21"/>
      <c r="DA490" s="21"/>
      <c r="DB490" s="21"/>
      <c r="DC490" s="21"/>
      <c r="DD490" s="21"/>
      <c r="DE490" s="21"/>
      <c r="DF490" s="21"/>
      <c r="DG490" s="21"/>
      <c r="DH490" s="21"/>
      <c r="DI490" s="21"/>
      <c r="DJ490" s="21"/>
      <c r="DK490" s="21"/>
      <c r="DL490" s="21"/>
      <c r="DM490" s="21"/>
      <c r="DN490" s="21"/>
      <c r="DO490" s="21"/>
      <c r="DP490" s="21"/>
      <c r="DQ490" s="21"/>
      <c r="DR490" s="21"/>
      <c r="DS490" s="21"/>
      <c r="DT490" s="21"/>
      <c r="DU490" s="21"/>
      <c r="DV490" s="21"/>
      <c r="DW490" s="21"/>
      <c r="DX490" s="21"/>
      <c r="DY490" s="21"/>
      <c r="DZ490" s="21"/>
      <c r="EA490" s="21"/>
      <c r="EB490" s="21"/>
      <c r="EC490" s="21"/>
      <c r="ED490" s="21"/>
      <c r="EE490" s="21"/>
      <c r="EF490" s="21"/>
      <c r="EG490" s="21"/>
      <c r="EH490" s="21"/>
      <c r="EI490" s="21"/>
      <c r="EJ490" s="21"/>
      <c r="EK490" s="21"/>
      <c r="EL490" s="21"/>
      <c r="EM490" s="21"/>
      <c r="EN490" s="21"/>
      <c r="EO490" s="21"/>
      <c r="EP490" s="21"/>
      <c r="EQ490" s="21"/>
      <c r="ER490" s="21"/>
      <c r="ES490" s="21"/>
      <c r="ET490" s="21"/>
      <c r="EU490" s="21"/>
      <c r="EV490" s="21"/>
      <c r="EW490" s="21"/>
      <c r="EX490" s="21"/>
      <c r="EY490" s="21"/>
      <c r="EZ490" s="21"/>
      <c r="FA490" s="21"/>
      <c r="FB490" s="21"/>
      <c r="FC490" s="21"/>
      <c r="FD490" s="21"/>
      <c r="FE490" s="21"/>
      <c r="FF490" s="21"/>
      <c r="FG490" s="21"/>
      <c r="FH490" s="21"/>
      <c r="FI490" s="21"/>
      <c r="FJ490" s="21"/>
      <c r="FK490" s="21"/>
      <c r="FL490" s="21"/>
      <c r="FM490" s="21"/>
      <c r="FN490" s="21"/>
      <c r="FO490" s="21"/>
      <c r="FP490" s="21"/>
      <c r="FQ490" s="21"/>
      <c r="FR490" s="21"/>
      <c r="FS490" s="21"/>
      <c r="FT490" s="21"/>
      <c r="FU490" s="21"/>
      <c r="FV490" s="21"/>
      <c r="FW490" s="21"/>
      <c r="FX490" s="21"/>
      <c r="FY490" s="21"/>
      <c r="FZ490" s="21"/>
      <c r="GA490" s="21"/>
      <c r="GB490" s="21"/>
      <c r="GC490" s="21"/>
      <c r="GD490" s="21"/>
      <c r="GE490" s="21"/>
      <c r="GF490" s="21"/>
      <c r="GG490" s="21"/>
      <c r="GH490" s="21"/>
      <c r="GI490" s="21"/>
      <c r="GJ490" s="21"/>
      <c r="GK490" s="21"/>
      <c r="GL490" s="21"/>
      <c r="GM490" s="21"/>
      <c r="GN490" s="21"/>
      <c r="GO490" s="21"/>
      <c r="GP490" s="21"/>
      <c r="GQ490" s="21"/>
      <c r="GR490" s="21"/>
      <c r="GS490" s="21"/>
      <c r="GT490" s="21"/>
      <c r="GU490" s="21"/>
      <c r="GV490" s="21"/>
      <c r="GW490" s="21"/>
      <c r="GX490" s="21"/>
      <c r="GY490" s="21"/>
      <c r="GZ490" s="21"/>
      <c r="HA490" s="21"/>
      <c r="HB490" s="21"/>
    </row>
    <row r="491" spans="1:210"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c r="DB491" s="21"/>
      <c r="DC491" s="21"/>
      <c r="DD491" s="21"/>
      <c r="DE491" s="21"/>
      <c r="DF491" s="21"/>
      <c r="DG491" s="21"/>
      <c r="DH491" s="21"/>
      <c r="DI491" s="21"/>
      <c r="DJ491" s="21"/>
      <c r="DK491" s="21"/>
      <c r="DL491" s="21"/>
      <c r="DM491" s="21"/>
      <c r="DN491" s="21"/>
      <c r="DO491" s="21"/>
      <c r="DP491" s="21"/>
      <c r="DQ491" s="21"/>
      <c r="DR491" s="21"/>
      <c r="DS491" s="21"/>
      <c r="DT491" s="21"/>
      <c r="DU491" s="21"/>
      <c r="DV491" s="21"/>
      <c r="DW491" s="21"/>
      <c r="DX491" s="21"/>
      <c r="DY491" s="21"/>
      <c r="DZ491" s="21"/>
      <c r="EA491" s="21"/>
      <c r="EB491" s="21"/>
      <c r="EC491" s="21"/>
      <c r="ED491" s="21"/>
      <c r="EE491" s="21"/>
      <c r="EF491" s="21"/>
      <c r="EG491" s="21"/>
      <c r="EH491" s="21"/>
      <c r="EI491" s="21"/>
      <c r="EJ491" s="21"/>
      <c r="EK491" s="21"/>
      <c r="EL491" s="21"/>
      <c r="EM491" s="21"/>
      <c r="EN491" s="21"/>
      <c r="EO491" s="21"/>
      <c r="EP491" s="21"/>
      <c r="EQ491" s="21"/>
      <c r="ER491" s="21"/>
      <c r="ES491" s="21"/>
      <c r="ET491" s="21"/>
      <c r="EU491" s="21"/>
      <c r="EV491" s="21"/>
      <c r="EW491" s="21"/>
      <c r="EX491" s="21"/>
      <c r="EY491" s="21"/>
      <c r="EZ491" s="21"/>
      <c r="FA491" s="21"/>
      <c r="FB491" s="21"/>
      <c r="FC491" s="21"/>
      <c r="FD491" s="21"/>
      <c r="FE491" s="21"/>
      <c r="FF491" s="21"/>
      <c r="FG491" s="21"/>
      <c r="FH491" s="21"/>
      <c r="FI491" s="21"/>
      <c r="FJ491" s="21"/>
      <c r="FK491" s="21"/>
      <c r="FL491" s="21"/>
      <c r="FM491" s="21"/>
      <c r="FN491" s="21"/>
      <c r="FO491" s="21"/>
      <c r="FP491" s="21"/>
      <c r="FQ491" s="21"/>
      <c r="FR491" s="21"/>
      <c r="FS491" s="21"/>
      <c r="FT491" s="21"/>
      <c r="FU491" s="21"/>
      <c r="FV491" s="21"/>
      <c r="FW491" s="21"/>
      <c r="FX491" s="21"/>
      <c r="FY491" s="21"/>
      <c r="FZ491" s="21"/>
      <c r="GA491" s="21"/>
      <c r="GB491" s="21"/>
      <c r="GC491" s="21"/>
      <c r="GD491" s="21"/>
      <c r="GE491" s="21"/>
      <c r="GF491" s="21"/>
      <c r="GG491" s="21"/>
      <c r="GH491" s="21"/>
      <c r="GI491" s="21"/>
      <c r="GJ491" s="21"/>
      <c r="GK491" s="21"/>
      <c r="GL491" s="21"/>
      <c r="GM491" s="21"/>
      <c r="GN491" s="21"/>
      <c r="GO491" s="21"/>
      <c r="GP491" s="21"/>
      <c r="GQ491" s="21"/>
      <c r="GR491" s="21"/>
      <c r="GS491" s="21"/>
      <c r="GT491" s="21"/>
      <c r="GU491" s="21"/>
      <c r="GV491" s="21"/>
      <c r="GW491" s="21"/>
      <c r="GX491" s="21"/>
      <c r="GY491" s="21"/>
      <c r="GZ491" s="21"/>
      <c r="HA491" s="21"/>
      <c r="HB491" s="21"/>
    </row>
    <row r="492" spans="1:210"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21"/>
      <c r="CH492" s="21"/>
      <c r="CI492" s="21"/>
      <c r="CJ492" s="21"/>
      <c r="CK492" s="21"/>
      <c r="CL492" s="21"/>
      <c r="CM492" s="21"/>
      <c r="CN492" s="21"/>
      <c r="CO492" s="21"/>
      <c r="CP492" s="21"/>
      <c r="CQ492" s="21"/>
      <c r="CR492" s="21"/>
      <c r="CS492" s="21"/>
      <c r="CT492" s="21"/>
      <c r="CU492" s="21"/>
      <c r="CV492" s="21"/>
      <c r="CW492" s="21"/>
      <c r="CX492" s="21"/>
      <c r="CY492" s="21"/>
      <c r="CZ492" s="21"/>
      <c r="DA492" s="21"/>
      <c r="DB492" s="21"/>
      <c r="DC492" s="21"/>
      <c r="DD492" s="21"/>
      <c r="DE492" s="21"/>
      <c r="DF492" s="21"/>
      <c r="DG492" s="21"/>
      <c r="DH492" s="21"/>
      <c r="DI492" s="21"/>
      <c r="DJ492" s="21"/>
      <c r="DK492" s="21"/>
      <c r="DL492" s="21"/>
      <c r="DM492" s="21"/>
      <c r="DN492" s="21"/>
      <c r="DO492" s="21"/>
      <c r="DP492" s="21"/>
      <c r="DQ492" s="21"/>
      <c r="DR492" s="21"/>
      <c r="DS492" s="21"/>
      <c r="DT492" s="21"/>
      <c r="DU492" s="21"/>
      <c r="DV492" s="21"/>
      <c r="DW492" s="21"/>
      <c r="DX492" s="21"/>
      <c r="DY492" s="21"/>
      <c r="DZ492" s="21"/>
      <c r="EA492" s="21"/>
      <c r="EB492" s="21"/>
      <c r="EC492" s="21"/>
      <c r="ED492" s="21"/>
      <c r="EE492" s="21"/>
      <c r="EF492" s="21"/>
      <c r="EG492" s="21"/>
      <c r="EH492" s="21"/>
      <c r="EI492" s="21"/>
      <c r="EJ492" s="21"/>
      <c r="EK492" s="21"/>
      <c r="EL492" s="21"/>
      <c r="EM492" s="21"/>
      <c r="EN492" s="21"/>
      <c r="EO492" s="21"/>
      <c r="EP492" s="21"/>
      <c r="EQ492" s="21"/>
      <c r="ER492" s="21"/>
      <c r="ES492" s="21"/>
      <c r="ET492" s="21"/>
      <c r="EU492" s="21"/>
      <c r="EV492" s="21"/>
      <c r="EW492" s="21"/>
      <c r="EX492" s="21"/>
      <c r="EY492" s="21"/>
      <c r="EZ492" s="21"/>
      <c r="FA492" s="21"/>
      <c r="FB492" s="21"/>
      <c r="FC492" s="21"/>
      <c r="FD492" s="21"/>
      <c r="FE492" s="21"/>
      <c r="FF492" s="21"/>
      <c r="FG492" s="21"/>
      <c r="FH492" s="21"/>
      <c r="FI492" s="21"/>
      <c r="FJ492" s="21"/>
      <c r="FK492" s="21"/>
      <c r="FL492" s="21"/>
      <c r="FM492" s="21"/>
      <c r="FN492" s="21"/>
      <c r="FO492" s="21"/>
      <c r="FP492" s="21"/>
      <c r="FQ492" s="21"/>
      <c r="FR492" s="21"/>
      <c r="FS492" s="21"/>
      <c r="FT492" s="21"/>
      <c r="FU492" s="21"/>
      <c r="FV492" s="21"/>
      <c r="FW492" s="21"/>
      <c r="FX492" s="21"/>
      <c r="FY492" s="21"/>
      <c r="FZ492" s="21"/>
      <c r="GA492" s="21"/>
      <c r="GB492" s="21"/>
      <c r="GC492" s="21"/>
      <c r="GD492" s="21"/>
      <c r="GE492" s="21"/>
      <c r="GF492" s="21"/>
      <c r="GG492" s="21"/>
      <c r="GH492" s="21"/>
      <c r="GI492" s="21"/>
      <c r="GJ492" s="21"/>
      <c r="GK492" s="21"/>
      <c r="GL492" s="21"/>
      <c r="GM492" s="21"/>
      <c r="GN492" s="21"/>
      <c r="GO492" s="21"/>
      <c r="GP492" s="21"/>
      <c r="GQ492" s="21"/>
      <c r="GR492" s="21"/>
      <c r="GS492" s="21"/>
      <c r="GT492" s="21"/>
      <c r="GU492" s="21"/>
      <c r="GV492" s="21"/>
      <c r="GW492" s="21"/>
      <c r="GX492" s="21"/>
      <c r="GY492" s="21"/>
      <c r="GZ492" s="21"/>
      <c r="HA492" s="21"/>
      <c r="HB492" s="21"/>
    </row>
    <row r="493" spans="1:210"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c r="DB493" s="21"/>
      <c r="DC493" s="21"/>
      <c r="DD493" s="21"/>
      <c r="DE493" s="21"/>
      <c r="DF493" s="21"/>
      <c r="DG493" s="21"/>
      <c r="DH493" s="21"/>
      <c r="DI493" s="21"/>
      <c r="DJ493" s="21"/>
      <c r="DK493" s="21"/>
      <c r="DL493" s="21"/>
      <c r="DM493" s="21"/>
      <c r="DN493" s="21"/>
      <c r="DO493" s="21"/>
      <c r="DP493" s="21"/>
      <c r="DQ493" s="21"/>
      <c r="DR493" s="21"/>
      <c r="DS493" s="21"/>
      <c r="DT493" s="21"/>
      <c r="DU493" s="21"/>
      <c r="DV493" s="21"/>
      <c r="DW493" s="21"/>
      <c r="DX493" s="21"/>
      <c r="DY493" s="21"/>
      <c r="DZ493" s="21"/>
      <c r="EA493" s="21"/>
      <c r="EB493" s="21"/>
      <c r="EC493" s="21"/>
      <c r="ED493" s="21"/>
      <c r="EE493" s="21"/>
      <c r="EF493" s="21"/>
      <c r="EG493" s="21"/>
      <c r="EH493" s="21"/>
      <c r="EI493" s="21"/>
      <c r="EJ493" s="21"/>
      <c r="EK493" s="21"/>
      <c r="EL493" s="21"/>
      <c r="EM493" s="21"/>
      <c r="EN493" s="21"/>
      <c r="EO493" s="21"/>
      <c r="EP493" s="21"/>
      <c r="EQ493" s="21"/>
      <c r="ER493" s="21"/>
      <c r="ES493" s="21"/>
      <c r="ET493" s="21"/>
      <c r="EU493" s="21"/>
      <c r="EV493" s="21"/>
      <c r="EW493" s="21"/>
      <c r="EX493" s="21"/>
      <c r="EY493" s="21"/>
      <c r="EZ493" s="21"/>
      <c r="FA493" s="21"/>
      <c r="FB493" s="21"/>
      <c r="FC493" s="21"/>
      <c r="FD493" s="21"/>
      <c r="FE493" s="21"/>
      <c r="FF493" s="21"/>
      <c r="FG493" s="21"/>
      <c r="FH493" s="21"/>
      <c r="FI493" s="21"/>
      <c r="FJ493" s="21"/>
      <c r="FK493" s="21"/>
      <c r="FL493" s="21"/>
      <c r="FM493" s="21"/>
      <c r="FN493" s="21"/>
      <c r="FO493" s="21"/>
      <c r="FP493" s="21"/>
      <c r="FQ493" s="21"/>
      <c r="FR493" s="21"/>
      <c r="FS493" s="21"/>
      <c r="FT493" s="21"/>
      <c r="FU493" s="21"/>
      <c r="FV493" s="21"/>
      <c r="FW493" s="21"/>
      <c r="FX493" s="21"/>
      <c r="FY493" s="21"/>
      <c r="FZ493" s="21"/>
      <c r="GA493" s="21"/>
      <c r="GB493" s="21"/>
      <c r="GC493" s="21"/>
      <c r="GD493" s="21"/>
      <c r="GE493" s="21"/>
      <c r="GF493" s="21"/>
      <c r="GG493" s="21"/>
      <c r="GH493" s="21"/>
      <c r="GI493" s="21"/>
      <c r="GJ493" s="21"/>
      <c r="GK493" s="21"/>
      <c r="GL493" s="21"/>
      <c r="GM493" s="21"/>
      <c r="GN493" s="21"/>
      <c r="GO493" s="21"/>
      <c r="GP493" s="21"/>
      <c r="GQ493" s="21"/>
      <c r="GR493" s="21"/>
      <c r="GS493" s="21"/>
      <c r="GT493" s="21"/>
      <c r="GU493" s="21"/>
      <c r="GV493" s="21"/>
      <c r="GW493" s="21"/>
      <c r="GX493" s="21"/>
      <c r="GY493" s="21"/>
      <c r="GZ493" s="21"/>
      <c r="HA493" s="21"/>
      <c r="HB493" s="21"/>
    </row>
    <row r="494" spans="1:210"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c r="DB494" s="21"/>
      <c r="DC494" s="21"/>
      <c r="DD494" s="21"/>
      <c r="DE494" s="21"/>
      <c r="DF494" s="21"/>
      <c r="DG494" s="21"/>
      <c r="DH494" s="21"/>
      <c r="DI494" s="21"/>
      <c r="DJ494" s="21"/>
      <c r="DK494" s="21"/>
      <c r="DL494" s="21"/>
      <c r="DM494" s="21"/>
      <c r="DN494" s="21"/>
      <c r="DO494" s="21"/>
      <c r="DP494" s="21"/>
      <c r="DQ494" s="21"/>
      <c r="DR494" s="21"/>
      <c r="DS494" s="21"/>
      <c r="DT494" s="21"/>
      <c r="DU494" s="21"/>
      <c r="DV494" s="21"/>
      <c r="DW494" s="21"/>
      <c r="DX494" s="21"/>
      <c r="DY494" s="21"/>
      <c r="DZ494" s="21"/>
      <c r="EA494" s="21"/>
      <c r="EB494" s="21"/>
      <c r="EC494" s="21"/>
      <c r="ED494" s="21"/>
      <c r="EE494" s="21"/>
      <c r="EF494" s="21"/>
      <c r="EG494" s="21"/>
      <c r="EH494" s="21"/>
      <c r="EI494" s="21"/>
      <c r="EJ494" s="21"/>
      <c r="EK494" s="21"/>
      <c r="EL494" s="21"/>
      <c r="EM494" s="21"/>
      <c r="EN494" s="21"/>
      <c r="EO494" s="21"/>
      <c r="EP494" s="21"/>
      <c r="EQ494" s="21"/>
      <c r="ER494" s="21"/>
      <c r="ES494" s="21"/>
      <c r="ET494" s="21"/>
      <c r="EU494" s="21"/>
      <c r="EV494" s="21"/>
      <c r="EW494" s="21"/>
      <c r="EX494" s="21"/>
      <c r="EY494" s="21"/>
      <c r="EZ494" s="21"/>
      <c r="FA494" s="21"/>
      <c r="FB494" s="21"/>
      <c r="FC494" s="21"/>
      <c r="FD494" s="21"/>
      <c r="FE494" s="21"/>
      <c r="FF494" s="21"/>
      <c r="FG494" s="21"/>
      <c r="FH494" s="21"/>
      <c r="FI494" s="21"/>
      <c r="FJ494" s="21"/>
      <c r="FK494" s="21"/>
      <c r="FL494" s="21"/>
      <c r="FM494" s="21"/>
      <c r="FN494" s="21"/>
      <c r="FO494" s="21"/>
      <c r="FP494" s="21"/>
      <c r="FQ494" s="21"/>
      <c r="FR494" s="21"/>
      <c r="FS494" s="21"/>
      <c r="FT494" s="21"/>
      <c r="FU494" s="21"/>
      <c r="FV494" s="21"/>
      <c r="FW494" s="21"/>
      <c r="FX494" s="21"/>
      <c r="FY494" s="21"/>
      <c r="FZ494" s="21"/>
      <c r="GA494" s="21"/>
      <c r="GB494" s="21"/>
      <c r="GC494" s="21"/>
      <c r="GD494" s="21"/>
      <c r="GE494" s="21"/>
      <c r="GF494" s="21"/>
      <c r="GG494" s="21"/>
      <c r="GH494" s="21"/>
      <c r="GI494" s="21"/>
      <c r="GJ494" s="21"/>
      <c r="GK494" s="21"/>
      <c r="GL494" s="21"/>
      <c r="GM494" s="21"/>
      <c r="GN494" s="21"/>
      <c r="GO494" s="21"/>
      <c r="GP494" s="21"/>
      <c r="GQ494" s="21"/>
      <c r="GR494" s="21"/>
      <c r="GS494" s="21"/>
      <c r="GT494" s="21"/>
      <c r="GU494" s="21"/>
      <c r="GV494" s="21"/>
      <c r="GW494" s="21"/>
      <c r="GX494" s="21"/>
      <c r="GY494" s="21"/>
      <c r="GZ494" s="21"/>
      <c r="HA494" s="21"/>
      <c r="HB494" s="21"/>
    </row>
    <row r="495" spans="1:210"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c r="DB495" s="21"/>
      <c r="DC495" s="21"/>
      <c r="DD495" s="21"/>
      <c r="DE495" s="21"/>
      <c r="DF495" s="21"/>
      <c r="DG495" s="21"/>
      <c r="DH495" s="21"/>
      <c r="DI495" s="21"/>
      <c r="DJ495" s="21"/>
      <c r="DK495" s="21"/>
      <c r="DL495" s="21"/>
      <c r="DM495" s="21"/>
      <c r="DN495" s="21"/>
      <c r="DO495" s="21"/>
      <c r="DP495" s="21"/>
      <c r="DQ495" s="21"/>
      <c r="DR495" s="21"/>
      <c r="DS495" s="21"/>
      <c r="DT495" s="21"/>
      <c r="DU495" s="21"/>
      <c r="DV495" s="21"/>
      <c r="DW495" s="21"/>
      <c r="DX495" s="21"/>
      <c r="DY495" s="21"/>
      <c r="DZ495" s="21"/>
      <c r="EA495" s="21"/>
      <c r="EB495" s="21"/>
      <c r="EC495" s="21"/>
      <c r="ED495" s="21"/>
      <c r="EE495" s="21"/>
      <c r="EF495" s="21"/>
      <c r="EG495" s="21"/>
      <c r="EH495" s="21"/>
      <c r="EI495" s="21"/>
      <c r="EJ495" s="21"/>
      <c r="EK495" s="21"/>
      <c r="EL495" s="21"/>
      <c r="EM495" s="21"/>
      <c r="EN495" s="21"/>
      <c r="EO495" s="21"/>
      <c r="EP495" s="21"/>
      <c r="EQ495" s="21"/>
      <c r="ER495" s="21"/>
      <c r="ES495" s="21"/>
      <c r="ET495" s="21"/>
      <c r="EU495" s="21"/>
      <c r="EV495" s="21"/>
      <c r="EW495" s="21"/>
      <c r="EX495" s="21"/>
      <c r="EY495" s="21"/>
      <c r="EZ495" s="21"/>
      <c r="FA495" s="21"/>
      <c r="FB495" s="21"/>
      <c r="FC495" s="21"/>
      <c r="FD495" s="21"/>
      <c r="FE495" s="21"/>
      <c r="FF495" s="21"/>
      <c r="FG495" s="21"/>
      <c r="FH495" s="21"/>
      <c r="FI495" s="21"/>
      <c r="FJ495" s="21"/>
      <c r="FK495" s="21"/>
      <c r="FL495" s="21"/>
      <c r="FM495" s="21"/>
      <c r="FN495" s="21"/>
      <c r="FO495" s="21"/>
      <c r="FP495" s="21"/>
      <c r="FQ495" s="21"/>
      <c r="FR495" s="21"/>
      <c r="FS495" s="21"/>
      <c r="FT495" s="21"/>
      <c r="FU495" s="21"/>
      <c r="FV495" s="21"/>
      <c r="FW495" s="21"/>
      <c r="FX495" s="21"/>
      <c r="FY495" s="21"/>
      <c r="FZ495" s="21"/>
      <c r="GA495" s="21"/>
      <c r="GB495" s="21"/>
      <c r="GC495" s="21"/>
      <c r="GD495" s="21"/>
      <c r="GE495" s="21"/>
      <c r="GF495" s="21"/>
      <c r="GG495" s="21"/>
      <c r="GH495" s="21"/>
      <c r="GI495" s="21"/>
      <c r="GJ495" s="21"/>
      <c r="GK495" s="21"/>
      <c r="GL495" s="21"/>
      <c r="GM495" s="21"/>
      <c r="GN495" s="21"/>
      <c r="GO495" s="21"/>
      <c r="GP495" s="21"/>
      <c r="GQ495" s="21"/>
      <c r="GR495" s="21"/>
      <c r="GS495" s="21"/>
      <c r="GT495" s="21"/>
      <c r="GU495" s="21"/>
      <c r="GV495" s="21"/>
      <c r="GW495" s="21"/>
      <c r="GX495" s="21"/>
      <c r="GY495" s="21"/>
      <c r="GZ495" s="21"/>
      <c r="HA495" s="21"/>
      <c r="HB495" s="21"/>
    </row>
    <row r="496" spans="1:210"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21"/>
      <c r="CH496" s="21"/>
      <c r="CI496" s="21"/>
      <c r="CJ496" s="21"/>
      <c r="CK496" s="21"/>
      <c r="CL496" s="21"/>
      <c r="CM496" s="21"/>
      <c r="CN496" s="21"/>
      <c r="CO496" s="21"/>
      <c r="CP496" s="21"/>
      <c r="CQ496" s="21"/>
      <c r="CR496" s="21"/>
      <c r="CS496" s="21"/>
      <c r="CT496" s="21"/>
      <c r="CU496" s="21"/>
      <c r="CV496" s="21"/>
      <c r="CW496" s="21"/>
      <c r="CX496" s="21"/>
      <c r="CY496" s="21"/>
      <c r="CZ496" s="21"/>
      <c r="DA496" s="21"/>
      <c r="DB496" s="21"/>
      <c r="DC496" s="21"/>
      <c r="DD496" s="21"/>
      <c r="DE496" s="21"/>
      <c r="DF496" s="21"/>
      <c r="DG496" s="21"/>
      <c r="DH496" s="21"/>
      <c r="DI496" s="21"/>
      <c r="DJ496" s="21"/>
      <c r="DK496" s="21"/>
      <c r="DL496" s="21"/>
      <c r="DM496" s="21"/>
      <c r="DN496" s="21"/>
      <c r="DO496" s="21"/>
      <c r="DP496" s="21"/>
      <c r="DQ496" s="21"/>
      <c r="DR496" s="21"/>
      <c r="DS496" s="21"/>
      <c r="DT496" s="21"/>
      <c r="DU496" s="21"/>
      <c r="DV496" s="21"/>
      <c r="DW496" s="21"/>
      <c r="DX496" s="21"/>
      <c r="DY496" s="21"/>
      <c r="DZ496" s="21"/>
      <c r="EA496" s="21"/>
      <c r="EB496" s="21"/>
      <c r="EC496" s="21"/>
      <c r="ED496" s="21"/>
      <c r="EE496" s="21"/>
      <c r="EF496" s="21"/>
      <c r="EG496" s="21"/>
      <c r="EH496" s="21"/>
      <c r="EI496" s="21"/>
      <c r="EJ496" s="21"/>
      <c r="EK496" s="21"/>
      <c r="EL496" s="21"/>
      <c r="EM496" s="21"/>
      <c r="EN496" s="21"/>
      <c r="EO496" s="21"/>
      <c r="EP496" s="21"/>
      <c r="EQ496" s="21"/>
      <c r="ER496" s="21"/>
      <c r="ES496" s="21"/>
      <c r="ET496" s="21"/>
      <c r="EU496" s="21"/>
      <c r="EV496" s="21"/>
      <c r="EW496" s="21"/>
      <c r="EX496" s="21"/>
      <c r="EY496" s="21"/>
      <c r="EZ496" s="21"/>
      <c r="FA496" s="21"/>
      <c r="FB496" s="21"/>
      <c r="FC496" s="21"/>
      <c r="FD496" s="21"/>
      <c r="FE496" s="21"/>
      <c r="FF496" s="21"/>
      <c r="FG496" s="21"/>
      <c r="FH496" s="21"/>
      <c r="FI496" s="21"/>
      <c r="FJ496" s="21"/>
      <c r="FK496" s="21"/>
      <c r="FL496" s="21"/>
      <c r="FM496" s="21"/>
      <c r="FN496" s="21"/>
      <c r="FO496" s="21"/>
      <c r="FP496" s="21"/>
      <c r="FQ496" s="21"/>
      <c r="FR496" s="21"/>
      <c r="FS496" s="21"/>
      <c r="FT496" s="21"/>
      <c r="FU496" s="21"/>
      <c r="FV496" s="21"/>
      <c r="FW496" s="21"/>
      <c r="FX496" s="21"/>
      <c r="FY496" s="21"/>
      <c r="FZ496" s="21"/>
      <c r="GA496" s="21"/>
      <c r="GB496" s="21"/>
      <c r="GC496" s="21"/>
      <c r="GD496" s="21"/>
      <c r="GE496" s="21"/>
      <c r="GF496" s="21"/>
      <c r="GG496" s="21"/>
      <c r="GH496" s="21"/>
      <c r="GI496" s="21"/>
      <c r="GJ496" s="21"/>
      <c r="GK496" s="21"/>
      <c r="GL496" s="21"/>
      <c r="GM496" s="21"/>
      <c r="GN496" s="21"/>
      <c r="GO496" s="21"/>
      <c r="GP496" s="21"/>
      <c r="GQ496" s="21"/>
      <c r="GR496" s="21"/>
      <c r="GS496" s="21"/>
      <c r="GT496" s="21"/>
      <c r="GU496" s="21"/>
      <c r="GV496" s="21"/>
      <c r="GW496" s="21"/>
      <c r="GX496" s="21"/>
      <c r="GY496" s="21"/>
      <c r="GZ496" s="21"/>
      <c r="HA496" s="21"/>
      <c r="HB496" s="21"/>
    </row>
    <row r="497" spans="1:210"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c r="DB497" s="21"/>
      <c r="DC497" s="21"/>
      <c r="DD497" s="21"/>
      <c r="DE497" s="21"/>
      <c r="DF497" s="21"/>
      <c r="DG497" s="21"/>
      <c r="DH497" s="21"/>
      <c r="DI497" s="21"/>
      <c r="DJ497" s="21"/>
      <c r="DK497" s="21"/>
      <c r="DL497" s="21"/>
      <c r="DM497" s="21"/>
      <c r="DN497" s="21"/>
      <c r="DO497" s="21"/>
      <c r="DP497" s="21"/>
      <c r="DQ497" s="21"/>
      <c r="DR497" s="21"/>
      <c r="DS497" s="21"/>
      <c r="DT497" s="21"/>
      <c r="DU497" s="21"/>
      <c r="DV497" s="21"/>
      <c r="DW497" s="21"/>
      <c r="DX497" s="21"/>
      <c r="DY497" s="21"/>
      <c r="DZ497" s="21"/>
      <c r="EA497" s="21"/>
      <c r="EB497" s="21"/>
      <c r="EC497" s="21"/>
      <c r="ED497" s="21"/>
      <c r="EE497" s="21"/>
      <c r="EF497" s="21"/>
      <c r="EG497" s="21"/>
      <c r="EH497" s="21"/>
      <c r="EI497" s="21"/>
      <c r="EJ497" s="21"/>
      <c r="EK497" s="21"/>
      <c r="EL497" s="21"/>
      <c r="EM497" s="21"/>
      <c r="EN497" s="21"/>
      <c r="EO497" s="21"/>
      <c r="EP497" s="21"/>
      <c r="EQ497" s="21"/>
      <c r="ER497" s="21"/>
      <c r="ES497" s="21"/>
      <c r="ET497" s="21"/>
      <c r="EU497" s="21"/>
      <c r="EV497" s="21"/>
      <c r="EW497" s="21"/>
      <c r="EX497" s="21"/>
      <c r="EY497" s="21"/>
      <c r="EZ497" s="21"/>
      <c r="FA497" s="21"/>
      <c r="FB497" s="21"/>
      <c r="FC497" s="21"/>
      <c r="FD497" s="21"/>
      <c r="FE497" s="21"/>
      <c r="FF497" s="21"/>
      <c r="FG497" s="21"/>
      <c r="FH497" s="21"/>
      <c r="FI497" s="21"/>
      <c r="FJ497" s="21"/>
      <c r="FK497" s="21"/>
      <c r="FL497" s="21"/>
      <c r="FM497" s="21"/>
      <c r="FN497" s="21"/>
      <c r="FO497" s="21"/>
      <c r="FP497" s="21"/>
      <c r="FQ497" s="21"/>
      <c r="FR497" s="21"/>
      <c r="FS497" s="21"/>
      <c r="FT497" s="21"/>
      <c r="FU497" s="21"/>
      <c r="FV497" s="21"/>
      <c r="FW497" s="21"/>
      <c r="FX497" s="21"/>
      <c r="FY497" s="21"/>
      <c r="FZ497" s="21"/>
      <c r="GA497" s="21"/>
      <c r="GB497" s="21"/>
      <c r="GC497" s="21"/>
      <c r="GD497" s="21"/>
      <c r="GE497" s="21"/>
      <c r="GF497" s="21"/>
      <c r="GG497" s="21"/>
      <c r="GH497" s="21"/>
      <c r="GI497" s="21"/>
      <c r="GJ497" s="21"/>
      <c r="GK497" s="21"/>
      <c r="GL497" s="21"/>
      <c r="GM497" s="21"/>
      <c r="GN497" s="21"/>
      <c r="GO497" s="21"/>
      <c r="GP497" s="21"/>
      <c r="GQ497" s="21"/>
      <c r="GR497" s="21"/>
      <c r="GS497" s="21"/>
      <c r="GT497" s="21"/>
      <c r="GU497" s="21"/>
      <c r="GV497" s="21"/>
      <c r="GW497" s="21"/>
      <c r="GX497" s="21"/>
      <c r="GY497" s="21"/>
      <c r="GZ497" s="21"/>
      <c r="HA497" s="21"/>
      <c r="HB497" s="21"/>
    </row>
    <row r="498" spans="1:210"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21"/>
      <c r="CH498" s="21"/>
      <c r="CI498" s="21"/>
      <c r="CJ498" s="21"/>
      <c r="CK498" s="21"/>
      <c r="CL498" s="21"/>
      <c r="CM498" s="21"/>
      <c r="CN498" s="21"/>
      <c r="CO498" s="21"/>
      <c r="CP498" s="21"/>
      <c r="CQ498" s="21"/>
      <c r="CR498" s="21"/>
      <c r="CS498" s="21"/>
      <c r="CT498" s="21"/>
      <c r="CU498" s="21"/>
      <c r="CV498" s="21"/>
      <c r="CW498" s="21"/>
      <c r="CX498" s="21"/>
      <c r="CY498" s="21"/>
      <c r="CZ498" s="21"/>
      <c r="DA498" s="21"/>
      <c r="DB498" s="21"/>
      <c r="DC498" s="21"/>
      <c r="DD498" s="21"/>
      <c r="DE498" s="21"/>
      <c r="DF498" s="21"/>
      <c r="DG498" s="21"/>
      <c r="DH498" s="21"/>
      <c r="DI498" s="21"/>
      <c r="DJ498" s="21"/>
      <c r="DK498" s="21"/>
      <c r="DL498" s="21"/>
      <c r="DM498" s="21"/>
      <c r="DN498" s="21"/>
      <c r="DO498" s="21"/>
      <c r="DP498" s="21"/>
      <c r="DQ498" s="21"/>
      <c r="DR498" s="21"/>
      <c r="DS498" s="21"/>
      <c r="DT498" s="21"/>
      <c r="DU498" s="21"/>
      <c r="DV498" s="21"/>
      <c r="DW498" s="21"/>
      <c r="DX498" s="21"/>
      <c r="DY498" s="21"/>
      <c r="DZ498" s="21"/>
      <c r="EA498" s="21"/>
      <c r="EB498" s="21"/>
      <c r="EC498" s="21"/>
      <c r="ED498" s="21"/>
      <c r="EE498" s="21"/>
      <c r="EF498" s="21"/>
      <c r="EG498" s="21"/>
      <c r="EH498" s="21"/>
      <c r="EI498" s="21"/>
      <c r="EJ498" s="21"/>
      <c r="EK498" s="21"/>
      <c r="EL498" s="21"/>
      <c r="EM498" s="21"/>
      <c r="EN498" s="21"/>
      <c r="EO498" s="21"/>
      <c r="EP498" s="21"/>
      <c r="EQ498" s="21"/>
      <c r="ER498" s="21"/>
      <c r="ES498" s="21"/>
      <c r="ET498" s="21"/>
      <c r="EU498" s="21"/>
      <c r="EV498" s="21"/>
      <c r="EW498" s="21"/>
      <c r="EX498" s="21"/>
      <c r="EY498" s="21"/>
      <c r="EZ498" s="21"/>
      <c r="FA498" s="21"/>
      <c r="FB498" s="21"/>
      <c r="FC498" s="21"/>
      <c r="FD498" s="21"/>
      <c r="FE498" s="21"/>
      <c r="FF498" s="21"/>
      <c r="FG498" s="21"/>
      <c r="FH498" s="21"/>
      <c r="FI498" s="21"/>
      <c r="FJ498" s="21"/>
      <c r="FK498" s="21"/>
      <c r="FL498" s="21"/>
      <c r="FM498" s="21"/>
      <c r="FN498" s="21"/>
      <c r="FO498" s="21"/>
      <c r="FP498" s="21"/>
      <c r="FQ498" s="21"/>
      <c r="FR498" s="21"/>
      <c r="FS498" s="21"/>
      <c r="FT498" s="21"/>
      <c r="FU498" s="21"/>
      <c r="FV498" s="21"/>
      <c r="FW498" s="21"/>
      <c r="FX498" s="21"/>
      <c r="FY498" s="21"/>
      <c r="FZ498" s="21"/>
      <c r="GA498" s="21"/>
      <c r="GB498" s="21"/>
      <c r="GC498" s="21"/>
      <c r="GD498" s="21"/>
      <c r="GE498" s="21"/>
      <c r="GF498" s="21"/>
      <c r="GG498" s="21"/>
      <c r="GH498" s="21"/>
      <c r="GI498" s="21"/>
      <c r="GJ498" s="21"/>
      <c r="GK498" s="21"/>
      <c r="GL498" s="21"/>
      <c r="GM498" s="21"/>
      <c r="GN498" s="21"/>
      <c r="GO498" s="21"/>
      <c r="GP498" s="21"/>
      <c r="GQ498" s="21"/>
      <c r="GR498" s="21"/>
      <c r="GS498" s="21"/>
      <c r="GT498" s="21"/>
      <c r="GU498" s="21"/>
      <c r="GV498" s="21"/>
      <c r="GW498" s="21"/>
      <c r="GX498" s="21"/>
      <c r="GY498" s="21"/>
      <c r="GZ498" s="21"/>
      <c r="HA498" s="21"/>
      <c r="HB498" s="21"/>
    </row>
    <row r="499" spans="1:210"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21"/>
      <c r="CH499" s="21"/>
      <c r="CI499" s="21"/>
      <c r="CJ499" s="21"/>
      <c r="CK499" s="21"/>
      <c r="CL499" s="21"/>
      <c r="CM499" s="21"/>
      <c r="CN499" s="21"/>
      <c r="CO499" s="21"/>
      <c r="CP499" s="21"/>
      <c r="CQ499" s="21"/>
      <c r="CR499" s="21"/>
      <c r="CS499" s="21"/>
      <c r="CT499" s="21"/>
      <c r="CU499" s="21"/>
      <c r="CV499" s="21"/>
      <c r="CW499" s="21"/>
      <c r="CX499" s="21"/>
      <c r="CY499" s="21"/>
      <c r="CZ499" s="21"/>
      <c r="DA499" s="21"/>
      <c r="DB499" s="21"/>
      <c r="DC499" s="21"/>
      <c r="DD499" s="21"/>
      <c r="DE499" s="21"/>
      <c r="DF499" s="21"/>
      <c r="DG499" s="21"/>
      <c r="DH499" s="21"/>
      <c r="DI499" s="21"/>
      <c r="DJ499" s="21"/>
      <c r="DK499" s="21"/>
      <c r="DL499" s="21"/>
      <c r="DM499" s="21"/>
      <c r="DN499" s="21"/>
      <c r="DO499" s="21"/>
      <c r="DP499" s="21"/>
      <c r="DQ499" s="21"/>
      <c r="DR499" s="21"/>
      <c r="DS499" s="21"/>
      <c r="DT499" s="21"/>
      <c r="DU499" s="21"/>
      <c r="DV499" s="21"/>
      <c r="DW499" s="21"/>
      <c r="DX499" s="21"/>
      <c r="DY499" s="21"/>
      <c r="DZ499" s="21"/>
      <c r="EA499" s="21"/>
      <c r="EB499" s="21"/>
      <c r="EC499" s="21"/>
      <c r="ED499" s="21"/>
      <c r="EE499" s="21"/>
      <c r="EF499" s="21"/>
      <c r="EG499" s="21"/>
      <c r="EH499" s="21"/>
      <c r="EI499" s="21"/>
      <c r="EJ499" s="21"/>
      <c r="EK499" s="21"/>
      <c r="EL499" s="21"/>
      <c r="EM499" s="21"/>
      <c r="EN499" s="21"/>
      <c r="EO499" s="21"/>
      <c r="EP499" s="21"/>
      <c r="EQ499" s="21"/>
      <c r="ER499" s="21"/>
      <c r="ES499" s="21"/>
      <c r="ET499" s="21"/>
      <c r="EU499" s="21"/>
      <c r="EV499" s="21"/>
      <c r="EW499" s="21"/>
      <c r="EX499" s="21"/>
      <c r="EY499" s="21"/>
      <c r="EZ499" s="21"/>
      <c r="FA499" s="21"/>
      <c r="FB499" s="21"/>
      <c r="FC499" s="21"/>
      <c r="FD499" s="21"/>
      <c r="FE499" s="21"/>
      <c r="FF499" s="21"/>
      <c r="FG499" s="21"/>
      <c r="FH499" s="21"/>
      <c r="FI499" s="21"/>
      <c r="FJ499" s="21"/>
      <c r="FK499" s="21"/>
      <c r="FL499" s="21"/>
      <c r="FM499" s="21"/>
      <c r="FN499" s="21"/>
      <c r="FO499" s="21"/>
      <c r="FP499" s="21"/>
      <c r="FQ499" s="21"/>
      <c r="FR499" s="21"/>
      <c r="FS499" s="21"/>
      <c r="FT499" s="21"/>
      <c r="FU499" s="21"/>
      <c r="FV499" s="21"/>
      <c r="FW499" s="21"/>
      <c r="FX499" s="21"/>
      <c r="FY499" s="21"/>
      <c r="FZ499" s="21"/>
      <c r="GA499" s="21"/>
      <c r="GB499" s="21"/>
      <c r="GC499" s="21"/>
      <c r="GD499" s="21"/>
      <c r="GE499" s="21"/>
      <c r="GF499" s="21"/>
      <c r="GG499" s="21"/>
      <c r="GH499" s="21"/>
      <c r="GI499" s="21"/>
      <c r="GJ499" s="21"/>
      <c r="GK499" s="21"/>
      <c r="GL499" s="21"/>
      <c r="GM499" s="21"/>
      <c r="GN499" s="21"/>
      <c r="GO499" s="21"/>
      <c r="GP499" s="21"/>
      <c r="GQ499" s="21"/>
      <c r="GR499" s="21"/>
      <c r="GS499" s="21"/>
      <c r="GT499" s="21"/>
      <c r="GU499" s="21"/>
      <c r="GV499" s="21"/>
      <c r="GW499" s="21"/>
      <c r="GX499" s="21"/>
      <c r="GY499" s="21"/>
      <c r="GZ499" s="21"/>
      <c r="HA499" s="21"/>
      <c r="HB499" s="21"/>
    </row>
    <row r="500" spans="1:210"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c r="DB500" s="21"/>
      <c r="DC500" s="21"/>
      <c r="DD500" s="21"/>
      <c r="DE500" s="21"/>
      <c r="DF500" s="21"/>
      <c r="DG500" s="21"/>
      <c r="DH500" s="21"/>
      <c r="DI500" s="21"/>
      <c r="DJ500" s="21"/>
      <c r="DK500" s="21"/>
      <c r="DL500" s="21"/>
      <c r="DM500" s="21"/>
      <c r="DN500" s="21"/>
      <c r="DO500" s="21"/>
      <c r="DP500" s="21"/>
      <c r="DQ500" s="21"/>
      <c r="DR500" s="21"/>
      <c r="DS500" s="21"/>
      <c r="DT500" s="21"/>
      <c r="DU500" s="21"/>
      <c r="DV500" s="21"/>
      <c r="DW500" s="21"/>
      <c r="DX500" s="21"/>
      <c r="DY500" s="21"/>
      <c r="DZ500" s="21"/>
      <c r="EA500" s="21"/>
      <c r="EB500" s="21"/>
      <c r="EC500" s="21"/>
      <c r="ED500" s="21"/>
      <c r="EE500" s="21"/>
      <c r="EF500" s="21"/>
      <c r="EG500" s="21"/>
      <c r="EH500" s="21"/>
      <c r="EI500" s="21"/>
      <c r="EJ500" s="21"/>
      <c r="EK500" s="21"/>
      <c r="EL500" s="21"/>
      <c r="EM500" s="21"/>
      <c r="EN500" s="21"/>
      <c r="EO500" s="21"/>
      <c r="EP500" s="21"/>
      <c r="EQ500" s="21"/>
      <c r="ER500" s="21"/>
      <c r="ES500" s="21"/>
      <c r="ET500" s="21"/>
      <c r="EU500" s="21"/>
      <c r="EV500" s="21"/>
      <c r="EW500" s="21"/>
      <c r="EX500" s="21"/>
      <c r="EY500" s="21"/>
      <c r="EZ500" s="21"/>
      <c r="FA500" s="21"/>
      <c r="FB500" s="21"/>
      <c r="FC500" s="21"/>
      <c r="FD500" s="21"/>
      <c r="FE500" s="21"/>
      <c r="FF500" s="21"/>
      <c r="FG500" s="21"/>
      <c r="FH500" s="21"/>
      <c r="FI500" s="21"/>
      <c r="FJ500" s="21"/>
      <c r="FK500" s="21"/>
      <c r="FL500" s="21"/>
      <c r="FM500" s="21"/>
      <c r="FN500" s="21"/>
      <c r="FO500" s="21"/>
      <c r="FP500" s="21"/>
      <c r="FQ500" s="21"/>
      <c r="FR500" s="21"/>
      <c r="FS500" s="21"/>
      <c r="FT500" s="21"/>
      <c r="FU500" s="21"/>
      <c r="FV500" s="21"/>
      <c r="FW500" s="21"/>
      <c r="FX500" s="21"/>
      <c r="FY500" s="21"/>
      <c r="FZ500" s="21"/>
      <c r="GA500" s="21"/>
      <c r="GB500" s="21"/>
      <c r="GC500" s="21"/>
      <c r="GD500" s="21"/>
      <c r="GE500" s="21"/>
      <c r="GF500" s="21"/>
      <c r="GG500" s="21"/>
      <c r="GH500" s="21"/>
      <c r="GI500" s="21"/>
      <c r="GJ500" s="21"/>
      <c r="GK500" s="21"/>
      <c r="GL500" s="21"/>
      <c r="GM500" s="21"/>
      <c r="GN500" s="21"/>
      <c r="GO500" s="21"/>
      <c r="GP500" s="21"/>
      <c r="GQ500" s="21"/>
      <c r="GR500" s="21"/>
      <c r="GS500" s="21"/>
      <c r="GT500" s="21"/>
      <c r="GU500" s="21"/>
      <c r="GV500" s="21"/>
      <c r="GW500" s="21"/>
      <c r="GX500" s="21"/>
      <c r="GY500" s="21"/>
      <c r="GZ500" s="21"/>
      <c r="HA500" s="21"/>
      <c r="HB500" s="21"/>
    </row>
    <row r="501" spans="1:210"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c r="DB501" s="21"/>
      <c r="DC501" s="21"/>
      <c r="DD501" s="21"/>
      <c r="DE501" s="21"/>
      <c r="DF501" s="21"/>
      <c r="DG501" s="21"/>
      <c r="DH501" s="21"/>
      <c r="DI501" s="21"/>
      <c r="DJ501" s="21"/>
      <c r="DK501" s="21"/>
      <c r="DL501" s="21"/>
      <c r="DM501" s="21"/>
      <c r="DN501" s="21"/>
      <c r="DO501" s="21"/>
      <c r="DP501" s="21"/>
      <c r="DQ501" s="21"/>
      <c r="DR501" s="21"/>
      <c r="DS501" s="21"/>
      <c r="DT501" s="21"/>
      <c r="DU501" s="21"/>
      <c r="DV501" s="21"/>
      <c r="DW501" s="21"/>
      <c r="DX501" s="21"/>
      <c r="DY501" s="21"/>
      <c r="DZ501" s="21"/>
      <c r="EA501" s="21"/>
      <c r="EB501" s="21"/>
      <c r="EC501" s="21"/>
      <c r="ED501" s="21"/>
      <c r="EE501" s="21"/>
      <c r="EF501" s="21"/>
      <c r="EG501" s="21"/>
      <c r="EH501" s="21"/>
      <c r="EI501" s="21"/>
      <c r="EJ501" s="21"/>
      <c r="EK501" s="21"/>
      <c r="EL501" s="21"/>
      <c r="EM501" s="21"/>
      <c r="EN501" s="21"/>
      <c r="EO501" s="21"/>
      <c r="EP501" s="21"/>
      <c r="EQ501" s="21"/>
      <c r="ER501" s="21"/>
      <c r="ES501" s="21"/>
      <c r="ET501" s="21"/>
      <c r="EU501" s="21"/>
      <c r="EV501" s="21"/>
      <c r="EW501" s="21"/>
      <c r="EX501" s="21"/>
      <c r="EY501" s="21"/>
      <c r="EZ501" s="21"/>
      <c r="FA501" s="21"/>
      <c r="FB501" s="21"/>
      <c r="FC501" s="21"/>
      <c r="FD501" s="21"/>
      <c r="FE501" s="21"/>
      <c r="FF501" s="21"/>
      <c r="FG501" s="21"/>
      <c r="FH501" s="21"/>
      <c r="FI501" s="21"/>
      <c r="FJ501" s="21"/>
      <c r="FK501" s="21"/>
      <c r="FL501" s="21"/>
      <c r="FM501" s="21"/>
      <c r="FN501" s="21"/>
      <c r="FO501" s="21"/>
      <c r="FP501" s="21"/>
      <c r="FQ501" s="21"/>
      <c r="FR501" s="21"/>
      <c r="FS501" s="21"/>
      <c r="FT501" s="21"/>
      <c r="FU501" s="21"/>
      <c r="FV501" s="21"/>
      <c r="FW501" s="21"/>
      <c r="FX501" s="21"/>
      <c r="FY501" s="21"/>
      <c r="FZ501" s="21"/>
      <c r="GA501" s="21"/>
      <c r="GB501" s="21"/>
      <c r="GC501" s="21"/>
      <c r="GD501" s="21"/>
      <c r="GE501" s="21"/>
      <c r="GF501" s="21"/>
      <c r="GG501" s="21"/>
      <c r="GH501" s="21"/>
      <c r="GI501" s="21"/>
      <c r="GJ501" s="21"/>
      <c r="GK501" s="21"/>
      <c r="GL501" s="21"/>
      <c r="GM501" s="21"/>
      <c r="GN501" s="21"/>
      <c r="GO501" s="21"/>
      <c r="GP501" s="21"/>
      <c r="GQ501" s="21"/>
      <c r="GR501" s="21"/>
      <c r="GS501" s="21"/>
      <c r="GT501" s="21"/>
      <c r="GU501" s="21"/>
      <c r="GV501" s="21"/>
      <c r="GW501" s="21"/>
      <c r="GX501" s="21"/>
      <c r="GY501" s="21"/>
      <c r="GZ501" s="21"/>
      <c r="HA501" s="21"/>
      <c r="HB501" s="21"/>
    </row>
    <row r="502" spans="1:210"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c r="DB502" s="21"/>
      <c r="DC502" s="21"/>
      <c r="DD502" s="21"/>
      <c r="DE502" s="21"/>
      <c r="DF502" s="21"/>
      <c r="DG502" s="21"/>
      <c r="DH502" s="21"/>
      <c r="DI502" s="21"/>
      <c r="DJ502" s="21"/>
      <c r="DK502" s="21"/>
      <c r="DL502" s="21"/>
      <c r="DM502" s="21"/>
      <c r="DN502" s="21"/>
      <c r="DO502" s="21"/>
      <c r="DP502" s="21"/>
      <c r="DQ502" s="21"/>
      <c r="DR502" s="21"/>
      <c r="DS502" s="21"/>
      <c r="DT502" s="21"/>
      <c r="DU502" s="21"/>
      <c r="DV502" s="21"/>
      <c r="DW502" s="21"/>
      <c r="DX502" s="21"/>
      <c r="DY502" s="21"/>
      <c r="DZ502" s="21"/>
      <c r="EA502" s="21"/>
      <c r="EB502" s="21"/>
      <c r="EC502" s="21"/>
      <c r="ED502" s="21"/>
      <c r="EE502" s="21"/>
      <c r="EF502" s="21"/>
      <c r="EG502" s="21"/>
      <c r="EH502" s="21"/>
      <c r="EI502" s="21"/>
      <c r="EJ502" s="21"/>
      <c r="EK502" s="21"/>
      <c r="EL502" s="21"/>
      <c r="EM502" s="21"/>
      <c r="EN502" s="21"/>
      <c r="EO502" s="21"/>
      <c r="EP502" s="21"/>
      <c r="EQ502" s="21"/>
      <c r="ER502" s="21"/>
      <c r="ES502" s="21"/>
      <c r="ET502" s="21"/>
      <c r="EU502" s="21"/>
      <c r="EV502" s="21"/>
      <c r="EW502" s="21"/>
      <c r="EX502" s="21"/>
      <c r="EY502" s="21"/>
      <c r="EZ502" s="21"/>
      <c r="FA502" s="21"/>
      <c r="FB502" s="21"/>
      <c r="FC502" s="21"/>
      <c r="FD502" s="21"/>
      <c r="FE502" s="21"/>
      <c r="FF502" s="21"/>
      <c r="FG502" s="21"/>
      <c r="FH502" s="21"/>
      <c r="FI502" s="21"/>
      <c r="FJ502" s="21"/>
      <c r="FK502" s="21"/>
      <c r="FL502" s="21"/>
      <c r="FM502" s="21"/>
      <c r="FN502" s="21"/>
      <c r="FO502" s="21"/>
      <c r="FP502" s="21"/>
      <c r="FQ502" s="21"/>
      <c r="FR502" s="21"/>
      <c r="FS502" s="21"/>
      <c r="FT502" s="21"/>
      <c r="FU502" s="21"/>
      <c r="FV502" s="21"/>
      <c r="FW502" s="21"/>
      <c r="FX502" s="21"/>
      <c r="FY502" s="21"/>
      <c r="FZ502" s="21"/>
      <c r="GA502" s="21"/>
      <c r="GB502" s="21"/>
      <c r="GC502" s="21"/>
      <c r="GD502" s="21"/>
      <c r="GE502" s="21"/>
      <c r="GF502" s="21"/>
      <c r="GG502" s="21"/>
      <c r="GH502" s="21"/>
      <c r="GI502" s="21"/>
      <c r="GJ502" s="21"/>
      <c r="GK502" s="21"/>
      <c r="GL502" s="21"/>
      <c r="GM502" s="21"/>
      <c r="GN502" s="21"/>
      <c r="GO502" s="21"/>
      <c r="GP502" s="21"/>
      <c r="GQ502" s="21"/>
      <c r="GR502" s="21"/>
      <c r="GS502" s="21"/>
      <c r="GT502" s="21"/>
      <c r="GU502" s="21"/>
      <c r="GV502" s="21"/>
      <c r="GW502" s="21"/>
      <c r="GX502" s="21"/>
      <c r="GY502" s="21"/>
      <c r="GZ502" s="21"/>
      <c r="HA502" s="21"/>
      <c r="HB502" s="21"/>
    </row>
    <row r="503" spans="1:210"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c r="DB503" s="21"/>
      <c r="DC503" s="21"/>
      <c r="DD503" s="21"/>
      <c r="DE503" s="21"/>
      <c r="DF503" s="21"/>
      <c r="DG503" s="21"/>
      <c r="DH503" s="21"/>
      <c r="DI503" s="21"/>
      <c r="DJ503" s="21"/>
      <c r="DK503" s="21"/>
      <c r="DL503" s="21"/>
      <c r="DM503" s="21"/>
      <c r="DN503" s="21"/>
      <c r="DO503" s="21"/>
      <c r="DP503" s="21"/>
      <c r="DQ503" s="21"/>
      <c r="DR503" s="21"/>
      <c r="DS503" s="21"/>
      <c r="DT503" s="21"/>
      <c r="DU503" s="21"/>
      <c r="DV503" s="21"/>
      <c r="DW503" s="21"/>
      <c r="DX503" s="21"/>
      <c r="DY503" s="21"/>
      <c r="DZ503" s="21"/>
      <c r="EA503" s="21"/>
      <c r="EB503" s="21"/>
      <c r="EC503" s="21"/>
      <c r="ED503" s="21"/>
      <c r="EE503" s="21"/>
      <c r="EF503" s="21"/>
      <c r="EG503" s="21"/>
      <c r="EH503" s="21"/>
      <c r="EI503" s="21"/>
      <c r="EJ503" s="21"/>
      <c r="EK503" s="21"/>
      <c r="EL503" s="21"/>
      <c r="EM503" s="21"/>
      <c r="EN503" s="21"/>
      <c r="EO503" s="21"/>
      <c r="EP503" s="21"/>
      <c r="EQ503" s="21"/>
      <c r="ER503" s="21"/>
      <c r="ES503" s="21"/>
      <c r="ET503" s="21"/>
      <c r="EU503" s="21"/>
      <c r="EV503" s="21"/>
      <c r="EW503" s="21"/>
      <c r="EX503" s="21"/>
      <c r="EY503" s="21"/>
      <c r="EZ503" s="21"/>
      <c r="FA503" s="21"/>
      <c r="FB503" s="21"/>
      <c r="FC503" s="21"/>
      <c r="FD503" s="21"/>
      <c r="FE503" s="21"/>
      <c r="FF503" s="21"/>
      <c r="FG503" s="21"/>
      <c r="FH503" s="21"/>
      <c r="FI503" s="21"/>
      <c r="FJ503" s="21"/>
      <c r="FK503" s="21"/>
      <c r="FL503" s="21"/>
      <c r="FM503" s="21"/>
      <c r="FN503" s="21"/>
      <c r="FO503" s="21"/>
      <c r="FP503" s="21"/>
      <c r="FQ503" s="21"/>
      <c r="FR503" s="21"/>
      <c r="FS503" s="21"/>
      <c r="FT503" s="21"/>
      <c r="FU503" s="21"/>
      <c r="FV503" s="21"/>
      <c r="FW503" s="21"/>
      <c r="FX503" s="21"/>
      <c r="FY503" s="21"/>
      <c r="FZ503" s="21"/>
      <c r="GA503" s="21"/>
      <c r="GB503" s="21"/>
      <c r="GC503" s="21"/>
      <c r="GD503" s="21"/>
      <c r="GE503" s="21"/>
      <c r="GF503" s="21"/>
      <c r="GG503" s="21"/>
      <c r="GH503" s="21"/>
      <c r="GI503" s="21"/>
      <c r="GJ503" s="21"/>
      <c r="GK503" s="21"/>
      <c r="GL503" s="21"/>
      <c r="GM503" s="21"/>
      <c r="GN503" s="21"/>
      <c r="GO503" s="21"/>
      <c r="GP503" s="21"/>
      <c r="GQ503" s="21"/>
      <c r="GR503" s="21"/>
      <c r="GS503" s="21"/>
      <c r="GT503" s="21"/>
      <c r="GU503" s="21"/>
      <c r="GV503" s="21"/>
      <c r="GW503" s="21"/>
      <c r="GX503" s="21"/>
      <c r="GY503" s="21"/>
      <c r="GZ503" s="21"/>
      <c r="HA503" s="21"/>
      <c r="HB503" s="21"/>
    </row>
    <row r="504" spans="1:210"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c r="CC504" s="21"/>
      <c r="CD504" s="21"/>
      <c r="CE504" s="21"/>
      <c r="CF504" s="21"/>
      <c r="CG504" s="21"/>
      <c r="CH504" s="21"/>
      <c r="CI504" s="21"/>
      <c r="CJ504" s="21"/>
      <c r="CK504" s="21"/>
      <c r="CL504" s="21"/>
      <c r="CM504" s="21"/>
      <c r="CN504" s="21"/>
      <c r="CO504" s="21"/>
      <c r="CP504" s="21"/>
      <c r="CQ504" s="21"/>
      <c r="CR504" s="21"/>
      <c r="CS504" s="21"/>
      <c r="CT504" s="21"/>
      <c r="CU504" s="21"/>
      <c r="CV504" s="21"/>
      <c r="CW504" s="21"/>
      <c r="CX504" s="21"/>
      <c r="CY504" s="21"/>
      <c r="CZ504" s="21"/>
      <c r="DA504" s="21"/>
      <c r="DB504" s="21"/>
      <c r="DC504" s="21"/>
      <c r="DD504" s="21"/>
      <c r="DE504" s="21"/>
      <c r="DF504" s="21"/>
      <c r="DG504" s="21"/>
      <c r="DH504" s="21"/>
      <c r="DI504" s="21"/>
      <c r="DJ504" s="21"/>
      <c r="DK504" s="21"/>
      <c r="DL504" s="21"/>
      <c r="DM504" s="21"/>
      <c r="DN504" s="21"/>
      <c r="DO504" s="21"/>
      <c r="DP504" s="21"/>
      <c r="DQ504" s="21"/>
      <c r="DR504" s="21"/>
      <c r="DS504" s="21"/>
      <c r="DT504" s="21"/>
      <c r="DU504" s="21"/>
      <c r="DV504" s="21"/>
      <c r="DW504" s="21"/>
      <c r="DX504" s="21"/>
      <c r="DY504" s="21"/>
      <c r="DZ504" s="21"/>
      <c r="EA504" s="21"/>
      <c r="EB504" s="21"/>
      <c r="EC504" s="21"/>
      <c r="ED504" s="21"/>
      <c r="EE504" s="21"/>
      <c r="EF504" s="21"/>
      <c r="EG504" s="21"/>
      <c r="EH504" s="21"/>
      <c r="EI504" s="21"/>
      <c r="EJ504" s="21"/>
      <c r="EK504" s="21"/>
      <c r="EL504" s="21"/>
      <c r="EM504" s="21"/>
      <c r="EN504" s="21"/>
      <c r="EO504" s="21"/>
      <c r="EP504" s="21"/>
      <c r="EQ504" s="21"/>
      <c r="ER504" s="21"/>
      <c r="ES504" s="21"/>
      <c r="ET504" s="21"/>
      <c r="EU504" s="21"/>
      <c r="EV504" s="21"/>
      <c r="EW504" s="21"/>
      <c r="EX504" s="21"/>
      <c r="EY504" s="21"/>
      <c r="EZ504" s="21"/>
      <c r="FA504" s="21"/>
      <c r="FB504" s="21"/>
      <c r="FC504" s="21"/>
      <c r="FD504" s="21"/>
      <c r="FE504" s="21"/>
      <c r="FF504" s="21"/>
      <c r="FG504" s="21"/>
      <c r="FH504" s="21"/>
      <c r="FI504" s="21"/>
      <c r="FJ504" s="21"/>
      <c r="FK504" s="21"/>
      <c r="FL504" s="21"/>
      <c r="FM504" s="21"/>
      <c r="FN504" s="21"/>
      <c r="FO504" s="21"/>
      <c r="FP504" s="21"/>
      <c r="FQ504" s="21"/>
      <c r="FR504" s="21"/>
      <c r="FS504" s="21"/>
      <c r="FT504" s="21"/>
      <c r="FU504" s="21"/>
      <c r="FV504" s="21"/>
      <c r="FW504" s="21"/>
      <c r="FX504" s="21"/>
      <c r="FY504" s="21"/>
      <c r="FZ504" s="21"/>
      <c r="GA504" s="21"/>
      <c r="GB504" s="21"/>
      <c r="GC504" s="21"/>
      <c r="GD504" s="21"/>
      <c r="GE504" s="21"/>
      <c r="GF504" s="21"/>
      <c r="GG504" s="21"/>
      <c r="GH504" s="21"/>
      <c r="GI504" s="21"/>
      <c r="GJ504" s="21"/>
      <c r="GK504" s="21"/>
      <c r="GL504" s="21"/>
      <c r="GM504" s="21"/>
      <c r="GN504" s="21"/>
      <c r="GO504" s="21"/>
      <c r="GP504" s="21"/>
      <c r="GQ504" s="21"/>
      <c r="GR504" s="21"/>
      <c r="GS504" s="21"/>
      <c r="GT504" s="21"/>
      <c r="GU504" s="21"/>
      <c r="GV504" s="21"/>
      <c r="GW504" s="21"/>
      <c r="GX504" s="21"/>
      <c r="GY504" s="21"/>
      <c r="GZ504" s="21"/>
      <c r="HA504" s="21"/>
      <c r="HB504" s="21"/>
    </row>
    <row r="505" spans="1:210"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21"/>
      <c r="CH505" s="21"/>
      <c r="CI505" s="21"/>
      <c r="CJ505" s="21"/>
      <c r="CK505" s="21"/>
      <c r="CL505" s="21"/>
      <c r="CM505" s="21"/>
      <c r="CN505" s="21"/>
      <c r="CO505" s="21"/>
      <c r="CP505" s="21"/>
      <c r="CQ505" s="21"/>
      <c r="CR505" s="21"/>
      <c r="CS505" s="21"/>
      <c r="CT505" s="21"/>
      <c r="CU505" s="21"/>
      <c r="CV505" s="21"/>
      <c r="CW505" s="21"/>
      <c r="CX505" s="21"/>
      <c r="CY505" s="21"/>
      <c r="CZ505" s="21"/>
      <c r="DA505" s="21"/>
      <c r="DB505" s="21"/>
      <c r="DC505" s="21"/>
      <c r="DD505" s="21"/>
      <c r="DE505" s="21"/>
      <c r="DF505" s="21"/>
      <c r="DG505" s="21"/>
      <c r="DH505" s="21"/>
      <c r="DI505" s="21"/>
      <c r="DJ505" s="21"/>
      <c r="DK505" s="21"/>
      <c r="DL505" s="21"/>
      <c r="DM505" s="21"/>
      <c r="DN505" s="21"/>
      <c r="DO505" s="21"/>
      <c r="DP505" s="21"/>
      <c r="DQ505" s="21"/>
      <c r="DR505" s="21"/>
      <c r="DS505" s="21"/>
      <c r="DT505" s="21"/>
      <c r="DU505" s="21"/>
      <c r="DV505" s="21"/>
      <c r="DW505" s="21"/>
      <c r="DX505" s="21"/>
      <c r="DY505" s="21"/>
      <c r="DZ505" s="21"/>
      <c r="EA505" s="21"/>
      <c r="EB505" s="21"/>
      <c r="EC505" s="21"/>
      <c r="ED505" s="21"/>
      <c r="EE505" s="21"/>
      <c r="EF505" s="21"/>
      <c r="EG505" s="21"/>
      <c r="EH505" s="21"/>
      <c r="EI505" s="21"/>
      <c r="EJ505" s="21"/>
      <c r="EK505" s="21"/>
      <c r="EL505" s="21"/>
      <c r="EM505" s="21"/>
      <c r="EN505" s="21"/>
      <c r="EO505" s="21"/>
      <c r="EP505" s="21"/>
      <c r="EQ505" s="21"/>
      <c r="ER505" s="21"/>
      <c r="ES505" s="21"/>
      <c r="ET505" s="21"/>
      <c r="EU505" s="21"/>
      <c r="EV505" s="21"/>
      <c r="EW505" s="21"/>
      <c r="EX505" s="21"/>
      <c r="EY505" s="21"/>
      <c r="EZ505" s="21"/>
      <c r="FA505" s="21"/>
      <c r="FB505" s="21"/>
      <c r="FC505" s="21"/>
      <c r="FD505" s="21"/>
      <c r="FE505" s="21"/>
      <c r="FF505" s="21"/>
      <c r="FG505" s="21"/>
      <c r="FH505" s="21"/>
      <c r="FI505" s="21"/>
      <c r="FJ505" s="21"/>
      <c r="FK505" s="21"/>
      <c r="FL505" s="21"/>
      <c r="FM505" s="21"/>
      <c r="FN505" s="21"/>
      <c r="FO505" s="21"/>
      <c r="FP505" s="21"/>
      <c r="FQ505" s="21"/>
      <c r="FR505" s="21"/>
      <c r="FS505" s="21"/>
      <c r="FT505" s="21"/>
      <c r="FU505" s="21"/>
      <c r="FV505" s="21"/>
      <c r="FW505" s="21"/>
      <c r="FX505" s="21"/>
      <c r="FY505" s="21"/>
      <c r="FZ505" s="21"/>
      <c r="GA505" s="21"/>
      <c r="GB505" s="21"/>
      <c r="GC505" s="21"/>
      <c r="GD505" s="21"/>
      <c r="GE505" s="21"/>
      <c r="GF505" s="21"/>
      <c r="GG505" s="21"/>
      <c r="GH505" s="21"/>
      <c r="GI505" s="21"/>
      <c r="GJ505" s="21"/>
      <c r="GK505" s="21"/>
      <c r="GL505" s="21"/>
      <c r="GM505" s="21"/>
      <c r="GN505" s="21"/>
      <c r="GO505" s="21"/>
      <c r="GP505" s="21"/>
      <c r="GQ505" s="21"/>
      <c r="GR505" s="21"/>
      <c r="GS505" s="21"/>
      <c r="GT505" s="21"/>
      <c r="GU505" s="21"/>
      <c r="GV505" s="21"/>
      <c r="GW505" s="21"/>
      <c r="GX505" s="21"/>
      <c r="GY505" s="21"/>
      <c r="GZ505" s="21"/>
      <c r="HA505" s="21"/>
      <c r="HB505" s="21"/>
    </row>
    <row r="506" spans="1:210"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21"/>
      <c r="CH506" s="21"/>
      <c r="CI506" s="21"/>
      <c r="CJ506" s="21"/>
      <c r="CK506" s="21"/>
      <c r="CL506" s="21"/>
      <c r="CM506" s="21"/>
      <c r="CN506" s="21"/>
      <c r="CO506" s="21"/>
      <c r="CP506" s="21"/>
      <c r="CQ506" s="21"/>
      <c r="CR506" s="21"/>
      <c r="CS506" s="21"/>
      <c r="CT506" s="21"/>
      <c r="CU506" s="21"/>
      <c r="CV506" s="21"/>
      <c r="CW506" s="21"/>
      <c r="CX506" s="21"/>
      <c r="CY506" s="21"/>
      <c r="CZ506" s="21"/>
      <c r="DA506" s="21"/>
      <c r="DB506" s="21"/>
      <c r="DC506" s="21"/>
      <c r="DD506" s="21"/>
      <c r="DE506" s="21"/>
      <c r="DF506" s="21"/>
      <c r="DG506" s="21"/>
      <c r="DH506" s="21"/>
      <c r="DI506" s="21"/>
      <c r="DJ506" s="21"/>
      <c r="DK506" s="21"/>
      <c r="DL506" s="21"/>
      <c r="DM506" s="21"/>
      <c r="DN506" s="21"/>
      <c r="DO506" s="21"/>
      <c r="DP506" s="21"/>
      <c r="DQ506" s="21"/>
      <c r="DR506" s="21"/>
      <c r="DS506" s="21"/>
      <c r="DT506" s="21"/>
      <c r="DU506" s="21"/>
      <c r="DV506" s="21"/>
      <c r="DW506" s="21"/>
      <c r="DX506" s="21"/>
      <c r="DY506" s="21"/>
      <c r="DZ506" s="21"/>
      <c r="EA506" s="21"/>
      <c r="EB506" s="21"/>
      <c r="EC506" s="21"/>
      <c r="ED506" s="21"/>
      <c r="EE506" s="21"/>
      <c r="EF506" s="21"/>
      <c r="EG506" s="21"/>
      <c r="EH506" s="21"/>
      <c r="EI506" s="21"/>
      <c r="EJ506" s="21"/>
      <c r="EK506" s="21"/>
      <c r="EL506" s="21"/>
      <c r="EM506" s="21"/>
      <c r="EN506" s="21"/>
      <c r="EO506" s="21"/>
      <c r="EP506" s="21"/>
      <c r="EQ506" s="21"/>
      <c r="ER506" s="21"/>
      <c r="ES506" s="21"/>
      <c r="ET506" s="21"/>
      <c r="EU506" s="21"/>
      <c r="EV506" s="21"/>
      <c r="EW506" s="21"/>
      <c r="EX506" s="21"/>
      <c r="EY506" s="21"/>
      <c r="EZ506" s="21"/>
      <c r="FA506" s="21"/>
      <c r="FB506" s="21"/>
      <c r="FC506" s="21"/>
      <c r="FD506" s="21"/>
      <c r="FE506" s="21"/>
      <c r="FF506" s="21"/>
      <c r="FG506" s="21"/>
      <c r="FH506" s="21"/>
      <c r="FI506" s="21"/>
      <c r="FJ506" s="21"/>
      <c r="FK506" s="21"/>
      <c r="FL506" s="21"/>
      <c r="FM506" s="21"/>
      <c r="FN506" s="21"/>
      <c r="FO506" s="21"/>
      <c r="FP506" s="21"/>
      <c r="FQ506" s="21"/>
      <c r="FR506" s="21"/>
      <c r="FS506" s="21"/>
      <c r="FT506" s="21"/>
      <c r="FU506" s="21"/>
      <c r="FV506" s="21"/>
      <c r="FW506" s="21"/>
      <c r="FX506" s="21"/>
      <c r="FY506" s="21"/>
      <c r="FZ506" s="21"/>
      <c r="GA506" s="21"/>
      <c r="GB506" s="21"/>
      <c r="GC506" s="21"/>
      <c r="GD506" s="21"/>
      <c r="GE506" s="21"/>
      <c r="GF506" s="21"/>
      <c r="GG506" s="21"/>
      <c r="GH506" s="21"/>
      <c r="GI506" s="21"/>
      <c r="GJ506" s="21"/>
      <c r="GK506" s="21"/>
      <c r="GL506" s="21"/>
      <c r="GM506" s="21"/>
      <c r="GN506" s="21"/>
      <c r="GO506" s="21"/>
      <c r="GP506" s="21"/>
      <c r="GQ506" s="21"/>
      <c r="GR506" s="21"/>
      <c r="GS506" s="21"/>
      <c r="GT506" s="21"/>
      <c r="GU506" s="21"/>
      <c r="GV506" s="21"/>
      <c r="GW506" s="21"/>
      <c r="GX506" s="21"/>
      <c r="GY506" s="21"/>
      <c r="GZ506" s="21"/>
      <c r="HA506" s="21"/>
      <c r="HB506" s="21"/>
    </row>
    <row r="507" spans="1:210"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21"/>
      <c r="CH507" s="21"/>
      <c r="CI507" s="21"/>
      <c r="CJ507" s="21"/>
      <c r="CK507" s="21"/>
      <c r="CL507" s="21"/>
      <c r="CM507" s="21"/>
      <c r="CN507" s="21"/>
      <c r="CO507" s="21"/>
      <c r="CP507" s="21"/>
      <c r="CQ507" s="21"/>
      <c r="CR507" s="21"/>
      <c r="CS507" s="21"/>
      <c r="CT507" s="21"/>
      <c r="CU507" s="21"/>
      <c r="CV507" s="21"/>
      <c r="CW507" s="21"/>
      <c r="CX507" s="21"/>
      <c r="CY507" s="21"/>
      <c r="CZ507" s="21"/>
      <c r="DA507" s="21"/>
      <c r="DB507" s="21"/>
      <c r="DC507" s="21"/>
      <c r="DD507" s="21"/>
      <c r="DE507" s="21"/>
      <c r="DF507" s="21"/>
      <c r="DG507" s="21"/>
      <c r="DH507" s="21"/>
      <c r="DI507" s="21"/>
      <c r="DJ507" s="21"/>
      <c r="DK507" s="21"/>
      <c r="DL507" s="21"/>
      <c r="DM507" s="21"/>
      <c r="DN507" s="21"/>
      <c r="DO507" s="21"/>
      <c r="DP507" s="21"/>
      <c r="DQ507" s="21"/>
      <c r="DR507" s="21"/>
      <c r="DS507" s="21"/>
      <c r="DT507" s="21"/>
      <c r="DU507" s="21"/>
      <c r="DV507" s="21"/>
      <c r="DW507" s="21"/>
      <c r="DX507" s="21"/>
      <c r="DY507" s="21"/>
      <c r="DZ507" s="21"/>
      <c r="EA507" s="21"/>
      <c r="EB507" s="21"/>
      <c r="EC507" s="21"/>
      <c r="ED507" s="21"/>
      <c r="EE507" s="21"/>
      <c r="EF507" s="21"/>
      <c r="EG507" s="21"/>
      <c r="EH507" s="21"/>
      <c r="EI507" s="21"/>
      <c r="EJ507" s="21"/>
      <c r="EK507" s="21"/>
      <c r="EL507" s="21"/>
      <c r="EM507" s="21"/>
      <c r="EN507" s="21"/>
      <c r="EO507" s="21"/>
      <c r="EP507" s="21"/>
      <c r="EQ507" s="21"/>
      <c r="ER507" s="21"/>
      <c r="ES507" s="21"/>
      <c r="ET507" s="21"/>
      <c r="EU507" s="21"/>
      <c r="EV507" s="21"/>
      <c r="EW507" s="21"/>
      <c r="EX507" s="21"/>
      <c r="EY507" s="21"/>
      <c r="EZ507" s="21"/>
      <c r="FA507" s="21"/>
      <c r="FB507" s="21"/>
      <c r="FC507" s="21"/>
      <c r="FD507" s="21"/>
      <c r="FE507" s="21"/>
      <c r="FF507" s="21"/>
      <c r="FG507" s="21"/>
      <c r="FH507" s="21"/>
      <c r="FI507" s="21"/>
      <c r="FJ507" s="21"/>
      <c r="FK507" s="21"/>
      <c r="FL507" s="21"/>
      <c r="FM507" s="21"/>
      <c r="FN507" s="21"/>
      <c r="FO507" s="21"/>
      <c r="FP507" s="21"/>
      <c r="FQ507" s="21"/>
      <c r="FR507" s="21"/>
      <c r="FS507" s="21"/>
      <c r="FT507" s="21"/>
      <c r="FU507" s="21"/>
      <c r="FV507" s="21"/>
      <c r="FW507" s="21"/>
      <c r="FX507" s="21"/>
      <c r="FY507" s="21"/>
      <c r="FZ507" s="21"/>
      <c r="GA507" s="21"/>
      <c r="GB507" s="21"/>
      <c r="GC507" s="21"/>
      <c r="GD507" s="21"/>
      <c r="GE507" s="21"/>
      <c r="GF507" s="21"/>
      <c r="GG507" s="21"/>
      <c r="GH507" s="21"/>
      <c r="GI507" s="21"/>
      <c r="GJ507" s="21"/>
      <c r="GK507" s="21"/>
      <c r="GL507" s="21"/>
      <c r="GM507" s="21"/>
      <c r="GN507" s="21"/>
      <c r="GO507" s="21"/>
      <c r="GP507" s="21"/>
      <c r="GQ507" s="21"/>
      <c r="GR507" s="21"/>
      <c r="GS507" s="21"/>
      <c r="GT507" s="21"/>
      <c r="GU507" s="21"/>
      <c r="GV507" s="21"/>
      <c r="GW507" s="21"/>
      <c r="GX507" s="21"/>
      <c r="GY507" s="21"/>
      <c r="GZ507" s="21"/>
      <c r="HA507" s="21"/>
      <c r="HB507" s="21"/>
    </row>
    <row r="508" spans="1:210"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21"/>
      <c r="CH508" s="21"/>
      <c r="CI508" s="21"/>
      <c r="CJ508" s="21"/>
      <c r="CK508" s="21"/>
      <c r="CL508" s="21"/>
      <c r="CM508" s="21"/>
      <c r="CN508" s="21"/>
      <c r="CO508" s="21"/>
      <c r="CP508" s="21"/>
      <c r="CQ508" s="21"/>
      <c r="CR508" s="21"/>
      <c r="CS508" s="21"/>
      <c r="CT508" s="21"/>
      <c r="CU508" s="21"/>
      <c r="CV508" s="21"/>
      <c r="CW508" s="21"/>
      <c r="CX508" s="21"/>
      <c r="CY508" s="21"/>
      <c r="CZ508" s="21"/>
      <c r="DA508" s="21"/>
      <c r="DB508" s="21"/>
      <c r="DC508" s="21"/>
      <c r="DD508" s="21"/>
      <c r="DE508" s="21"/>
      <c r="DF508" s="21"/>
      <c r="DG508" s="21"/>
      <c r="DH508" s="21"/>
      <c r="DI508" s="21"/>
      <c r="DJ508" s="21"/>
      <c r="DK508" s="21"/>
      <c r="DL508" s="21"/>
      <c r="DM508" s="21"/>
      <c r="DN508" s="21"/>
      <c r="DO508" s="21"/>
      <c r="DP508" s="21"/>
      <c r="DQ508" s="21"/>
      <c r="DR508" s="21"/>
      <c r="DS508" s="21"/>
      <c r="DT508" s="21"/>
      <c r="DU508" s="21"/>
      <c r="DV508" s="21"/>
      <c r="DW508" s="21"/>
      <c r="DX508" s="21"/>
      <c r="DY508" s="21"/>
      <c r="DZ508" s="21"/>
      <c r="EA508" s="21"/>
      <c r="EB508" s="21"/>
      <c r="EC508" s="21"/>
      <c r="ED508" s="21"/>
      <c r="EE508" s="21"/>
      <c r="EF508" s="21"/>
      <c r="EG508" s="21"/>
      <c r="EH508" s="21"/>
      <c r="EI508" s="21"/>
      <c r="EJ508" s="21"/>
      <c r="EK508" s="21"/>
      <c r="EL508" s="21"/>
      <c r="EM508" s="21"/>
      <c r="EN508" s="21"/>
      <c r="EO508" s="21"/>
      <c r="EP508" s="21"/>
      <c r="EQ508" s="21"/>
      <c r="ER508" s="21"/>
      <c r="ES508" s="21"/>
      <c r="ET508" s="21"/>
      <c r="EU508" s="21"/>
      <c r="EV508" s="21"/>
      <c r="EW508" s="21"/>
      <c r="EX508" s="21"/>
      <c r="EY508" s="21"/>
      <c r="EZ508" s="21"/>
      <c r="FA508" s="21"/>
      <c r="FB508" s="21"/>
      <c r="FC508" s="21"/>
      <c r="FD508" s="21"/>
      <c r="FE508" s="21"/>
      <c r="FF508" s="21"/>
      <c r="FG508" s="21"/>
      <c r="FH508" s="21"/>
      <c r="FI508" s="21"/>
      <c r="FJ508" s="21"/>
      <c r="FK508" s="21"/>
      <c r="FL508" s="21"/>
      <c r="FM508" s="21"/>
      <c r="FN508" s="21"/>
      <c r="FO508" s="21"/>
      <c r="FP508" s="21"/>
      <c r="FQ508" s="21"/>
      <c r="FR508" s="21"/>
      <c r="FS508" s="21"/>
      <c r="FT508" s="21"/>
      <c r="FU508" s="21"/>
      <c r="FV508" s="21"/>
      <c r="FW508" s="21"/>
      <c r="FX508" s="21"/>
      <c r="FY508" s="21"/>
      <c r="FZ508" s="21"/>
      <c r="GA508" s="21"/>
      <c r="GB508" s="21"/>
      <c r="GC508" s="21"/>
      <c r="GD508" s="21"/>
      <c r="GE508" s="21"/>
      <c r="GF508" s="21"/>
      <c r="GG508" s="21"/>
      <c r="GH508" s="21"/>
      <c r="GI508" s="21"/>
      <c r="GJ508" s="21"/>
      <c r="GK508" s="21"/>
      <c r="GL508" s="21"/>
      <c r="GM508" s="21"/>
      <c r="GN508" s="21"/>
      <c r="GO508" s="21"/>
      <c r="GP508" s="21"/>
      <c r="GQ508" s="21"/>
      <c r="GR508" s="21"/>
      <c r="GS508" s="21"/>
      <c r="GT508" s="21"/>
      <c r="GU508" s="21"/>
      <c r="GV508" s="21"/>
      <c r="GW508" s="21"/>
      <c r="GX508" s="21"/>
      <c r="GY508" s="21"/>
      <c r="GZ508" s="21"/>
      <c r="HA508" s="21"/>
      <c r="HB508" s="21"/>
    </row>
    <row r="509" spans="1:210"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21"/>
      <c r="CH509" s="21"/>
      <c r="CI509" s="21"/>
      <c r="CJ509" s="21"/>
      <c r="CK509" s="21"/>
      <c r="CL509" s="21"/>
      <c r="CM509" s="21"/>
      <c r="CN509" s="21"/>
      <c r="CO509" s="21"/>
      <c r="CP509" s="21"/>
      <c r="CQ509" s="21"/>
      <c r="CR509" s="21"/>
      <c r="CS509" s="21"/>
      <c r="CT509" s="21"/>
      <c r="CU509" s="21"/>
      <c r="CV509" s="21"/>
      <c r="CW509" s="21"/>
      <c r="CX509" s="21"/>
      <c r="CY509" s="21"/>
      <c r="CZ509" s="21"/>
      <c r="DA509" s="21"/>
      <c r="DB509" s="21"/>
      <c r="DC509" s="21"/>
      <c r="DD509" s="21"/>
      <c r="DE509" s="21"/>
      <c r="DF509" s="21"/>
      <c r="DG509" s="21"/>
      <c r="DH509" s="21"/>
      <c r="DI509" s="21"/>
      <c r="DJ509" s="21"/>
      <c r="DK509" s="21"/>
      <c r="DL509" s="21"/>
      <c r="DM509" s="21"/>
      <c r="DN509" s="21"/>
      <c r="DO509" s="21"/>
      <c r="DP509" s="21"/>
      <c r="DQ509" s="21"/>
      <c r="DR509" s="21"/>
      <c r="DS509" s="21"/>
      <c r="DT509" s="21"/>
      <c r="DU509" s="21"/>
      <c r="DV509" s="21"/>
      <c r="DW509" s="21"/>
      <c r="DX509" s="21"/>
      <c r="DY509" s="21"/>
      <c r="DZ509" s="21"/>
      <c r="EA509" s="21"/>
      <c r="EB509" s="21"/>
      <c r="EC509" s="21"/>
      <c r="ED509" s="21"/>
      <c r="EE509" s="21"/>
      <c r="EF509" s="21"/>
      <c r="EG509" s="21"/>
      <c r="EH509" s="21"/>
      <c r="EI509" s="21"/>
      <c r="EJ509" s="21"/>
      <c r="EK509" s="21"/>
      <c r="EL509" s="21"/>
      <c r="EM509" s="21"/>
      <c r="EN509" s="21"/>
      <c r="EO509" s="21"/>
      <c r="EP509" s="21"/>
      <c r="EQ509" s="21"/>
      <c r="ER509" s="21"/>
      <c r="ES509" s="21"/>
      <c r="ET509" s="21"/>
      <c r="EU509" s="21"/>
      <c r="EV509" s="21"/>
      <c r="EW509" s="21"/>
      <c r="EX509" s="21"/>
      <c r="EY509" s="21"/>
      <c r="EZ509" s="21"/>
      <c r="FA509" s="21"/>
      <c r="FB509" s="21"/>
      <c r="FC509" s="21"/>
      <c r="FD509" s="21"/>
      <c r="FE509" s="21"/>
      <c r="FF509" s="21"/>
      <c r="FG509" s="21"/>
      <c r="FH509" s="21"/>
      <c r="FI509" s="21"/>
      <c r="FJ509" s="21"/>
      <c r="FK509" s="21"/>
      <c r="FL509" s="21"/>
      <c r="FM509" s="21"/>
      <c r="FN509" s="21"/>
      <c r="FO509" s="21"/>
      <c r="FP509" s="21"/>
      <c r="FQ509" s="21"/>
      <c r="FR509" s="21"/>
      <c r="FS509" s="21"/>
      <c r="FT509" s="21"/>
      <c r="FU509" s="21"/>
      <c r="FV509" s="21"/>
      <c r="FW509" s="21"/>
      <c r="FX509" s="21"/>
      <c r="FY509" s="21"/>
      <c r="FZ509" s="21"/>
      <c r="GA509" s="21"/>
      <c r="GB509" s="21"/>
      <c r="GC509" s="21"/>
      <c r="GD509" s="21"/>
      <c r="GE509" s="21"/>
      <c r="GF509" s="21"/>
      <c r="GG509" s="21"/>
      <c r="GH509" s="21"/>
      <c r="GI509" s="21"/>
      <c r="GJ509" s="21"/>
      <c r="GK509" s="21"/>
      <c r="GL509" s="21"/>
      <c r="GM509" s="21"/>
      <c r="GN509" s="21"/>
      <c r="GO509" s="21"/>
      <c r="GP509" s="21"/>
      <c r="GQ509" s="21"/>
      <c r="GR509" s="21"/>
      <c r="GS509" s="21"/>
      <c r="GT509" s="21"/>
      <c r="GU509" s="21"/>
      <c r="GV509" s="21"/>
      <c r="GW509" s="21"/>
      <c r="GX509" s="21"/>
      <c r="GY509" s="21"/>
      <c r="GZ509" s="21"/>
      <c r="HA509" s="21"/>
      <c r="HB509" s="21"/>
    </row>
    <row r="510" spans="1:210"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21"/>
      <c r="CH510" s="21"/>
      <c r="CI510" s="21"/>
      <c r="CJ510" s="21"/>
      <c r="CK510" s="21"/>
      <c r="CL510" s="21"/>
      <c r="CM510" s="21"/>
      <c r="CN510" s="21"/>
      <c r="CO510" s="21"/>
      <c r="CP510" s="21"/>
      <c r="CQ510" s="21"/>
      <c r="CR510" s="21"/>
      <c r="CS510" s="21"/>
      <c r="CT510" s="21"/>
      <c r="CU510" s="21"/>
      <c r="CV510" s="21"/>
      <c r="CW510" s="21"/>
      <c r="CX510" s="21"/>
      <c r="CY510" s="21"/>
      <c r="CZ510" s="21"/>
      <c r="DA510" s="21"/>
      <c r="DB510" s="21"/>
      <c r="DC510" s="21"/>
      <c r="DD510" s="21"/>
      <c r="DE510" s="21"/>
      <c r="DF510" s="21"/>
      <c r="DG510" s="21"/>
      <c r="DH510" s="21"/>
      <c r="DI510" s="21"/>
      <c r="DJ510" s="21"/>
      <c r="DK510" s="21"/>
      <c r="DL510" s="21"/>
      <c r="DM510" s="21"/>
      <c r="DN510" s="21"/>
      <c r="DO510" s="21"/>
      <c r="DP510" s="21"/>
      <c r="DQ510" s="21"/>
      <c r="DR510" s="21"/>
      <c r="DS510" s="21"/>
      <c r="DT510" s="21"/>
      <c r="DU510" s="21"/>
      <c r="DV510" s="21"/>
      <c r="DW510" s="21"/>
      <c r="DX510" s="21"/>
      <c r="DY510" s="21"/>
      <c r="DZ510" s="21"/>
      <c r="EA510" s="21"/>
      <c r="EB510" s="21"/>
      <c r="EC510" s="21"/>
      <c r="ED510" s="21"/>
      <c r="EE510" s="21"/>
      <c r="EF510" s="21"/>
      <c r="EG510" s="21"/>
      <c r="EH510" s="21"/>
      <c r="EI510" s="21"/>
      <c r="EJ510" s="21"/>
      <c r="EK510" s="21"/>
      <c r="EL510" s="21"/>
      <c r="EM510" s="21"/>
      <c r="EN510" s="21"/>
      <c r="EO510" s="21"/>
      <c r="EP510" s="21"/>
      <c r="EQ510" s="21"/>
      <c r="ER510" s="21"/>
      <c r="ES510" s="21"/>
      <c r="ET510" s="21"/>
      <c r="EU510" s="21"/>
      <c r="EV510" s="21"/>
      <c r="EW510" s="21"/>
      <c r="EX510" s="21"/>
      <c r="EY510" s="21"/>
      <c r="EZ510" s="21"/>
      <c r="FA510" s="21"/>
      <c r="FB510" s="21"/>
      <c r="FC510" s="21"/>
      <c r="FD510" s="21"/>
      <c r="FE510" s="21"/>
      <c r="FF510" s="21"/>
      <c r="FG510" s="21"/>
      <c r="FH510" s="21"/>
      <c r="FI510" s="21"/>
      <c r="FJ510" s="21"/>
      <c r="FK510" s="21"/>
      <c r="FL510" s="21"/>
      <c r="FM510" s="21"/>
      <c r="FN510" s="21"/>
      <c r="FO510" s="21"/>
      <c r="FP510" s="21"/>
      <c r="FQ510" s="21"/>
      <c r="FR510" s="21"/>
      <c r="FS510" s="21"/>
      <c r="FT510" s="21"/>
      <c r="FU510" s="21"/>
      <c r="FV510" s="21"/>
      <c r="FW510" s="21"/>
      <c r="FX510" s="21"/>
      <c r="FY510" s="21"/>
      <c r="FZ510" s="21"/>
      <c r="GA510" s="21"/>
      <c r="GB510" s="21"/>
      <c r="GC510" s="21"/>
      <c r="GD510" s="21"/>
      <c r="GE510" s="21"/>
      <c r="GF510" s="21"/>
      <c r="GG510" s="21"/>
      <c r="GH510" s="21"/>
      <c r="GI510" s="21"/>
      <c r="GJ510" s="21"/>
      <c r="GK510" s="21"/>
      <c r="GL510" s="21"/>
      <c r="GM510" s="21"/>
      <c r="GN510" s="21"/>
      <c r="GO510" s="21"/>
      <c r="GP510" s="21"/>
      <c r="GQ510" s="21"/>
      <c r="GR510" s="21"/>
      <c r="GS510" s="21"/>
      <c r="GT510" s="21"/>
      <c r="GU510" s="21"/>
      <c r="GV510" s="21"/>
      <c r="GW510" s="21"/>
      <c r="GX510" s="21"/>
      <c r="GY510" s="21"/>
      <c r="GZ510" s="21"/>
      <c r="HA510" s="21"/>
      <c r="HB510" s="21"/>
    </row>
    <row r="511" spans="1:210"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21"/>
      <c r="CH511" s="21"/>
      <c r="CI511" s="21"/>
      <c r="CJ511" s="21"/>
      <c r="CK511" s="21"/>
      <c r="CL511" s="21"/>
      <c r="CM511" s="21"/>
      <c r="CN511" s="21"/>
      <c r="CO511" s="21"/>
      <c r="CP511" s="21"/>
      <c r="CQ511" s="21"/>
      <c r="CR511" s="21"/>
      <c r="CS511" s="21"/>
      <c r="CT511" s="21"/>
      <c r="CU511" s="21"/>
      <c r="CV511" s="21"/>
      <c r="CW511" s="21"/>
      <c r="CX511" s="21"/>
      <c r="CY511" s="21"/>
      <c r="CZ511" s="21"/>
      <c r="DA511" s="21"/>
      <c r="DB511" s="21"/>
      <c r="DC511" s="21"/>
      <c r="DD511" s="21"/>
      <c r="DE511" s="21"/>
      <c r="DF511" s="21"/>
      <c r="DG511" s="21"/>
      <c r="DH511" s="21"/>
      <c r="DI511" s="21"/>
      <c r="DJ511" s="21"/>
      <c r="DK511" s="21"/>
      <c r="DL511" s="21"/>
      <c r="DM511" s="21"/>
      <c r="DN511" s="21"/>
      <c r="DO511" s="21"/>
      <c r="DP511" s="21"/>
      <c r="DQ511" s="21"/>
      <c r="DR511" s="21"/>
      <c r="DS511" s="21"/>
      <c r="DT511" s="21"/>
      <c r="DU511" s="21"/>
      <c r="DV511" s="21"/>
      <c r="DW511" s="21"/>
      <c r="DX511" s="21"/>
      <c r="DY511" s="21"/>
      <c r="DZ511" s="21"/>
      <c r="EA511" s="21"/>
      <c r="EB511" s="21"/>
      <c r="EC511" s="21"/>
      <c r="ED511" s="21"/>
      <c r="EE511" s="21"/>
      <c r="EF511" s="21"/>
      <c r="EG511" s="21"/>
      <c r="EH511" s="21"/>
      <c r="EI511" s="21"/>
      <c r="EJ511" s="21"/>
      <c r="EK511" s="21"/>
      <c r="EL511" s="21"/>
      <c r="EM511" s="21"/>
      <c r="EN511" s="21"/>
      <c r="EO511" s="21"/>
      <c r="EP511" s="21"/>
      <c r="EQ511" s="21"/>
      <c r="ER511" s="21"/>
      <c r="ES511" s="21"/>
      <c r="ET511" s="21"/>
      <c r="EU511" s="21"/>
      <c r="EV511" s="21"/>
      <c r="EW511" s="21"/>
      <c r="EX511" s="21"/>
      <c r="EY511" s="21"/>
      <c r="EZ511" s="21"/>
      <c r="FA511" s="21"/>
      <c r="FB511" s="21"/>
      <c r="FC511" s="21"/>
      <c r="FD511" s="21"/>
      <c r="FE511" s="21"/>
      <c r="FF511" s="21"/>
      <c r="FG511" s="21"/>
      <c r="FH511" s="21"/>
      <c r="FI511" s="21"/>
      <c r="FJ511" s="21"/>
      <c r="FK511" s="21"/>
      <c r="FL511" s="21"/>
      <c r="FM511" s="21"/>
      <c r="FN511" s="21"/>
      <c r="FO511" s="21"/>
      <c r="FP511" s="21"/>
      <c r="FQ511" s="21"/>
      <c r="FR511" s="21"/>
      <c r="FS511" s="21"/>
      <c r="FT511" s="21"/>
      <c r="FU511" s="21"/>
      <c r="FV511" s="21"/>
      <c r="FW511" s="21"/>
      <c r="FX511" s="21"/>
      <c r="FY511" s="21"/>
      <c r="FZ511" s="21"/>
      <c r="GA511" s="21"/>
      <c r="GB511" s="21"/>
      <c r="GC511" s="21"/>
      <c r="GD511" s="21"/>
      <c r="GE511" s="21"/>
      <c r="GF511" s="21"/>
      <c r="GG511" s="21"/>
      <c r="GH511" s="21"/>
      <c r="GI511" s="21"/>
      <c r="GJ511" s="21"/>
      <c r="GK511" s="21"/>
      <c r="GL511" s="21"/>
      <c r="GM511" s="21"/>
      <c r="GN511" s="21"/>
      <c r="GO511" s="21"/>
      <c r="GP511" s="21"/>
      <c r="GQ511" s="21"/>
      <c r="GR511" s="21"/>
      <c r="GS511" s="21"/>
      <c r="GT511" s="21"/>
      <c r="GU511" s="21"/>
      <c r="GV511" s="21"/>
      <c r="GW511" s="21"/>
      <c r="GX511" s="21"/>
      <c r="GY511" s="21"/>
      <c r="GZ511" s="21"/>
      <c r="HA511" s="21"/>
      <c r="HB511" s="21"/>
    </row>
    <row r="512" spans="1:210"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c r="CC512" s="21"/>
      <c r="CD512" s="21"/>
      <c r="CE512" s="21"/>
      <c r="CF512" s="21"/>
      <c r="CG512" s="21"/>
      <c r="CH512" s="21"/>
      <c r="CI512" s="21"/>
      <c r="CJ512" s="21"/>
      <c r="CK512" s="21"/>
      <c r="CL512" s="21"/>
      <c r="CM512" s="21"/>
      <c r="CN512" s="21"/>
      <c r="CO512" s="21"/>
      <c r="CP512" s="21"/>
      <c r="CQ512" s="21"/>
      <c r="CR512" s="21"/>
      <c r="CS512" s="21"/>
      <c r="CT512" s="21"/>
      <c r="CU512" s="21"/>
      <c r="CV512" s="21"/>
      <c r="CW512" s="21"/>
      <c r="CX512" s="21"/>
      <c r="CY512" s="21"/>
      <c r="CZ512" s="21"/>
      <c r="DA512" s="21"/>
      <c r="DB512" s="21"/>
      <c r="DC512" s="21"/>
      <c r="DD512" s="21"/>
      <c r="DE512" s="21"/>
      <c r="DF512" s="21"/>
      <c r="DG512" s="21"/>
      <c r="DH512" s="21"/>
      <c r="DI512" s="21"/>
      <c r="DJ512" s="21"/>
      <c r="DK512" s="21"/>
      <c r="DL512" s="21"/>
      <c r="DM512" s="21"/>
      <c r="DN512" s="21"/>
      <c r="DO512" s="21"/>
      <c r="DP512" s="21"/>
      <c r="DQ512" s="21"/>
      <c r="DR512" s="21"/>
      <c r="DS512" s="21"/>
      <c r="DT512" s="21"/>
      <c r="DU512" s="21"/>
      <c r="DV512" s="21"/>
      <c r="DW512" s="21"/>
      <c r="DX512" s="21"/>
      <c r="DY512" s="21"/>
      <c r="DZ512" s="21"/>
      <c r="EA512" s="21"/>
      <c r="EB512" s="21"/>
      <c r="EC512" s="21"/>
      <c r="ED512" s="21"/>
      <c r="EE512" s="21"/>
      <c r="EF512" s="21"/>
      <c r="EG512" s="21"/>
      <c r="EH512" s="21"/>
      <c r="EI512" s="21"/>
      <c r="EJ512" s="21"/>
      <c r="EK512" s="21"/>
      <c r="EL512" s="21"/>
      <c r="EM512" s="21"/>
      <c r="EN512" s="21"/>
      <c r="EO512" s="21"/>
      <c r="EP512" s="21"/>
      <c r="EQ512" s="21"/>
      <c r="ER512" s="21"/>
      <c r="ES512" s="21"/>
      <c r="ET512" s="21"/>
      <c r="EU512" s="21"/>
      <c r="EV512" s="21"/>
      <c r="EW512" s="21"/>
      <c r="EX512" s="21"/>
      <c r="EY512" s="21"/>
      <c r="EZ512" s="21"/>
      <c r="FA512" s="21"/>
      <c r="FB512" s="21"/>
      <c r="FC512" s="21"/>
      <c r="FD512" s="21"/>
      <c r="FE512" s="21"/>
      <c r="FF512" s="21"/>
      <c r="FG512" s="21"/>
      <c r="FH512" s="21"/>
      <c r="FI512" s="21"/>
      <c r="FJ512" s="21"/>
      <c r="FK512" s="21"/>
      <c r="FL512" s="21"/>
      <c r="FM512" s="21"/>
      <c r="FN512" s="21"/>
      <c r="FO512" s="21"/>
      <c r="FP512" s="21"/>
      <c r="FQ512" s="21"/>
      <c r="FR512" s="21"/>
      <c r="FS512" s="21"/>
      <c r="FT512" s="21"/>
      <c r="FU512" s="21"/>
      <c r="FV512" s="21"/>
      <c r="FW512" s="21"/>
      <c r="FX512" s="21"/>
      <c r="FY512" s="21"/>
      <c r="FZ512" s="21"/>
      <c r="GA512" s="21"/>
      <c r="GB512" s="21"/>
      <c r="GC512" s="21"/>
      <c r="GD512" s="21"/>
      <c r="GE512" s="21"/>
      <c r="GF512" s="21"/>
      <c r="GG512" s="21"/>
      <c r="GH512" s="21"/>
      <c r="GI512" s="21"/>
      <c r="GJ512" s="21"/>
      <c r="GK512" s="21"/>
      <c r="GL512" s="21"/>
      <c r="GM512" s="21"/>
      <c r="GN512" s="21"/>
      <c r="GO512" s="21"/>
      <c r="GP512" s="21"/>
      <c r="GQ512" s="21"/>
      <c r="GR512" s="21"/>
      <c r="GS512" s="21"/>
      <c r="GT512" s="21"/>
      <c r="GU512" s="21"/>
      <c r="GV512" s="21"/>
      <c r="GW512" s="21"/>
      <c r="GX512" s="21"/>
      <c r="GY512" s="21"/>
      <c r="GZ512" s="21"/>
      <c r="HA512" s="21"/>
      <c r="HB512" s="21"/>
    </row>
    <row r="513" spans="1:210"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21"/>
      <c r="CH513" s="21"/>
      <c r="CI513" s="21"/>
      <c r="CJ513" s="21"/>
      <c r="CK513" s="21"/>
      <c r="CL513" s="21"/>
      <c r="CM513" s="21"/>
      <c r="CN513" s="21"/>
      <c r="CO513" s="21"/>
      <c r="CP513" s="21"/>
      <c r="CQ513" s="21"/>
      <c r="CR513" s="21"/>
      <c r="CS513" s="21"/>
      <c r="CT513" s="21"/>
      <c r="CU513" s="21"/>
      <c r="CV513" s="21"/>
      <c r="CW513" s="21"/>
      <c r="CX513" s="21"/>
      <c r="CY513" s="21"/>
      <c r="CZ513" s="21"/>
      <c r="DA513" s="21"/>
      <c r="DB513" s="21"/>
      <c r="DC513" s="21"/>
      <c r="DD513" s="21"/>
      <c r="DE513" s="21"/>
      <c r="DF513" s="21"/>
      <c r="DG513" s="21"/>
      <c r="DH513" s="21"/>
      <c r="DI513" s="21"/>
      <c r="DJ513" s="21"/>
      <c r="DK513" s="21"/>
      <c r="DL513" s="21"/>
      <c r="DM513" s="21"/>
      <c r="DN513" s="21"/>
      <c r="DO513" s="21"/>
      <c r="DP513" s="21"/>
      <c r="DQ513" s="21"/>
      <c r="DR513" s="21"/>
      <c r="DS513" s="21"/>
      <c r="DT513" s="21"/>
      <c r="DU513" s="21"/>
      <c r="DV513" s="21"/>
      <c r="DW513" s="21"/>
      <c r="DX513" s="21"/>
      <c r="DY513" s="21"/>
      <c r="DZ513" s="21"/>
      <c r="EA513" s="21"/>
      <c r="EB513" s="21"/>
      <c r="EC513" s="21"/>
      <c r="ED513" s="21"/>
      <c r="EE513" s="21"/>
      <c r="EF513" s="21"/>
      <c r="EG513" s="21"/>
      <c r="EH513" s="21"/>
      <c r="EI513" s="21"/>
      <c r="EJ513" s="21"/>
      <c r="EK513" s="21"/>
      <c r="EL513" s="21"/>
      <c r="EM513" s="21"/>
      <c r="EN513" s="21"/>
      <c r="EO513" s="21"/>
      <c r="EP513" s="21"/>
      <c r="EQ513" s="21"/>
      <c r="ER513" s="21"/>
      <c r="ES513" s="21"/>
      <c r="ET513" s="21"/>
      <c r="EU513" s="21"/>
      <c r="EV513" s="21"/>
      <c r="EW513" s="21"/>
      <c r="EX513" s="21"/>
      <c r="EY513" s="21"/>
      <c r="EZ513" s="21"/>
      <c r="FA513" s="21"/>
      <c r="FB513" s="21"/>
      <c r="FC513" s="21"/>
      <c r="FD513" s="21"/>
      <c r="FE513" s="21"/>
      <c r="FF513" s="21"/>
      <c r="FG513" s="21"/>
      <c r="FH513" s="21"/>
      <c r="FI513" s="21"/>
      <c r="FJ513" s="21"/>
      <c r="FK513" s="21"/>
      <c r="FL513" s="21"/>
      <c r="FM513" s="21"/>
      <c r="FN513" s="21"/>
      <c r="FO513" s="21"/>
      <c r="FP513" s="21"/>
      <c r="FQ513" s="21"/>
      <c r="FR513" s="21"/>
      <c r="FS513" s="21"/>
      <c r="FT513" s="21"/>
      <c r="FU513" s="21"/>
      <c r="FV513" s="21"/>
      <c r="FW513" s="21"/>
      <c r="FX513" s="21"/>
      <c r="FY513" s="21"/>
      <c r="FZ513" s="21"/>
      <c r="GA513" s="21"/>
      <c r="GB513" s="21"/>
      <c r="GC513" s="21"/>
      <c r="GD513" s="21"/>
      <c r="GE513" s="21"/>
      <c r="GF513" s="21"/>
      <c r="GG513" s="21"/>
      <c r="GH513" s="21"/>
      <c r="GI513" s="21"/>
      <c r="GJ513" s="21"/>
      <c r="GK513" s="21"/>
      <c r="GL513" s="21"/>
      <c r="GM513" s="21"/>
      <c r="GN513" s="21"/>
      <c r="GO513" s="21"/>
      <c r="GP513" s="21"/>
      <c r="GQ513" s="21"/>
      <c r="GR513" s="21"/>
      <c r="GS513" s="21"/>
      <c r="GT513" s="21"/>
      <c r="GU513" s="21"/>
      <c r="GV513" s="21"/>
      <c r="GW513" s="21"/>
      <c r="GX513" s="21"/>
      <c r="GY513" s="21"/>
      <c r="GZ513" s="21"/>
      <c r="HA513" s="21"/>
      <c r="HB513" s="21"/>
    </row>
    <row r="514" spans="1:210"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c r="CC514" s="21"/>
      <c r="CD514" s="21"/>
      <c r="CE514" s="21"/>
      <c r="CF514" s="21"/>
      <c r="CG514" s="21"/>
      <c r="CH514" s="21"/>
      <c r="CI514" s="21"/>
      <c r="CJ514" s="21"/>
      <c r="CK514" s="21"/>
      <c r="CL514" s="21"/>
      <c r="CM514" s="21"/>
      <c r="CN514" s="21"/>
      <c r="CO514" s="21"/>
      <c r="CP514" s="21"/>
      <c r="CQ514" s="21"/>
      <c r="CR514" s="21"/>
      <c r="CS514" s="21"/>
      <c r="CT514" s="21"/>
      <c r="CU514" s="21"/>
      <c r="CV514" s="21"/>
      <c r="CW514" s="21"/>
      <c r="CX514" s="21"/>
      <c r="CY514" s="21"/>
      <c r="CZ514" s="21"/>
      <c r="DA514" s="21"/>
      <c r="DB514" s="21"/>
      <c r="DC514" s="21"/>
      <c r="DD514" s="21"/>
      <c r="DE514" s="21"/>
      <c r="DF514" s="21"/>
      <c r="DG514" s="21"/>
      <c r="DH514" s="21"/>
      <c r="DI514" s="21"/>
      <c r="DJ514" s="21"/>
      <c r="DK514" s="21"/>
      <c r="DL514" s="21"/>
      <c r="DM514" s="21"/>
      <c r="DN514" s="21"/>
      <c r="DO514" s="21"/>
      <c r="DP514" s="21"/>
      <c r="DQ514" s="21"/>
      <c r="DR514" s="21"/>
      <c r="DS514" s="21"/>
      <c r="DT514" s="21"/>
      <c r="DU514" s="21"/>
      <c r="DV514" s="21"/>
      <c r="DW514" s="21"/>
      <c r="DX514" s="21"/>
      <c r="DY514" s="21"/>
      <c r="DZ514" s="21"/>
      <c r="EA514" s="21"/>
      <c r="EB514" s="21"/>
      <c r="EC514" s="21"/>
      <c r="ED514" s="21"/>
      <c r="EE514" s="21"/>
      <c r="EF514" s="21"/>
      <c r="EG514" s="21"/>
      <c r="EH514" s="21"/>
      <c r="EI514" s="21"/>
      <c r="EJ514" s="21"/>
      <c r="EK514" s="21"/>
      <c r="EL514" s="21"/>
      <c r="EM514" s="21"/>
      <c r="EN514" s="21"/>
      <c r="EO514" s="21"/>
      <c r="EP514" s="21"/>
      <c r="EQ514" s="21"/>
      <c r="ER514" s="21"/>
      <c r="ES514" s="21"/>
      <c r="ET514" s="21"/>
      <c r="EU514" s="21"/>
      <c r="EV514" s="21"/>
      <c r="EW514" s="21"/>
      <c r="EX514" s="21"/>
      <c r="EY514" s="21"/>
      <c r="EZ514" s="21"/>
      <c r="FA514" s="21"/>
      <c r="FB514" s="21"/>
      <c r="FC514" s="21"/>
      <c r="FD514" s="21"/>
      <c r="FE514" s="21"/>
      <c r="FF514" s="21"/>
      <c r="FG514" s="21"/>
      <c r="FH514" s="21"/>
      <c r="FI514" s="21"/>
      <c r="FJ514" s="21"/>
      <c r="FK514" s="21"/>
      <c r="FL514" s="21"/>
      <c r="FM514" s="21"/>
      <c r="FN514" s="21"/>
      <c r="FO514" s="21"/>
      <c r="FP514" s="21"/>
      <c r="FQ514" s="21"/>
      <c r="FR514" s="21"/>
      <c r="FS514" s="21"/>
      <c r="FT514" s="21"/>
      <c r="FU514" s="21"/>
      <c r="FV514" s="21"/>
      <c r="FW514" s="21"/>
      <c r="FX514" s="21"/>
      <c r="FY514" s="21"/>
      <c r="FZ514" s="21"/>
      <c r="GA514" s="21"/>
      <c r="GB514" s="21"/>
      <c r="GC514" s="21"/>
      <c r="GD514" s="21"/>
      <c r="GE514" s="21"/>
      <c r="GF514" s="21"/>
      <c r="GG514" s="21"/>
      <c r="GH514" s="21"/>
      <c r="GI514" s="21"/>
      <c r="GJ514" s="21"/>
      <c r="GK514" s="21"/>
      <c r="GL514" s="21"/>
      <c r="GM514" s="21"/>
      <c r="GN514" s="21"/>
      <c r="GO514" s="21"/>
      <c r="GP514" s="21"/>
      <c r="GQ514" s="21"/>
      <c r="GR514" s="21"/>
      <c r="GS514" s="21"/>
      <c r="GT514" s="21"/>
      <c r="GU514" s="21"/>
      <c r="GV514" s="21"/>
      <c r="GW514" s="21"/>
      <c r="GX514" s="21"/>
      <c r="GY514" s="21"/>
      <c r="GZ514" s="21"/>
      <c r="HA514" s="21"/>
      <c r="HB514" s="21"/>
    </row>
    <row r="515" spans="1:210"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c r="CC515" s="21"/>
      <c r="CD515" s="21"/>
      <c r="CE515" s="21"/>
      <c r="CF515" s="21"/>
      <c r="CG515" s="21"/>
      <c r="CH515" s="21"/>
      <c r="CI515" s="21"/>
      <c r="CJ515" s="21"/>
      <c r="CK515" s="21"/>
      <c r="CL515" s="21"/>
      <c r="CM515" s="21"/>
      <c r="CN515" s="21"/>
      <c r="CO515" s="21"/>
      <c r="CP515" s="21"/>
      <c r="CQ515" s="21"/>
      <c r="CR515" s="21"/>
      <c r="CS515" s="21"/>
      <c r="CT515" s="21"/>
      <c r="CU515" s="21"/>
      <c r="CV515" s="21"/>
      <c r="CW515" s="21"/>
      <c r="CX515" s="21"/>
      <c r="CY515" s="21"/>
      <c r="CZ515" s="21"/>
      <c r="DA515" s="21"/>
      <c r="DB515" s="21"/>
      <c r="DC515" s="21"/>
      <c r="DD515" s="21"/>
      <c r="DE515" s="21"/>
      <c r="DF515" s="21"/>
      <c r="DG515" s="21"/>
      <c r="DH515" s="21"/>
      <c r="DI515" s="21"/>
      <c r="DJ515" s="21"/>
      <c r="DK515" s="21"/>
      <c r="DL515" s="21"/>
      <c r="DM515" s="21"/>
      <c r="DN515" s="21"/>
      <c r="DO515" s="21"/>
      <c r="DP515" s="21"/>
      <c r="DQ515" s="21"/>
      <c r="DR515" s="21"/>
      <c r="DS515" s="21"/>
      <c r="DT515" s="21"/>
      <c r="DU515" s="21"/>
      <c r="DV515" s="21"/>
      <c r="DW515" s="21"/>
      <c r="DX515" s="21"/>
      <c r="DY515" s="21"/>
      <c r="DZ515" s="21"/>
      <c r="EA515" s="21"/>
      <c r="EB515" s="21"/>
      <c r="EC515" s="21"/>
      <c r="ED515" s="21"/>
      <c r="EE515" s="21"/>
      <c r="EF515" s="21"/>
      <c r="EG515" s="21"/>
      <c r="EH515" s="21"/>
      <c r="EI515" s="21"/>
      <c r="EJ515" s="21"/>
      <c r="EK515" s="21"/>
      <c r="EL515" s="21"/>
      <c r="EM515" s="21"/>
      <c r="EN515" s="21"/>
      <c r="EO515" s="21"/>
      <c r="EP515" s="21"/>
      <c r="EQ515" s="21"/>
      <c r="ER515" s="21"/>
      <c r="ES515" s="21"/>
      <c r="ET515" s="21"/>
      <c r="EU515" s="21"/>
      <c r="EV515" s="21"/>
      <c r="EW515" s="21"/>
      <c r="EX515" s="21"/>
      <c r="EY515" s="21"/>
      <c r="EZ515" s="21"/>
      <c r="FA515" s="21"/>
      <c r="FB515" s="21"/>
      <c r="FC515" s="21"/>
      <c r="FD515" s="21"/>
      <c r="FE515" s="21"/>
      <c r="FF515" s="21"/>
      <c r="FG515" s="21"/>
      <c r="FH515" s="21"/>
      <c r="FI515" s="21"/>
      <c r="FJ515" s="21"/>
      <c r="FK515" s="21"/>
      <c r="FL515" s="21"/>
      <c r="FM515" s="21"/>
      <c r="FN515" s="21"/>
      <c r="FO515" s="21"/>
      <c r="FP515" s="21"/>
      <c r="FQ515" s="21"/>
      <c r="FR515" s="21"/>
      <c r="FS515" s="21"/>
      <c r="FT515" s="21"/>
      <c r="FU515" s="21"/>
      <c r="FV515" s="21"/>
      <c r="FW515" s="21"/>
      <c r="FX515" s="21"/>
      <c r="FY515" s="21"/>
      <c r="FZ515" s="21"/>
      <c r="GA515" s="21"/>
      <c r="GB515" s="21"/>
      <c r="GC515" s="21"/>
      <c r="GD515" s="21"/>
      <c r="GE515" s="21"/>
      <c r="GF515" s="21"/>
      <c r="GG515" s="21"/>
      <c r="GH515" s="21"/>
      <c r="GI515" s="21"/>
      <c r="GJ515" s="21"/>
      <c r="GK515" s="21"/>
      <c r="GL515" s="21"/>
      <c r="GM515" s="21"/>
      <c r="GN515" s="21"/>
      <c r="GO515" s="21"/>
      <c r="GP515" s="21"/>
      <c r="GQ515" s="21"/>
      <c r="GR515" s="21"/>
      <c r="GS515" s="21"/>
      <c r="GT515" s="21"/>
      <c r="GU515" s="21"/>
      <c r="GV515" s="21"/>
      <c r="GW515" s="21"/>
      <c r="GX515" s="21"/>
      <c r="GY515" s="21"/>
      <c r="GZ515" s="21"/>
      <c r="HA515" s="21"/>
      <c r="HB515" s="21"/>
    </row>
    <row r="516" spans="1:210"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c r="CC516" s="21"/>
      <c r="CD516" s="21"/>
      <c r="CE516" s="21"/>
      <c r="CF516" s="21"/>
      <c r="CG516" s="21"/>
      <c r="CH516" s="21"/>
      <c r="CI516" s="21"/>
      <c r="CJ516" s="21"/>
      <c r="CK516" s="21"/>
      <c r="CL516" s="21"/>
      <c r="CM516" s="21"/>
      <c r="CN516" s="21"/>
      <c r="CO516" s="21"/>
      <c r="CP516" s="21"/>
      <c r="CQ516" s="21"/>
      <c r="CR516" s="21"/>
      <c r="CS516" s="21"/>
      <c r="CT516" s="21"/>
      <c r="CU516" s="21"/>
      <c r="CV516" s="21"/>
      <c r="CW516" s="21"/>
      <c r="CX516" s="21"/>
      <c r="CY516" s="21"/>
      <c r="CZ516" s="21"/>
      <c r="DA516" s="21"/>
      <c r="DB516" s="21"/>
      <c r="DC516" s="21"/>
      <c r="DD516" s="21"/>
      <c r="DE516" s="21"/>
      <c r="DF516" s="21"/>
      <c r="DG516" s="21"/>
      <c r="DH516" s="21"/>
      <c r="DI516" s="21"/>
      <c r="DJ516" s="21"/>
      <c r="DK516" s="21"/>
      <c r="DL516" s="21"/>
      <c r="DM516" s="21"/>
      <c r="DN516" s="21"/>
      <c r="DO516" s="21"/>
      <c r="DP516" s="21"/>
      <c r="DQ516" s="21"/>
      <c r="DR516" s="21"/>
      <c r="DS516" s="21"/>
      <c r="DT516" s="21"/>
      <c r="DU516" s="21"/>
      <c r="DV516" s="21"/>
      <c r="DW516" s="21"/>
      <c r="DX516" s="21"/>
      <c r="DY516" s="21"/>
      <c r="DZ516" s="21"/>
      <c r="EA516" s="21"/>
      <c r="EB516" s="21"/>
      <c r="EC516" s="21"/>
      <c r="ED516" s="21"/>
      <c r="EE516" s="21"/>
      <c r="EF516" s="21"/>
      <c r="EG516" s="21"/>
      <c r="EH516" s="21"/>
      <c r="EI516" s="21"/>
      <c r="EJ516" s="21"/>
      <c r="EK516" s="21"/>
      <c r="EL516" s="21"/>
      <c r="EM516" s="21"/>
      <c r="EN516" s="21"/>
      <c r="EO516" s="21"/>
      <c r="EP516" s="21"/>
      <c r="EQ516" s="21"/>
      <c r="ER516" s="21"/>
      <c r="ES516" s="21"/>
      <c r="ET516" s="21"/>
      <c r="EU516" s="21"/>
      <c r="EV516" s="21"/>
      <c r="EW516" s="21"/>
      <c r="EX516" s="21"/>
      <c r="EY516" s="21"/>
      <c r="EZ516" s="21"/>
      <c r="FA516" s="21"/>
      <c r="FB516" s="21"/>
      <c r="FC516" s="21"/>
      <c r="FD516" s="21"/>
      <c r="FE516" s="21"/>
      <c r="FF516" s="21"/>
      <c r="FG516" s="21"/>
      <c r="FH516" s="21"/>
      <c r="FI516" s="21"/>
      <c r="FJ516" s="21"/>
      <c r="FK516" s="21"/>
      <c r="FL516" s="21"/>
      <c r="FM516" s="21"/>
      <c r="FN516" s="21"/>
      <c r="FO516" s="21"/>
      <c r="FP516" s="21"/>
      <c r="FQ516" s="21"/>
      <c r="FR516" s="21"/>
      <c r="FS516" s="21"/>
      <c r="FT516" s="21"/>
      <c r="FU516" s="21"/>
      <c r="FV516" s="21"/>
      <c r="FW516" s="21"/>
      <c r="FX516" s="21"/>
      <c r="FY516" s="21"/>
      <c r="FZ516" s="21"/>
      <c r="GA516" s="21"/>
      <c r="GB516" s="21"/>
      <c r="GC516" s="21"/>
      <c r="GD516" s="21"/>
      <c r="GE516" s="21"/>
      <c r="GF516" s="21"/>
      <c r="GG516" s="21"/>
      <c r="GH516" s="21"/>
      <c r="GI516" s="21"/>
      <c r="GJ516" s="21"/>
      <c r="GK516" s="21"/>
      <c r="GL516" s="21"/>
      <c r="GM516" s="21"/>
      <c r="GN516" s="21"/>
      <c r="GO516" s="21"/>
      <c r="GP516" s="21"/>
      <c r="GQ516" s="21"/>
      <c r="GR516" s="21"/>
      <c r="GS516" s="21"/>
      <c r="GT516" s="21"/>
      <c r="GU516" s="21"/>
      <c r="GV516" s="21"/>
      <c r="GW516" s="21"/>
      <c r="GX516" s="21"/>
      <c r="GY516" s="21"/>
      <c r="GZ516" s="21"/>
      <c r="HA516" s="21"/>
      <c r="HB516" s="21"/>
    </row>
    <row r="517" spans="1:210"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c r="CC517" s="21"/>
      <c r="CD517" s="21"/>
      <c r="CE517" s="21"/>
      <c r="CF517" s="21"/>
      <c r="CG517" s="21"/>
      <c r="CH517" s="21"/>
      <c r="CI517" s="21"/>
      <c r="CJ517" s="21"/>
      <c r="CK517" s="21"/>
      <c r="CL517" s="21"/>
      <c r="CM517" s="21"/>
      <c r="CN517" s="21"/>
      <c r="CO517" s="21"/>
      <c r="CP517" s="21"/>
      <c r="CQ517" s="21"/>
      <c r="CR517" s="21"/>
      <c r="CS517" s="21"/>
      <c r="CT517" s="21"/>
      <c r="CU517" s="21"/>
      <c r="CV517" s="21"/>
      <c r="CW517" s="21"/>
      <c r="CX517" s="21"/>
      <c r="CY517" s="21"/>
      <c r="CZ517" s="21"/>
      <c r="DA517" s="21"/>
      <c r="DB517" s="21"/>
      <c r="DC517" s="21"/>
      <c r="DD517" s="21"/>
      <c r="DE517" s="21"/>
      <c r="DF517" s="21"/>
      <c r="DG517" s="21"/>
      <c r="DH517" s="21"/>
      <c r="DI517" s="21"/>
      <c r="DJ517" s="21"/>
      <c r="DK517" s="21"/>
      <c r="DL517" s="21"/>
      <c r="DM517" s="21"/>
      <c r="DN517" s="21"/>
      <c r="DO517" s="21"/>
      <c r="DP517" s="21"/>
      <c r="DQ517" s="21"/>
      <c r="DR517" s="21"/>
      <c r="DS517" s="21"/>
      <c r="DT517" s="21"/>
      <c r="DU517" s="21"/>
      <c r="DV517" s="21"/>
      <c r="DW517" s="21"/>
      <c r="DX517" s="21"/>
      <c r="DY517" s="21"/>
      <c r="DZ517" s="21"/>
      <c r="EA517" s="21"/>
      <c r="EB517" s="21"/>
      <c r="EC517" s="21"/>
      <c r="ED517" s="21"/>
      <c r="EE517" s="21"/>
      <c r="EF517" s="21"/>
      <c r="EG517" s="21"/>
      <c r="EH517" s="21"/>
      <c r="EI517" s="21"/>
      <c r="EJ517" s="21"/>
      <c r="EK517" s="21"/>
      <c r="EL517" s="21"/>
      <c r="EM517" s="21"/>
      <c r="EN517" s="21"/>
      <c r="EO517" s="21"/>
      <c r="EP517" s="21"/>
      <c r="EQ517" s="21"/>
      <c r="ER517" s="21"/>
      <c r="ES517" s="21"/>
      <c r="ET517" s="21"/>
      <c r="EU517" s="21"/>
      <c r="EV517" s="21"/>
      <c r="EW517" s="21"/>
      <c r="EX517" s="21"/>
      <c r="EY517" s="21"/>
      <c r="EZ517" s="21"/>
      <c r="FA517" s="21"/>
      <c r="FB517" s="21"/>
      <c r="FC517" s="21"/>
      <c r="FD517" s="21"/>
      <c r="FE517" s="21"/>
      <c r="FF517" s="21"/>
      <c r="FG517" s="21"/>
      <c r="FH517" s="21"/>
      <c r="FI517" s="21"/>
      <c r="FJ517" s="21"/>
      <c r="FK517" s="21"/>
      <c r="FL517" s="21"/>
      <c r="FM517" s="21"/>
      <c r="FN517" s="21"/>
      <c r="FO517" s="21"/>
      <c r="FP517" s="21"/>
      <c r="FQ517" s="21"/>
      <c r="FR517" s="21"/>
      <c r="FS517" s="21"/>
      <c r="FT517" s="21"/>
      <c r="FU517" s="21"/>
      <c r="FV517" s="21"/>
      <c r="FW517" s="21"/>
      <c r="FX517" s="21"/>
      <c r="FY517" s="21"/>
      <c r="FZ517" s="21"/>
      <c r="GA517" s="21"/>
      <c r="GB517" s="21"/>
      <c r="GC517" s="21"/>
      <c r="GD517" s="21"/>
      <c r="GE517" s="21"/>
      <c r="GF517" s="21"/>
      <c r="GG517" s="21"/>
      <c r="GH517" s="21"/>
      <c r="GI517" s="21"/>
      <c r="GJ517" s="21"/>
      <c r="GK517" s="21"/>
      <c r="GL517" s="21"/>
      <c r="GM517" s="21"/>
      <c r="GN517" s="21"/>
      <c r="GO517" s="21"/>
      <c r="GP517" s="21"/>
      <c r="GQ517" s="21"/>
      <c r="GR517" s="21"/>
      <c r="GS517" s="21"/>
      <c r="GT517" s="21"/>
      <c r="GU517" s="21"/>
      <c r="GV517" s="21"/>
      <c r="GW517" s="21"/>
      <c r="GX517" s="21"/>
      <c r="GY517" s="21"/>
      <c r="GZ517" s="21"/>
      <c r="HA517" s="21"/>
      <c r="HB517" s="21"/>
    </row>
    <row r="518" spans="1:210"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21"/>
      <c r="CH518" s="21"/>
      <c r="CI518" s="21"/>
      <c r="CJ518" s="21"/>
      <c r="CK518" s="21"/>
      <c r="CL518" s="21"/>
      <c r="CM518" s="21"/>
      <c r="CN518" s="21"/>
      <c r="CO518" s="21"/>
      <c r="CP518" s="21"/>
      <c r="CQ518" s="21"/>
      <c r="CR518" s="21"/>
      <c r="CS518" s="21"/>
      <c r="CT518" s="21"/>
      <c r="CU518" s="21"/>
      <c r="CV518" s="21"/>
      <c r="CW518" s="21"/>
      <c r="CX518" s="21"/>
      <c r="CY518" s="21"/>
      <c r="CZ518" s="21"/>
      <c r="DA518" s="21"/>
      <c r="DB518" s="21"/>
      <c r="DC518" s="21"/>
      <c r="DD518" s="21"/>
      <c r="DE518" s="21"/>
      <c r="DF518" s="21"/>
      <c r="DG518" s="21"/>
      <c r="DH518" s="21"/>
      <c r="DI518" s="21"/>
      <c r="DJ518" s="21"/>
      <c r="DK518" s="21"/>
      <c r="DL518" s="21"/>
      <c r="DM518" s="21"/>
      <c r="DN518" s="21"/>
      <c r="DO518" s="21"/>
      <c r="DP518" s="21"/>
      <c r="DQ518" s="21"/>
      <c r="DR518" s="21"/>
      <c r="DS518" s="21"/>
      <c r="DT518" s="21"/>
      <c r="DU518" s="21"/>
      <c r="DV518" s="21"/>
      <c r="DW518" s="21"/>
      <c r="DX518" s="21"/>
      <c r="DY518" s="21"/>
      <c r="DZ518" s="21"/>
      <c r="EA518" s="21"/>
      <c r="EB518" s="21"/>
      <c r="EC518" s="21"/>
      <c r="ED518" s="21"/>
      <c r="EE518" s="21"/>
      <c r="EF518" s="21"/>
      <c r="EG518" s="21"/>
      <c r="EH518" s="21"/>
      <c r="EI518" s="21"/>
      <c r="EJ518" s="21"/>
      <c r="EK518" s="21"/>
      <c r="EL518" s="21"/>
      <c r="EM518" s="21"/>
      <c r="EN518" s="21"/>
      <c r="EO518" s="21"/>
      <c r="EP518" s="21"/>
      <c r="EQ518" s="21"/>
      <c r="ER518" s="21"/>
      <c r="ES518" s="21"/>
      <c r="ET518" s="21"/>
      <c r="EU518" s="21"/>
      <c r="EV518" s="21"/>
      <c r="EW518" s="21"/>
      <c r="EX518" s="21"/>
      <c r="EY518" s="21"/>
      <c r="EZ518" s="21"/>
      <c r="FA518" s="21"/>
      <c r="FB518" s="21"/>
      <c r="FC518" s="21"/>
      <c r="FD518" s="21"/>
      <c r="FE518" s="21"/>
      <c r="FF518" s="21"/>
      <c r="FG518" s="21"/>
      <c r="FH518" s="21"/>
      <c r="FI518" s="21"/>
      <c r="FJ518" s="21"/>
      <c r="FK518" s="21"/>
      <c r="FL518" s="21"/>
      <c r="FM518" s="21"/>
      <c r="FN518" s="21"/>
      <c r="FO518" s="21"/>
      <c r="FP518" s="21"/>
      <c r="FQ518" s="21"/>
      <c r="FR518" s="21"/>
      <c r="FS518" s="21"/>
      <c r="FT518" s="21"/>
      <c r="FU518" s="21"/>
      <c r="FV518" s="21"/>
      <c r="FW518" s="21"/>
      <c r="FX518" s="21"/>
      <c r="FY518" s="21"/>
      <c r="FZ518" s="21"/>
      <c r="GA518" s="21"/>
      <c r="GB518" s="21"/>
      <c r="GC518" s="21"/>
      <c r="GD518" s="21"/>
      <c r="GE518" s="21"/>
      <c r="GF518" s="21"/>
      <c r="GG518" s="21"/>
      <c r="GH518" s="21"/>
      <c r="GI518" s="21"/>
      <c r="GJ518" s="21"/>
      <c r="GK518" s="21"/>
      <c r="GL518" s="21"/>
      <c r="GM518" s="21"/>
      <c r="GN518" s="21"/>
      <c r="GO518" s="21"/>
      <c r="GP518" s="21"/>
      <c r="GQ518" s="21"/>
      <c r="GR518" s="21"/>
      <c r="GS518" s="21"/>
      <c r="GT518" s="21"/>
      <c r="GU518" s="21"/>
      <c r="GV518" s="21"/>
      <c r="GW518" s="21"/>
      <c r="GX518" s="21"/>
      <c r="GY518" s="21"/>
      <c r="GZ518" s="21"/>
      <c r="HA518" s="21"/>
      <c r="HB518" s="21"/>
    </row>
    <row r="519" spans="1:210"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21"/>
      <c r="CH519" s="21"/>
      <c r="CI519" s="21"/>
      <c r="CJ519" s="21"/>
      <c r="CK519" s="21"/>
      <c r="CL519" s="21"/>
      <c r="CM519" s="21"/>
      <c r="CN519" s="21"/>
      <c r="CO519" s="21"/>
      <c r="CP519" s="21"/>
      <c r="CQ519" s="21"/>
      <c r="CR519" s="21"/>
      <c r="CS519" s="21"/>
      <c r="CT519" s="21"/>
      <c r="CU519" s="21"/>
      <c r="CV519" s="21"/>
      <c r="CW519" s="21"/>
      <c r="CX519" s="21"/>
      <c r="CY519" s="21"/>
      <c r="CZ519" s="21"/>
      <c r="DA519" s="21"/>
      <c r="DB519" s="21"/>
      <c r="DC519" s="21"/>
      <c r="DD519" s="21"/>
      <c r="DE519" s="21"/>
      <c r="DF519" s="21"/>
      <c r="DG519" s="21"/>
      <c r="DH519" s="21"/>
      <c r="DI519" s="21"/>
      <c r="DJ519" s="21"/>
      <c r="DK519" s="21"/>
      <c r="DL519" s="21"/>
      <c r="DM519" s="21"/>
      <c r="DN519" s="21"/>
      <c r="DO519" s="21"/>
      <c r="DP519" s="21"/>
      <c r="DQ519" s="21"/>
      <c r="DR519" s="21"/>
      <c r="DS519" s="21"/>
      <c r="DT519" s="21"/>
      <c r="DU519" s="21"/>
      <c r="DV519" s="21"/>
      <c r="DW519" s="21"/>
      <c r="DX519" s="21"/>
      <c r="DY519" s="21"/>
      <c r="DZ519" s="21"/>
      <c r="EA519" s="21"/>
      <c r="EB519" s="21"/>
      <c r="EC519" s="21"/>
      <c r="ED519" s="21"/>
      <c r="EE519" s="21"/>
      <c r="EF519" s="21"/>
      <c r="EG519" s="21"/>
      <c r="EH519" s="21"/>
      <c r="EI519" s="21"/>
      <c r="EJ519" s="21"/>
      <c r="EK519" s="21"/>
      <c r="EL519" s="21"/>
      <c r="EM519" s="21"/>
      <c r="EN519" s="21"/>
      <c r="EO519" s="21"/>
      <c r="EP519" s="21"/>
      <c r="EQ519" s="21"/>
      <c r="ER519" s="21"/>
      <c r="ES519" s="21"/>
      <c r="ET519" s="21"/>
      <c r="EU519" s="21"/>
      <c r="EV519" s="21"/>
      <c r="EW519" s="21"/>
      <c r="EX519" s="21"/>
      <c r="EY519" s="21"/>
      <c r="EZ519" s="21"/>
      <c r="FA519" s="21"/>
      <c r="FB519" s="21"/>
      <c r="FC519" s="21"/>
      <c r="FD519" s="21"/>
      <c r="FE519" s="21"/>
      <c r="FF519" s="21"/>
      <c r="FG519" s="21"/>
      <c r="FH519" s="21"/>
      <c r="FI519" s="21"/>
      <c r="FJ519" s="21"/>
      <c r="FK519" s="21"/>
      <c r="FL519" s="21"/>
      <c r="FM519" s="21"/>
      <c r="FN519" s="21"/>
      <c r="FO519" s="21"/>
      <c r="FP519" s="21"/>
      <c r="FQ519" s="21"/>
      <c r="FR519" s="21"/>
      <c r="FS519" s="21"/>
      <c r="FT519" s="21"/>
      <c r="FU519" s="21"/>
      <c r="FV519" s="21"/>
      <c r="FW519" s="21"/>
      <c r="FX519" s="21"/>
      <c r="FY519" s="21"/>
      <c r="FZ519" s="21"/>
      <c r="GA519" s="21"/>
      <c r="GB519" s="21"/>
      <c r="GC519" s="21"/>
      <c r="GD519" s="21"/>
      <c r="GE519" s="21"/>
      <c r="GF519" s="21"/>
      <c r="GG519" s="21"/>
      <c r="GH519" s="21"/>
      <c r="GI519" s="21"/>
      <c r="GJ519" s="21"/>
      <c r="GK519" s="21"/>
      <c r="GL519" s="21"/>
      <c r="GM519" s="21"/>
      <c r="GN519" s="21"/>
      <c r="GO519" s="21"/>
      <c r="GP519" s="21"/>
      <c r="GQ519" s="21"/>
      <c r="GR519" s="21"/>
      <c r="GS519" s="21"/>
      <c r="GT519" s="21"/>
      <c r="GU519" s="21"/>
      <c r="GV519" s="21"/>
      <c r="GW519" s="21"/>
      <c r="GX519" s="21"/>
      <c r="GY519" s="21"/>
      <c r="GZ519" s="21"/>
      <c r="HA519" s="21"/>
      <c r="HB519" s="21"/>
    </row>
    <row r="520" spans="1:210"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21"/>
      <c r="CH520" s="21"/>
      <c r="CI520" s="21"/>
      <c r="CJ520" s="21"/>
      <c r="CK520" s="21"/>
      <c r="CL520" s="21"/>
      <c r="CM520" s="21"/>
      <c r="CN520" s="21"/>
      <c r="CO520" s="21"/>
      <c r="CP520" s="21"/>
      <c r="CQ520" s="21"/>
      <c r="CR520" s="21"/>
      <c r="CS520" s="21"/>
      <c r="CT520" s="21"/>
      <c r="CU520" s="21"/>
      <c r="CV520" s="21"/>
      <c r="CW520" s="21"/>
      <c r="CX520" s="21"/>
      <c r="CY520" s="21"/>
      <c r="CZ520" s="21"/>
      <c r="DA520" s="21"/>
      <c r="DB520" s="21"/>
      <c r="DC520" s="21"/>
      <c r="DD520" s="21"/>
      <c r="DE520" s="21"/>
      <c r="DF520" s="21"/>
      <c r="DG520" s="21"/>
      <c r="DH520" s="21"/>
      <c r="DI520" s="21"/>
      <c r="DJ520" s="21"/>
      <c r="DK520" s="21"/>
      <c r="DL520" s="21"/>
      <c r="DM520" s="21"/>
      <c r="DN520" s="21"/>
      <c r="DO520" s="21"/>
      <c r="DP520" s="21"/>
      <c r="DQ520" s="21"/>
      <c r="DR520" s="21"/>
      <c r="DS520" s="21"/>
      <c r="DT520" s="21"/>
      <c r="DU520" s="21"/>
      <c r="DV520" s="21"/>
      <c r="DW520" s="21"/>
      <c r="DX520" s="21"/>
      <c r="DY520" s="21"/>
      <c r="DZ520" s="21"/>
      <c r="EA520" s="21"/>
      <c r="EB520" s="21"/>
      <c r="EC520" s="21"/>
      <c r="ED520" s="21"/>
      <c r="EE520" s="21"/>
      <c r="EF520" s="21"/>
      <c r="EG520" s="21"/>
      <c r="EH520" s="21"/>
      <c r="EI520" s="21"/>
      <c r="EJ520" s="21"/>
      <c r="EK520" s="21"/>
      <c r="EL520" s="21"/>
      <c r="EM520" s="21"/>
      <c r="EN520" s="21"/>
      <c r="EO520" s="21"/>
      <c r="EP520" s="21"/>
      <c r="EQ520" s="21"/>
      <c r="ER520" s="21"/>
      <c r="ES520" s="21"/>
      <c r="ET520" s="21"/>
      <c r="EU520" s="21"/>
      <c r="EV520" s="21"/>
      <c r="EW520" s="21"/>
      <c r="EX520" s="21"/>
      <c r="EY520" s="21"/>
      <c r="EZ520" s="21"/>
      <c r="FA520" s="21"/>
      <c r="FB520" s="21"/>
      <c r="FC520" s="21"/>
      <c r="FD520" s="21"/>
      <c r="FE520" s="21"/>
      <c r="FF520" s="21"/>
      <c r="FG520" s="21"/>
      <c r="FH520" s="21"/>
      <c r="FI520" s="21"/>
      <c r="FJ520" s="21"/>
      <c r="FK520" s="21"/>
      <c r="FL520" s="21"/>
      <c r="FM520" s="21"/>
      <c r="FN520" s="21"/>
      <c r="FO520" s="21"/>
      <c r="FP520" s="21"/>
      <c r="FQ520" s="21"/>
      <c r="FR520" s="21"/>
      <c r="FS520" s="21"/>
      <c r="FT520" s="21"/>
      <c r="FU520" s="21"/>
      <c r="FV520" s="21"/>
      <c r="FW520" s="21"/>
      <c r="FX520" s="21"/>
      <c r="FY520" s="21"/>
      <c r="FZ520" s="21"/>
      <c r="GA520" s="21"/>
      <c r="GB520" s="21"/>
      <c r="GC520" s="21"/>
      <c r="GD520" s="21"/>
      <c r="GE520" s="21"/>
      <c r="GF520" s="21"/>
      <c r="GG520" s="21"/>
      <c r="GH520" s="21"/>
      <c r="GI520" s="21"/>
      <c r="GJ520" s="21"/>
      <c r="GK520" s="21"/>
      <c r="GL520" s="21"/>
      <c r="GM520" s="21"/>
      <c r="GN520" s="21"/>
      <c r="GO520" s="21"/>
      <c r="GP520" s="21"/>
      <c r="GQ520" s="21"/>
      <c r="GR520" s="21"/>
      <c r="GS520" s="21"/>
      <c r="GT520" s="21"/>
      <c r="GU520" s="21"/>
      <c r="GV520" s="21"/>
      <c r="GW520" s="21"/>
      <c r="GX520" s="21"/>
      <c r="GY520" s="21"/>
      <c r="GZ520" s="21"/>
      <c r="HA520" s="21"/>
      <c r="HB520" s="21"/>
    </row>
    <row r="521" spans="1:210"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21"/>
      <c r="CH521" s="21"/>
      <c r="CI521" s="21"/>
      <c r="CJ521" s="21"/>
      <c r="CK521" s="21"/>
      <c r="CL521" s="21"/>
      <c r="CM521" s="21"/>
      <c r="CN521" s="21"/>
      <c r="CO521" s="21"/>
      <c r="CP521" s="21"/>
      <c r="CQ521" s="21"/>
      <c r="CR521" s="21"/>
      <c r="CS521" s="21"/>
      <c r="CT521" s="21"/>
      <c r="CU521" s="21"/>
      <c r="CV521" s="21"/>
      <c r="CW521" s="21"/>
      <c r="CX521" s="21"/>
      <c r="CY521" s="21"/>
      <c r="CZ521" s="21"/>
      <c r="DA521" s="21"/>
      <c r="DB521" s="21"/>
      <c r="DC521" s="21"/>
      <c r="DD521" s="21"/>
      <c r="DE521" s="21"/>
      <c r="DF521" s="21"/>
      <c r="DG521" s="21"/>
      <c r="DH521" s="21"/>
      <c r="DI521" s="21"/>
      <c r="DJ521" s="21"/>
      <c r="DK521" s="21"/>
      <c r="DL521" s="21"/>
      <c r="DM521" s="21"/>
      <c r="DN521" s="21"/>
      <c r="DO521" s="21"/>
      <c r="DP521" s="21"/>
      <c r="DQ521" s="21"/>
      <c r="DR521" s="21"/>
      <c r="DS521" s="21"/>
      <c r="DT521" s="21"/>
      <c r="DU521" s="21"/>
      <c r="DV521" s="21"/>
      <c r="DW521" s="21"/>
      <c r="DX521" s="21"/>
      <c r="DY521" s="21"/>
      <c r="DZ521" s="21"/>
      <c r="EA521" s="21"/>
      <c r="EB521" s="21"/>
      <c r="EC521" s="21"/>
      <c r="ED521" s="21"/>
      <c r="EE521" s="21"/>
      <c r="EF521" s="21"/>
      <c r="EG521" s="21"/>
      <c r="EH521" s="21"/>
      <c r="EI521" s="21"/>
      <c r="EJ521" s="21"/>
      <c r="EK521" s="21"/>
      <c r="EL521" s="21"/>
      <c r="EM521" s="21"/>
      <c r="EN521" s="21"/>
      <c r="EO521" s="21"/>
      <c r="EP521" s="21"/>
      <c r="EQ521" s="21"/>
      <c r="ER521" s="21"/>
      <c r="ES521" s="21"/>
      <c r="ET521" s="21"/>
      <c r="EU521" s="21"/>
      <c r="EV521" s="21"/>
      <c r="EW521" s="21"/>
      <c r="EX521" s="21"/>
      <c r="EY521" s="21"/>
      <c r="EZ521" s="21"/>
      <c r="FA521" s="21"/>
      <c r="FB521" s="21"/>
      <c r="FC521" s="21"/>
      <c r="FD521" s="21"/>
      <c r="FE521" s="21"/>
      <c r="FF521" s="21"/>
      <c r="FG521" s="21"/>
      <c r="FH521" s="21"/>
      <c r="FI521" s="21"/>
      <c r="FJ521" s="21"/>
      <c r="FK521" s="21"/>
      <c r="FL521" s="21"/>
      <c r="FM521" s="21"/>
      <c r="FN521" s="21"/>
      <c r="FO521" s="21"/>
      <c r="FP521" s="21"/>
      <c r="FQ521" s="21"/>
      <c r="FR521" s="21"/>
      <c r="FS521" s="21"/>
      <c r="FT521" s="21"/>
      <c r="FU521" s="21"/>
      <c r="FV521" s="21"/>
      <c r="FW521" s="21"/>
      <c r="FX521" s="21"/>
      <c r="FY521" s="21"/>
      <c r="FZ521" s="21"/>
      <c r="GA521" s="21"/>
      <c r="GB521" s="21"/>
      <c r="GC521" s="21"/>
      <c r="GD521" s="21"/>
      <c r="GE521" s="21"/>
      <c r="GF521" s="21"/>
      <c r="GG521" s="21"/>
      <c r="GH521" s="21"/>
      <c r="GI521" s="21"/>
      <c r="GJ521" s="21"/>
      <c r="GK521" s="21"/>
      <c r="GL521" s="21"/>
      <c r="GM521" s="21"/>
      <c r="GN521" s="21"/>
      <c r="GO521" s="21"/>
      <c r="GP521" s="21"/>
      <c r="GQ521" s="21"/>
      <c r="GR521" s="21"/>
      <c r="GS521" s="21"/>
      <c r="GT521" s="21"/>
      <c r="GU521" s="21"/>
      <c r="GV521" s="21"/>
      <c r="GW521" s="21"/>
      <c r="GX521" s="21"/>
      <c r="GY521" s="21"/>
      <c r="GZ521" s="21"/>
      <c r="HA521" s="21"/>
      <c r="HB521" s="21"/>
    </row>
    <row r="522" spans="1:210"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c r="CC522" s="21"/>
      <c r="CD522" s="21"/>
      <c r="CE522" s="21"/>
      <c r="CF522" s="21"/>
      <c r="CG522" s="21"/>
      <c r="CH522" s="21"/>
      <c r="CI522" s="21"/>
      <c r="CJ522" s="21"/>
      <c r="CK522" s="21"/>
      <c r="CL522" s="21"/>
      <c r="CM522" s="21"/>
      <c r="CN522" s="21"/>
      <c r="CO522" s="21"/>
      <c r="CP522" s="21"/>
      <c r="CQ522" s="21"/>
      <c r="CR522" s="21"/>
      <c r="CS522" s="21"/>
      <c r="CT522" s="21"/>
      <c r="CU522" s="21"/>
      <c r="CV522" s="21"/>
      <c r="CW522" s="21"/>
      <c r="CX522" s="21"/>
      <c r="CY522" s="21"/>
      <c r="CZ522" s="21"/>
      <c r="DA522" s="21"/>
      <c r="DB522" s="21"/>
      <c r="DC522" s="21"/>
      <c r="DD522" s="21"/>
      <c r="DE522" s="21"/>
      <c r="DF522" s="21"/>
      <c r="DG522" s="21"/>
      <c r="DH522" s="21"/>
      <c r="DI522" s="21"/>
      <c r="DJ522" s="21"/>
      <c r="DK522" s="21"/>
      <c r="DL522" s="21"/>
      <c r="DM522" s="21"/>
      <c r="DN522" s="21"/>
      <c r="DO522" s="21"/>
      <c r="DP522" s="21"/>
      <c r="DQ522" s="21"/>
      <c r="DR522" s="21"/>
      <c r="DS522" s="21"/>
      <c r="DT522" s="21"/>
      <c r="DU522" s="21"/>
      <c r="DV522" s="21"/>
      <c r="DW522" s="21"/>
      <c r="DX522" s="21"/>
      <c r="DY522" s="21"/>
      <c r="DZ522" s="21"/>
      <c r="EA522" s="21"/>
      <c r="EB522" s="21"/>
      <c r="EC522" s="21"/>
      <c r="ED522" s="21"/>
      <c r="EE522" s="21"/>
      <c r="EF522" s="21"/>
      <c r="EG522" s="21"/>
      <c r="EH522" s="21"/>
      <c r="EI522" s="21"/>
      <c r="EJ522" s="21"/>
      <c r="EK522" s="21"/>
      <c r="EL522" s="21"/>
      <c r="EM522" s="21"/>
      <c r="EN522" s="21"/>
      <c r="EO522" s="21"/>
      <c r="EP522" s="21"/>
      <c r="EQ522" s="21"/>
      <c r="ER522" s="21"/>
      <c r="ES522" s="21"/>
      <c r="ET522" s="21"/>
      <c r="EU522" s="21"/>
      <c r="EV522" s="21"/>
      <c r="EW522" s="21"/>
      <c r="EX522" s="21"/>
      <c r="EY522" s="21"/>
      <c r="EZ522" s="21"/>
      <c r="FA522" s="21"/>
      <c r="FB522" s="21"/>
      <c r="FC522" s="21"/>
      <c r="FD522" s="21"/>
      <c r="FE522" s="21"/>
      <c r="FF522" s="21"/>
      <c r="FG522" s="21"/>
      <c r="FH522" s="21"/>
      <c r="FI522" s="21"/>
      <c r="FJ522" s="21"/>
      <c r="FK522" s="21"/>
      <c r="FL522" s="21"/>
      <c r="FM522" s="21"/>
      <c r="FN522" s="21"/>
      <c r="FO522" s="21"/>
      <c r="FP522" s="21"/>
      <c r="FQ522" s="21"/>
      <c r="FR522" s="21"/>
      <c r="FS522" s="21"/>
      <c r="FT522" s="21"/>
      <c r="FU522" s="21"/>
      <c r="FV522" s="21"/>
      <c r="FW522" s="21"/>
      <c r="FX522" s="21"/>
      <c r="FY522" s="21"/>
      <c r="FZ522" s="21"/>
      <c r="GA522" s="21"/>
      <c r="GB522" s="21"/>
      <c r="GC522" s="21"/>
      <c r="GD522" s="21"/>
      <c r="GE522" s="21"/>
      <c r="GF522" s="21"/>
      <c r="GG522" s="21"/>
      <c r="GH522" s="21"/>
      <c r="GI522" s="21"/>
      <c r="GJ522" s="21"/>
      <c r="GK522" s="21"/>
      <c r="GL522" s="21"/>
      <c r="GM522" s="21"/>
      <c r="GN522" s="21"/>
      <c r="GO522" s="21"/>
      <c r="GP522" s="21"/>
      <c r="GQ522" s="21"/>
      <c r="GR522" s="21"/>
      <c r="GS522" s="21"/>
      <c r="GT522" s="21"/>
      <c r="GU522" s="21"/>
      <c r="GV522" s="21"/>
      <c r="GW522" s="21"/>
      <c r="GX522" s="21"/>
      <c r="GY522" s="21"/>
      <c r="GZ522" s="21"/>
      <c r="HA522" s="21"/>
      <c r="HB522" s="21"/>
    </row>
    <row r="523" spans="1:210"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21"/>
      <c r="CH523" s="21"/>
      <c r="CI523" s="21"/>
      <c r="CJ523" s="21"/>
      <c r="CK523" s="21"/>
      <c r="CL523" s="21"/>
      <c r="CM523" s="21"/>
      <c r="CN523" s="21"/>
      <c r="CO523" s="21"/>
      <c r="CP523" s="21"/>
      <c r="CQ523" s="21"/>
      <c r="CR523" s="21"/>
      <c r="CS523" s="21"/>
      <c r="CT523" s="21"/>
      <c r="CU523" s="21"/>
      <c r="CV523" s="21"/>
      <c r="CW523" s="21"/>
      <c r="CX523" s="21"/>
      <c r="CY523" s="21"/>
      <c r="CZ523" s="21"/>
      <c r="DA523" s="21"/>
      <c r="DB523" s="21"/>
      <c r="DC523" s="21"/>
      <c r="DD523" s="21"/>
      <c r="DE523" s="21"/>
      <c r="DF523" s="21"/>
      <c r="DG523" s="21"/>
      <c r="DH523" s="21"/>
      <c r="DI523" s="21"/>
      <c r="DJ523" s="21"/>
      <c r="DK523" s="21"/>
      <c r="DL523" s="21"/>
      <c r="DM523" s="21"/>
      <c r="DN523" s="21"/>
      <c r="DO523" s="21"/>
      <c r="DP523" s="21"/>
      <c r="DQ523" s="21"/>
      <c r="DR523" s="21"/>
      <c r="DS523" s="21"/>
      <c r="DT523" s="21"/>
      <c r="DU523" s="21"/>
      <c r="DV523" s="21"/>
      <c r="DW523" s="21"/>
      <c r="DX523" s="21"/>
      <c r="DY523" s="21"/>
      <c r="DZ523" s="21"/>
      <c r="EA523" s="21"/>
      <c r="EB523" s="21"/>
      <c r="EC523" s="21"/>
      <c r="ED523" s="21"/>
      <c r="EE523" s="21"/>
      <c r="EF523" s="21"/>
      <c r="EG523" s="21"/>
      <c r="EH523" s="21"/>
      <c r="EI523" s="21"/>
      <c r="EJ523" s="21"/>
      <c r="EK523" s="21"/>
      <c r="EL523" s="21"/>
      <c r="EM523" s="21"/>
      <c r="EN523" s="21"/>
      <c r="EO523" s="21"/>
      <c r="EP523" s="21"/>
      <c r="EQ523" s="21"/>
      <c r="ER523" s="21"/>
      <c r="ES523" s="21"/>
      <c r="ET523" s="21"/>
      <c r="EU523" s="21"/>
      <c r="EV523" s="21"/>
      <c r="EW523" s="21"/>
      <c r="EX523" s="21"/>
      <c r="EY523" s="21"/>
      <c r="EZ523" s="21"/>
      <c r="FA523" s="21"/>
      <c r="FB523" s="21"/>
      <c r="FC523" s="21"/>
      <c r="FD523" s="21"/>
      <c r="FE523" s="21"/>
      <c r="FF523" s="21"/>
      <c r="FG523" s="21"/>
      <c r="FH523" s="21"/>
      <c r="FI523" s="21"/>
      <c r="FJ523" s="21"/>
      <c r="FK523" s="21"/>
      <c r="FL523" s="21"/>
      <c r="FM523" s="21"/>
      <c r="FN523" s="21"/>
      <c r="FO523" s="21"/>
      <c r="FP523" s="21"/>
      <c r="FQ523" s="21"/>
      <c r="FR523" s="21"/>
      <c r="FS523" s="21"/>
      <c r="FT523" s="21"/>
      <c r="FU523" s="21"/>
      <c r="FV523" s="21"/>
      <c r="FW523" s="21"/>
      <c r="FX523" s="21"/>
      <c r="FY523" s="21"/>
      <c r="FZ523" s="21"/>
      <c r="GA523" s="21"/>
      <c r="GB523" s="21"/>
      <c r="GC523" s="21"/>
      <c r="GD523" s="21"/>
      <c r="GE523" s="21"/>
      <c r="GF523" s="21"/>
      <c r="GG523" s="21"/>
      <c r="GH523" s="21"/>
      <c r="GI523" s="21"/>
      <c r="GJ523" s="21"/>
      <c r="GK523" s="21"/>
      <c r="GL523" s="21"/>
      <c r="GM523" s="21"/>
      <c r="GN523" s="21"/>
      <c r="GO523" s="21"/>
      <c r="GP523" s="21"/>
      <c r="GQ523" s="21"/>
      <c r="GR523" s="21"/>
      <c r="GS523" s="21"/>
      <c r="GT523" s="21"/>
      <c r="GU523" s="21"/>
      <c r="GV523" s="21"/>
      <c r="GW523" s="21"/>
      <c r="GX523" s="21"/>
      <c r="GY523" s="21"/>
      <c r="GZ523" s="21"/>
      <c r="HA523" s="21"/>
      <c r="HB523" s="21"/>
    </row>
    <row r="524" spans="1:210"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21"/>
      <c r="CH524" s="21"/>
      <c r="CI524" s="21"/>
      <c r="CJ524" s="21"/>
      <c r="CK524" s="21"/>
      <c r="CL524" s="21"/>
      <c r="CM524" s="21"/>
      <c r="CN524" s="21"/>
      <c r="CO524" s="21"/>
      <c r="CP524" s="21"/>
      <c r="CQ524" s="21"/>
      <c r="CR524" s="21"/>
      <c r="CS524" s="21"/>
      <c r="CT524" s="21"/>
      <c r="CU524" s="21"/>
      <c r="CV524" s="21"/>
      <c r="CW524" s="21"/>
      <c r="CX524" s="21"/>
      <c r="CY524" s="21"/>
      <c r="CZ524" s="21"/>
      <c r="DA524" s="21"/>
      <c r="DB524" s="21"/>
      <c r="DC524" s="21"/>
      <c r="DD524" s="21"/>
      <c r="DE524" s="21"/>
      <c r="DF524" s="21"/>
      <c r="DG524" s="21"/>
      <c r="DH524" s="21"/>
      <c r="DI524" s="21"/>
      <c r="DJ524" s="21"/>
      <c r="DK524" s="21"/>
      <c r="DL524" s="21"/>
      <c r="DM524" s="21"/>
      <c r="DN524" s="21"/>
      <c r="DO524" s="21"/>
      <c r="DP524" s="21"/>
      <c r="DQ524" s="21"/>
      <c r="DR524" s="21"/>
      <c r="DS524" s="21"/>
      <c r="DT524" s="21"/>
      <c r="DU524" s="21"/>
      <c r="DV524" s="21"/>
      <c r="DW524" s="21"/>
      <c r="DX524" s="21"/>
      <c r="DY524" s="21"/>
      <c r="DZ524" s="21"/>
      <c r="EA524" s="21"/>
      <c r="EB524" s="21"/>
      <c r="EC524" s="21"/>
      <c r="ED524" s="21"/>
      <c r="EE524" s="21"/>
      <c r="EF524" s="21"/>
      <c r="EG524" s="21"/>
      <c r="EH524" s="21"/>
      <c r="EI524" s="21"/>
      <c r="EJ524" s="21"/>
      <c r="EK524" s="21"/>
      <c r="EL524" s="21"/>
      <c r="EM524" s="21"/>
      <c r="EN524" s="21"/>
      <c r="EO524" s="21"/>
      <c r="EP524" s="21"/>
      <c r="EQ524" s="21"/>
      <c r="ER524" s="21"/>
      <c r="ES524" s="21"/>
      <c r="ET524" s="21"/>
      <c r="EU524" s="21"/>
      <c r="EV524" s="21"/>
      <c r="EW524" s="21"/>
      <c r="EX524" s="21"/>
      <c r="EY524" s="21"/>
      <c r="EZ524" s="21"/>
      <c r="FA524" s="21"/>
      <c r="FB524" s="21"/>
      <c r="FC524" s="21"/>
      <c r="FD524" s="21"/>
      <c r="FE524" s="21"/>
      <c r="FF524" s="21"/>
      <c r="FG524" s="21"/>
      <c r="FH524" s="21"/>
      <c r="FI524" s="21"/>
      <c r="FJ524" s="21"/>
      <c r="FK524" s="21"/>
      <c r="FL524" s="21"/>
      <c r="FM524" s="21"/>
      <c r="FN524" s="21"/>
      <c r="FO524" s="21"/>
      <c r="FP524" s="21"/>
      <c r="FQ524" s="21"/>
      <c r="FR524" s="21"/>
      <c r="FS524" s="21"/>
      <c r="FT524" s="21"/>
      <c r="FU524" s="21"/>
      <c r="FV524" s="21"/>
      <c r="FW524" s="21"/>
      <c r="FX524" s="21"/>
      <c r="FY524" s="21"/>
      <c r="FZ524" s="21"/>
      <c r="GA524" s="21"/>
      <c r="GB524" s="21"/>
      <c r="GC524" s="21"/>
      <c r="GD524" s="21"/>
      <c r="GE524" s="21"/>
      <c r="GF524" s="21"/>
      <c r="GG524" s="21"/>
      <c r="GH524" s="21"/>
      <c r="GI524" s="21"/>
      <c r="GJ524" s="21"/>
      <c r="GK524" s="21"/>
      <c r="GL524" s="21"/>
      <c r="GM524" s="21"/>
      <c r="GN524" s="21"/>
      <c r="GO524" s="21"/>
      <c r="GP524" s="21"/>
      <c r="GQ524" s="21"/>
      <c r="GR524" s="21"/>
      <c r="GS524" s="21"/>
      <c r="GT524" s="21"/>
      <c r="GU524" s="21"/>
      <c r="GV524" s="21"/>
      <c r="GW524" s="21"/>
      <c r="GX524" s="21"/>
      <c r="GY524" s="21"/>
      <c r="GZ524" s="21"/>
      <c r="HA524" s="21"/>
      <c r="HB524" s="21"/>
    </row>
    <row r="525" spans="1:210"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21"/>
      <c r="CH525" s="21"/>
      <c r="CI525" s="21"/>
      <c r="CJ525" s="21"/>
      <c r="CK525" s="21"/>
      <c r="CL525" s="21"/>
      <c r="CM525" s="21"/>
      <c r="CN525" s="21"/>
      <c r="CO525" s="21"/>
      <c r="CP525" s="21"/>
      <c r="CQ525" s="21"/>
      <c r="CR525" s="21"/>
      <c r="CS525" s="21"/>
      <c r="CT525" s="21"/>
      <c r="CU525" s="21"/>
      <c r="CV525" s="21"/>
      <c r="CW525" s="21"/>
      <c r="CX525" s="21"/>
      <c r="CY525" s="21"/>
      <c r="CZ525" s="21"/>
      <c r="DA525" s="21"/>
      <c r="DB525" s="21"/>
      <c r="DC525" s="21"/>
      <c r="DD525" s="21"/>
      <c r="DE525" s="21"/>
      <c r="DF525" s="21"/>
      <c r="DG525" s="21"/>
      <c r="DH525" s="21"/>
      <c r="DI525" s="21"/>
      <c r="DJ525" s="21"/>
      <c r="DK525" s="21"/>
      <c r="DL525" s="21"/>
      <c r="DM525" s="21"/>
      <c r="DN525" s="21"/>
      <c r="DO525" s="21"/>
      <c r="DP525" s="21"/>
      <c r="DQ525" s="21"/>
      <c r="DR525" s="21"/>
      <c r="DS525" s="21"/>
      <c r="DT525" s="21"/>
      <c r="DU525" s="21"/>
      <c r="DV525" s="21"/>
      <c r="DW525" s="21"/>
      <c r="DX525" s="21"/>
      <c r="DY525" s="21"/>
      <c r="DZ525" s="21"/>
      <c r="EA525" s="21"/>
      <c r="EB525" s="21"/>
      <c r="EC525" s="21"/>
      <c r="ED525" s="21"/>
      <c r="EE525" s="21"/>
      <c r="EF525" s="21"/>
      <c r="EG525" s="21"/>
      <c r="EH525" s="21"/>
      <c r="EI525" s="21"/>
      <c r="EJ525" s="21"/>
      <c r="EK525" s="21"/>
      <c r="EL525" s="21"/>
      <c r="EM525" s="21"/>
      <c r="EN525" s="21"/>
      <c r="EO525" s="21"/>
      <c r="EP525" s="21"/>
      <c r="EQ525" s="21"/>
      <c r="ER525" s="21"/>
      <c r="ES525" s="21"/>
      <c r="ET525" s="21"/>
      <c r="EU525" s="21"/>
      <c r="EV525" s="21"/>
      <c r="EW525" s="21"/>
      <c r="EX525" s="21"/>
      <c r="EY525" s="21"/>
      <c r="EZ525" s="21"/>
      <c r="FA525" s="21"/>
      <c r="FB525" s="21"/>
      <c r="FC525" s="21"/>
      <c r="FD525" s="21"/>
      <c r="FE525" s="21"/>
      <c r="FF525" s="21"/>
      <c r="FG525" s="21"/>
      <c r="FH525" s="21"/>
      <c r="FI525" s="21"/>
      <c r="FJ525" s="21"/>
      <c r="FK525" s="21"/>
      <c r="FL525" s="21"/>
      <c r="FM525" s="21"/>
      <c r="FN525" s="21"/>
      <c r="FO525" s="21"/>
      <c r="FP525" s="21"/>
      <c r="FQ525" s="21"/>
      <c r="FR525" s="21"/>
      <c r="FS525" s="21"/>
      <c r="FT525" s="21"/>
      <c r="FU525" s="21"/>
      <c r="FV525" s="21"/>
      <c r="FW525" s="21"/>
      <c r="FX525" s="21"/>
      <c r="FY525" s="21"/>
      <c r="FZ525" s="21"/>
      <c r="GA525" s="21"/>
      <c r="GB525" s="21"/>
      <c r="GC525" s="21"/>
      <c r="GD525" s="21"/>
      <c r="GE525" s="21"/>
      <c r="GF525" s="21"/>
      <c r="GG525" s="21"/>
      <c r="GH525" s="21"/>
      <c r="GI525" s="21"/>
      <c r="GJ525" s="21"/>
      <c r="GK525" s="21"/>
      <c r="GL525" s="21"/>
      <c r="GM525" s="21"/>
      <c r="GN525" s="21"/>
      <c r="GO525" s="21"/>
      <c r="GP525" s="21"/>
      <c r="GQ525" s="21"/>
      <c r="GR525" s="21"/>
      <c r="GS525" s="21"/>
      <c r="GT525" s="21"/>
      <c r="GU525" s="21"/>
      <c r="GV525" s="21"/>
      <c r="GW525" s="21"/>
      <c r="GX525" s="21"/>
      <c r="GY525" s="21"/>
      <c r="GZ525" s="21"/>
      <c r="HA525" s="21"/>
      <c r="HB525" s="21"/>
    </row>
    <row r="526" spans="1:210"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21"/>
      <c r="CH526" s="21"/>
      <c r="CI526" s="21"/>
      <c r="CJ526" s="21"/>
      <c r="CK526" s="21"/>
      <c r="CL526" s="21"/>
      <c r="CM526" s="21"/>
      <c r="CN526" s="21"/>
      <c r="CO526" s="21"/>
      <c r="CP526" s="21"/>
      <c r="CQ526" s="21"/>
      <c r="CR526" s="21"/>
      <c r="CS526" s="21"/>
      <c r="CT526" s="21"/>
      <c r="CU526" s="21"/>
      <c r="CV526" s="21"/>
      <c r="CW526" s="21"/>
      <c r="CX526" s="21"/>
      <c r="CY526" s="21"/>
      <c r="CZ526" s="21"/>
      <c r="DA526" s="21"/>
      <c r="DB526" s="21"/>
      <c r="DC526" s="21"/>
      <c r="DD526" s="21"/>
      <c r="DE526" s="21"/>
      <c r="DF526" s="21"/>
      <c r="DG526" s="21"/>
      <c r="DH526" s="21"/>
      <c r="DI526" s="21"/>
      <c r="DJ526" s="21"/>
      <c r="DK526" s="21"/>
      <c r="DL526" s="21"/>
      <c r="DM526" s="21"/>
      <c r="DN526" s="21"/>
      <c r="DO526" s="21"/>
      <c r="DP526" s="21"/>
      <c r="DQ526" s="21"/>
      <c r="DR526" s="21"/>
      <c r="DS526" s="21"/>
      <c r="DT526" s="21"/>
      <c r="DU526" s="21"/>
      <c r="DV526" s="21"/>
      <c r="DW526" s="21"/>
      <c r="DX526" s="21"/>
      <c r="DY526" s="21"/>
      <c r="DZ526" s="21"/>
      <c r="EA526" s="21"/>
      <c r="EB526" s="21"/>
      <c r="EC526" s="21"/>
      <c r="ED526" s="21"/>
      <c r="EE526" s="21"/>
      <c r="EF526" s="21"/>
      <c r="EG526" s="21"/>
      <c r="EH526" s="21"/>
      <c r="EI526" s="21"/>
      <c r="EJ526" s="21"/>
      <c r="EK526" s="21"/>
      <c r="EL526" s="21"/>
      <c r="EM526" s="21"/>
      <c r="EN526" s="21"/>
      <c r="EO526" s="21"/>
      <c r="EP526" s="21"/>
      <c r="EQ526" s="21"/>
      <c r="ER526" s="21"/>
      <c r="ES526" s="21"/>
      <c r="ET526" s="21"/>
      <c r="EU526" s="21"/>
      <c r="EV526" s="21"/>
      <c r="EW526" s="21"/>
      <c r="EX526" s="21"/>
      <c r="EY526" s="21"/>
      <c r="EZ526" s="21"/>
      <c r="FA526" s="21"/>
      <c r="FB526" s="21"/>
      <c r="FC526" s="21"/>
      <c r="FD526" s="21"/>
      <c r="FE526" s="21"/>
      <c r="FF526" s="21"/>
      <c r="FG526" s="21"/>
      <c r="FH526" s="21"/>
      <c r="FI526" s="21"/>
      <c r="FJ526" s="21"/>
      <c r="FK526" s="21"/>
      <c r="FL526" s="21"/>
      <c r="FM526" s="21"/>
      <c r="FN526" s="21"/>
      <c r="FO526" s="21"/>
      <c r="FP526" s="21"/>
      <c r="FQ526" s="21"/>
      <c r="FR526" s="21"/>
      <c r="FS526" s="21"/>
      <c r="FT526" s="21"/>
      <c r="FU526" s="21"/>
      <c r="FV526" s="21"/>
      <c r="FW526" s="21"/>
      <c r="FX526" s="21"/>
      <c r="FY526" s="21"/>
      <c r="FZ526" s="21"/>
      <c r="GA526" s="21"/>
      <c r="GB526" s="21"/>
      <c r="GC526" s="21"/>
      <c r="GD526" s="21"/>
      <c r="GE526" s="21"/>
      <c r="GF526" s="21"/>
      <c r="GG526" s="21"/>
      <c r="GH526" s="21"/>
      <c r="GI526" s="21"/>
      <c r="GJ526" s="21"/>
      <c r="GK526" s="21"/>
      <c r="GL526" s="21"/>
      <c r="GM526" s="21"/>
      <c r="GN526" s="21"/>
      <c r="GO526" s="21"/>
      <c r="GP526" s="21"/>
      <c r="GQ526" s="21"/>
      <c r="GR526" s="21"/>
      <c r="GS526" s="21"/>
      <c r="GT526" s="21"/>
      <c r="GU526" s="21"/>
      <c r="GV526" s="21"/>
      <c r="GW526" s="21"/>
      <c r="GX526" s="21"/>
      <c r="GY526" s="21"/>
      <c r="GZ526" s="21"/>
      <c r="HA526" s="21"/>
      <c r="HB526" s="21"/>
    </row>
    <row r="527" spans="1:210"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c r="CC527" s="21"/>
      <c r="CD527" s="21"/>
      <c r="CE527" s="21"/>
      <c r="CF527" s="21"/>
      <c r="CG527" s="21"/>
      <c r="CH527" s="21"/>
      <c r="CI527" s="21"/>
      <c r="CJ527" s="21"/>
      <c r="CK527" s="21"/>
      <c r="CL527" s="21"/>
      <c r="CM527" s="21"/>
      <c r="CN527" s="21"/>
      <c r="CO527" s="21"/>
      <c r="CP527" s="21"/>
      <c r="CQ527" s="21"/>
      <c r="CR527" s="21"/>
      <c r="CS527" s="21"/>
      <c r="CT527" s="21"/>
      <c r="CU527" s="21"/>
      <c r="CV527" s="21"/>
      <c r="CW527" s="21"/>
      <c r="CX527" s="21"/>
      <c r="CY527" s="21"/>
      <c r="CZ527" s="21"/>
      <c r="DA527" s="21"/>
      <c r="DB527" s="21"/>
      <c r="DC527" s="21"/>
      <c r="DD527" s="21"/>
      <c r="DE527" s="21"/>
      <c r="DF527" s="21"/>
      <c r="DG527" s="21"/>
      <c r="DH527" s="21"/>
      <c r="DI527" s="21"/>
      <c r="DJ527" s="21"/>
      <c r="DK527" s="21"/>
      <c r="DL527" s="21"/>
      <c r="DM527" s="21"/>
      <c r="DN527" s="21"/>
      <c r="DO527" s="21"/>
      <c r="DP527" s="21"/>
      <c r="DQ527" s="21"/>
      <c r="DR527" s="21"/>
      <c r="DS527" s="21"/>
      <c r="DT527" s="21"/>
      <c r="DU527" s="21"/>
      <c r="DV527" s="21"/>
      <c r="DW527" s="21"/>
      <c r="DX527" s="21"/>
      <c r="DY527" s="21"/>
      <c r="DZ527" s="21"/>
      <c r="EA527" s="21"/>
      <c r="EB527" s="21"/>
      <c r="EC527" s="21"/>
      <c r="ED527" s="21"/>
      <c r="EE527" s="21"/>
      <c r="EF527" s="21"/>
      <c r="EG527" s="21"/>
      <c r="EH527" s="21"/>
      <c r="EI527" s="21"/>
      <c r="EJ527" s="21"/>
      <c r="EK527" s="21"/>
      <c r="EL527" s="21"/>
      <c r="EM527" s="21"/>
      <c r="EN527" s="21"/>
      <c r="EO527" s="21"/>
      <c r="EP527" s="21"/>
      <c r="EQ527" s="21"/>
      <c r="ER527" s="21"/>
      <c r="ES527" s="21"/>
      <c r="ET527" s="21"/>
      <c r="EU527" s="21"/>
      <c r="EV527" s="21"/>
      <c r="EW527" s="21"/>
      <c r="EX527" s="21"/>
      <c r="EY527" s="21"/>
      <c r="EZ527" s="21"/>
      <c r="FA527" s="21"/>
      <c r="FB527" s="21"/>
      <c r="FC527" s="21"/>
      <c r="FD527" s="21"/>
      <c r="FE527" s="21"/>
      <c r="FF527" s="21"/>
      <c r="FG527" s="21"/>
      <c r="FH527" s="21"/>
      <c r="FI527" s="21"/>
      <c r="FJ527" s="21"/>
      <c r="FK527" s="21"/>
      <c r="FL527" s="21"/>
      <c r="FM527" s="21"/>
      <c r="FN527" s="21"/>
      <c r="FO527" s="21"/>
      <c r="FP527" s="21"/>
      <c r="FQ527" s="21"/>
      <c r="FR527" s="21"/>
      <c r="FS527" s="21"/>
      <c r="FT527" s="21"/>
      <c r="FU527" s="21"/>
      <c r="FV527" s="21"/>
      <c r="FW527" s="21"/>
      <c r="FX527" s="21"/>
      <c r="FY527" s="21"/>
      <c r="FZ527" s="21"/>
      <c r="GA527" s="21"/>
      <c r="GB527" s="21"/>
      <c r="GC527" s="21"/>
      <c r="GD527" s="21"/>
      <c r="GE527" s="21"/>
      <c r="GF527" s="21"/>
      <c r="GG527" s="21"/>
      <c r="GH527" s="21"/>
      <c r="GI527" s="21"/>
      <c r="GJ527" s="21"/>
      <c r="GK527" s="21"/>
      <c r="GL527" s="21"/>
      <c r="GM527" s="21"/>
      <c r="GN527" s="21"/>
      <c r="GO527" s="21"/>
      <c r="GP527" s="21"/>
      <c r="GQ527" s="21"/>
      <c r="GR527" s="21"/>
      <c r="GS527" s="21"/>
      <c r="GT527" s="21"/>
      <c r="GU527" s="21"/>
      <c r="GV527" s="21"/>
      <c r="GW527" s="21"/>
      <c r="GX527" s="21"/>
      <c r="GY527" s="21"/>
      <c r="GZ527" s="21"/>
      <c r="HA527" s="21"/>
      <c r="HB527" s="21"/>
    </row>
    <row r="528" spans="1:210"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c r="CC528" s="21"/>
      <c r="CD528" s="21"/>
      <c r="CE528" s="21"/>
      <c r="CF528" s="21"/>
      <c r="CG528" s="21"/>
      <c r="CH528" s="21"/>
      <c r="CI528" s="21"/>
      <c r="CJ528" s="21"/>
      <c r="CK528" s="21"/>
      <c r="CL528" s="21"/>
      <c r="CM528" s="21"/>
      <c r="CN528" s="21"/>
      <c r="CO528" s="21"/>
      <c r="CP528" s="21"/>
      <c r="CQ528" s="21"/>
      <c r="CR528" s="21"/>
      <c r="CS528" s="21"/>
      <c r="CT528" s="21"/>
      <c r="CU528" s="21"/>
      <c r="CV528" s="21"/>
      <c r="CW528" s="21"/>
      <c r="CX528" s="21"/>
      <c r="CY528" s="21"/>
      <c r="CZ528" s="21"/>
      <c r="DA528" s="21"/>
      <c r="DB528" s="21"/>
      <c r="DC528" s="21"/>
      <c r="DD528" s="21"/>
      <c r="DE528" s="21"/>
      <c r="DF528" s="21"/>
      <c r="DG528" s="21"/>
      <c r="DH528" s="21"/>
      <c r="DI528" s="21"/>
      <c r="DJ528" s="21"/>
      <c r="DK528" s="21"/>
      <c r="DL528" s="21"/>
      <c r="DM528" s="21"/>
      <c r="DN528" s="21"/>
      <c r="DO528" s="21"/>
      <c r="DP528" s="21"/>
      <c r="DQ528" s="21"/>
      <c r="DR528" s="21"/>
      <c r="DS528" s="21"/>
      <c r="DT528" s="21"/>
      <c r="DU528" s="21"/>
      <c r="DV528" s="21"/>
      <c r="DW528" s="21"/>
      <c r="DX528" s="21"/>
      <c r="DY528" s="21"/>
      <c r="DZ528" s="21"/>
      <c r="EA528" s="21"/>
      <c r="EB528" s="21"/>
      <c r="EC528" s="21"/>
      <c r="ED528" s="21"/>
      <c r="EE528" s="21"/>
      <c r="EF528" s="21"/>
      <c r="EG528" s="21"/>
      <c r="EH528" s="21"/>
      <c r="EI528" s="21"/>
      <c r="EJ528" s="21"/>
      <c r="EK528" s="21"/>
      <c r="EL528" s="21"/>
      <c r="EM528" s="21"/>
      <c r="EN528" s="21"/>
      <c r="EO528" s="21"/>
      <c r="EP528" s="21"/>
      <c r="EQ528" s="21"/>
      <c r="ER528" s="21"/>
      <c r="ES528" s="21"/>
      <c r="ET528" s="21"/>
      <c r="EU528" s="21"/>
      <c r="EV528" s="21"/>
      <c r="EW528" s="21"/>
      <c r="EX528" s="21"/>
      <c r="EY528" s="21"/>
      <c r="EZ528" s="21"/>
      <c r="FA528" s="21"/>
      <c r="FB528" s="21"/>
      <c r="FC528" s="21"/>
      <c r="FD528" s="21"/>
      <c r="FE528" s="21"/>
      <c r="FF528" s="21"/>
      <c r="FG528" s="21"/>
      <c r="FH528" s="21"/>
      <c r="FI528" s="21"/>
      <c r="FJ528" s="21"/>
      <c r="FK528" s="21"/>
      <c r="FL528" s="21"/>
      <c r="FM528" s="21"/>
      <c r="FN528" s="21"/>
      <c r="FO528" s="21"/>
      <c r="FP528" s="21"/>
      <c r="FQ528" s="21"/>
      <c r="FR528" s="21"/>
      <c r="FS528" s="21"/>
      <c r="FT528" s="21"/>
      <c r="FU528" s="21"/>
      <c r="FV528" s="21"/>
      <c r="FW528" s="21"/>
      <c r="FX528" s="21"/>
      <c r="FY528" s="21"/>
      <c r="FZ528" s="21"/>
      <c r="GA528" s="21"/>
      <c r="GB528" s="21"/>
      <c r="GC528" s="21"/>
      <c r="GD528" s="21"/>
      <c r="GE528" s="21"/>
      <c r="GF528" s="21"/>
      <c r="GG528" s="21"/>
      <c r="GH528" s="21"/>
      <c r="GI528" s="21"/>
      <c r="GJ528" s="21"/>
      <c r="GK528" s="21"/>
      <c r="GL528" s="21"/>
      <c r="GM528" s="21"/>
      <c r="GN528" s="21"/>
      <c r="GO528" s="21"/>
      <c r="GP528" s="21"/>
      <c r="GQ528" s="21"/>
      <c r="GR528" s="21"/>
      <c r="GS528" s="21"/>
      <c r="GT528" s="21"/>
      <c r="GU528" s="21"/>
      <c r="GV528" s="21"/>
      <c r="GW528" s="21"/>
      <c r="GX528" s="21"/>
      <c r="GY528" s="21"/>
      <c r="GZ528" s="21"/>
      <c r="HA528" s="21"/>
      <c r="HB528" s="21"/>
    </row>
    <row r="529" spans="1:210"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21"/>
      <c r="CH529" s="21"/>
      <c r="CI529" s="21"/>
      <c r="CJ529" s="21"/>
      <c r="CK529" s="21"/>
      <c r="CL529" s="21"/>
      <c r="CM529" s="21"/>
      <c r="CN529" s="21"/>
      <c r="CO529" s="21"/>
      <c r="CP529" s="21"/>
      <c r="CQ529" s="21"/>
      <c r="CR529" s="21"/>
      <c r="CS529" s="21"/>
      <c r="CT529" s="21"/>
      <c r="CU529" s="21"/>
      <c r="CV529" s="21"/>
      <c r="CW529" s="21"/>
      <c r="CX529" s="21"/>
      <c r="CY529" s="21"/>
      <c r="CZ529" s="21"/>
      <c r="DA529" s="21"/>
      <c r="DB529" s="21"/>
      <c r="DC529" s="21"/>
      <c r="DD529" s="21"/>
      <c r="DE529" s="21"/>
      <c r="DF529" s="21"/>
      <c r="DG529" s="21"/>
      <c r="DH529" s="21"/>
      <c r="DI529" s="21"/>
      <c r="DJ529" s="21"/>
      <c r="DK529" s="21"/>
      <c r="DL529" s="21"/>
      <c r="DM529" s="21"/>
      <c r="DN529" s="21"/>
      <c r="DO529" s="21"/>
      <c r="DP529" s="21"/>
      <c r="DQ529" s="21"/>
      <c r="DR529" s="21"/>
      <c r="DS529" s="21"/>
      <c r="DT529" s="21"/>
      <c r="DU529" s="21"/>
      <c r="DV529" s="21"/>
      <c r="DW529" s="21"/>
      <c r="DX529" s="21"/>
      <c r="DY529" s="21"/>
      <c r="DZ529" s="21"/>
      <c r="EA529" s="21"/>
      <c r="EB529" s="21"/>
      <c r="EC529" s="21"/>
      <c r="ED529" s="21"/>
      <c r="EE529" s="21"/>
      <c r="EF529" s="21"/>
      <c r="EG529" s="21"/>
      <c r="EH529" s="21"/>
      <c r="EI529" s="21"/>
      <c r="EJ529" s="21"/>
      <c r="EK529" s="21"/>
      <c r="EL529" s="21"/>
      <c r="EM529" s="21"/>
      <c r="EN529" s="21"/>
      <c r="EO529" s="21"/>
      <c r="EP529" s="21"/>
      <c r="EQ529" s="21"/>
      <c r="ER529" s="21"/>
      <c r="ES529" s="21"/>
      <c r="ET529" s="21"/>
      <c r="EU529" s="21"/>
      <c r="EV529" s="21"/>
      <c r="EW529" s="21"/>
      <c r="EX529" s="21"/>
      <c r="EY529" s="21"/>
      <c r="EZ529" s="21"/>
      <c r="FA529" s="21"/>
      <c r="FB529" s="21"/>
      <c r="FC529" s="21"/>
      <c r="FD529" s="21"/>
      <c r="FE529" s="21"/>
      <c r="FF529" s="21"/>
      <c r="FG529" s="21"/>
      <c r="FH529" s="21"/>
      <c r="FI529" s="21"/>
      <c r="FJ529" s="21"/>
      <c r="FK529" s="21"/>
      <c r="FL529" s="21"/>
      <c r="FM529" s="21"/>
      <c r="FN529" s="21"/>
      <c r="FO529" s="21"/>
      <c r="FP529" s="21"/>
      <c r="FQ529" s="21"/>
      <c r="FR529" s="21"/>
      <c r="FS529" s="21"/>
      <c r="FT529" s="21"/>
      <c r="FU529" s="21"/>
      <c r="FV529" s="21"/>
      <c r="FW529" s="21"/>
      <c r="FX529" s="21"/>
      <c r="FY529" s="21"/>
      <c r="FZ529" s="21"/>
      <c r="GA529" s="21"/>
      <c r="GB529" s="21"/>
      <c r="GC529" s="21"/>
      <c r="GD529" s="21"/>
      <c r="GE529" s="21"/>
      <c r="GF529" s="21"/>
      <c r="GG529" s="21"/>
      <c r="GH529" s="21"/>
      <c r="GI529" s="21"/>
      <c r="GJ529" s="21"/>
      <c r="GK529" s="21"/>
      <c r="GL529" s="21"/>
      <c r="GM529" s="21"/>
      <c r="GN529" s="21"/>
      <c r="GO529" s="21"/>
      <c r="GP529" s="21"/>
      <c r="GQ529" s="21"/>
      <c r="GR529" s="21"/>
      <c r="GS529" s="21"/>
      <c r="GT529" s="21"/>
      <c r="GU529" s="21"/>
      <c r="GV529" s="21"/>
      <c r="GW529" s="21"/>
      <c r="GX529" s="21"/>
      <c r="GY529" s="21"/>
      <c r="GZ529" s="21"/>
      <c r="HA529" s="21"/>
      <c r="HB529" s="21"/>
    </row>
    <row r="530" spans="1:210"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c r="CC530" s="21"/>
      <c r="CD530" s="21"/>
      <c r="CE530" s="21"/>
      <c r="CF530" s="21"/>
      <c r="CG530" s="21"/>
      <c r="CH530" s="21"/>
      <c r="CI530" s="21"/>
      <c r="CJ530" s="21"/>
      <c r="CK530" s="21"/>
      <c r="CL530" s="21"/>
      <c r="CM530" s="21"/>
      <c r="CN530" s="21"/>
      <c r="CO530" s="21"/>
      <c r="CP530" s="21"/>
      <c r="CQ530" s="21"/>
      <c r="CR530" s="21"/>
      <c r="CS530" s="21"/>
      <c r="CT530" s="21"/>
      <c r="CU530" s="21"/>
      <c r="CV530" s="21"/>
      <c r="CW530" s="21"/>
      <c r="CX530" s="21"/>
      <c r="CY530" s="21"/>
      <c r="CZ530" s="21"/>
      <c r="DA530" s="21"/>
      <c r="DB530" s="21"/>
      <c r="DC530" s="21"/>
      <c r="DD530" s="21"/>
      <c r="DE530" s="21"/>
      <c r="DF530" s="21"/>
      <c r="DG530" s="21"/>
      <c r="DH530" s="21"/>
      <c r="DI530" s="21"/>
      <c r="DJ530" s="21"/>
      <c r="DK530" s="21"/>
      <c r="DL530" s="21"/>
      <c r="DM530" s="21"/>
      <c r="DN530" s="21"/>
      <c r="DO530" s="21"/>
      <c r="DP530" s="21"/>
      <c r="DQ530" s="21"/>
      <c r="DR530" s="21"/>
      <c r="DS530" s="21"/>
      <c r="DT530" s="21"/>
      <c r="DU530" s="21"/>
      <c r="DV530" s="21"/>
      <c r="DW530" s="21"/>
      <c r="DX530" s="21"/>
      <c r="DY530" s="21"/>
      <c r="DZ530" s="21"/>
      <c r="EA530" s="21"/>
      <c r="EB530" s="21"/>
      <c r="EC530" s="21"/>
      <c r="ED530" s="21"/>
      <c r="EE530" s="21"/>
      <c r="EF530" s="21"/>
      <c r="EG530" s="21"/>
      <c r="EH530" s="21"/>
      <c r="EI530" s="21"/>
      <c r="EJ530" s="21"/>
      <c r="EK530" s="21"/>
      <c r="EL530" s="21"/>
      <c r="EM530" s="21"/>
      <c r="EN530" s="21"/>
      <c r="EO530" s="21"/>
      <c r="EP530" s="21"/>
      <c r="EQ530" s="21"/>
      <c r="ER530" s="21"/>
      <c r="ES530" s="21"/>
      <c r="ET530" s="21"/>
      <c r="EU530" s="21"/>
      <c r="EV530" s="21"/>
      <c r="EW530" s="21"/>
      <c r="EX530" s="21"/>
      <c r="EY530" s="21"/>
      <c r="EZ530" s="21"/>
      <c r="FA530" s="21"/>
      <c r="FB530" s="21"/>
      <c r="FC530" s="21"/>
      <c r="FD530" s="21"/>
      <c r="FE530" s="21"/>
      <c r="FF530" s="21"/>
      <c r="FG530" s="21"/>
      <c r="FH530" s="21"/>
      <c r="FI530" s="21"/>
      <c r="FJ530" s="21"/>
      <c r="FK530" s="21"/>
      <c r="FL530" s="21"/>
      <c r="FM530" s="21"/>
      <c r="FN530" s="21"/>
      <c r="FO530" s="21"/>
      <c r="FP530" s="21"/>
      <c r="FQ530" s="21"/>
      <c r="FR530" s="21"/>
      <c r="FS530" s="21"/>
      <c r="FT530" s="21"/>
      <c r="FU530" s="21"/>
      <c r="FV530" s="21"/>
      <c r="FW530" s="21"/>
      <c r="FX530" s="21"/>
      <c r="FY530" s="21"/>
      <c r="FZ530" s="21"/>
      <c r="GA530" s="21"/>
      <c r="GB530" s="21"/>
      <c r="GC530" s="21"/>
      <c r="GD530" s="21"/>
      <c r="GE530" s="21"/>
      <c r="GF530" s="21"/>
      <c r="GG530" s="21"/>
      <c r="GH530" s="21"/>
      <c r="GI530" s="21"/>
      <c r="GJ530" s="21"/>
      <c r="GK530" s="21"/>
      <c r="GL530" s="21"/>
      <c r="GM530" s="21"/>
      <c r="GN530" s="21"/>
      <c r="GO530" s="21"/>
      <c r="GP530" s="21"/>
      <c r="GQ530" s="21"/>
      <c r="GR530" s="21"/>
      <c r="GS530" s="21"/>
      <c r="GT530" s="21"/>
      <c r="GU530" s="21"/>
      <c r="GV530" s="21"/>
      <c r="GW530" s="21"/>
      <c r="GX530" s="21"/>
      <c r="GY530" s="21"/>
      <c r="GZ530" s="21"/>
      <c r="HA530" s="21"/>
      <c r="HB530" s="21"/>
    </row>
    <row r="531" spans="1:210"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c r="CC531" s="21"/>
      <c r="CD531" s="21"/>
      <c r="CE531" s="21"/>
      <c r="CF531" s="21"/>
      <c r="CG531" s="21"/>
      <c r="CH531" s="21"/>
      <c r="CI531" s="21"/>
      <c r="CJ531" s="21"/>
      <c r="CK531" s="21"/>
      <c r="CL531" s="21"/>
      <c r="CM531" s="21"/>
      <c r="CN531" s="21"/>
      <c r="CO531" s="21"/>
      <c r="CP531" s="21"/>
      <c r="CQ531" s="21"/>
      <c r="CR531" s="21"/>
      <c r="CS531" s="21"/>
      <c r="CT531" s="21"/>
      <c r="CU531" s="21"/>
      <c r="CV531" s="21"/>
      <c r="CW531" s="21"/>
      <c r="CX531" s="21"/>
      <c r="CY531" s="21"/>
      <c r="CZ531" s="21"/>
      <c r="DA531" s="21"/>
      <c r="DB531" s="21"/>
      <c r="DC531" s="21"/>
      <c r="DD531" s="21"/>
      <c r="DE531" s="21"/>
      <c r="DF531" s="21"/>
      <c r="DG531" s="21"/>
      <c r="DH531" s="21"/>
      <c r="DI531" s="21"/>
      <c r="DJ531" s="21"/>
      <c r="DK531" s="21"/>
      <c r="DL531" s="21"/>
      <c r="DM531" s="21"/>
      <c r="DN531" s="21"/>
      <c r="DO531" s="21"/>
      <c r="DP531" s="21"/>
      <c r="DQ531" s="21"/>
      <c r="DR531" s="21"/>
      <c r="DS531" s="21"/>
      <c r="DT531" s="21"/>
      <c r="DU531" s="21"/>
      <c r="DV531" s="21"/>
      <c r="DW531" s="21"/>
      <c r="DX531" s="21"/>
      <c r="DY531" s="21"/>
      <c r="DZ531" s="21"/>
      <c r="EA531" s="21"/>
      <c r="EB531" s="21"/>
      <c r="EC531" s="21"/>
      <c r="ED531" s="21"/>
      <c r="EE531" s="21"/>
      <c r="EF531" s="21"/>
      <c r="EG531" s="21"/>
      <c r="EH531" s="21"/>
      <c r="EI531" s="21"/>
      <c r="EJ531" s="21"/>
      <c r="EK531" s="21"/>
      <c r="EL531" s="21"/>
      <c r="EM531" s="21"/>
      <c r="EN531" s="21"/>
      <c r="EO531" s="21"/>
      <c r="EP531" s="21"/>
      <c r="EQ531" s="21"/>
      <c r="ER531" s="21"/>
      <c r="ES531" s="21"/>
      <c r="ET531" s="21"/>
      <c r="EU531" s="21"/>
      <c r="EV531" s="21"/>
      <c r="EW531" s="21"/>
      <c r="EX531" s="21"/>
      <c r="EY531" s="21"/>
      <c r="EZ531" s="21"/>
      <c r="FA531" s="21"/>
      <c r="FB531" s="21"/>
      <c r="FC531" s="21"/>
      <c r="FD531" s="21"/>
      <c r="FE531" s="21"/>
      <c r="FF531" s="21"/>
      <c r="FG531" s="21"/>
      <c r="FH531" s="21"/>
      <c r="FI531" s="21"/>
      <c r="FJ531" s="21"/>
      <c r="FK531" s="21"/>
      <c r="FL531" s="21"/>
      <c r="FM531" s="21"/>
      <c r="FN531" s="21"/>
      <c r="FO531" s="21"/>
      <c r="FP531" s="21"/>
      <c r="FQ531" s="21"/>
      <c r="FR531" s="21"/>
      <c r="FS531" s="21"/>
      <c r="FT531" s="21"/>
      <c r="FU531" s="21"/>
      <c r="FV531" s="21"/>
      <c r="FW531" s="21"/>
      <c r="FX531" s="21"/>
      <c r="FY531" s="21"/>
      <c r="FZ531" s="21"/>
      <c r="GA531" s="21"/>
      <c r="GB531" s="21"/>
      <c r="GC531" s="21"/>
      <c r="GD531" s="21"/>
      <c r="GE531" s="21"/>
      <c r="GF531" s="21"/>
      <c r="GG531" s="21"/>
      <c r="GH531" s="21"/>
      <c r="GI531" s="21"/>
      <c r="GJ531" s="21"/>
      <c r="GK531" s="21"/>
      <c r="GL531" s="21"/>
      <c r="GM531" s="21"/>
      <c r="GN531" s="21"/>
      <c r="GO531" s="21"/>
      <c r="GP531" s="21"/>
      <c r="GQ531" s="21"/>
      <c r="GR531" s="21"/>
      <c r="GS531" s="21"/>
      <c r="GT531" s="21"/>
      <c r="GU531" s="21"/>
      <c r="GV531" s="21"/>
      <c r="GW531" s="21"/>
      <c r="GX531" s="21"/>
      <c r="GY531" s="21"/>
      <c r="GZ531" s="21"/>
      <c r="HA531" s="21"/>
      <c r="HB531" s="21"/>
    </row>
    <row r="532" spans="1:210"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c r="CC532" s="21"/>
      <c r="CD532" s="21"/>
      <c r="CE532" s="21"/>
      <c r="CF532" s="21"/>
      <c r="CG532" s="21"/>
      <c r="CH532" s="21"/>
      <c r="CI532" s="21"/>
      <c r="CJ532" s="21"/>
      <c r="CK532" s="21"/>
      <c r="CL532" s="21"/>
      <c r="CM532" s="21"/>
      <c r="CN532" s="21"/>
      <c r="CO532" s="21"/>
      <c r="CP532" s="21"/>
      <c r="CQ532" s="21"/>
      <c r="CR532" s="21"/>
      <c r="CS532" s="21"/>
      <c r="CT532" s="21"/>
      <c r="CU532" s="21"/>
      <c r="CV532" s="21"/>
      <c r="CW532" s="21"/>
      <c r="CX532" s="21"/>
      <c r="CY532" s="21"/>
      <c r="CZ532" s="21"/>
      <c r="DA532" s="21"/>
      <c r="DB532" s="21"/>
      <c r="DC532" s="21"/>
      <c r="DD532" s="21"/>
      <c r="DE532" s="21"/>
      <c r="DF532" s="21"/>
      <c r="DG532" s="21"/>
      <c r="DH532" s="21"/>
      <c r="DI532" s="21"/>
      <c r="DJ532" s="21"/>
      <c r="DK532" s="21"/>
      <c r="DL532" s="21"/>
      <c r="DM532" s="21"/>
      <c r="DN532" s="21"/>
      <c r="DO532" s="21"/>
      <c r="DP532" s="21"/>
      <c r="DQ532" s="21"/>
      <c r="DR532" s="21"/>
      <c r="DS532" s="21"/>
      <c r="DT532" s="21"/>
      <c r="DU532" s="21"/>
      <c r="DV532" s="21"/>
      <c r="DW532" s="21"/>
      <c r="DX532" s="21"/>
      <c r="DY532" s="21"/>
      <c r="DZ532" s="21"/>
      <c r="EA532" s="21"/>
      <c r="EB532" s="21"/>
      <c r="EC532" s="21"/>
      <c r="ED532" s="21"/>
      <c r="EE532" s="21"/>
      <c r="EF532" s="21"/>
      <c r="EG532" s="21"/>
      <c r="EH532" s="21"/>
      <c r="EI532" s="21"/>
      <c r="EJ532" s="21"/>
      <c r="EK532" s="21"/>
      <c r="EL532" s="21"/>
      <c r="EM532" s="21"/>
      <c r="EN532" s="21"/>
      <c r="EO532" s="21"/>
      <c r="EP532" s="21"/>
      <c r="EQ532" s="21"/>
      <c r="ER532" s="21"/>
      <c r="ES532" s="21"/>
      <c r="ET532" s="21"/>
      <c r="EU532" s="21"/>
      <c r="EV532" s="21"/>
      <c r="EW532" s="21"/>
      <c r="EX532" s="21"/>
      <c r="EY532" s="21"/>
      <c r="EZ532" s="21"/>
      <c r="FA532" s="21"/>
      <c r="FB532" s="21"/>
      <c r="FC532" s="21"/>
      <c r="FD532" s="21"/>
      <c r="FE532" s="21"/>
      <c r="FF532" s="21"/>
      <c r="FG532" s="21"/>
      <c r="FH532" s="21"/>
      <c r="FI532" s="21"/>
      <c r="FJ532" s="21"/>
      <c r="FK532" s="21"/>
      <c r="FL532" s="21"/>
      <c r="FM532" s="21"/>
      <c r="FN532" s="21"/>
      <c r="FO532" s="21"/>
      <c r="FP532" s="21"/>
      <c r="FQ532" s="21"/>
      <c r="FR532" s="21"/>
      <c r="FS532" s="21"/>
      <c r="FT532" s="21"/>
      <c r="FU532" s="21"/>
      <c r="FV532" s="21"/>
      <c r="FW532" s="21"/>
      <c r="FX532" s="21"/>
      <c r="FY532" s="21"/>
      <c r="FZ532" s="21"/>
      <c r="GA532" s="21"/>
      <c r="GB532" s="21"/>
      <c r="GC532" s="21"/>
      <c r="GD532" s="21"/>
      <c r="GE532" s="21"/>
      <c r="GF532" s="21"/>
      <c r="GG532" s="21"/>
      <c r="GH532" s="21"/>
      <c r="GI532" s="21"/>
      <c r="GJ532" s="21"/>
      <c r="GK532" s="21"/>
      <c r="GL532" s="21"/>
      <c r="GM532" s="21"/>
      <c r="GN532" s="21"/>
      <c r="GO532" s="21"/>
      <c r="GP532" s="21"/>
      <c r="GQ532" s="21"/>
      <c r="GR532" s="21"/>
      <c r="GS532" s="21"/>
      <c r="GT532" s="21"/>
      <c r="GU532" s="21"/>
      <c r="GV532" s="21"/>
      <c r="GW532" s="21"/>
      <c r="GX532" s="21"/>
      <c r="GY532" s="21"/>
      <c r="GZ532" s="21"/>
      <c r="HA532" s="21"/>
      <c r="HB532" s="21"/>
    </row>
    <row r="533" spans="1:210"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21"/>
      <c r="CH533" s="21"/>
      <c r="CI533" s="21"/>
      <c r="CJ533" s="21"/>
      <c r="CK533" s="21"/>
      <c r="CL533" s="21"/>
      <c r="CM533" s="21"/>
      <c r="CN533" s="21"/>
      <c r="CO533" s="21"/>
      <c r="CP533" s="21"/>
      <c r="CQ533" s="21"/>
      <c r="CR533" s="21"/>
      <c r="CS533" s="21"/>
      <c r="CT533" s="21"/>
      <c r="CU533" s="21"/>
      <c r="CV533" s="21"/>
      <c r="CW533" s="21"/>
      <c r="CX533" s="21"/>
      <c r="CY533" s="21"/>
      <c r="CZ533" s="21"/>
      <c r="DA533" s="21"/>
      <c r="DB533" s="21"/>
      <c r="DC533" s="21"/>
      <c r="DD533" s="21"/>
      <c r="DE533" s="21"/>
      <c r="DF533" s="21"/>
      <c r="DG533" s="21"/>
      <c r="DH533" s="21"/>
      <c r="DI533" s="21"/>
      <c r="DJ533" s="21"/>
      <c r="DK533" s="21"/>
      <c r="DL533" s="21"/>
      <c r="DM533" s="21"/>
      <c r="DN533" s="21"/>
      <c r="DO533" s="21"/>
      <c r="DP533" s="21"/>
      <c r="DQ533" s="21"/>
      <c r="DR533" s="21"/>
      <c r="DS533" s="21"/>
      <c r="DT533" s="21"/>
      <c r="DU533" s="21"/>
      <c r="DV533" s="21"/>
      <c r="DW533" s="21"/>
      <c r="DX533" s="21"/>
      <c r="DY533" s="21"/>
      <c r="DZ533" s="21"/>
      <c r="EA533" s="21"/>
      <c r="EB533" s="21"/>
      <c r="EC533" s="21"/>
      <c r="ED533" s="21"/>
      <c r="EE533" s="21"/>
      <c r="EF533" s="21"/>
      <c r="EG533" s="21"/>
      <c r="EH533" s="21"/>
      <c r="EI533" s="21"/>
      <c r="EJ533" s="21"/>
      <c r="EK533" s="21"/>
      <c r="EL533" s="21"/>
      <c r="EM533" s="21"/>
      <c r="EN533" s="21"/>
      <c r="EO533" s="21"/>
      <c r="EP533" s="21"/>
      <c r="EQ533" s="21"/>
      <c r="ER533" s="21"/>
      <c r="ES533" s="21"/>
      <c r="ET533" s="21"/>
      <c r="EU533" s="21"/>
      <c r="EV533" s="21"/>
      <c r="EW533" s="21"/>
      <c r="EX533" s="21"/>
      <c r="EY533" s="21"/>
      <c r="EZ533" s="21"/>
      <c r="FA533" s="21"/>
      <c r="FB533" s="21"/>
      <c r="FC533" s="21"/>
      <c r="FD533" s="21"/>
      <c r="FE533" s="21"/>
      <c r="FF533" s="21"/>
      <c r="FG533" s="21"/>
      <c r="FH533" s="21"/>
      <c r="FI533" s="21"/>
      <c r="FJ533" s="21"/>
      <c r="FK533" s="21"/>
      <c r="FL533" s="21"/>
      <c r="FM533" s="21"/>
      <c r="FN533" s="21"/>
      <c r="FO533" s="21"/>
      <c r="FP533" s="21"/>
      <c r="FQ533" s="21"/>
      <c r="FR533" s="21"/>
      <c r="FS533" s="21"/>
      <c r="FT533" s="21"/>
      <c r="FU533" s="21"/>
      <c r="FV533" s="21"/>
      <c r="FW533" s="21"/>
      <c r="FX533" s="21"/>
      <c r="FY533" s="21"/>
      <c r="FZ533" s="21"/>
      <c r="GA533" s="21"/>
      <c r="GB533" s="21"/>
      <c r="GC533" s="21"/>
      <c r="GD533" s="21"/>
      <c r="GE533" s="21"/>
      <c r="GF533" s="21"/>
      <c r="GG533" s="21"/>
      <c r="GH533" s="21"/>
      <c r="GI533" s="21"/>
      <c r="GJ533" s="21"/>
      <c r="GK533" s="21"/>
      <c r="GL533" s="21"/>
      <c r="GM533" s="21"/>
      <c r="GN533" s="21"/>
      <c r="GO533" s="21"/>
      <c r="GP533" s="21"/>
      <c r="GQ533" s="21"/>
      <c r="GR533" s="21"/>
      <c r="GS533" s="21"/>
      <c r="GT533" s="21"/>
      <c r="GU533" s="21"/>
      <c r="GV533" s="21"/>
      <c r="GW533" s="21"/>
      <c r="GX533" s="21"/>
      <c r="GY533" s="21"/>
      <c r="GZ533" s="21"/>
      <c r="HA533" s="21"/>
      <c r="HB533" s="21"/>
    </row>
    <row r="534" spans="1:210"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21"/>
      <c r="CH534" s="21"/>
      <c r="CI534" s="21"/>
      <c r="CJ534" s="21"/>
      <c r="CK534" s="21"/>
      <c r="CL534" s="21"/>
      <c r="CM534" s="21"/>
      <c r="CN534" s="21"/>
      <c r="CO534" s="21"/>
      <c r="CP534" s="21"/>
      <c r="CQ534" s="21"/>
      <c r="CR534" s="21"/>
      <c r="CS534" s="21"/>
      <c r="CT534" s="21"/>
      <c r="CU534" s="21"/>
      <c r="CV534" s="21"/>
      <c r="CW534" s="21"/>
      <c r="CX534" s="21"/>
      <c r="CY534" s="21"/>
      <c r="CZ534" s="21"/>
      <c r="DA534" s="21"/>
      <c r="DB534" s="21"/>
      <c r="DC534" s="21"/>
      <c r="DD534" s="21"/>
      <c r="DE534" s="21"/>
      <c r="DF534" s="21"/>
      <c r="DG534" s="21"/>
      <c r="DH534" s="21"/>
      <c r="DI534" s="21"/>
      <c r="DJ534" s="21"/>
      <c r="DK534" s="21"/>
      <c r="DL534" s="21"/>
      <c r="DM534" s="21"/>
      <c r="DN534" s="21"/>
      <c r="DO534" s="21"/>
      <c r="DP534" s="21"/>
      <c r="DQ534" s="21"/>
      <c r="DR534" s="21"/>
      <c r="DS534" s="21"/>
      <c r="DT534" s="21"/>
      <c r="DU534" s="21"/>
      <c r="DV534" s="21"/>
      <c r="DW534" s="21"/>
      <c r="DX534" s="21"/>
      <c r="DY534" s="21"/>
      <c r="DZ534" s="21"/>
      <c r="EA534" s="21"/>
      <c r="EB534" s="21"/>
      <c r="EC534" s="21"/>
      <c r="ED534" s="21"/>
      <c r="EE534" s="21"/>
      <c r="EF534" s="21"/>
      <c r="EG534" s="21"/>
      <c r="EH534" s="21"/>
      <c r="EI534" s="21"/>
      <c r="EJ534" s="21"/>
      <c r="EK534" s="21"/>
      <c r="EL534" s="21"/>
      <c r="EM534" s="21"/>
      <c r="EN534" s="21"/>
      <c r="EO534" s="21"/>
      <c r="EP534" s="21"/>
      <c r="EQ534" s="21"/>
      <c r="ER534" s="21"/>
      <c r="ES534" s="21"/>
      <c r="ET534" s="21"/>
      <c r="EU534" s="21"/>
      <c r="EV534" s="21"/>
      <c r="EW534" s="21"/>
      <c r="EX534" s="21"/>
      <c r="EY534" s="21"/>
      <c r="EZ534" s="21"/>
      <c r="FA534" s="21"/>
      <c r="FB534" s="21"/>
      <c r="FC534" s="21"/>
      <c r="FD534" s="21"/>
      <c r="FE534" s="21"/>
      <c r="FF534" s="21"/>
      <c r="FG534" s="21"/>
      <c r="FH534" s="21"/>
      <c r="FI534" s="21"/>
      <c r="FJ534" s="21"/>
      <c r="FK534" s="21"/>
      <c r="FL534" s="21"/>
      <c r="FM534" s="21"/>
      <c r="FN534" s="21"/>
      <c r="FO534" s="21"/>
      <c r="FP534" s="21"/>
      <c r="FQ534" s="21"/>
      <c r="FR534" s="21"/>
      <c r="FS534" s="21"/>
      <c r="FT534" s="21"/>
      <c r="FU534" s="21"/>
      <c r="FV534" s="21"/>
      <c r="FW534" s="21"/>
      <c r="FX534" s="21"/>
      <c r="FY534" s="21"/>
      <c r="FZ534" s="21"/>
      <c r="GA534" s="21"/>
      <c r="GB534" s="21"/>
      <c r="GC534" s="21"/>
      <c r="GD534" s="21"/>
      <c r="GE534" s="21"/>
      <c r="GF534" s="21"/>
      <c r="GG534" s="21"/>
      <c r="GH534" s="21"/>
      <c r="GI534" s="21"/>
      <c r="GJ534" s="21"/>
      <c r="GK534" s="21"/>
      <c r="GL534" s="21"/>
      <c r="GM534" s="21"/>
      <c r="GN534" s="21"/>
      <c r="GO534" s="21"/>
      <c r="GP534" s="21"/>
      <c r="GQ534" s="21"/>
      <c r="GR534" s="21"/>
      <c r="GS534" s="21"/>
      <c r="GT534" s="21"/>
      <c r="GU534" s="21"/>
      <c r="GV534" s="21"/>
      <c r="GW534" s="21"/>
      <c r="GX534" s="21"/>
      <c r="GY534" s="21"/>
      <c r="GZ534" s="21"/>
      <c r="HA534" s="21"/>
      <c r="HB534" s="21"/>
    </row>
    <row r="535" spans="1:210"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c r="CC535" s="21"/>
      <c r="CD535" s="21"/>
      <c r="CE535" s="21"/>
      <c r="CF535" s="21"/>
      <c r="CG535" s="21"/>
      <c r="CH535" s="21"/>
      <c r="CI535" s="21"/>
      <c r="CJ535" s="21"/>
      <c r="CK535" s="21"/>
      <c r="CL535" s="21"/>
      <c r="CM535" s="21"/>
      <c r="CN535" s="21"/>
      <c r="CO535" s="21"/>
      <c r="CP535" s="21"/>
      <c r="CQ535" s="21"/>
      <c r="CR535" s="21"/>
      <c r="CS535" s="21"/>
      <c r="CT535" s="21"/>
      <c r="CU535" s="21"/>
      <c r="CV535" s="21"/>
      <c r="CW535" s="21"/>
      <c r="CX535" s="21"/>
      <c r="CY535" s="21"/>
      <c r="CZ535" s="21"/>
      <c r="DA535" s="21"/>
      <c r="DB535" s="21"/>
      <c r="DC535" s="21"/>
      <c r="DD535" s="21"/>
      <c r="DE535" s="21"/>
      <c r="DF535" s="21"/>
      <c r="DG535" s="21"/>
      <c r="DH535" s="21"/>
      <c r="DI535" s="21"/>
      <c r="DJ535" s="21"/>
      <c r="DK535" s="21"/>
      <c r="DL535" s="21"/>
      <c r="DM535" s="21"/>
      <c r="DN535" s="21"/>
      <c r="DO535" s="21"/>
      <c r="DP535" s="21"/>
      <c r="DQ535" s="21"/>
      <c r="DR535" s="21"/>
      <c r="DS535" s="21"/>
      <c r="DT535" s="21"/>
      <c r="DU535" s="21"/>
      <c r="DV535" s="21"/>
      <c r="DW535" s="21"/>
      <c r="DX535" s="21"/>
      <c r="DY535" s="21"/>
      <c r="DZ535" s="21"/>
      <c r="EA535" s="21"/>
      <c r="EB535" s="21"/>
      <c r="EC535" s="21"/>
      <c r="ED535" s="21"/>
      <c r="EE535" s="21"/>
      <c r="EF535" s="21"/>
      <c r="EG535" s="21"/>
      <c r="EH535" s="21"/>
      <c r="EI535" s="21"/>
      <c r="EJ535" s="21"/>
      <c r="EK535" s="21"/>
      <c r="EL535" s="21"/>
      <c r="EM535" s="21"/>
      <c r="EN535" s="21"/>
      <c r="EO535" s="21"/>
      <c r="EP535" s="21"/>
      <c r="EQ535" s="21"/>
      <c r="ER535" s="21"/>
      <c r="ES535" s="21"/>
      <c r="ET535" s="21"/>
      <c r="EU535" s="21"/>
      <c r="EV535" s="21"/>
      <c r="EW535" s="21"/>
      <c r="EX535" s="21"/>
      <c r="EY535" s="21"/>
      <c r="EZ535" s="21"/>
      <c r="FA535" s="21"/>
      <c r="FB535" s="21"/>
      <c r="FC535" s="21"/>
      <c r="FD535" s="21"/>
      <c r="FE535" s="21"/>
      <c r="FF535" s="21"/>
      <c r="FG535" s="21"/>
      <c r="FH535" s="21"/>
      <c r="FI535" s="21"/>
      <c r="FJ535" s="21"/>
      <c r="FK535" s="21"/>
      <c r="FL535" s="21"/>
      <c r="FM535" s="21"/>
      <c r="FN535" s="21"/>
      <c r="FO535" s="21"/>
      <c r="FP535" s="21"/>
      <c r="FQ535" s="21"/>
      <c r="FR535" s="21"/>
      <c r="FS535" s="21"/>
      <c r="FT535" s="21"/>
      <c r="FU535" s="21"/>
      <c r="FV535" s="21"/>
      <c r="FW535" s="21"/>
      <c r="FX535" s="21"/>
      <c r="FY535" s="21"/>
      <c r="FZ535" s="21"/>
      <c r="GA535" s="21"/>
      <c r="GB535" s="21"/>
      <c r="GC535" s="21"/>
      <c r="GD535" s="21"/>
      <c r="GE535" s="21"/>
      <c r="GF535" s="21"/>
      <c r="GG535" s="21"/>
      <c r="GH535" s="21"/>
      <c r="GI535" s="21"/>
      <c r="GJ535" s="21"/>
      <c r="GK535" s="21"/>
      <c r="GL535" s="21"/>
      <c r="GM535" s="21"/>
      <c r="GN535" s="21"/>
      <c r="GO535" s="21"/>
      <c r="GP535" s="21"/>
      <c r="GQ535" s="21"/>
      <c r="GR535" s="21"/>
      <c r="GS535" s="21"/>
      <c r="GT535" s="21"/>
      <c r="GU535" s="21"/>
      <c r="GV535" s="21"/>
      <c r="GW535" s="21"/>
      <c r="GX535" s="21"/>
      <c r="GY535" s="21"/>
      <c r="GZ535" s="21"/>
      <c r="HA535" s="21"/>
      <c r="HB535" s="21"/>
    </row>
    <row r="536" spans="1:210"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c r="CC536" s="21"/>
      <c r="CD536" s="21"/>
      <c r="CE536" s="21"/>
      <c r="CF536" s="21"/>
      <c r="CG536" s="21"/>
      <c r="CH536" s="21"/>
      <c r="CI536" s="21"/>
      <c r="CJ536" s="21"/>
      <c r="CK536" s="21"/>
      <c r="CL536" s="21"/>
      <c r="CM536" s="21"/>
      <c r="CN536" s="21"/>
      <c r="CO536" s="21"/>
      <c r="CP536" s="21"/>
      <c r="CQ536" s="21"/>
      <c r="CR536" s="21"/>
      <c r="CS536" s="21"/>
      <c r="CT536" s="21"/>
      <c r="CU536" s="21"/>
      <c r="CV536" s="21"/>
      <c r="CW536" s="21"/>
      <c r="CX536" s="21"/>
      <c r="CY536" s="21"/>
      <c r="CZ536" s="21"/>
      <c r="DA536" s="21"/>
      <c r="DB536" s="21"/>
      <c r="DC536" s="21"/>
      <c r="DD536" s="21"/>
      <c r="DE536" s="21"/>
      <c r="DF536" s="21"/>
      <c r="DG536" s="21"/>
      <c r="DH536" s="21"/>
      <c r="DI536" s="21"/>
      <c r="DJ536" s="21"/>
      <c r="DK536" s="21"/>
      <c r="DL536" s="21"/>
      <c r="DM536" s="21"/>
      <c r="DN536" s="21"/>
      <c r="DO536" s="21"/>
      <c r="DP536" s="21"/>
      <c r="DQ536" s="21"/>
      <c r="DR536" s="21"/>
      <c r="DS536" s="21"/>
      <c r="DT536" s="21"/>
      <c r="DU536" s="21"/>
      <c r="DV536" s="21"/>
      <c r="DW536" s="21"/>
      <c r="DX536" s="21"/>
      <c r="DY536" s="21"/>
      <c r="DZ536" s="21"/>
      <c r="EA536" s="21"/>
      <c r="EB536" s="21"/>
      <c r="EC536" s="21"/>
      <c r="ED536" s="21"/>
      <c r="EE536" s="21"/>
      <c r="EF536" s="21"/>
      <c r="EG536" s="21"/>
      <c r="EH536" s="21"/>
      <c r="EI536" s="21"/>
      <c r="EJ536" s="21"/>
      <c r="EK536" s="21"/>
      <c r="EL536" s="21"/>
      <c r="EM536" s="21"/>
      <c r="EN536" s="21"/>
      <c r="EO536" s="21"/>
      <c r="EP536" s="21"/>
      <c r="EQ536" s="21"/>
      <c r="ER536" s="21"/>
      <c r="ES536" s="21"/>
      <c r="ET536" s="21"/>
      <c r="EU536" s="21"/>
      <c r="EV536" s="21"/>
      <c r="EW536" s="21"/>
      <c r="EX536" s="21"/>
      <c r="EY536" s="21"/>
      <c r="EZ536" s="21"/>
      <c r="FA536" s="21"/>
      <c r="FB536" s="21"/>
      <c r="FC536" s="21"/>
      <c r="FD536" s="21"/>
      <c r="FE536" s="21"/>
      <c r="FF536" s="21"/>
      <c r="FG536" s="21"/>
      <c r="FH536" s="21"/>
      <c r="FI536" s="21"/>
      <c r="FJ536" s="21"/>
      <c r="FK536" s="21"/>
      <c r="FL536" s="21"/>
      <c r="FM536" s="21"/>
      <c r="FN536" s="21"/>
      <c r="FO536" s="21"/>
      <c r="FP536" s="21"/>
      <c r="FQ536" s="21"/>
      <c r="FR536" s="21"/>
      <c r="FS536" s="21"/>
      <c r="FT536" s="21"/>
      <c r="FU536" s="21"/>
      <c r="FV536" s="21"/>
      <c r="FW536" s="21"/>
      <c r="FX536" s="21"/>
      <c r="FY536" s="21"/>
      <c r="FZ536" s="21"/>
      <c r="GA536" s="21"/>
      <c r="GB536" s="21"/>
      <c r="GC536" s="21"/>
      <c r="GD536" s="21"/>
      <c r="GE536" s="21"/>
      <c r="GF536" s="21"/>
      <c r="GG536" s="21"/>
      <c r="GH536" s="21"/>
      <c r="GI536" s="21"/>
      <c r="GJ536" s="21"/>
      <c r="GK536" s="21"/>
      <c r="GL536" s="21"/>
      <c r="GM536" s="21"/>
      <c r="GN536" s="21"/>
      <c r="GO536" s="21"/>
      <c r="GP536" s="21"/>
      <c r="GQ536" s="21"/>
      <c r="GR536" s="21"/>
      <c r="GS536" s="21"/>
      <c r="GT536" s="21"/>
      <c r="GU536" s="21"/>
      <c r="GV536" s="21"/>
      <c r="GW536" s="21"/>
      <c r="GX536" s="21"/>
      <c r="GY536" s="21"/>
      <c r="GZ536" s="21"/>
      <c r="HA536" s="21"/>
      <c r="HB536" s="21"/>
    </row>
    <row r="537" spans="1:210"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21"/>
      <c r="CM537" s="21"/>
      <c r="CN537" s="21"/>
      <c r="CO537" s="21"/>
      <c r="CP537" s="21"/>
      <c r="CQ537" s="21"/>
      <c r="CR537" s="21"/>
      <c r="CS537" s="21"/>
      <c r="CT537" s="21"/>
      <c r="CU537" s="21"/>
      <c r="CV537" s="21"/>
      <c r="CW537" s="21"/>
      <c r="CX537" s="21"/>
      <c r="CY537" s="21"/>
      <c r="CZ537" s="21"/>
      <c r="DA537" s="21"/>
      <c r="DB537" s="21"/>
      <c r="DC537" s="21"/>
      <c r="DD537" s="21"/>
      <c r="DE537" s="21"/>
      <c r="DF537" s="21"/>
      <c r="DG537" s="21"/>
      <c r="DH537" s="21"/>
      <c r="DI537" s="21"/>
      <c r="DJ537" s="21"/>
      <c r="DK537" s="21"/>
      <c r="DL537" s="21"/>
      <c r="DM537" s="21"/>
      <c r="DN537" s="21"/>
      <c r="DO537" s="21"/>
      <c r="DP537" s="21"/>
      <c r="DQ537" s="21"/>
      <c r="DR537" s="21"/>
      <c r="DS537" s="21"/>
      <c r="DT537" s="21"/>
      <c r="DU537" s="21"/>
      <c r="DV537" s="21"/>
      <c r="DW537" s="21"/>
      <c r="DX537" s="21"/>
      <c r="DY537" s="21"/>
      <c r="DZ537" s="21"/>
      <c r="EA537" s="21"/>
      <c r="EB537" s="21"/>
      <c r="EC537" s="21"/>
      <c r="ED537" s="21"/>
      <c r="EE537" s="21"/>
      <c r="EF537" s="21"/>
      <c r="EG537" s="21"/>
      <c r="EH537" s="21"/>
      <c r="EI537" s="21"/>
      <c r="EJ537" s="21"/>
      <c r="EK537" s="21"/>
      <c r="EL537" s="21"/>
      <c r="EM537" s="21"/>
      <c r="EN537" s="21"/>
      <c r="EO537" s="21"/>
      <c r="EP537" s="21"/>
      <c r="EQ537" s="21"/>
      <c r="ER537" s="21"/>
      <c r="ES537" s="21"/>
      <c r="ET537" s="21"/>
      <c r="EU537" s="21"/>
      <c r="EV537" s="21"/>
      <c r="EW537" s="21"/>
      <c r="EX537" s="21"/>
      <c r="EY537" s="21"/>
      <c r="EZ537" s="21"/>
      <c r="FA537" s="21"/>
      <c r="FB537" s="21"/>
      <c r="FC537" s="21"/>
      <c r="FD537" s="21"/>
      <c r="FE537" s="21"/>
      <c r="FF537" s="21"/>
      <c r="FG537" s="21"/>
      <c r="FH537" s="21"/>
      <c r="FI537" s="21"/>
      <c r="FJ537" s="21"/>
      <c r="FK537" s="21"/>
      <c r="FL537" s="21"/>
      <c r="FM537" s="21"/>
      <c r="FN537" s="21"/>
      <c r="FO537" s="21"/>
      <c r="FP537" s="21"/>
      <c r="FQ537" s="21"/>
      <c r="FR537" s="21"/>
      <c r="FS537" s="21"/>
      <c r="FT537" s="21"/>
      <c r="FU537" s="21"/>
      <c r="FV537" s="21"/>
      <c r="FW537" s="21"/>
      <c r="FX537" s="21"/>
      <c r="FY537" s="21"/>
      <c r="FZ537" s="21"/>
      <c r="GA537" s="21"/>
      <c r="GB537" s="21"/>
      <c r="GC537" s="21"/>
      <c r="GD537" s="21"/>
      <c r="GE537" s="21"/>
      <c r="GF537" s="21"/>
      <c r="GG537" s="21"/>
      <c r="GH537" s="21"/>
      <c r="GI537" s="21"/>
      <c r="GJ537" s="21"/>
      <c r="GK537" s="21"/>
      <c r="GL537" s="21"/>
      <c r="GM537" s="21"/>
      <c r="GN537" s="21"/>
      <c r="GO537" s="21"/>
      <c r="GP537" s="21"/>
      <c r="GQ537" s="21"/>
      <c r="GR537" s="21"/>
      <c r="GS537" s="21"/>
      <c r="GT537" s="21"/>
      <c r="GU537" s="21"/>
      <c r="GV537" s="21"/>
      <c r="GW537" s="21"/>
      <c r="GX537" s="21"/>
      <c r="GY537" s="21"/>
      <c r="GZ537" s="21"/>
      <c r="HA537" s="21"/>
      <c r="HB537" s="21"/>
    </row>
    <row r="538" spans="1:210"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21"/>
      <c r="CM538" s="21"/>
      <c r="CN538" s="21"/>
      <c r="CO538" s="21"/>
      <c r="CP538" s="21"/>
      <c r="CQ538" s="21"/>
      <c r="CR538" s="21"/>
      <c r="CS538" s="21"/>
      <c r="CT538" s="21"/>
      <c r="CU538" s="21"/>
      <c r="CV538" s="21"/>
      <c r="CW538" s="21"/>
      <c r="CX538" s="21"/>
      <c r="CY538" s="21"/>
      <c r="CZ538" s="21"/>
      <c r="DA538" s="21"/>
      <c r="DB538" s="21"/>
      <c r="DC538" s="21"/>
      <c r="DD538" s="21"/>
      <c r="DE538" s="21"/>
      <c r="DF538" s="21"/>
      <c r="DG538" s="21"/>
      <c r="DH538" s="21"/>
      <c r="DI538" s="21"/>
      <c r="DJ538" s="21"/>
      <c r="DK538" s="21"/>
      <c r="DL538" s="21"/>
      <c r="DM538" s="21"/>
      <c r="DN538" s="21"/>
      <c r="DO538" s="21"/>
      <c r="DP538" s="21"/>
      <c r="DQ538" s="21"/>
      <c r="DR538" s="21"/>
      <c r="DS538" s="21"/>
      <c r="DT538" s="21"/>
      <c r="DU538" s="21"/>
      <c r="DV538" s="21"/>
      <c r="DW538" s="21"/>
      <c r="DX538" s="21"/>
      <c r="DY538" s="21"/>
      <c r="DZ538" s="21"/>
      <c r="EA538" s="21"/>
      <c r="EB538" s="21"/>
      <c r="EC538" s="21"/>
      <c r="ED538" s="21"/>
      <c r="EE538" s="21"/>
      <c r="EF538" s="21"/>
      <c r="EG538" s="21"/>
      <c r="EH538" s="21"/>
      <c r="EI538" s="21"/>
      <c r="EJ538" s="21"/>
      <c r="EK538" s="21"/>
      <c r="EL538" s="21"/>
      <c r="EM538" s="21"/>
      <c r="EN538" s="21"/>
      <c r="EO538" s="21"/>
      <c r="EP538" s="21"/>
      <c r="EQ538" s="21"/>
      <c r="ER538" s="21"/>
      <c r="ES538" s="21"/>
      <c r="ET538" s="21"/>
      <c r="EU538" s="21"/>
      <c r="EV538" s="21"/>
      <c r="EW538" s="21"/>
      <c r="EX538" s="21"/>
      <c r="EY538" s="21"/>
      <c r="EZ538" s="21"/>
      <c r="FA538" s="21"/>
      <c r="FB538" s="21"/>
      <c r="FC538" s="21"/>
      <c r="FD538" s="21"/>
      <c r="FE538" s="21"/>
      <c r="FF538" s="21"/>
      <c r="FG538" s="21"/>
      <c r="FH538" s="21"/>
      <c r="FI538" s="21"/>
      <c r="FJ538" s="21"/>
      <c r="FK538" s="21"/>
      <c r="FL538" s="21"/>
      <c r="FM538" s="21"/>
      <c r="FN538" s="21"/>
      <c r="FO538" s="21"/>
      <c r="FP538" s="21"/>
      <c r="FQ538" s="21"/>
      <c r="FR538" s="21"/>
      <c r="FS538" s="21"/>
      <c r="FT538" s="21"/>
      <c r="FU538" s="21"/>
      <c r="FV538" s="21"/>
      <c r="FW538" s="21"/>
      <c r="FX538" s="21"/>
      <c r="FY538" s="21"/>
      <c r="FZ538" s="21"/>
      <c r="GA538" s="21"/>
      <c r="GB538" s="21"/>
      <c r="GC538" s="21"/>
      <c r="GD538" s="21"/>
      <c r="GE538" s="21"/>
      <c r="GF538" s="21"/>
      <c r="GG538" s="21"/>
      <c r="GH538" s="21"/>
      <c r="GI538" s="21"/>
      <c r="GJ538" s="21"/>
      <c r="GK538" s="21"/>
      <c r="GL538" s="21"/>
      <c r="GM538" s="21"/>
      <c r="GN538" s="21"/>
      <c r="GO538" s="21"/>
      <c r="GP538" s="21"/>
      <c r="GQ538" s="21"/>
      <c r="GR538" s="21"/>
      <c r="GS538" s="21"/>
      <c r="GT538" s="21"/>
      <c r="GU538" s="21"/>
      <c r="GV538" s="21"/>
      <c r="GW538" s="21"/>
      <c r="GX538" s="21"/>
      <c r="GY538" s="21"/>
      <c r="GZ538" s="21"/>
      <c r="HA538" s="21"/>
      <c r="HB538" s="21"/>
    </row>
    <row r="539" spans="1:210"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CZ539" s="21"/>
      <c r="DA539" s="21"/>
      <c r="DB539" s="21"/>
      <c r="DC539" s="21"/>
      <c r="DD539" s="21"/>
      <c r="DE539" s="21"/>
      <c r="DF539" s="21"/>
      <c r="DG539" s="21"/>
      <c r="DH539" s="21"/>
      <c r="DI539" s="21"/>
      <c r="DJ539" s="21"/>
      <c r="DK539" s="21"/>
      <c r="DL539" s="21"/>
      <c r="DM539" s="21"/>
      <c r="DN539" s="21"/>
      <c r="DO539" s="21"/>
      <c r="DP539" s="21"/>
      <c r="DQ539" s="21"/>
      <c r="DR539" s="21"/>
      <c r="DS539" s="21"/>
      <c r="DT539" s="21"/>
      <c r="DU539" s="21"/>
      <c r="DV539" s="21"/>
      <c r="DW539" s="21"/>
      <c r="DX539" s="21"/>
      <c r="DY539" s="21"/>
      <c r="DZ539" s="21"/>
      <c r="EA539" s="21"/>
      <c r="EB539" s="21"/>
      <c r="EC539" s="21"/>
      <c r="ED539" s="21"/>
      <c r="EE539" s="21"/>
      <c r="EF539" s="21"/>
      <c r="EG539" s="21"/>
      <c r="EH539" s="21"/>
      <c r="EI539" s="21"/>
      <c r="EJ539" s="21"/>
      <c r="EK539" s="21"/>
      <c r="EL539" s="21"/>
      <c r="EM539" s="21"/>
      <c r="EN539" s="21"/>
      <c r="EO539" s="21"/>
      <c r="EP539" s="21"/>
      <c r="EQ539" s="21"/>
      <c r="ER539" s="21"/>
      <c r="ES539" s="21"/>
      <c r="ET539" s="21"/>
      <c r="EU539" s="21"/>
      <c r="EV539" s="21"/>
      <c r="EW539" s="21"/>
      <c r="EX539" s="21"/>
      <c r="EY539" s="21"/>
      <c r="EZ539" s="21"/>
      <c r="FA539" s="21"/>
      <c r="FB539" s="21"/>
      <c r="FC539" s="21"/>
      <c r="FD539" s="21"/>
      <c r="FE539" s="21"/>
      <c r="FF539" s="21"/>
      <c r="FG539" s="21"/>
      <c r="FH539" s="21"/>
      <c r="FI539" s="21"/>
      <c r="FJ539" s="21"/>
      <c r="FK539" s="21"/>
      <c r="FL539" s="21"/>
      <c r="FM539" s="21"/>
      <c r="FN539" s="21"/>
      <c r="FO539" s="21"/>
      <c r="FP539" s="21"/>
      <c r="FQ539" s="21"/>
      <c r="FR539" s="21"/>
      <c r="FS539" s="21"/>
      <c r="FT539" s="21"/>
      <c r="FU539" s="21"/>
      <c r="FV539" s="21"/>
      <c r="FW539" s="21"/>
      <c r="FX539" s="21"/>
      <c r="FY539" s="21"/>
      <c r="FZ539" s="21"/>
      <c r="GA539" s="21"/>
      <c r="GB539" s="21"/>
      <c r="GC539" s="21"/>
      <c r="GD539" s="21"/>
      <c r="GE539" s="21"/>
      <c r="GF539" s="21"/>
      <c r="GG539" s="21"/>
      <c r="GH539" s="21"/>
      <c r="GI539" s="21"/>
      <c r="GJ539" s="21"/>
      <c r="GK539" s="21"/>
      <c r="GL539" s="21"/>
      <c r="GM539" s="21"/>
      <c r="GN539" s="21"/>
      <c r="GO539" s="21"/>
      <c r="GP539" s="21"/>
      <c r="GQ539" s="21"/>
      <c r="GR539" s="21"/>
      <c r="GS539" s="21"/>
      <c r="GT539" s="21"/>
      <c r="GU539" s="21"/>
      <c r="GV539" s="21"/>
      <c r="GW539" s="21"/>
      <c r="GX539" s="21"/>
      <c r="GY539" s="21"/>
      <c r="GZ539" s="21"/>
      <c r="HA539" s="21"/>
      <c r="HB539" s="21"/>
    </row>
    <row r="540" spans="1:210"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21"/>
      <c r="CM540" s="21"/>
      <c r="CN540" s="21"/>
      <c r="CO540" s="21"/>
      <c r="CP540" s="21"/>
      <c r="CQ540" s="21"/>
      <c r="CR540" s="21"/>
      <c r="CS540" s="21"/>
      <c r="CT540" s="21"/>
      <c r="CU540" s="21"/>
      <c r="CV540" s="21"/>
      <c r="CW540" s="21"/>
      <c r="CX540" s="21"/>
      <c r="CY540" s="21"/>
      <c r="CZ540" s="21"/>
      <c r="DA540" s="21"/>
      <c r="DB540" s="21"/>
      <c r="DC540" s="21"/>
      <c r="DD540" s="21"/>
      <c r="DE540" s="21"/>
      <c r="DF540" s="21"/>
      <c r="DG540" s="21"/>
      <c r="DH540" s="21"/>
      <c r="DI540" s="21"/>
      <c r="DJ540" s="21"/>
      <c r="DK540" s="21"/>
      <c r="DL540" s="21"/>
      <c r="DM540" s="21"/>
      <c r="DN540" s="21"/>
      <c r="DO540" s="21"/>
      <c r="DP540" s="21"/>
      <c r="DQ540" s="21"/>
      <c r="DR540" s="21"/>
      <c r="DS540" s="21"/>
      <c r="DT540" s="21"/>
      <c r="DU540" s="21"/>
      <c r="DV540" s="21"/>
      <c r="DW540" s="21"/>
      <c r="DX540" s="21"/>
      <c r="DY540" s="21"/>
      <c r="DZ540" s="21"/>
      <c r="EA540" s="21"/>
      <c r="EB540" s="21"/>
      <c r="EC540" s="21"/>
      <c r="ED540" s="21"/>
      <c r="EE540" s="21"/>
      <c r="EF540" s="21"/>
      <c r="EG540" s="21"/>
      <c r="EH540" s="21"/>
      <c r="EI540" s="21"/>
      <c r="EJ540" s="21"/>
      <c r="EK540" s="21"/>
      <c r="EL540" s="21"/>
      <c r="EM540" s="21"/>
      <c r="EN540" s="21"/>
      <c r="EO540" s="21"/>
      <c r="EP540" s="21"/>
      <c r="EQ540" s="21"/>
      <c r="ER540" s="21"/>
      <c r="ES540" s="21"/>
      <c r="ET540" s="21"/>
      <c r="EU540" s="21"/>
      <c r="EV540" s="21"/>
      <c r="EW540" s="21"/>
      <c r="EX540" s="21"/>
      <c r="EY540" s="21"/>
      <c r="EZ540" s="21"/>
      <c r="FA540" s="21"/>
      <c r="FB540" s="21"/>
      <c r="FC540" s="21"/>
      <c r="FD540" s="21"/>
      <c r="FE540" s="21"/>
      <c r="FF540" s="21"/>
      <c r="FG540" s="21"/>
      <c r="FH540" s="21"/>
      <c r="FI540" s="21"/>
      <c r="FJ540" s="21"/>
      <c r="FK540" s="21"/>
      <c r="FL540" s="21"/>
      <c r="FM540" s="21"/>
      <c r="FN540" s="21"/>
      <c r="FO540" s="21"/>
      <c r="FP540" s="21"/>
      <c r="FQ540" s="21"/>
      <c r="FR540" s="21"/>
      <c r="FS540" s="21"/>
      <c r="FT540" s="21"/>
      <c r="FU540" s="21"/>
      <c r="FV540" s="21"/>
      <c r="FW540" s="21"/>
      <c r="FX540" s="21"/>
      <c r="FY540" s="21"/>
      <c r="FZ540" s="21"/>
      <c r="GA540" s="21"/>
      <c r="GB540" s="21"/>
      <c r="GC540" s="21"/>
      <c r="GD540" s="21"/>
      <c r="GE540" s="21"/>
      <c r="GF540" s="21"/>
      <c r="GG540" s="21"/>
      <c r="GH540" s="21"/>
      <c r="GI540" s="21"/>
      <c r="GJ540" s="21"/>
      <c r="GK540" s="21"/>
      <c r="GL540" s="21"/>
      <c r="GM540" s="21"/>
      <c r="GN540" s="21"/>
      <c r="GO540" s="21"/>
      <c r="GP540" s="21"/>
      <c r="GQ540" s="21"/>
      <c r="GR540" s="21"/>
      <c r="GS540" s="21"/>
      <c r="GT540" s="21"/>
      <c r="GU540" s="21"/>
      <c r="GV540" s="21"/>
      <c r="GW540" s="21"/>
      <c r="GX540" s="21"/>
      <c r="GY540" s="21"/>
      <c r="GZ540" s="21"/>
      <c r="HA540" s="21"/>
      <c r="HB540" s="21"/>
    </row>
    <row r="541" spans="1:210"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21"/>
      <c r="CM541" s="21"/>
      <c r="CN541" s="21"/>
      <c r="CO541" s="21"/>
      <c r="CP541" s="21"/>
      <c r="CQ541" s="21"/>
      <c r="CR541" s="21"/>
      <c r="CS541" s="21"/>
      <c r="CT541" s="21"/>
      <c r="CU541" s="21"/>
      <c r="CV541" s="21"/>
      <c r="CW541" s="21"/>
      <c r="CX541" s="21"/>
      <c r="CY541" s="21"/>
      <c r="CZ541" s="21"/>
      <c r="DA541" s="21"/>
      <c r="DB541" s="21"/>
      <c r="DC541" s="21"/>
      <c r="DD541" s="21"/>
      <c r="DE541" s="21"/>
      <c r="DF541" s="21"/>
      <c r="DG541" s="21"/>
      <c r="DH541" s="21"/>
      <c r="DI541" s="21"/>
      <c r="DJ541" s="21"/>
      <c r="DK541" s="21"/>
      <c r="DL541" s="21"/>
      <c r="DM541" s="21"/>
      <c r="DN541" s="21"/>
      <c r="DO541" s="21"/>
      <c r="DP541" s="21"/>
      <c r="DQ541" s="21"/>
      <c r="DR541" s="21"/>
      <c r="DS541" s="21"/>
      <c r="DT541" s="21"/>
      <c r="DU541" s="21"/>
      <c r="DV541" s="21"/>
      <c r="DW541" s="21"/>
      <c r="DX541" s="21"/>
      <c r="DY541" s="21"/>
      <c r="DZ541" s="21"/>
      <c r="EA541" s="21"/>
      <c r="EB541" s="21"/>
      <c r="EC541" s="21"/>
      <c r="ED541" s="21"/>
      <c r="EE541" s="21"/>
      <c r="EF541" s="21"/>
      <c r="EG541" s="21"/>
      <c r="EH541" s="21"/>
      <c r="EI541" s="21"/>
      <c r="EJ541" s="21"/>
      <c r="EK541" s="21"/>
      <c r="EL541" s="21"/>
      <c r="EM541" s="21"/>
      <c r="EN541" s="21"/>
      <c r="EO541" s="21"/>
      <c r="EP541" s="21"/>
      <c r="EQ541" s="21"/>
      <c r="ER541" s="21"/>
      <c r="ES541" s="21"/>
      <c r="ET541" s="21"/>
      <c r="EU541" s="21"/>
      <c r="EV541" s="21"/>
      <c r="EW541" s="21"/>
      <c r="EX541" s="21"/>
      <c r="EY541" s="21"/>
      <c r="EZ541" s="21"/>
      <c r="FA541" s="21"/>
      <c r="FB541" s="21"/>
      <c r="FC541" s="21"/>
      <c r="FD541" s="21"/>
      <c r="FE541" s="21"/>
      <c r="FF541" s="21"/>
      <c r="FG541" s="21"/>
      <c r="FH541" s="21"/>
      <c r="FI541" s="21"/>
      <c r="FJ541" s="21"/>
      <c r="FK541" s="21"/>
      <c r="FL541" s="21"/>
      <c r="FM541" s="21"/>
      <c r="FN541" s="21"/>
      <c r="FO541" s="21"/>
      <c r="FP541" s="21"/>
      <c r="FQ541" s="21"/>
      <c r="FR541" s="21"/>
      <c r="FS541" s="21"/>
      <c r="FT541" s="21"/>
      <c r="FU541" s="21"/>
      <c r="FV541" s="21"/>
      <c r="FW541" s="21"/>
      <c r="FX541" s="21"/>
      <c r="FY541" s="21"/>
      <c r="FZ541" s="21"/>
      <c r="GA541" s="21"/>
      <c r="GB541" s="21"/>
      <c r="GC541" s="21"/>
      <c r="GD541" s="21"/>
      <c r="GE541" s="21"/>
      <c r="GF541" s="21"/>
      <c r="GG541" s="21"/>
      <c r="GH541" s="21"/>
      <c r="GI541" s="21"/>
      <c r="GJ541" s="21"/>
      <c r="GK541" s="21"/>
      <c r="GL541" s="21"/>
      <c r="GM541" s="21"/>
      <c r="GN541" s="21"/>
      <c r="GO541" s="21"/>
      <c r="GP541" s="21"/>
      <c r="GQ541" s="21"/>
      <c r="GR541" s="21"/>
      <c r="GS541" s="21"/>
      <c r="GT541" s="21"/>
      <c r="GU541" s="21"/>
      <c r="GV541" s="21"/>
      <c r="GW541" s="21"/>
      <c r="GX541" s="21"/>
      <c r="GY541" s="21"/>
      <c r="GZ541" s="21"/>
      <c r="HA541" s="21"/>
      <c r="HB541" s="21"/>
    </row>
    <row r="542" spans="1:210"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21"/>
      <c r="CM542" s="21"/>
      <c r="CN542" s="21"/>
      <c r="CO542" s="21"/>
      <c r="CP542" s="21"/>
      <c r="CQ542" s="21"/>
      <c r="CR542" s="21"/>
      <c r="CS542" s="21"/>
      <c r="CT542" s="21"/>
      <c r="CU542" s="21"/>
      <c r="CV542" s="21"/>
      <c r="CW542" s="21"/>
      <c r="CX542" s="21"/>
      <c r="CY542" s="21"/>
      <c r="CZ542" s="21"/>
      <c r="DA542" s="21"/>
      <c r="DB542" s="21"/>
      <c r="DC542" s="21"/>
      <c r="DD542" s="21"/>
      <c r="DE542" s="21"/>
      <c r="DF542" s="21"/>
      <c r="DG542" s="21"/>
      <c r="DH542" s="21"/>
      <c r="DI542" s="21"/>
      <c r="DJ542" s="21"/>
      <c r="DK542" s="21"/>
      <c r="DL542" s="21"/>
      <c r="DM542" s="21"/>
      <c r="DN542" s="21"/>
      <c r="DO542" s="21"/>
      <c r="DP542" s="21"/>
      <c r="DQ542" s="21"/>
      <c r="DR542" s="21"/>
      <c r="DS542" s="21"/>
      <c r="DT542" s="21"/>
      <c r="DU542" s="21"/>
      <c r="DV542" s="21"/>
      <c r="DW542" s="21"/>
      <c r="DX542" s="21"/>
      <c r="DY542" s="21"/>
      <c r="DZ542" s="21"/>
      <c r="EA542" s="21"/>
      <c r="EB542" s="21"/>
      <c r="EC542" s="21"/>
      <c r="ED542" s="21"/>
      <c r="EE542" s="21"/>
      <c r="EF542" s="21"/>
      <c r="EG542" s="21"/>
      <c r="EH542" s="21"/>
      <c r="EI542" s="21"/>
      <c r="EJ542" s="21"/>
      <c r="EK542" s="21"/>
      <c r="EL542" s="21"/>
      <c r="EM542" s="21"/>
      <c r="EN542" s="21"/>
      <c r="EO542" s="21"/>
      <c r="EP542" s="21"/>
      <c r="EQ542" s="21"/>
      <c r="ER542" s="21"/>
      <c r="ES542" s="21"/>
      <c r="ET542" s="21"/>
      <c r="EU542" s="21"/>
      <c r="EV542" s="21"/>
      <c r="EW542" s="21"/>
      <c r="EX542" s="21"/>
      <c r="EY542" s="21"/>
      <c r="EZ542" s="21"/>
      <c r="FA542" s="21"/>
      <c r="FB542" s="21"/>
      <c r="FC542" s="21"/>
      <c r="FD542" s="21"/>
      <c r="FE542" s="21"/>
      <c r="FF542" s="21"/>
      <c r="FG542" s="21"/>
      <c r="FH542" s="21"/>
      <c r="FI542" s="21"/>
      <c r="FJ542" s="21"/>
      <c r="FK542" s="21"/>
      <c r="FL542" s="21"/>
      <c r="FM542" s="21"/>
      <c r="FN542" s="21"/>
      <c r="FO542" s="21"/>
      <c r="FP542" s="21"/>
      <c r="FQ542" s="21"/>
      <c r="FR542" s="21"/>
      <c r="FS542" s="21"/>
      <c r="FT542" s="21"/>
      <c r="FU542" s="21"/>
      <c r="FV542" s="21"/>
      <c r="FW542" s="21"/>
      <c r="FX542" s="21"/>
      <c r="FY542" s="21"/>
      <c r="FZ542" s="21"/>
      <c r="GA542" s="21"/>
      <c r="GB542" s="21"/>
      <c r="GC542" s="21"/>
      <c r="GD542" s="21"/>
      <c r="GE542" s="21"/>
      <c r="GF542" s="21"/>
      <c r="GG542" s="21"/>
      <c r="GH542" s="21"/>
      <c r="GI542" s="21"/>
      <c r="GJ542" s="21"/>
      <c r="GK542" s="21"/>
      <c r="GL542" s="21"/>
      <c r="GM542" s="21"/>
      <c r="GN542" s="21"/>
      <c r="GO542" s="21"/>
      <c r="GP542" s="21"/>
      <c r="GQ542" s="21"/>
      <c r="GR542" s="21"/>
      <c r="GS542" s="21"/>
      <c r="GT542" s="21"/>
      <c r="GU542" s="21"/>
      <c r="GV542" s="21"/>
      <c r="GW542" s="21"/>
      <c r="GX542" s="21"/>
      <c r="GY542" s="21"/>
      <c r="GZ542" s="21"/>
      <c r="HA542" s="21"/>
      <c r="HB542" s="21"/>
    </row>
    <row r="543" spans="1:210"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21"/>
      <c r="CM543" s="21"/>
      <c r="CN543" s="21"/>
      <c r="CO543" s="21"/>
      <c r="CP543" s="21"/>
      <c r="CQ543" s="21"/>
      <c r="CR543" s="21"/>
      <c r="CS543" s="21"/>
      <c r="CT543" s="21"/>
      <c r="CU543" s="21"/>
      <c r="CV543" s="21"/>
      <c r="CW543" s="21"/>
      <c r="CX543" s="21"/>
      <c r="CY543" s="21"/>
      <c r="CZ543" s="21"/>
      <c r="DA543" s="21"/>
      <c r="DB543" s="21"/>
      <c r="DC543" s="21"/>
      <c r="DD543" s="21"/>
      <c r="DE543" s="21"/>
      <c r="DF543" s="21"/>
      <c r="DG543" s="21"/>
      <c r="DH543" s="21"/>
      <c r="DI543" s="21"/>
      <c r="DJ543" s="21"/>
      <c r="DK543" s="21"/>
      <c r="DL543" s="21"/>
      <c r="DM543" s="21"/>
      <c r="DN543" s="21"/>
      <c r="DO543" s="21"/>
      <c r="DP543" s="21"/>
      <c r="DQ543" s="21"/>
      <c r="DR543" s="21"/>
      <c r="DS543" s="21"/>
      <c r="DT543" s="21"/>
      <c r="DU543" s="21"/>
      <c r="DV543" s="21"/>
      <c r="DW543" s="21"/>
      <c r="DX543" s="21"/>
      <c r="DY543" s="21"/>
      <c r="DZ543" s="21"/>
      <c r="EA543" s="21"/>
      <c r="EB543" s="21"/>
      <c r="EC543" s="21"/>
      <c r="ED543" s="21"/>
      <c r="EE543" s="21"/>
      <c r="EF543" s="21"/>
      <c r="EG543" s="21"/>
      <c r="EH543" s="21"/>
      <c r="EI543" s="21"/>
      <c r="EJ543" s="21"/>
      <c r="EK543" s="21"/>
      <c r="EL543" s="21"/>
      <c r="EM543" s="21"/>
      <c r="EN543" s="21"/>
      <c r="EO543" s="21"/>
      <c r="EP543" s="21"/>
      <c r="EQ543" s="21"/>
      <c r="ER543" s="21"/>
      <c r="ES543" s="21"/>
      <c r="ET543" s="21"/>
      <c r="EU543" s="21"/>
      <c r="EV543" s="21"/>
      <c r="EW543" s="21"/>
      <c r="EX543" s="21"/>
      <c r="EY543" s="21"/>
      <c r="EZ543" s="21"/>
      <c r="FA543" s="21"/>
      <c r="FB543" s="21"/>
      <c r="FC543" s="21"/>
      <c r="FD543" s="21"/>
      <c r="FE543" s="21"/>
      <c r="FF543" s="21"/>
      <c r="FG543" s="21"/>
      <c r="FH543" s="21"/>
      <c r="FI543" s="21"/>
      <c r="FJ543" s="21"/>
      <c r="FK543" s="21"/>
      <c r="FL543" s="21"/>
      <c r="FM543" s="21"/>
      <c r="FN543" s="21"/>
      <c r="FO543" s="21"/>
      <c r="FP543" s="21"/>
      <c r="FQ543" s="21"/>
      <c r="FR543" s="21"/>
      <c r="FS543" s="21"/>
      <c r="FT543" s="21"/>
      <c r="FU543" s="21"/>
      <c r="FV543" s="21"/>
      <c r="FW543" s="21"/>
      <c r="FX543" s="21"/>
      <c r="FY543" s="21"/>
      <c r="FZ543" s="21"/>
      <c r="GA543" s="21"/>
      <c r="GB543" s="21"/>
      <c r="GC543" s="21"/>
      <c r="GD543" s="21"/>
      <c r="GE543" s="21"/>
      <c r="GF543" s="21"/>
      <c r="GG543" s="21"/>
      <c r="GH543" s="21"/>
      <c r="GI543" s="21"/>
      <c r="GJ543" s="21"/>
      <c r="GK543" s="21"/>
      <c r="GL543" s="21"/>
      <c r="GM543" s="21"/>
      <c r="GN543" s="21"/>
      <c r="GO543" s="21"/>
      <c r="GP543" s="21"/>
      <c r="GQ543" s="21"/>
      <c r="GR543" s="21"/>
      <c r="GS543" s="21"/>
      <c r="GT543" s="21"/>
      <c r="GU543" s="21"/>
      <c r="GV543" s="21"/>
      <c r="GW543" s="21"/>
      <c r="GX543" s="21"/>
      <c r="GY543" s="21"/>
      <c r="GZ543" s="21"/>
      <c r="HA543" s="21"/>
      <c r="HB543" s="21"/>
    </row>
    <row r="544" spans="1:210"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21"/>
      <c r="CM544" s="21"/>
      <c r="CN544" s="21"/>
      <c r="CO544" s="21"/>
      <c r="CP544" s="21"/>
      <c r="CQ544" s="21"/>
      <c r="CR544" s="21"/>
      <c r="CS544" s="21"/>
      <c r="CT544" s="21"/>
      <c r="CU544" s="21"/>
      <c r="CV544" s="21"/>
      <c r="CW544" s="21"/>
      <c r="CX544" s="21"/>
      <c r="CY544" s="21"/>
      <c r="CZ544" s="21"/>
      <c r="DA544" s="21"/>
      <c r="DB544" s="21"/>
      <c r="DC544" s="21"/>
      <c r="DD544" s="21"/>
      <c r="DE544" s="21"/>
      <c r="DF544" s="21"/>
      <c r="DG544" s="21"/>
      <c r="DH544" s="21"/>
      <c r="DI544" s="21"/>
      <c r="DJ544" s="21"/>
      <c r="DK544" s="21"/>
      <c r="DL544" s="21"/>
      <c r="DM544" s="21"/>
      <c r="DN544" s="21"/>
      <c r="DO544" s="21"/>
      <c r="DP544" s="21"/>
      <c r="DQ544" s="21"/>
      <c r="DR544" s="21"/>
      <c r="DS544" s="21"/>
      <c r="DT544" s="21"/>
      <c r="DU544" s="21"/>
      <c r="DV544" s="21"/>
      <c r="DW544" s="21"/>
      <c r="DX544" s="21"/>
      <c r="DY544" s="21"/>
      <c r="DZ544" s="21"/>
      <c r="EA544" s="21"/>
      <c r="EB544" s="21"/>
      <c r="EC544" s="21"/>
      <c r="ED544" s="21"/>
      <c r="EE544" s="21"/>
      <c r="EF544" s="21"/>
      <c r="EG544" s="21"/>
      <c r="EH544" s="21"/>
      <c r="EI544" s="21"/>
      <c r="EJ544" s="21"/>
      <c r="EK544" s="21"/>
      <c r="EL544" s="21"/>
      <c r="EM544" s="21"/>
      <c r="EN544" s="21"/>
      <c r="EO544" s="21"/>
      <c r="EP544" s="21"/>
      <c r="EQ544" s="21"/>
      <c r="ER544" s="21"/>
      <c r="ES544" s="21"/>
      <c r="ET544" s="21"/>
      <c r="EU544" s="21"/>
      <c r="EV544" s="21"/>
      <c r="EW544" s="21"/>
      <c r="EX544" s="21"/>
      <c r="EY544" s="21"/>
      <c r="EZ544" s="21"/>
      <c r="FA544" s="21"/>
      <c r="FB544" s="21"/>
      <c r="FC544" s="21"/>
      <c r="FD544" s="21"/>
      <c r="FE544" s="21"/>
      <c r="FF544" s="21"/>
      <c r="FG544" s="21"/>
      <c r="FH544" s="21"/>
      <c r="FI544" s="21"/>
      <c r="FJ544" s="21"/>
      <c r="FK544" s="21"/>
      <c r="FL544" s="21"/>
      <c r="FM544" s="21"/>
      <c r="FN544" s="21"/>
      <c r="FO544" s="21"/>
      <c r="FP544" s="21"/>
      <c r="FQ544" s="21"/>
      <c r="FR544" s="21"/>
      <c r="FS544" s="21"/>
      <c r="FT544" s="21"/>
      <c r="FU544" s="21"/>
      <c r="FV544" s="21"/>
      <c r="FW544" s="21"/>
      <c r="FX544" s="21"/>
      <c r="FY544" s="21"/>
      <c r="FZ544" s="21"/>
      <c r="GA544" s="21"/>
      <c r="GB544" s="21"/>
      <c r="GC544" s="21"/>
      <c r="GD544" s="21"/>
      <c r="GE544" s="21"/>
      <c r="GF544" s="21"/>
      <c r="GG544" s="21"/>
      <c r="GH544" s="21"/>
      <c r="GI544" s="21"/>
      <c r="GJ544" s="21"/>
      <c r="GK544" s="21"/>
      <c r="GL544" s="21"/>
      <c r="GM544" s="21"/>
      <c r="GN544" s="21"/>
      <c r="GO544" s="21"/>
      <c r="GP544" s="21"/>
      <c r="GQ544" s="21"/>
      <c r="GR544" s="21"/>
      <c r="GS544" s="21"/>
      <c r="GT544" s="21"/>
      <c r="GU544" s="21"/>
      <c r="GV544" s="21"/>
      <c r="GW544" s="21"/>
      <c r="GX544" s="21"/>
      <c r="GY544" s="21"/>
      <c r="GZ544" s="21"/>
      <c r="HA544" s="21"/>
      <c r="HB544" s="21"/>
    </row>
    <row r="545" spans="1:210"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21"/>
      <c r="CM545" s="21"/>
      <c r="CN545" s="21"/>
      <c r="CO545" s="21"/>
      <c r="CP545" s="21"/>
      <c r="CQ545" s="21"/>
      <c r="CR545" s="21"/>
      <c r="CS545" s="21"/>
      <c r="CT545" s="21"/>
      <c r="CU545" s="21"/>
      <c r="CV545" s="21"/>
      <c r="CW545" s="21"/>
      <c r="CX545" s="21"/>
      <c r="CY545" s="21"/>
      <c r="CZ545" s="21"/>
      <c r="DA545" s="21"/>
      <c r="DB545" s="21"/>
      <c r="DC545" s="21"/>
      <c r="DD545" s="21"/>
      <c r="DE545" s="21"/>
      <c r="DF545" s="21"/>
      <c r="DG545" s="21"/>
      <c r="DH545" s="21"/>
      <c r="DI545" s="21"/>
      <c r="DJ545" s="21"/>
      <c r="DK545" s="21"/>
      <c r="DL545" s="21"/>
      <c r="DM545" s="21"/>
      <c r="DN545" s="21"/>
      <c r="DO545" s="21"/>
      <c r="DP545" s="21"/>
      <c r="DQ545" s="21"/>
      <c r="DR545" s="21"/>
      <c r="DS545" s="21"/>
      <c r="DT545" s="21"/>
      <c r="DU545" s="21"/>
      <c r="DV545" s="21"/>
      <c r="DW545" s="21"/>
      <c r="DX545" s="21"/>
      <c r="DY545" s="21"/>
      <c r="DZ545" s="21"/>
      <c r="EA545" s="21"/>
      <c r="EB545" s="21"/>
      <c r="EC545" s="21"/>
      <c r="ED545" s="21"/>
      <c r="EE545" s="21"/>
      <c r="EF545" s="21"/>
      <c r="EG545" s="21"/>
      <c r="EH545" s="21"/>
      <c r="EI545" s="21"/>
      <c r="EJ545" s="21"/>
      <c r="EK545" s="21"/>
      <c r="EL545" s="21"/>
      <c r="EM545" s="21"/>
      <c r="EN545" s="21"/>
      <c r="EO545" s="21"/>
      <c r="EP545" s="21"/>
      <c r="EQ545" s="21"/>
      <c r="ER545" s="21"/>
      <c r="ES545" s="21"/>
      <c r="ET545" s="21"/>
      <c r="EU545" s="21"/>
      <c r="EV545" s="21"/>
      <c r="EW545" s="21"/>
      <c r="EX545" s="21"/>
      <c r="EY545" s="21"/>
      <c r="EZ545" s="21"/>
      <c r="FA545" s="21"/>
      <c r="FB545" s="21"/>
      <c r="FC545" s="21"/>
      <c r="FD545" s="21"/>
      <c r="FE545" s="21"/>
      <c r="FF545" s="21"/>
      <c r="FG545" s="21"/>
      <c r="FH545" s="21"/>
      <c r="FI545" s="21"/>
      <c r="FJ545" s="21"/>
      <c r="FK545" s="21"/>
      <c r="FL545" s="21"/>
      <c r="FM545" s="21"/>
      <c r="FN545" s="21"/>
      <c r="FO545" s="21"/>
      <c r="FP545" s="21"/>
      <c r="FQ545" s="21"/>
      <c r="FR545" s="21"/>
      <c r="FS545" s="21"/>
      <c r="FT545" s="21"/>
      <c r="FU545" s="21"/>
      <c r="FV545" s="21"/>
      <c r="FW545" s="21"/>
      <c r="FX545" s="21"/>
      <c r="FY545" s="21"/>
      <c r="FZ545" s="21"/>
      <c r="GA545" s="21"/>
      <c r="GB545" s="21"/>
      <c r="GC545" s="21"/>
      <c r="GD545" s="21"/>
      <c r="GE545" s="21"/>
      <c r="GF545" s="21"/>
      <c r="GG545" s="21"/>
      <c r="GH545" s="21"/>
      <c r="GI545" s="21"/>
      <c r="GJ545" s="21"/>
      <c r="GK545" s="21"/>
      <c r="GL545" s="21"/>
      <c r="GM545" s="21"/>
      <c r="GN545" s="21"/>
      <c r="GO545" s="21"/>
      <c r="GP545" s="21"/>
      <c r="GQ545" s="21"/>
      <c r="GR545" s="21"/>
      <c r="GS545" s="21"/>
      <c r="GT545" s="21"/>
      <c r="GU545" s="21"/>
      <c r="GV545" s="21"/>
      <c r="GW545" s="21"/>
      <c r="GX545" s="21"/>
      <c r="GY545" s="21"/>
      <c r="GZ545" s="21"/>
      <c r="HA545" s="21"/>
      <c r="HB545" s="21"/>
    </row>
    <row r="546" spans="1:210"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21"/>
      <c r="CM546" s="21"/>
      <c r="CN546" s="21"/>
      <c r="CO546" s="21"/>
      <c r="CP546" s="21"/>
      <c r="CQ546" s="21"/>
      <c r="CR546" s="21"/>
      <c r="CS546" s="21"/>
      <c r="CT546" s="21"/>
      <c r="CU546" s="21"/>
      <c r="CV546" s="21"/>
      <c r="CW546" s="21"/>
      <c r="CX546" s="21"/>
      <c r="CY546" s="21"/>
      <c r="CZ546" s="21"/>
      <c r="DA546" s="21"/>
      <c r="DB546" s="21"/>
      <c r="DC546" s="21"/>
      <c r="DD546" s="21"/>
      <c r="DE546" s="21"/>
      <c r="DF546" s="21"/>
      <c r="DG546" s="21"/>
      <c r="DH546" s="21"/>
      <c r="DI546" s="21"/>
      <c r="DJ546" s="21"/>
      <c r="DK546" s="21"/>
      <c r="DL546" s="21"/>
      <c r="DM546" s="21"/>
      <c r="DN546" s="21"/>
      <c r="DO546" s="21"/>
      <c r="DP546" s="21"/>
      <c r="DQ546" s="21"/>
      <c r="DR546" s="21"/>
      <c r="DS546" s="21"/>
      <c r="DT546" s="21"/>
      <c r="DU546" s="21"/>
      <c r="DV546" s="21"/>
      <c r="DW546" s="21"/>
      <c r="DX546" s="21"/>
      <c r="DY546" s="21"/>
      <c r="DZ546" s="21"/>
      <c r="EA546" s="21"/>
      <c r="EB546" s="21"/>
      <c r="EC546" s="21"/>
      <c r="ED546" s="21"/>
      <c r="EE546" s="21"/>
      <c r="EF546" s="21"/>
      <c r="EG546" s="21"/>
      <c r="EH546" s="21"/>
      <c r="EI546" s="21"/>
      <c r="EJ546" s="21"/>
      <c r="EK546" s="21"/>
      <c r="EL546" s="21"/>
      <c r="EM546" s="21"/>
      <c r="EN546" s="21"/>
      <c r="EO546" s="21"/>
      <c r="EP546" s="21"/>
      <c r="EQ546" s="21"/>
      <c r="ER546" s="21"/>
      <c r="ES546" s="21"/>
      <c r="ET546" s="21"/>
      <c r="EU546" s="21"/>
      <c r="EV546" s="21"/>
      <c r="EW546" s="21"/>
      <c r="EX546" s="21"/>
      <c r="EY546" s="21"/>
      <c r="EZ546" s="21"/>
      <c r="FA546" s="21"/>
      <c r="FB546" s="21"/>
      <c r="FC546" s="21"/>
      <c r="FD546" s="21"/>
      <c r="FE546" s="21"/>
      <c r="FF546" s="21"/>
      <c r="FG546" s="21"/>
      <c r="FH546" s="21"/>
      <c r="FI546" s="21"/>
      <c r="FJ546" s="21"/>
      <c r="FK546" s="21"/>
      <c r="FL546" s="21"/>
      <c r="FM546" s="21"/>
      <c r="FN546" s="21"/>
      <c r="FO546" s="21"/>
      <c r="FP546" s="21"/>
      <c r="FQ546" s="21"/>
      <c r="FR546" s="21"/>
      <c r="FS546" s="21"/>
      <c r="FT546" s="21"/>
      <c r="FU546" s="21"/>
      <c r="FV546" s="21"/>
      <c r="FW546" s="21"/>
      <c r="FX546" s="21"/>
      <c r="FY546" s="21"/>
      <c r="FZ546" s="21"/>
      <c r="GA546" s="21"/>
      <c r="GB546" s="21"/>
      <c r="GC546" s="21"/>
      <c r="GD546" s="21"/>
      <c r="GE546" s="21"/>
      <c r="GF546" s="21"/>
      <c r="GG546" s="21"/>
      <c r="GH546" s="21"/>
      <c r="GI546" s="21"/>
      <c r="GJ546" s="21"/>
      <c r="GK546" s="21"/>
      <c r="GL546" s="21"/>
      <c r="GM546" s="21"/>
      <c r="GN546" s="21"/>
      <c r="GO546" s="21"/>
      <c r="GP546" s="21"/>
      <c r="GQ546" s="21"/>
      <c r="GR546" s="21"/>
      <c r="GS546" s="21"/>
      <c r="GT546" s="21"/>
      <c r="GU546" s="21"/>
      <c r="GV546" s="21"/>
      <c r="GW546" s="21"/>
      <c r="GX546" s="21"/>
      <c r="GY546" s="21"/>
      <c r="GZ546" s="21"/>
      <c r="HA546" s="21"/>
      <c r="HB546" s="21"/>
    </row>
    <row r="547" spans="1:210"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21"/>
      <c r="CM547" s="21"/>
      <c r="CN547" s="21"/>
      <c r="CO547" s="21"/>
      <c r="CP547" s="21"/>
      <c r="CQ547" s="21"/>
      <c r="CR547" s="21"/>
      <c r="CS547" s="21"/>
      <c r="CT547" s="21"/>
      <c r="CU547" s="21"/>
      <c r="CV547" s="21"/>
      <c r="CW547" s="21"/>
      <c r="CX547" s="21"/>
      <c r="CY547" s="21"/>
      <c r="CZ547" s="21"/>
      <c r="DA547" s="21"/>
      <c r="DB547" s="21"/>
      <c r="DC547" s="21"/>
      <c r="DD547" s="21"/>
      <c r="DE547" s="21"/>
      <c r="DF547" s="21"/>
      <c r="DG547" s="21"/>
      <c r="DH547" s="21"/>
      <c r="DI547" s="21"/>
      <c r="DJ547" s="21"/>
      <c r="DK547" s="21"/>
      <c r="DL547" s="21"/>
      <c r="DM547" s="21"/>
      <c r="DN547" s="21"/>
      <c r="DO547" s="21"/>
      <c r="DP547" s="21"/>
      <c r="DQ547" s="21"/>
      <c r="DR547" s="21"/>
      <c r="DS547" s="21"/>
      <c r="DT547" s="21"/>
      <c r="DU547" s="21"/>
      <c r="DV547" s="21"/>
      <c r="DW547" s="21"/>
      <c r="DX547" s="21"/>
      <c r="DY547" s="21"/>
      <c r="DZ547" s="21"/>
      <c r="EA547" s="21"/>
      <c r="EB547" s="21"/>
      <c r="EC547" s="21"/>
      <c r="ED547" s="21"/>
      <c r="EE547" s="21"/>
      <c r="EF547" s="21"/>
      <c r="EG547" s="21"/>
      <c r="EH547" s="21"/>
      <c r="EI547" s="21"/>
      <c r="EJ547" s="21"/>
      <c r="EK547" s="21"/>
      <c r="EL547" s="21"/>
      <c r="EM547" s="21"/>
      <c r="EN547" s="21"/>
      <c r="EO547" s="21"/>
      <c r="EP547" s="21"/>
      <c r="EQ547" s="21"/>
      <c r="ER547" s="21"/>
      <c r="ES547" s="21"/>
      <c r="ET547" s="21"/>
      <c r="EU547" s="21"/>
      <c r="EV547" s="21"/>
      <c r="EW547" s="21"/>
      <c r="EX547" s="21"/>
      <c r="EY547" s="21"/>
      <c r="EZ547" s="21"/>
      <c r="FA547" s="21"/>
      <c r="FB547" s="21"/>
      <c r="FC547" s="21"/>
      <c r="FD547" s="21"/>
      <c r="FE547" s="21"/>
      <c r="FF547" s="21"/>
      <c r="FG547" s="21"/>
      <c r="FH547" s="21"/>
      <c r="FI547" s="21"/>
      <c r="FJ547" s="21"/>
      <c r="FK547" s="21"/>
      <c r="FL547" s="21"/>
      <c r="FM547" s="21"/>
      <c r="FN547" s="21"/>
      <c r="FO547" s="21"/>
      <c r="FP547" s="21"/>
      <c r="FQ547" s="21"/>
      <c r="FR547" s="21"/>
      <c r="FS547" s="21"/>
      <c r="FT547" s="21"/>
      <c r="FU547" s="21"/>
      <c r="FV547" s="21"/>
      <c r="FW547" s="21"/>
      <c r="FX547" s="21"/>
      <c r="FY547" s="21"/>
      <c r="FZ547" s="21"/>
      <c r="GA547" s="21"/>
      <c r="GB547" s="21"/>
      <c r="GC547" s="21"/>
      <c r="GD547" s="21"/>
      <c r="GE547" s="21"/>
      <c r="GF547" s="21"/>
      <c r="GG547" s="21"/>
      <c r="GH547" s="21"/>
      <c r="GI547" s="21"/>
      <c r="GJ547" s="21"/>
      <c r="GK547" s="21"/>
      <c r="GL547" s="21"/>
      <c r="GM547" s="21"/>
      <c r="GN547" s="21"/>
      <c r="GO547" s="21"/>
      <c r="GP547" s="21"/>
      <c r="GQ547" s="21"/>
      <c r="GR547" s="21"/>
      <c r="GS547" s="21"/>
      <c r="GT547" s="21"/>
      <c r="GU547" s="21"/>
      <c r="GV547" s="21"/>
      <c r="GW547" s="21"/>
      <c r="GX547" s="21"/>
      <c r="GY547" s="21"/>
      <c r="GZ547" s="21"/>
      <c r="HA547" s="21"/>
      <c r="HB547" s="21"/>
    </row>
    <row r="548" spans="1:210"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21"/>
      <c r="CM548" s="21"/>
      <c r="CN548" s="21"/>
      <c r="CO548" s="21"/>
      <c r="CP548" s="21"/>
      <c r="CQ548" s="21"/>
      <c r="CR548" s="21"/>
      <c r="CS548" s="21"/>
      <c r="CT548" s="21"/>
      <c r="CU548" s="21"/>
      <c r="CV548" s="21"/>
      <c r="CW548" s="21"/>
      <c r="CX548" s="21"/>
      <c r="CY548" s="21"/>
      <c r="CZ548" s="21"/>
      <c r="DA548" s="21"/>
      <c r="DB548" s="21"/>
      <c r="DC548" s="21"/>
      <c r="DD548" s="21"/>
      <c r="DE548" s="21"/>
      <c r="DF548" s="21"/>
      <c r="DG548" s="21"/>
      <c r="DH548" s="21"/>
      <c r="DI548" s="21"/>
      <c r="DJ548" s="21"/>
      <c r="DK548" s="21"/>
      <c r="DL548" s="21"/>
      <c r="DM548" s="21"/>
      <c r="DN548" s="21"/>
      <c r="DO548" s="21"/>
      <c r="DP548" s="21"/>
      <c r="DQ548" s="21"/>
      <c r="DR548" s="21"/>
      <c r="DS548" s="21"/>
      <c r="DT548" s="21"/>
      <c r="DU548" s="21"/>
      <c r="DV548" s="21"/>
      <c r="DW548" s="21"/>
      <c r="DX548" s="21"/>
      <c r="DY548" s="21"/>
      <c r="DZ548" s="21"/>
      <c r="EA548" s="21"/>
      <c r="EB548" s="21"/>
      <c r="EC548" s="21"/>
      <c r="ED548" s="21"/>
      <c r="EE548" s="21"/>
      <c r="EF548" s="21"/>
      <c r="EG548" s="21"/>
      <c r="EH548" s="21"/>
      <c r="EI548" s="21"/>
      <c r="EJ548" s="21"/>
      <c r="EK548" s="21"/>
      <c r="EL548" s="21"/>
      <c r="EM548" s="21"/>
      <c r="EN548" s="21"/>
      <c r="EO548" s="21"/>
      <c r="EP548" s="21"/>
      <c r="EQ548" s="21"/>
      <c r="ER548" s="21"/>
      <c r="ES548" s="21"/>
      <c r="ET548" s="21"/>
      <c r="EU548" s="21"/>
      <c r="EV548" s="21"/>
      <c r="EW548" s="21"/>
      <c r="EX548" s="21"/>
      <c r="EY548" s="21"/>
      <c r="EZ548" s="21"/>
      <c r="FA548" s="21"/>
      <c r="FB548" s="21"/>
      <c r="FC548" s="21"/>
      <c r="FD548" s="21"/>
      <c r="FE548" s="21"/>
      <c r="FF548" s="21"/>
      <c r="FG548" s="21"/>
      <c r="FH548" s="21"/>
      <c r="FI548" s="21"/>
      <c r="FJ548" s="21"/>
      <c r="FK548" s="21"/>
      <c r="FL548" s="21"/>
      <c r="FM548" s="21"/>
      <c r="FN548" s="21"/>
      <c r="FO548" s="21"/>
      <c r="FP548" s="21"/>
      <c r="FQ548" s="21"/>
      <c r="FR548" s="21"/>
      <c r="FS548" s="21"/>
      <c r="FT548" s="21"/>
      <c r="FU548" s="21"/>
      <c r="FV548" s="21"/>
      <c r="FW548" s="21"/>
      <c r="FX548" s="21"/>
      <c r="FY548" s="21"/>
      <c r="FZ548" s="21"/>
      <c r="GA548" s="21"/>
      <c r="GB548" s="21"/>
      <c r="GC548" s="21"/>
      <c r="GD548" s="21"/>
      <c r="GE548" s="21"/>
      <c r="GF548" s="21"/>
      <c r="GG548" s="21"/>
      <c r="GH548" s="21"/>
      <c r="GI548" s="21"/>
      <c r="GJ548" s="21"/>
      <c r="GK548" s="21"/>
      <c r="GL548" s="21"/>
      <c r="GM548" s="21"/>
      <c r="GN548" s="21"/>
      <c r="GO548" s="21"/>
      <c r="GP548" s="21"/>
      <c r="GQ548" s="21"/>
      <c r="GR548" s="21"/>
      <c r="GS548" s="21"/>
      <c r="GT548" s="21"/>
      <c r="GU548" s="21"/>
      <c r="GV548" s="21"/>
      <c r="GW548" s="21"/>
      <c r="GX548" s="21"/>
      <c r="GY548" s="21"/>
      <c r="GZ548" s="21"/>
      <c r="HA548" s="21"/>
      <c r="HB548" s="21"/>
    </row>
    <row r="549" spans="1:210"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21"/>
      <c r="CM549" s="21"/>
      <c r="CN549" s="21"/>
      <c r="CO549" s="21"/>
      <c r="CP549" s="21"/>
      <c r="CQ549" s="21"/>
      <c r="CR549" s="21"/>
      <c r="CS549" s="21"/>
      <c r="CT549" s="21"/>
      <c r="CU549" s="21"/>
      <c r="CV549" s="21"/>
      <c r="CW549" s="21"/>
      <c r="CX549" s="21"/>
      <c r="CY549" s="21"/>
      <c r="CZ549" s="21"/>
      <c r="DA549" s="21"/>
      <c r="DB549" s="21"/>
      <c r="DC549" s="21"/>
      <c r="DD549" s="21"/>
      <c r="DE549" s="21"/>
      <c r="DF549" s="21"/>
      <c r="DG549" s="21"/>
      <c r="DH549" s="21"/>
      <c r="DI549" s="21"/>
      <c r="DJ549" s="21"/>
      <c r="DK549" s="21"/>
      <c r="DL549" s="21"/>
      <c r="DM549" s="21"/>
      <c r="DN549" s="21"/>
      <c r="DO549" s="21"/>
      <c r="DP549" s="21"/>
      <c r="DQ549" s="21"/>
      <c r="DR549" s="21"/>
      <c r="DS549" s="21"/>
      <c r="DT549" s="21"/>
      <c r="DU549" s="21"/>
      <c r="DV549" s="21"/>
      <c r="DW549" s="21"/>
      <c r="DX549" s="21"/>
      <c r="DY549" s="21"/>
      <c r="DZ549" s="21"/>
      <c r="EA549" s="21"/>
      <c r="EB549" s="21"/>
      <c r="EC549" s="21"/>
      <c r="ED549" s="21"/>
      <c r="EE549" s="21"/>
      <c r="EF549" s="21"/>
      <c r="EG549" s="21"/>
      <c r="EH549" s="21"/>
      <c r="EI549" s="21"/>
      <c r="EJ549" s="21"/>
      <c r="EK549" s="21"/>
      <c r="EL549" s="21"/>
      <c r="EM549" s="21"/>
      <c r="EN549" s="21"/>
      <c r="EO549" s="21"/>
      <c r="EP549" s="21"/>
      <c r="EQ549" s="21"/>
      <c r="ER549" s="21"/>
      <c r="ES549" s="21"/>
      <c r="ET549" s="21"/>
      <c r="EU549" s="21"/>
      <c r="EV549" s="21"/>
      <c r="EW549" s="21"/>
      <c r="EX549" s="21"/>
      <c r="EY549" s="21"/>
      <c r="EZ549" s="21"/>
      <c r="FA549" s="21"/>
      <c r="FB549" s="21"/>
      <c r="FC549" s="21"/>
      <c r="FD549" s="21"/>
      <c r="FE549" s="21"/>
      <c r="FF549" s="21"/>
      <c r="FG549" s="21"/>
      <c r="FH549" s="21"/>
      <c r="FI549" s="21"/>
      <c r="FJ549" s="21"/>
      <c r="FK549" s="21"/>
      <c r="FL549" s="21"/>
      <c r="FM549" s="21"/>
      <c r="FN549" s="21"/>
      <c r="FO549" s="21"/>
      <c r="FP549" s="21"/>
      <c r="FQ549" s="21"/>
      <c r="FR549" s="21"/>
      <c r="FS549" s="21"/>
      <c r="FT549" s="21"/>
      <c r="FU549" s="21"/>
      <c r="FV549" s="21"/>
      <c r="FW549" s="21"/>
      <c r="FX549" s="21"/>
      <c r="FY549" s="21"/>
      <c r="FZ549" s="21"/>
      <c r="GA549" s="21"/>
      <c r="GB549" s="21"/>
      <c r="GC549" s="21"/>
      <c r="GD549" s="21"/>
      <c r="GE549" s="21"/>
      <c r="GF549" s="21"/>
      <c r="GG549" s="21"/>
      <c r="GH549" s="21"/>
      <c r="GI549" s="21"/>
      <c r="GJ549" s="21"/>
      <c r="GK549" s="21"/>
      <c r="GL549" s="21"/>
      <c r="GM549" s="21"/>
      <c r="GN549" s="21"/>
      <c r="GO549" s="21"/>
      <c r="GP549" s="21"/>
      <c r="GQ549" s="21"/>
      <c r="GR549" s="21"/>
      <c r="GS549" s="21"/>
      <c r="GT549" s="21"/>
      <c r="GU549" s="21"/>
      <c r="GV549" s="21"/>
      <c r="GW549" s="21"/>
      <c r="GX549" s="21"/>
      <c r="GY549" s="21"/>
      <c r="GZ549" s="21"/>
      <c r="HA549" s="21"/>
      <c r="HB549" s="21"/>
    </row>
    <row r="550" spans="1:210"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21"/>
      <c r="CM550" s="21"/>
      <c r="CN550" s="21"/>
      <c r="CO550" s="21"/>
      <c r="CP550" s="21"/>
      <c r="CQ550" s="21"/>
      <c r="CR550" s="21"/>
      <c r="CS550" s="21"/>
      <c r="CT550" s="21"/>
      <c r="CU550" s="21"/>
      <c r="CV550" s="21"/>
      <c r="CW550" s="21"/>
      <c r="CX550" s="21"/>
      <c r="CY550" s="21"/>
      <c r="CZ550" s="21"/>
      <c r="DA550" s="21"/>
      <c r="DB550" s="21"/>
      <c r="DC550" s="21"/>
      <c r="DD550" s="21"/>
      <c r="DE550" s="21"/>
      <c r="DF550" s="21"/>
      <c r="DG550" s="21"/>
      <c r="DH550" s="21"/>
      <c r="DI550" s="21"/>
      <c r="DJ550" s="21"/>
      <c r="DK550" s="21"/>
      <c r="DL550" s="21"/>
      <c r="DM550" s="21"/>
      <c r="DN550" s="21"/>
      <c r="DO550" s="21"/>
      <c r="DP550" s="21"/>
      <c r="DQ550" s="21"/>
      <c r="DR550" s="21"/>
      <c r="DS550" s="21"/>
      <c r="DT550" s="21"/>
      <c r="DU550" s="21"/>
      <c r="DV550" s="21"/>
      <c r="DW550" s="21"/>
      <c r="DX550" s="21"/>
      <c r="DY550" s="21"/>
      <c r="DZ550" s="21"/>
      <c r="EA550" s="21"/>
      <c r="EB550" s="21"/>
      <c r="EC550" s="21"/>
      <c r="ED550" s="21"/>
      <c r="EE550" s="21"/>
      <c r="EF550" s="21"/>
      <c r="EG550" s="21"/>
      <c r="EH550" s="21"/>
      <c r="EI550" s="21"/>
      <c r="EJ550" s="21"/>
      <c r="EK550" s="21"/>
      <c r="EL550" s="21"/>
      <c r="EM550" s="21"/>
      <c r="EN550" s="21"/>
      <c r="EO550" s="21"/>
      <c r="EP550" s="21"/>
      <c r="EQ550" s="21"/>
      <c r="ER550" s="21"/>
      <c r="ES550" s="21"/>
      <c r="ET550" s="21"/>
      <c r="EU550" s="21"/>
      <c r="EV550" s="21"/>
      <c r="EW550" s="21"/>
      <c r="EX550" s="21"/>
      <c r="EY550" s="21"/>
      <c r="EZ550" s="21"/>
      <c r="FA550" s="21"/>
      <c r="FB550" s="21"/>
      <c r="FC550" s="21"/>
      <c r="FD550" s="21"/>
      <c r="FE550" s="21"/>
      <c r="FF550" s="21"/>
      <c r="FG550" s="21"/>
      <c r="FH550" s="21"/>
      <c r="FI550" s="21"/>
      <c r="FJ550" s="21"/>
      <c r="FK550" s="21"/>
      <c r="FL550" s="21"/>
      <c r="FM550" s="21"/>
      <c r="FN550" s="21"/>
      <c r="FO550" s="21"/>
      <c r="FP550" s="21"/>
      <c r="FQ550" s="21"/>
      <c r="FR550" s="21"/>
      <c r="FS550" s="21"/>
      <c r="FT550" s="21"/>
      <c r="FU550" s="21"/>
      <c r="FV550" s="21"/>
      <c r="FW550" s="21"/>
      <c r="FX550" s="21"/>
      <c r="FY550" s="21"/>
      <c r="FZ550" s="21"/>
      <c r="GA550" s="21"/>
      <c r="GB550" s="21"/>
      <c r="GC550" s="21"/>
      <c r="GD550" s="21"/>
      <c r="GE550" s="21"/>
      <c r="GF550" s="21"/>
      <c r="GG550" s="21"/>
      <c r="GH550" s="21"/>
      <c r="GI550" s="21"/>
      <c r="GJ550" s="21"/>
      <c r="GK550" s="21"/>
      <c r="GL550" s="21"/>
      <c r="GM550" s="21"/>
      <c r="GN550" s="21"/>
      <c r="GO550" s="21"/>
      <c r="GP550" s="21"/>
      <c r="GQ550" s="21"/>
      <c r="GR550" s="21"/>
      <c r="GS550" s="21"/>
      <c r="GT550" s="21"/>
      <c r="GU550" s="21"/>
      <c r="GV550" s="21"/>
      <c r="GW550" s="21"/>
      <c r="GX550" s="21"/>
      <c r="GY550" s="21"/>
      <c r="GZ550" s="21"/>
      <c r="HA550" s="21"/>
      <c r="HB550" s="21"/>
    </row>
    <row r="551" spans="1:210"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21"/>
      <c r="CM551" s="21"/>
      <c r="CN551" s="21"/>
      <c r="CO551" s="21"/>
      <c r="CP551" s="21"/>
      <c r="CQ551" s="21"/>
      <c r="CR551" s="21"/>
      <c r="CS551" s="21"/>
      <c r="CT551" s="21"/>
      <c r="CU551" s="21"/>
      <c r="CV551" s="21"/>
      <c r="CW551" s="21"/>
      <c r="CX551" s="21"/>
      <c r="CY551" s="21"/>
      <c r="CZ551" s="21"/>
      <c r="DA551" s="21"/>
      <c r="DB551" s="21"/>
      <c r="DC551" s="21"/>
      <c r="DD551" s="21"/>
      <c r="DE551" s="21"/>
      <c r="DF551" s="21"/>
      <c r="DG551" s="21"/>
      <c r="DH551" s="21"/>
      <c r="DI551" s="21"/>
      <c r="DJ551" s="21"/>
      <c r="DK551" s="21"/>
      <c r="DL551" s="21"/>
      <c r="DM551" s="21"/>
      <c r="DN551" s="21"/>
      <c r="DO551" s="21"/>
      <c r="DP551" s="21"/>
      <c r="DQ551" s="21"/>
      <c r="DR551" s="21"/>
      <c r="DS551" s="21"/>
      <c r="DT551" s="21"/>
      <c r="DU551" s="21"/>
      <c r="DV551" s="21"/>
      <c r="DW551" s="21"/>
      <c r="DX551" s="21"/>
      <c r="DY551" s="21"/>
      <c r="DZ551" s="21"/>
      <c r="EA551" s="21"/>
      <c r="EB551" s="21"/>
      <c r="EC551" s="21"/>
      <c r="ED551" s="21"/>
      <c r="EE551" s="21"/>
      <c r="EF551" s="21"/>
      <c r="EG551" s="21"/>
      <c r="EH551" s="21"/>
      <c r="EI551" s="21"/>
      <c r="EJ551" s="21"/>
      <c r="EK551" s="21"/>
      <c r="EL551" s="21"/>
      <c r="EM551" s="21"/>
      <c r="EN551" s="21"/>
      <c r="EO551" s="21"/>
      <c r="EP551" s="21"/>
      <c r="EQ551" s="21"/>
      <c r="ER551" s="21"/>
      <c r="ES551" s="21"/>
      <c r="ET551" s="21"/>
      <c r="EU551" s="21"/>
      <c r="EV551" s="21"/>
      <c r="EW551" s="21"/>
      <c r="EX551" s="21"/>
      <c r="EY551" s="21"/>
      <c r="EZ551" s="21"/>
      <c r="FA551" s="21"/>
      <c r="FB551" s="21"/>
      <c r="FC551" s="21"/>
      <c r="FD551" s="21"/>
      <c r="FE551" s="21"/>
      <c r="FF551" s="21"/>
      <c r="FG551" s="21"/>
      <c r="FH551" s="21"/>
      <c r="FI551" s="21"/>
      <c r="FJ551" s="21"/>
      <c r="FK551" s="21"/>
      <c r="FL551" s="21"/>
      <c r="FM551" s="21"/>
      <c r="FN551" s="21"/>
      <c r="FO551" s="21"/>
      <c r="FP551" s="21"/>
      <c r="FQ551" s="21"/>
      <c r="FR551" s="21"/>
      <c r="FS551" s="21"/>
      <c r="FT551" s="21"/>
      <c r="FU551" s="21"/>
      <c r="FV551" s="21"/>
      <c r="FW551" s="21"/>
      <c r="FX551" s="21"/>
      <c r="FY551" s="21"/>
      <c r="FZ551" s="21"/>
      <c r="GA551" s="21"/>
      <c r="GB551" s="21"/>
      <c r="GC551" s="21"/>
      <c r="GD551" s="21"/>
      <c r="GE551" s="21"/>
      <c r="GF551" s="21"/>
      <c r="GG551" s="21"/>
      <c r="GH551" s="21"/>
      <c r="GI551" s="21"/>
      <c r="GJ551" s="21"/>
      <c r="GK551" s="21"/>
      <c r="GL551" s="21"/>
      <c r="GM551" s="21"/>
      <c r="GN551" s="21"/>
      <c r="GO551" s="21"/>
      <c r="GP551" s="21"/>
      <c r="GQ551" s="21"/>
      <c r="GR551" s="21"/>
      <c r="GS551" s="21"/>
      <c r="GT551" s="21"/>
      <c r="GU551" s="21"/>
      <c r="GV551" s="21"/>
      <c r="GW551" s="21"/>
      <c r="GX551" s="21"/>
      <c r="GY551" s="21"/>
      <c r="GZ551" s="21"/>
      <c r="HA551" s="21"/>
      <c r="HB551" s="21"/>
    </row>
    <row r="552" spans="1:210"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21"/>
      <c r="CM552" s="21"/>
      <c r="CN552" s="21"/>
      <c r="CO552" s="21"/>
      <c r="CP552" s="21"/>
      <c r="CQ552" s="21"/>
      <c r="CR552" s="21"/>
      <c r="CS552" s="21"/>
      <c r="CT552" s="21"/>
      <c r="CU552" s="21"/>
      <c r="CV552" s="21"/>
      <c r="CW552" s="21"/>
      <c r="CX552" s="21"/>
      <c r="CY552" s="21"/>
      <c r="CZ552" s="21"/>
      <c r="DA552" s="21"/>
      <c r="DB552" s="21"/>
      <c r="DC552" s="21"/>
      <c r="DD552" s="21"/>
      <c r="DE552" s="21"/>
      <c r="DF552" s="21"/>
      <c r="DG552" s="21"/>
      <c r="DH552" s="21"/>
      <c r="DI552" s="21"/>
      <c r="DJ552" s="21"/>
      <c r="DK552" s="21"/>
      <c r="DL552" s="21"/>
      <c r="DM552" s="21"/>
      <c r="DN552" s="21"/>
      <c r="DO552" s="21"/>
      <c r="DP552" s="21"/>
      <c r="DQ552" s="21"/>
      <c r="DR552" s="21"/>
      <c r="DS552" s="21"/>
      <c r="DT552" s="21"/>
      <c r="DU552" s="21"/>
      <c r="DV552" s="21"/>
      <c r="DW552" s="21"/>
      <c r="DX552" s="21"/>
      <c r="DY552" s="21"/>
      <c r="DZ552" s="21"/>
      <c r="EA552" s="21"/>
      <c r="EB552" s="21"/>
      <c r="EC552" s="21"/>
      <c r="ED552" s="21"/>
      <c r="EE552" s="21"/>
      <c r="EF552" s="21"/>
      <c r="EG552" s="21"/>
      <c r="EH552" s="21"/>
      <c r="EI552" s="21"/>
      <c r="EJ552" s="21"/>
      <c r="EK552" s="21"/>
      <c r="EL552" s="21"/>
      <c r="EM552" s="21"/>
      <c r="EN552" s="21"/>
      <c r="EO552" s="21"/>
      <c r="EP552" s="21"/>
      <c r="EQ552" s="21"/>
      <c r="ER552" s="21"/>
      <c r="ES552" s="21"/>
      <c r="ET552" s="21"/>
      <c r="EU552" s="21"/>
      <c r="EV552" s="21"/>
      <c r="EW552" s="21"/>
      <c r="EX552" s="21"/>
      <c r="EY552" s="21"/>
      <c r="EZ552" s="21"/>
      <c r="FA552" s="21"/>
      <c r="FB552" s="21"/>
      <c r="FC552" s="21"/>
      <c r="FD552" s="21"/>
      <c r="FE552" s="21"/>
      <c r="FF552" s="21"/>
      <c r="FG552" s="21"/>
      <c r="FH552" s="21"/>
      <c r="FI552" s="21"/>
      <c r="FJ552" s="21"/>
      <c r="FK552" s="21"/>
      <c r="FL552" s="21"/>
      <c r="FM552" s="21"/>
      <c r="FN552" s="21"/>
      <c r="FO552" s="21"/>
      <c r="FP552" s="21"/>
      <c r="FQ552" s="21"/>
      <c r="FR552" s="21"/>
      <c r="FS552" s="21"/>
      <c r="FT552" s="21"/>
      <c r="FU552" s="21"/>
      <c r="FV552" s="21"/>
      <c r="FW552" s="21"/>
      <c r="FX552" s="21"/>
      <c r="FY552" s="21"/>
      <c r="FZ552" s="21"/>
      <c r="GA552" s="21"/>
      <c r="GB552" s="21"/>
      <c r="GC552" s="21"/>
      <c r="GD552" s="21"/>
      <c r="GE552" s="21"/>
      <c r="GF552" s="21"/>
      <c r="GG552" s="21"/>
      <c r="GH552" s="21"/>
      <c r="GI552" s="21"/>
      <c r="GJ552" s="21"/>
      <c r="GK552" s="21"/>
      <c r="GL552" s="21"/>
      <c r="GM552" s="21"/>
      <c r="GN552" s="21"/>
      <c r="GO552" s="21"/>
      <c r="GP552" s="21"/>
      <c r="GQ552" s="21"/>
      <c r="GR552" s="21"/>
      <c r="GS552" s="21"/>
      <c r="GT552" s="21"/>
      <c r="GU552" s="21"/>
      <c r="GV552" s="21"/>
      <c r="GW552" s="21"/>
      <c r="GX552" s="21"/>
      <c r="GY552" s="21"/>
      <c r="GZ552" s="21"/>
      <c r="HA552" s="21"/>
      <c r="HB552" s="21"/>
    </row>
    <row r="553" spans="1:210"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21"/>
      <c r="CM553" s="21"/>
      <c r="CN553" s="21"/>
      <c r="CO553" s="21"/>
      <c r="CP553" s="21"/>
      <c r="CQ553" s="21"/>
      <c r="CR553" s="21"/>
      <c r="CS553" s="21"/>
      <c r="CT553" s="21"/>
      <c r="CU553" s="21"/>
      <c r="CV553" s="21"/>
      <c r="CW553" s="21"/>
      <c r="CX553" s="21"/>
      <c r="CY553" s="21"/>
      <c r="CZ553" s="21"/>
      <c r="DA553" s="21"/>
      <c r="DB553" s="21"/>
      <c r="DC553" s="21"/>
      <c r="DD553" s="21"/>
      <c r="DE553" s="21"/>
      <c r="DF553" s="21"/>
      <c r="DG553" s="21"/>
      <c r="DH553" s="21"/>
      <c r="DI553" s="21"/>
      <c r="DJ553" s="21"/>
      <c r="DK553" s="21"/>
      <c r="DL553" s="21"/>
      <c r="DM553" s="21"/>
      <c r="DN553" s="21"/>
      <c r="DO553" s="21"/>
      <c r="DP553" s="21"/>
      <c r="DQ553" s="21"/>
      <c r="DR553" s="21"/>
      <c r="DS553" s="21"/>
      <c r="DT553" s="21"/>
      <c r="DU553" s="21"/>
      <c r="DV553" s="21"/>
      <c r="DW553" s="21"/>
      <c r="DX553" s="21"/>
      <c r="DY553" s="21"/>
      <c r="DZ553" s="21"/>
      <c r="EA553" s="21"/>
      <c r="EB553" s="21"/>
      <c r="EC553" s="21"/>
      <c r="ED553" s="21"/>
      <c r="EE553" s="21"/>
      <c r="EF553" s="21"/>
      <c r="EG553" s="21"/>
      <c r="EH553" s="21"/>
      <c r="EI553" s="21"/>
      <c r="EJ553" s="21"/>
      <c r="EK553" s="21"/>
      <c r="EL553" s="21"/>
      <c r="EM553" s="21"/>
      <c r="EN553" s="21"/>
      <c r="EO553" s="21"/>
      <c r="EP553" s="21"/>
      <c r="EQ553" s="21"/>
      <c r="ER553" s="21"/>
      <c r="ES553" s="21"/>
      <c r="ET553" s="21"/>
      <c r="EU553" s="21"/>
      <c r="EV553" s="21"/>
      <c r="EW553" s="21"/>
      <c r="EX553" s="21"/>
      <c r="EY553" s="21"/>
      <c r="EZ553" s="21"/>
      <c r="FA553" s="21"/>
      <c r="FB553" s="21"/>
      <c r="FC553" s="21"/>
      <c r="FD553" s="21"/>
      <c r="FE553" s="21"/>
      <c r="FF553" s="21"/>
      <c r="FG553" s="21"/>
      <c r="FH553" s="21"/>
      <c r="FI553" s="21"/>
      <c r="FJ553" s="21"/>
      <c r="FK553" s="21"/>
      <c r="FL553" s="21"/>
      <c r="FM553" s="21"/>
      <c r="FN553" s="21"/>
      <c r="FO553" s="21"/>
      <c r="FP553" s="21"/>
      <c r="FQ553" s="21"/>
      <c r="FR553" s="21"/>
      <c r="FS553" s="21"/>
      <c r="FT553" s="21"/>
      <c r="FU553" s="21"/>
      <c r="FV553" s="21"/>
      <c r="FW553" s="21"/>
      <c r="FX553" s="21"/>
      <c r="FY553" s="21"/>
      <c r="FZ553" s="21"/>
      <c r="GA553" s="21"/>
      <c r="GB553" s="21"/>
      <c r="GC553" s="21"/>
      <c r="GD553" s="21"/>
      <c r="GE553" s="21"/>
      <c r="GF553" s="21"/>
      <c r="GG553" s="21"/>
      <c r="GH553" s="21"/>
      <c r="GI553" s="21"/>
      <c r="GJ553" s="21"/>
      <c r="GK553" s="21"/>
      <c r="GL553" s="21"/>
      <c r="GM553" s="21"/>
      <c r="GN553" s="21"/>
      <c r="GO553" s="21"/>
      <c r="GP553" s="21"/>
      <c r="GQ553" s="21"/>
      <c r="GR553" s="21"/>
      <c r="GS553" s="21"/>
      <c r="GT553" s="21"/>
      <c r="GU553" s="21"/>
      <c r="GV553" s="21"/>
      <c r="GW553" s="21"/>
      <c r="GX553" s="21"/>
      <c r="GY553" s="21"/>
      <c r="GZ553" s="21"/>
      <c r="HA553" s="21"/>
      <c r="HB553" s="21"/>
    </row>
    <row r="554" spans="1:210"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21"/>
      <c r="CM554" s="21"/>
      <c r="CN554" s="21"/>
      <c r="CO554" s="21"/>
      <c r="CP554" s="21"/>
      <c r="CQ554" s="21"/>
      <c r="CR554" s="21"/>
      <c r="CS554" s="21"/>
      <c r="CT554" s="21"/>
      <c r="CU554" s="21"/>
      <c r="CV554" s="21"/>
      <c r="CW554" s="21"/>
      <c r="CX554" s="21"/>
      <c r="CY554" s="21"/>
      <c r="CZ554" s="21"/>
      <c r="DA554" s="21"/>
      <c r="DB554" s="21"/>
      <c r="DC554" s="21"/>
      <c r="DD554" s="21"/>
      <c r="DE554" s="21"/>
      <c r="DF554" s="21"/>
      <c r="DG554" s="21"/>
      <c r="DH554" s="21"/>
      <c r="DI554" s="21"/>
      <c r="DJ554" s="21"/>
      <c r="DK554" s="21"/>
      <c r="DL554" s="21"/>
      <c r="DM554" s="21"/>
      <c r="DN554" s="21"/>
      <c r="DO554" s="21"/>
      <c r="DP554" s="21"/>
      <c r="DQ554" s="21"/>
      <c r="DR554" s="21"/>
      <c r="DS554" s="21"/>
      <c r="DT554" s="21"/>
      <c r="DU554" s="21"/>
      <c r="DV554" s="21"/>
      <c r="DW554" s="21"/>
      <c r="DX554" s="21"/>
      <c r="DY554" s="21"/>
      <c r="DZ554" s="21"/>
      <c r="EA554" s="21"/>
      <c r="EB554" s="21"/>
      <c r="EC554" s="21"/>
      <c r="ED554" s="21"/>
      <c r="EE554" s="21"/>
      <c r="EF554" s="21"/>
      <c r="EG554" s="21"/>
      <c r="EH554" s="21"/>
      <c r="EI554" s="21"/>
      <c r="EJ554" s="21"/>
      <c r="EK554" s="21"/>
      <c r="EL554" s="21"/>
      <c r="EM554" s="21"/>
      <c r="EN554" s="21"/>
      <c r="EO554" s="21"/>
      <c r="EP554" s="21"/>
      <c r="EQ554" s="21"/>
      <c r="ER554" s="21"/>
      <c r="ES554" s="21"/>
      <c r="ET554" s="21"/>
      <c r="EU554" s="21"/>
      <c r="EV554" s="21"/>
      <c r="EW554" s="21"/>
      <c r="EX554" s="21"/>
      <c r="EY554" s="21"/>
      <c r="EZ554" s="21"/>
      <c r="FA554" s="21"/>
      <c r="FB554" s="21"/>
      <c r="FC554" s="21"/>
      <c r="FD554" s="21"/>
      <c r="FE554" s="21"/>
      <c r="FF554" s="21"/>
      <c r="FG554" s="21"/>
      <c r="FH554" s="21"/>
      <c r="FI554" s="21"/>
      <c r="FJ554" s="21"/>
      <c r="FK554" s="21"/>
      <c r="FL554" s="21"/>
      <c r="FM554" s="21"/>
      <c r="FN554" s="21"/>
      <c r="FO554" s="21"/>
      <c r="FP554" s="21"/>
      <c r="FQ554" s="21"/>
      <c r="FR554" s="21"/>
      <c r="FS554" s="21"/>
      <c r="FT554" s="21"/>
      <c r="FU554" s="21"/>
      <c r="FV554" s="21"/>
      <c r="FW554" s="21"/>
      <c r="FX554" s="21"/>
      <c r="FY554" s="21"/>
      <c r="FZ554" s="21"/>
      <c r="GA554" s="21"/>
      <c r="GB554" s="21"/>
      <c r="GC554" s="21"/>
      <c r="GD554" s="21"/>
      <c r="GE554" s="21"/>
      <c r="GF554" s="21"/>
      <c r="GG554" s="21"/>
      <c r="GH554" s="21"/>
      <c r="GI554" s="21"/>
      <c r="GJ554" s="21"/>
      <c r="GK554" s="21"/>
      <c r="GL554" s="21"/>
      <c r="GM554" s="21"/>
      <c r="GN554" s="21"/>
      <c r="GO554" s="21"/>
      <c r="GP554" s="21"/>
      <c r="GQ554" s="21"/>
      <c r="GR554" s="21"/>
      <c r="GS554" s="21"/>
      <c r="GT554" s="21"/>
      <c r="GU554" s="21"/>
      <c r="GV554" s="21"/>
      <c r="GW554" s="21"/>
      <c r="GX554" s="21"/>
      <c r="GY554" s="21"/>
      <c r="GZ554" s="21"/>
      <c r="HA554" s="21"/>
      <c r="HB554" s="21"/>
    </row>
    <row r="555" spans="1:210"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21"/>
      <c r="CM555" s="21"/>
      <c r="CN555" s="21"/>
      <c r="CO555" s="21"/>
      <c r="CP555" s="21"/>
      <c r="CQ555" s="21"/>
      <c r="CR555" s="21"/>
      <c r="CS555" s="21"/>
      <c r="CT555" s="21"/>
      <c r="CU555" s="21"/>
      <c r="CV555" s="21"/>
      <c r="CW555" s="21"/>
      <c r="CX555" s="21"/>
      <c r="CY555" s="21"/>
      <c r="CZ555" s="21"/>
      <c r="DA555" s="21"/>
      <c r="DB555" s="21"/>
      <c r="DC555" s="21"/>
      <c r="DD555" s="21"/>
      <c r="DE555" s="21"/>
      <c r="DF555" s="21"/>
      <c r="DG555" s="21"/>
      <c r="DH555" s="21"/>
      <c r="DI555" s="21"/>
      <c r="DJ555" s="21"/>
      <c r="DK555" s="21"/>
      <c r="DL555" s="21"/>
      <c r="DM555" s="21"/>
      <c r="DN555" s="21"/>
      <c r="DO555" s="21"/>
      <c r="DP555" s="21"/>
      <c r="DQ555" s="21"/>
      <c r="DR555" s="21"/>
      <c r="DS555" s="21"/>
      <c r="DT555" s="21"/>
      <c r="DU555" s="21"/>
      <c r="DV555" s="21"/>
      <c r="DW555" s="21"/>
      <c r="DX555" s="21"/>
      <c r="DY555" s="21"/>
      <c r="DZ555" s="21"/>
      <c r="EA555" s="21"/>
      <c r="EB555" s="21"/>
      <c r="EC555" s="21"/>
      <c r="ED555" s="21"/>
      <c r="EE555" s="21"/>
      <c r="EF555" s="21"/>
      <c r="EG555" s="21"/>
      <c r="EH555" s="21"/>
      <c r="EI555" s="21"/>
      <c r="EJ555" s="21"/>
      <c r="EK555" s="21"/>
      <c r="EL555" s="21"/>
      <c r="EM555" s="21"/>
      <c r="EN555" s="21"/>
      <c r="EO555" s="21"/>
      <c r="EP555" s="21"/>
      <c r="EQ555" s="21"/>
      <c r="ER555" s="21"/>
      <c r="ES555" s="21"/>
      <c r="ET555" s="21"/>
      <c r="EU555" s="21"/>
      <c r="EV555" s="21"/>
      <c r="EW555" s="21"/>
      <c r="EX555" s="21"/>
      <c r="EY555" s="21"/>
      <c r="EZ555" s="21"/>
      <c r="FA555" s="21"/>
      <c r="FB555" s="21"/>
      <c r="FC555" s="21"/>
      <c r="FD555" s="21"/>
      <c r="FE555" s="21"/>
      <c r="FF555" s="21"/>
      <c r="FG555" s="21"/>
      <c r="FH555" s="21"/>
      <c r="FI555" s="21"/>
      <c r="FJ555" s="21"/>
      <c r="FK555" s="21"/>
      <c r="FL555" s="21"/>
      <c r="FM555" s="21"/>
      <c r="FN555" s="21"/>
      <c r="FO555" s="21"/>
      <c r="FP555" s="21"/>
      <c r="FQ555" s="21"/>
      <c r="FR555" s="21"/>
      <c r="FS555" s="21"/>
      <c r="FT555" s="21"/>
      <c r="FU555" s="21"/>
      <c r="FV555" s="21"/>
      <c r="FW555" s="21"/>
      <c r="FX555" s="21"/>
      <c r="FY555" s="21"/>
      <c r="FZ555" s="21"/>
      <c r="GA555" s="21"/>
      <c r="GB555" s="21"/>
      <c r="GC555" s="21"/>
      <c r="GD555" s="21"/>
      <c r="GE555" s="21"/>
      <c r="GF555" s="21"/>
      <c r="GG555" s="21"/>
      <c r="GH555" s="21"/>
      <c r="GI555" s="21"/>
      <c r="GJ555" s="21"/>
      <c r="GK555" s="21"/>
      <c r="GL555" s="21"/>
      <c r="GM555" s="21"/>
      <c r="GN555" s="21"/>
      <c r="GO555" s="21"/>
      <c r="GP555" s="21"/>
      <c r="GQ555" s="21"/>
      <c r="GR555" s="21"/>
      <c r="GS555" s="21"/>
      <c r="GT555" s="21"/>
      <c r="GU555" s="21"/>
      <c r="GV555" s="21"/>
      <c r="GW555" s="21"/>
      <c r="GX555" s="21"/>
      <c r="GY555" s="21"/>
      <c r="GZ555" s="21"/>
      <c r="HA555" s="21"/>
      <c r="HB555" s="21"/>
    </row>
    <row r="556" spans="1:210"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21"/>
      <c r="CM556" s="21"/>
      <c r="CN556" s="21"/>
      <c r="CO556" s="21"/>
      <c r="CP556" s="21"/>
      <c r="CQ556" s="21"/>
      <c r="CR556" s="21"/>
      <c r="CS556" s="21"/>
      <c r="CT556" s="21"/>
      <c r="CU556" s="21"/>
      <c r="CV556" s="21"/>
      <c r="CW556" s="21"/>
      <c r="CX556" s="21"/>
      <c r="CY556" s="21"/>
      <c r="CZ556" s="21"/>
      <c r="DA556" s="21"/>
      <c r="DB556" s="21"/>
      <c r="DC556" s="21"/>
      <c r="DD556" s="21"/>
      <c r="DE556" s="21"/>
      <c r="DF556" s="21"/>
      <c r="DG556" s="21"/>
      <c r="DH556" s="21"/>
      <c r="DI556" s="21"/>
      <c r="DJ556" s="21"/>
      <c r="DK556" s="21"/>
      <c r="DL556" s="21"/>
      <c r="DM556" s="21"/>
      <c r="DN556" s="21"/>
      <c r="DO556" s="21"/>
      <c r="DP556" s="21"/>
      <c r="DQ556" s="21"/>
      <c r="DR556" s="21"/>
      <c r="DS556" s="21"/>
      <c r="DT556" s="21"/>
      <c r="DU556" s="21"/>
      <c r="DV556" s="21"/>
      <c r="DW556" s="21"/>
      <c r="DX556" s="21"/>
      <c r="DY556" s="21"/>
      <c r="DZ556" s="21"/>
      <c r="EA556" s="21"/>
      <c r="EB556" s="21"/>
      <c r="EC556" s="21"/>
      <c r="ED556" s="21"/>
      <c r="EE556" s="21"/>
      <c r="EF556" s="21"/>
      <c r="EG556" s="21"/>
      <c r="EH556" s="21"/>
      <c r="EI556" s="21"/>
      <c r="EJ556" s="21"/>
      <c r="EK556" s="21"/>
      <c r="EL556" s="21"/>
      <c r="EM556" s="21"/>
      <c r="EN556" s="21"/>
      <c r="EO556" s="21"/>
      <c r="EP556" s="21"/>
      <c r="EQ556" s="21"/>
      <c r="ER556" s="21"/>
      <c r="ES556" s="21"/>
      <c r="ET556" s="21"/>
      <c r="EU556" s="21"/>
      <c r="EV556" s="21"/>
      <c r="EW556" s="21"/>
      <c r="EX556" s="21"/>
      <c r="EY556" s="21"/>
      <c r="EZ556" s="21"/>
      <c r="FA556" s="21"/>
      <c r="FB556" s="21"/>
      <c r="FC556" s="21"/>
      <c r="FD556" s="21"/>
      <c r="FE556" s="21"/>
      <c r="FF556" s="21"/>
      <c r="FG556" s="21"/>
      <c r="FH556" s="21"/>
      <c r="FI556" s="21"/>
      <c r="FJ556" s="21"/>
      <c r="FK556" s="21"/>
      <c r="FL556" s="21"/>
      <c r="FM556" s="21"/>
      <c r="FN556" s="21"/>
      <c r="FO556" s="21"/>
      <c r="FP556" s="21"/>
      <c r="FQ556" s="21"/>
      <c r="FR556" s="21"/>
      <c r="FS556" s="21"/>
      <c r="FT556" s="21"/>
      <c r="FU556" s="21"/>
      <c r="FV556" s="21"/>
      <c r="FW556" s="21"/>
      <c r="FX556" s="21"/>
      <c r="FY556" s="21"/>
      <c r="FZ556" s="21"/>
      <c r="GA556" s="21"/>
      <c r="GB556" s="21"/>
      <c r="GC556" s="21"/>
      <c r="GD556" s="21"/>
      <c r="GE556" s="21"/>
      <c r="GF556" s="21"/>
      <c r="GG556" s="21"/>
      <c r="GH556" s="21"/>
      <c r="GI556" s="21"/>
      <c r="GJ556" s="21"/>
      <c r="GK556" s="21"/>
      <c r="GL556" s="21"/>
      <c r="GM556" s="21"/>
      <c r="GN556" s="21"/>
      <c r="GO556" s="21"/>
      <c r="GP556" s="21"/>
      <c r="GQ556" s="21"/>
      <c r="GR556" s="21"/>
      <c r="GS556" s="21"/>
      <c r="GT556" s="21"/>
      <c r="GU556" s="21"/>
      <c r="GV556" s="21"/>
      <c r="GW556" s="21"/>
      <c r="GX556" s="21"/>
      <c r="GY556" s="21"/>
      <c r="GZ556" s="21"/>
      <c r="HA556" s="21"/>
      <c r="HB556" s="21"/>
    </row>
    <row r="557" spans="1:210"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21"/>
      <c r="CM557" s="21"/>
      <c r="CN557" s="21"/>
      <c r="CO557" s="21"/>
      <c r="CP557" s="21"/>
      <c r="CQ557" s="21"/>
      <c r="CR557" s="21"/>
      <c r="CS557" s="21"/>
      <c r="CT557" s="21"/>
      <c r="CU557" s="21"/>
      <c r="CV557" s="21"/>
      <c r="CW557" s="21"/>
      <c r="CX557" s="21"/>
      <c r="CY557" s="21"/>
      <c r="CZ557" s="21"/>
      <c r="DA557" s="21"/>
      <c r="DB557" s="21"/>
      <c r="DC557" s="21"/>
      <c r="DD557" s="21"/>
      <c r="DE557" s="21"/>
      <c r="DF557" s="21"/>
      <c r="DG557" s="21"/>
      <c r="DH557" s="21"/>
      <c r="DI557" s="21"/>
      <c r="DJ557" s="21"/>
      <c r="DK557" s="21"/>
      <c r="DL557" s="21"/>
      <c r="DM557" s="21"/>
      <c r="DN557" s="21"/>
      <c r="DO557" s="21"/>
      <c r="DP557" s="21"/>
      <c r="DQ557" s="21"/>
      <c r="DR557" s="21"/>
      <c r="DS557" s="21"/>
      <c r="DT557" s="21"/>
      <c r="DU557" s="21"/>
      <c r="DV557" s="21"/>
      <c r="DW557" s="21"/>
      <c r="DX557" s="21"/>
      <c r="DY557" s="21"/>
      <c r="DZ557" s="21"/>
      <c r="EA557" s="21"/>
      <c r="EB557" s="21"/>
      <c r="EC557" s="21"/>
      <c r="ED557" s="21"/>
      <c r="EE557" s="21"/>
      <c r="EF557" s="21"/>
      <c r="EG557" s="21"/>
      <c r="EH557" s="21"/>
      <c r="EI557" s="21"/>
      <c r="EJ557" s="21"/>
      <c r="EK557" s="21"/>
      <c r="EL557" s="21"/>
      <c r="EM557" s="21"/>
      <c r="EN557" s="21"/>
      <c r="EO557" s="21"/>
      <c r="EP557" s="21"/>
      <c r="EQ557" s="21"/>
      <c r="ER557" s="21"/>
      <c r="ES557" s="21"/>
      <c r="ET557" s="21"/>
      <c r="EU557" s="21"/>
      <c r="EV557" s="21"/>
      <c r="EW557" s="21"/>
      <c r="EX557" s="21"/>
      <c r="EY557" s="21"/>
      <c r="EZ557" s="21"/>
      <c r="FA557" s="21"/>
      <c r="FB557" s="21"/>
      <c r="FC557" s="21"/>
      <c r="FD557" s="21"/>
      <c r="FE557" s="21"/>
      <c r="FF557" s="21"/>
      <c r="FG557" s="21"/>
      <c r="FH557" s="21"/>
      <c r="FI557" s="21"/>
      <c r="FJ557" s="21"/>
      <c r="FK557" s="21"/>
      <c r="FL557" s="21"/>
      <c r="FM557" s="21"/>
      <c r="FN557" s="21"/>
      <c r="FO557" s="21"/>
      <c r="FP557" s="21"/>
      <c r="FQ557" s="21"/>
      <c r="FR557" s="21"/>
      <c r="FS557" s="21"/>
      <c r="FT557" s="21"/>
      <c r="FU557" s="21"/>
      <c r="FV557" s="21"/>
      <c r="FW557" s="21"/>
      <c r="FX557" s="21"/>
      <c r="FY557" s="21"/>
      <c r="FZ557" s="21"/>
      <c r="GA557" s="21"/>
      <c r="GB557" s="21"/>
      <c r="GC557" s="21"/>
      <c r="GD557" s="21"/>
      <c r="GE557" s="21"/>
      <c r="GF557" s="21"/>
      <c r="GG557" s="21"/>
      <c r="GH557" s="21"/>
      <c r="GI557" s="21"/>
      <c r="GJ557" s="21"/>
      <c r="GK557" s="21"/>
      <c r="GL557" s="21"/>
      <c r="GM557" s="21"/>
      <c r="GN557" s="21"/>
      <c r="GO557" s="21"/>
      <c r="GP557" s="21"/>
      <c r="GQ557" s="21"/>
      <c r="GR557" s="21"/>
      <c r="GS557" s="21"/>
      <c r="GT557" s="21"/>
      <c r="GU557" s="21"/>
      <c r="GV557" s="21"/>
      <c r="GW557" s="21"/>
      <c r="GX557" s="21"/>
      <c r="GY557" s="21"/>
      <c r="GZ557" s="21"/>
      <c r="HA557" s="21"/>
      <c r="HB557" s="21"/>
    </row>
    <row r="558" spans="1:210"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21"/>
      <c r="CM558" s="21"/>
      <c r="CN558" s="21"/>
      <c r="CO558" s="21"/>
      <c r="CP558" s="21"/>
      <c r="CQ558" s="21"/>
      <c r="CR558" s="21"/>
      <c r="CS558" s="21"/>
      <c r="CT558" s="21"/>
      <c r="CU558" s="21"/>
      <c r="CV558" s="21"/>
      <c r="CW558" s="21"/>
      <c r="CX558" s="21"/>
      <c r="CY558" s="21"/>
      <c r="CZ558" s="21"/>
      <c r="DA558" s="21"/>
      <c r="DB558" s="21"/>
      <c r="DC558" s="21"/>
      <c r="DD558" s="21"/>
      <c r="DE558" s="21"/>
      <c r="DF558" s="21"/>
      <c r="DG558" s="21"/>
      <c r="DH558" s="21"/>
      <c r="DI558" s="21"/>
      <c r="DJ558" s="21"/>
      <c r="DK558" s="21"/>
      <c r="DL558" s="21"/>
      <c r="DM558" s="21"/>
      <c r="DN558" s="21"/>
      <c r="DO558" s="21"/>
      <c r="DP558" s="21"/>
      <c r="DQ558" s="21"/>
      <c r="DR558" s="21"/>
      <c r="DS558" s="21"/>
      <c r="DT558" s="21"/>
      <c r="DU558" s="21"/>
      <c r="DV558" s="21"/>
      <c r="DW558" s="21"/>
      <c r="DX558" s="21"/>
      <c r="DY558" s="21"/>
      <c r="DZ558" s="21"/>
      <c r="EA558" s="21"/>
      <c r="EB558" s="21"/>
      <c r="EC558" s="21"/>
      <c r="ED558" s="21"/>
      <c r="EE558" s="21"/>
      <c r="EF558" s="21"/>
      <c r="EG558" s="21"/>
      <c r="EH558" s="21"/>
      <c r="EI558" s="21"/>
      <c r="EJ558" s="21"/>
      <c r="EK558" s="21"/>
      <c r="EL558" s="21"/>
      <c r="EM558" s="21"/>
      <c r="EN558" s="21"/>
      <c r="EO558" s="21"/>
      <c r="EP558" s="21"/>
      <c r="EQ558" s="21"/>
      <c r="ER558" s="21"/>
      <c r="ES558" s="21"/>
      <c r="ET558" s="21"/>
      <c r="EU558" s="21"/>
      <c r="EV558" s="21"/>
      <c r="EW558" s="21"/>
      <c r="EX558" s="21"/>
      <c r="EY558" s="21"/>
      <c r="EZ558" s="21"/>
      <c r="FA558" s="21"/>
      <c r="FB558" s="21"/>
      <c r="FC558" s="21"/>
      <c r="FD558" s="21"/>
      <c r="FE558" s="21"/>
      <c r="FF558" s="21"/>
      <c r="FG558" s="21"/>
      <c r="FH558" s="21"/>
      <c r="FI558" s="21"/>
      <c r="FJ558" s="21"/>
      <c r="FK558" s="21"/>
      <c r="FL558" s="21"/>
      <c r="FM558" s="21"/>
      <c r="FN558" s="21"/>
      <c r="FO558" s="21"/>
      <c r="FP558" s="21"/>
      <c r="FQ558" s="21"/>
      <c r="FR558" s="21"/>
      <c r="FS558" s="21"/>
      <c r="FT558" s="21"/>
      <c r="FU558" s="21"/>
      <c r="FV558" s="21"/>
      <c r="FW558" s="21"/>
      <c r="FX558" s="21"/>
      <c r="FY558" s="21"/>
      <c r="FZ558" s="21"/>
      <c r="GA558" s="21"/>
      <c r="GB558" s="21"/>
      <c r="GC558" s="21"/>
      <c r="GD558" s="21"/>
      <c r="GE558" s="21"/>
      <c r="GF558" s="21"/>
      <c r="GG558" s="21"/>
      <c r="GH558" s="21"/>
      <c r="GI558" s="21"/>
      <c r="GJ558" s="21"/>
      <c r="GK558" s="21"/>
      <c r="GL558" s="21"/>
      <c r="GM558" s="21"/>
      <c r="GN558" s="21"/>
      <c r="GO558" s="21"/>
      <c r="GP558" s="21"/>
      <c r="GQ558" s="21"/>
      <c r="GR558" s="21"/>
      <c r="GS558" s="21"/>
      <c r="GT558" s="21"/>
      <c r="GU558" s="21"/>
      <c r="GV558" s="21"/>
      <c r="GW558" s="21"/>
      <c r="GX558" s="21"/>
      <c r="GY558" s="21"/>
      <c r="GZ558" s="21"/>
      <c r="HA558" s="21"/>
      <c r="HB558" s="21"/>
    </row>
    <row r="559" spans="1:210"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21"/>
      <c r="CM559" s="21"/>
      <c r="CN559" s="21"/>
      <c r="CO559" s="21"/>
      <c r="CP559" s="21"/>
      <c r="CQ559" s="21"/>
      <c r="CR559" s="21"/>
      <c r="CS559" s="21"/>
      <c r="CT559" s="21"/>
      <c r="CU559" s="21"/>
      <c r="CV559" s="21"/>
      <c r="CW559" s="21"/>
      <c r="CX559" s="21"/>
      <c r="CY559" s="21"/>
      <c r="CZ559" s="21"/>
      <c r="DA559" s="21"/>
      <c r="DB559" s="21"/>
      <c r="DC559" s="21"/>
      <c r="DD559" s="21"/>
      <c r="DE559" s="21"/>
      <c r="DF559" s="21"/>
      <c r="DG559" s="21"/>
      <c r="DH559" s="21"/>
      <c r="DI559" s="21"/>
      <c r="DJ559" s="21"/>
      <c r="DK559" s="21"/>
      <c r="DL559" s="21"/>
      <c r="DM559" s="21"/>
      <c r="DN559" s="21"/>
      <c r="DO559" s="21"/>
      <c r="DP559" s="21"/>
      <c r="DQ559" s="21"/>
      <c r="DR559" s="21"/>
      <c r="DS559" s="21"/>
      <c r="DT559" s="21"/>
      <c r="DU559" s="21"/>
      <c r="DV559" s="21"/>
      <c r="DW559" s="21"/>
      <c r="DX559" s="21"/>
      <c r="DY559" s="21"/>
      <c r="DZ559" s="21"/>
      <c r="EA559" s="21"/>
      <c r="EB559" s="21"/>
      <c r="EC559" s="21"/>
      <c r="ED559" s="21"/>
      <c r="EE559" s="21"/>
      <c r="EF559" s="21"/>
      <c r="EG559" s="21"/>
      <c r="EH559" s="21"/>
      <c r="EI559" s="21"/>
      <c r="EJ559" s="21"/>
      <c r="EK559" s="21"/>
      <c r="EL559" s="21"/>
      <c r="EM559" s="21"/>
      <c r="EN559" s="21"/>
      <c r="EO559" s="21"/>
      <c r="EP559" s="21"/>
      <c r="EQ559" s="21"/>
      <c r="ER559" s="21"/>
      <c r="ES559" s="21"/>
      <c r="ET559" s="21"/>
      <c r="EU559" s="21"/>
      <c r="EV559" s="21"/>
      <c r="EW559" s="21"/>
      <c r="EX559" s="21"/>
      <c r="EY559" s="21"/>
      <c r="EZ559" s="21"/>
      <c r="FA559" s="21"/>
      <c r="FB559" s="21"/>
      <c r="FC559" s="21"/>
      <c r="FD559" s="21"/>
      <c r="FE559" s="21"/>
      <c r="FF559" s="21"/>
      <c r="FG559" s="21"/>
      <c r="FH559" s="21"/>
      <c r="FI559" s="21"/>
      <c r="FJ559" s="21"/>
      <c r="FK559" s="21"/>
      <c r="FL559" s="21"/>
      <c r="FM559" s="21"/>
      <c r="FN559" s="21"/>
      <c r="FO559" s="21"/>
      <c r="FP559" s="21"/>
      <c r="FQ559" s="21"/>
      <c r="FR559" s="21"/>
      <c r="FS559" s="21"/>
      <c r="FT559" s="21"/>
      <c r="FU559" s="21"/>
      <c r="FV559" s="21"/>
      <c r="FW559" s="21"/>
      <c r="FX559" s="21"/>
      <c r="FY559" s="21"/>
      <c r="FZ559" s="21"/>
      <c r="GA559" s="21"/>
      <c r="GB559" s="21"/>
      <c r="GC559" s="21"/>
      <c r="GD559" s="21"/>
      <c r="GE559" s="21"/>
      <c r="GF559" s="21"/>
      <c r="GG559" s="21"/>
      <c r="GH559" s="21"/>
      <c r="GI559" s="21"/>
      <c r="GJ559" s="21"/>
      <c r="GK559" s="21"/>
      <c r="GL559" s="21"/>
      <c r="GM559" s="21"/>
      <c r="GN559" s="21"/>
      <c r="GO559" s="21"/>
      <c r="GP559" s="21"/>
      <c r="GQ559" s="21"/>
      <c r="GR559" s="21"/>
      <c r="GS559" s="21"/>
      <c r="GT559" s="21"/>
      <c r="GU559" s="21"/>
      <c r="GV559" s="21"/>
      <c r="GW559" s="21"/>
      <c r="GX559" s="21"/>
      <c r="GY559" s="21"/>
      <c r="GZ559" s="21"/>
      <c r="HA559" s="21"/>
      <c r="HB559" s="21"/>
    </row>
    <row r="560" spans="1:210"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21"/>
      <c r="CM560" s="21"/>
      <c r="CN560" s="21"/>
      <c r="CO560" s="21"/>
      <c r="CP560" s="21"/>
      <c r="CQ560" s="21"/>
      <c r="CR560" s="21"/>
      <c r="CS560" s="21"/>
      <c r="CT560" s="21"/>
      <c r="CU560" s="21"/>
      <c r="CV560" s="21"/>
      <c r="CW560" s="21"/>
      <c r="CX560" s="21"/>
      <c r="CY560" s="21"/>
      <c r="CZ560" s="21"/>
      <c r="DA560" s="21"/>
      <c r="DB560" s="21"/>
      <c r="DC560" s="21"/>
      <c r="DD560" s="21"/>
      <c r="DE560" s="21"/>
      <c r="DF560" s="21"/>
      <c r="DG560" s="21"/>
      <c r="DH560" s="21"/>
      <c r="DI560" s="21"/>
      <c r="DJ560" s="21"/>
      <c r="DK560" s="21"/>
      <c r="DL560" s="21"/>
      <c r="DM560" s="21"/>
      <c r="DN560" s="21"/>
      <c r="DO560" s="21"/>
      <c r="DP560" s="21"/>
      <c r="DQ560" s="21"/>
      <c r="DR560" s="21"/>
      <c r="DS560" s="21"/>
      <c r="DT560" s="21"/>
      <c r="DU560" s="21"/>
      <c r="DV560" s="21"/>
      <c r="DW560" s="21"/>
      <c r="DX560" s="21"/>
      <c r="DY560" s="21"/>
      <c r="DZ560" s="21"/>
      <c r="EA560" s="21"/>
      <c r="EB560" s="21"/>
      <c r="EC560" s="21"/>
      <c r="ED560" s="21"/>
      <c r="EE560" s="21"/>
      <c r="EF560" s="21"/>
      <c r="EG560" s="21"/>
      <c r="EH560" s="21"/>
      <c r="EI560" s="21"/>
      <c r="EJ560" s="21"/>
      <c r="EK560" s="21"/>
      <c r="EL560" s="21"/>
      <c r="EM560" s="21"/>
      <c r="EN560" s="21"/>
      <c r="EO560" s="21"/>
      <c r="EP560" s="21"/>
      <c r="EQ560" s="21"/>
      <c r="ER560" s="21"/>
      <c r="ES560" s="21"/>
      <c r="ET560" s="21"/>
      <c r="EU560" s="21"/>
      <c r="EV560" s="21"/>
      <c r="EW560" s="21"/>
      <c r="EX560" s="21"/>
      <c r="EY560" s="21"/>
      <c r="EZ560" s="21"/>
      <c r="FA560" s="21"/>
      <c r="FB560" s="21"/>
      <c r="FC560" s="21"/>
      <c r="FD560" s="21"/>
      <c r="FE560" s="21"/>
      <c r="FF560" s="21"/>
      <c r="FG560" s="21"/>
      <c r="FH560" s="21"/>
      <c r="FI560" s="21"/>
      <c r="FJ560" s="21"/>
      <c r="FK560" s="21"/>
      <c r="FL560" s="21"/>
      <c r="FM560" s="21"/>
      <c r="FN560" s="21"/>
      <c r="FO560" s="21"/>
      <c r="FP560" s="21"/>
      <c r="FQ560" s="21"/>
      <c r="FR560" s="21"/>
      <c r="FS560" s="21"/>
      <c r="FT560" s="21"/>
      <c r="FU560" s="21"/>
      <c r="FV560" s="21"/>
      <c r="FW560" s="21"/>
      <c r="FX560" s="21"/>
      <c r="FY560" s="21"/>
      <c r="FZ560" s="21"/>
      <c r="GA560" s="21"/>
      <c r="GB560" s="21"/>
      <c r="GC560" s="21"/>
      <c r="GD560" s="21"/>
      <c r="GE560" s="21"/>
      <c r="GF560" s="21"/>
      <c r="GG560" s="21"/>
      <c r="GH560" s="21"/>
      <c r="GI560" s="21"/>
      <c r="GJ560" s="21"/>
      <c r="GK560" s="21"/>
      <c r="GL560" s="21"/>
      <c r="GM560" s="21"/>
      <c r="GN560" s="21"/>
      <c r="GO560" s="21"/>
      <c r="GP560" s="21"/>
      <c r="GQ560" s="21"/>
      <c r="GR560" s="21"/>
      <c r="GS560" s="21"/>
      <c r="GT560" s="21"/>
      <c r="GU560" s="21"/>
      <c r="GV560" s="21"/>
      <c r="GW560" s="21"/>
      <c r="GX560" s="21"/>
      <c r="GY560" s="21"/>
      <c r="GZ560" s="21"/>
      <c r="HA560" s="21"/>
      <c r="HB560" s="21"/>
    </row>
    <row r="561" spans="1:210"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21"/>
      <c r="CM561" s="21"/>
      <c r="CN561" s="21"/>
      <c r="CO561" s="21"/>
      <c r="CP561" s="21"/>
      <c r="CQ561" s="21"/>
      <c r="CR561" s="21"/>
      <c r="CS561" s="21"/>
      <c r="CT561" s="21"/>
      <c r="CU561" s="21"/>
      <c r="CV561" s="21"/>
      <c r="CW561" s="21"/>
      <c r="CX561" s="21"/>
      <c r="CY561" s="21"/>
      <c r="CZ561" s="21"/>
      <c r="DA561" s="21"/>
      <c r="DB561" s="21"/>
      <c r="DC561" s="21"/>
      <c r="DD561" s="21"/>
      <c r="DE561" s="21"/>
      <c r="DF561" s="21"/>
      <c r="DG561" s="21"/>
      <c r="DH561" s="21"/>
      <c r="DI561" s="21"/>
      <c r="DJ561" s="21"/>
      <c r="DK561" s="21"/>
      <c r="DL561" s="21"/>
      <c r="DM561" s="21"/>
      <c r="DN561" s="21"/>
      <c r="DO561" s="21"/>
      <c r="DP561" s="21"/>
      <c r="DQ561" s="21"/>
      <c r="DR561" s="21"/>
      <c r="DS561" s="21"/>
      <c r="DT561" s="21"/>
      <c r="DU561" s="21"/>
      <c r="DV561" s="21"/>
      <c r="DW561" s="21"/>
      <c r="DX561" s="21"/>
      <c r="DY561" s="21"/>
      <c r="DZ561" s="21"/>
      <c r="EA561" s="21"/>
      <c r="EB561" s="21"/>
      <c r="EC561" s="21"/>
      <c r="ED561" s="21"/>
      <c r="EE561" s="21"/>
      <c r="EF561" s="21"/>
      <c r="EG561" s="21"/>
      <c r="EH561" s="21"/>
      <c r="EI561" s="21"/>
      <c r="EJ561" s="21"/>
      <c r="EK561" s="21"/>
      <c r="EL561" s="21"/>
      <c r="EM561" s="21"/>
      <c r="EN561" s="21"/>
      <c r="EO561" s="21"/>
      <c r="EP561" s="21"/>
      <c r="EQ561" s="21"/>
      <c r="ER561" s="21"/>
      <c r="ES561" s="21"/>
      <c r="ET561" s="21"/>
      <c r="EU561" s="21"/>
      <c r="EV561" s="21"/>
      <c r="EW561" s="21"/>
      <c r="EX561" s="21"/>
      <c r="EY561" s="21"/>
      <c r="EZ561" s="21"/>
      <c r="FA561" s="21"/>
      <c r="FB561" s="21"/>
      <c r="FC561" s="21"/>
      <c r="FD561" s="21"/>
      <c r="FE561" s="21"/>
      <c r="FF561" s="21"/>
      <c r="FG561" s="21"/>
      <c r="FH561" s="21"/>
      <c r="FI561" s="21"/>
      <c r="FJ561" s="21"/>
      <c r="FK561" s="21"/>
      <c r="FL561" s="21"/>
      <c r="FM561" s="21"/>
      <c r="FN561" s="21"/>
      <c r="FO561" s="21"/>
      <c r="FP561" s="21"/>
      <c r="FQ561" s="21"/>
      <c r="FR561" s="21"/>
      <c r="FS561" s="21"/>
      <c r="FT561" s="21"/>
      <c r="FU561" s="21"/>
      <c r="FV561" s="21"/>
      <c r="FW561" s="21"/>
      <c r="FX561" s="21"/>
      <c r="FY561" s="21"/>
      <c r="FZ561" s="21"/>
      <c r="GA561" s="21"/>
      <c r="GB561" s="21"/>
      <c r="GC561" s="21"/>
      <c r="GD561" s="21"/>
      <c r="GE561" s="21"/>
      <c r="GF561" s="21"/>
      <c r="GG561" s="21"/>
      <c r="GH561" s="21"/>
      <c r="GI561" s="21"/>
      <c r="GJ561" s="21"/>
      <c r="GK561" s="21"/>
      <c r="GL561" s="21"/>
      <c r="GM561" s="21"/>
      <c r="GN561" s="21"/>
      <c r="GO561" s="21"/>
      <c r="GP561" s="21"/>
      <c r="GQ561" s="21"/>
      <c r="GR561" s="21"/>
      <c r="GS561" s="21"/>
      <c r="GT561" s="21"/>
      <c r="GU561" s="21"/>
      <c r="GV561" s="21"/>
      <c r="GW561" s="21"/>
      <c r="GX561" s="21"/>
      <c r="GY561" s="21"/>
      <c r="GZ561" s="21"/>
      <c r="HA561" s="21"/>
      <c r="HB561" s="21"/>
    </row>
    <row r="562" spans="1:210"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21"/>
      <c r="CM562" s="21"/>
      <c r="CN562" s="21"/>
      <c r="CO562" s="21"/>
      <c r="CP562" s="21"/>
      <c r="CQ562" s="21"/>
      <c r="CR562" s="21"/>
      <c r="CS562" s="21"/>
      <c r="CT562" s="21"/>
      <c r="CU562" s="21"/>
      <c r="CV562" s="21"/>
      <c r="CW562" s="21"/>
      <c r="CX562" s="21"/>
      <c r="CY562" s="21"/>
      <c r="CZ562" s="21"/>
      <c r="DA562" s="21"/>
      <c r="DB562" s="21"/>
      <c r="DC562" s="21"/>
      <c r="DD562" s="21"/>
      <c r="DE562" s="21"/>
      <c r="DF562" s="21"/>
      <c r="DG562" s="21"/>
      <c r="DH562" s="21"/>
      <c r="DI562" s="21"/>
      <c r="DJ562" s="21"/>
      <c r="DK562" s="21"/>
      <c r="DL562" s="21"/>
      <c r="DM562" s="21"/>
      <c r="DN562" s="21"/>
      <c r="DO562" s="21"/>
      <c r="DP562" s="21"/>
      <c r="DQ562" s="21"/>
      <c r="DR562" s="21"/>
      <c r="DS562" s="21"/>
      <c r="DT562" s="21"/>
      <c r="DU562" s="21"/>
      <c r="DV562" s="21"/>
      <c r="DW562" s="21"/>
      <c r="DX562" s="21"/>
      <c r="DY562" s="21"/>
      <c r="DZ562" s="21"/>
      <c r="EA562" s="21"/>
      <c r="EB562" s="21"/>
      <c r="EC562" s="21"/>
      <c r="ED562" s="21"/>
      <c r="EE562" s="21"/>
      <c r="EF562" s="21"/>
      <c r="EG562" s="21"/>
      <c r="EH562" s="21"/>
      <c r="EI562" s="21"/>
      <c r="EJ562" s="21"/>
      <c r="EK562" s="21"/>
      <c r="EL562" s="21"/>
      <c r="EM562" s="21"/>
      <c r="EN562" s="21"/>
      <c r="EO562" s="21"/>
      <c r="EP562" s="21"/>
      <c r="EQ562" s="21"/>
      <c r="ER562" s="21"/>
      <c r="ES562" s="21"/>
      <c r="ET562" s="21"/>
      <c r="EU562" s="21"/>
      <c r="EV562" s="21"/>
      <c r="EW562" s="21"/>
      <c r="EX562" s="21"/>
      <c r="EY562" s="21"/>
      <c r="EZ562" s="21"/>
      <c r="FA562" s="21"/>
      <c r="FB562" s="21"/>
      <c r="FC562" s="21"/>
      <c r="FD562" s="21"/>
      <c r="FE562" s="21"/>
      <c r="FF562" s="21"/>
      <c r="FG562" s="21"/>
      <c r="FH562" s="21"/>
      <c r="FI562" s="21"/>
      <c r="FJ562" s="21"/>
      <c r="FK562" s="21"/>
      <c r="FL562" s="21"/>
      <c r="FM562" s="21"/>
      <c r="FN562" s="21"/>
      <c r="FO562" s="21"/>
      <c r="FP562" s="21"/>
      <c r="FQ562" s="21"/>
      <c r="FR562" s="21"/>
      <c r="FS562" s="21"/>
      <c r="FT562" s="21"/>
      <c r="FU562" s="21"/>
      <c r="FV562" s="21"/>
      <c r="FW562" s="21"/>
      <c r="FX562" s="21"/>
      <c r="FY562" s="21"/>
      <c r="FZ562" s="21"/>
      <c r="GA562" s="21"/>
      <c r="GB562" s="21"/>
      <c r="GC562" s="21"/>
      <c r="GD562" s="21"/>
      <c r="GE562" s="21"/>
      <c r="GF562" s="21"/>
      <c r="GG562" s="21"/>
      <c r="GH562" s="21"/>
      <c r="GI562" s="21"/>
      <c r="GJ562" s="21"/>
      <c r="GK562" s="21"/>
      <c r="GL562" s="21"/>
      <c r="GM562" s="21"/>
      <c r="GN562" s="21"/>
      <c r="GO562" s="21"/>
      <c r="GP562" s="21"/>
      <c r="GQ562" s="21"/>
      <c r="GR562" s="21"/>
      <c r="GS562" s="21"/>
      <c r="GT562" s="21"/>
      <c r="GU562" s="21"/>
      <c r="GV562" s="21"/>
      <c r="GW562" s="21"/>
      <c r="GX562" s="21"/>
      <c r="GY562" s="21"/>
      <c r="GZ562" s="21"/>
      <c r="HA562" s="21"/>
      <c r="HB562" s="21"/>
    </row>
    <row r="563" spans="1:210"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21"/>
      <c r="CM563" s="21"/>
      <c r="CN563" s="21"/>
      <c r="CO563" s="21"/>
      <c r="CP563" s="21"/>
      <c r="CQ563" s="21"/>
      <c r="CR563" s="21"/>
      <c r="CS563" s="21"/>
      <c r="CT563" s="21"/>
      <c r="CU563" s="21"/>
      <c r="CV563" s="21"/>
      <c r="CW563" s="21"/>
      <c r="CX563" s="21"/>
      <c r="CY563" s="21"/>
      <c r="CZ563" s="21"/>
      <c r="DA563" s="21"/>
      <c r="DB563" s="21"/>
      <c r="DC563" s="21"/>
      <c r="DD563" s="21"/>
      <c r="DE563" s="21"/>
      <c r="DF563" s="21"/>
      <c r="DG563" s="21"/>
      <c r="DH563" s="21"/>
      <c r="DI563" s="21"/>
      <c r="DJ563" s="21"/>
      <c r="DK563" s="21"/>
      <c r="DL563" s="21"/>
      <c r="DM563" s="21"/>
      <c r="DN563" s="21"/>
      <c r="DO563" s="21"/>
      <c r="DP563" s="21"/>
      <c r="DQ563" s="21"/>
      <c r="DR563" s="21"/>
      <c r="DS563" s="21"/>
      <c r="DT563" s="21"/>
      <c r="DU563" s="21"/>
      <c r="DV563" s="21"/>
      <c r="DW563" s="21"/>
      <c r="DX563" s="21"/>
      <c r="DY563" s="21"/>
      <c r="DZ563" s="21"/>
      <c r="EA563" s="21"/>
      <c r="EB563" s="21"/>
      <c r="EC563" s="21"/>
      <c r="ED563" s="21"/>
      <c r="EE563" s="21"/>
      <c r="EF563" s="21"/>
      <c r="EG563" s="21"/>
      <c r="EH563" s="21"/>
      <c r="EI563" s="21"/>
      <c r="EJ563" s="21"/>
      <c r="EK563" s="21"/>
      <c r="EL563" s="21"/>
      <c r="EM563" s="21"/>
      <c r="EN563" s="21"/>
      <c r="EO563" s="21"/>
      <c r="EP563" s="21"/>
      <c r="EQ563" s="21"/>
      <c r="ER563" s="21"/>
      <c r="ES563" s="21"/>
      <c r="ET563" s="21"/>
      <c r="EU563" s="21"/>
      <c r="EV563" s="21"/>
      <c r="EW563" s="21"/>
      <c r="EX563" s="21"/>
      <c r="EY563" s="21"/>
      <c r="EZ563" s="21"/>
      <c r="FA563" s="21"/>
      <c r="FB563" s="21"/>
      <c r="FC563" s="21"/>
      <c r="FD563" s="21"/>
      <c r="FE563" s="21"/>
      <c r="FF563" s="21"/>
      <c r="FG563" s="21"/>
      <c r="FH563" s="21"/>
      <c r="FI563" s="21"/>
      <c r="FJ563" s="21"/>
      <c r="FK563" s="21"/>
      <c r="FL563" s="21"/>
      <c r="FM563" s="21"/>
      <c r="FN563" s="21"/>
      <c r="FO563" s="21"/>
      <c r="FP563" s="21"/>
      <c r="FQ563" s="21"/>
      <c r="FR563" s="21"/>
      <c r="FS563" s="21"/>
      <c r="FT563" s="21"/>
      <c r="FU563" s="21"/>
      <c r="FV563" s="21"/>
      <c r="FW563" s="21"/>
      <c r="FX563" s="21"/>
      <c r="FY563" s="21"/>
      <c r="FZ563" s="21"/>
      <c r="GA563" s="21"/>
      <c r="GB563" s="21"/>
      <c r="GC563" s="21"/>
      <c r="GD563" s="21"/>
      <c r="GE563" s="21"/>
      <c r="GF563" s="21"/>
      <c r="GG563" s="21"/>
      <c r="GH563" s="21"/>
      <c r="GI563" s="21"/>
      <c r="GJ563" s="21"/>
      <c r="GK563" s="21"/>
      <c r="GL563" s="21"/>
      <c r="GM563" s="21"/>
      <c r="GN563" s="21"/>
      <c r="GO563" s="21"/>
      <c r="GP563" s="21"/>
      <c r="GQ563" s="21"/>
      <c r="GR563" s="21"/>
      <c r="GS563" s="21"/>
      <c r="GT563" s="21"/>
      <c r="GU563" s="21"/>
      <c r="GV563" s="21"/>
      <c r="GW563" s="21"/>
      <c r="GX563" s="21"/>
      <c r="GY563" s="21"/>
      <c r="GZ563" s="21"/>
      <c r="HA563" s="21"/>
      <c r="HB563" s="21"/>
    </row>
    <row r="564" spans="1:210"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21"/>
      <c r="CM564" s="21"/>
      <c r="CN564" s="21"/>
      <c r="CO564" s="21"/>
      <c r="CP564" s="21"/>
      <c r="CQ564" s="21"/>
      <c r="CR564" s="21"/>
      <c r="CS564" s="21"/>
      <c r="CT564" s="21"/>
      <c r="CU564" s="21"/>
      <c r="CV564" s="21"/>
      <c r="CW564" s="21"/>
      <c r="CX564" s="21"/>
      <c r="CY564" s="21"/>
      <c r="CZ564" s="21"/>
      <c r="DA564" s="21"/>
      <c r="DB564" s="21"/>
      <c r="DC564" s="21"/>
      <c r="DD564" s="21"/>
      <c r="DE564" s="21"/>
      <c r="DF564" s="21"/>
      <c r="DG564" s="21"/>
      <c r="DH564" s="21"/>
      <c r="DI564" s="21"/>
      <c r="DJ564" s="21"/>
      <c r="DK564" s="21"/>
      <c r="DL564" s="21"/>
      <c r="DM564" s="21"/>
      <c r="DN564" s="21"/>
      <c r="DO564" s="21"/>
      <c r="DP564" s="21"/>
      <c r="DQ564" s="21"/>
      <c r="DR564" s="21"/>
      <c r="DS564" s="21"/>
      <c r="DT564" s="21"/>
      <c r="DU564" s="21"/>
      <c r="DV564" s="21"/>
      <c r="DW564" s="21"/>
      <c r="DX564" s="21"/>
      <c r="DY564" s="21"/>
      <c r="DZ564" s="21"/>
      <c r="EA564" s="21"/>
      <c r="EB564" s="21"/>
      <c r="EC564" s="21"/>
      <c r="ED564" s="21"/>
      <c r="EE564" s="21"/>
      <c r="EF564" s="21"/>
      <c r="EG564" s="21"/>
      <c r="EH564" s="21"/>
      <c r="EI564" s="21"/>
      <c r="EJ564" s="21"/>
      <c r="EK564" s="21"/>
      <c r="EL564" s="21"/>
      <c r="EM564" s="21"/>
      <c r="EN564" s="21"/>
      <c r="EO564" s="21"/>
      <c r="EP564" s="21"/>
      <c r="EQ564" s="21"/>
      <c r="ER564" s="21"/>
      <c r="ES564" s="21"/>
      <c r="ET564" s="21"/>
      <c r="EU564" s="21"/>
      <c r="EV564" s="21"/>
      <c r="EW564" s="21"/>
      <c r="EX564" s="21"/>
      <c r="EY564" s="21"/>
      <c r="EZ564" s="21"/>
      <c r="FA564" s="21"/>
      <c r="FB564" s="21"/>
      <c r="FC564" s="21"/>
      <c r="FD564" s="21"/>
      <c r="FE564" s="21"/>
      <c r="FF564" s="21"/>
      <c r="FG564" s="21"/>
      <c r="FH564" s="21"/>
      <c r="FI564" s="21"/>
      <c r="FJ564" s="21"/>
      <c r="FK564" s="21"/>
      <c r="FL564" s="21"/>
      <c r="FM564" s="21"/>
      <c r="FN564" s="21"/>
      <c r="FO564" s="21"/>
      <c r="FP564" s="21"/>
      <c r="FQ564" s="21"/>
      <c r="FR564" s="21"/>
      <c r="FS564" s="21"/>
      <c r="FT564" s="21"/>
      <c r="FU564" s="21"/>
      <c r="FV564" s="21"/>
      <c r="FW564" s="21"/>
      <c r="FX564" s="21"/>
      <c r="FY564" s="21"/>
      <c r="FZ564" s="21"/>
      <c r="GA564" s="21"/>
      <c r="GB564" s="21"/>
      <c r="GC564" s="21"/>
      <c r="GD564" s="21"/>
      <c r="GE564" s="21"/>
      <c r="GF564" s="21"/>
      <c r="GG564" s="21"/>
      <c r="GH564" s="21"/>
      <c r="GI564" s="21"/>
      <c r="GJ564" s="21"/>
      <c r="GK564" s="21"/>
      <c r="GL564" s="21"/>
      <c r="GM564" s="21"/>
      <c r="GN564" s="21"/>
      <c r="GO564" s="21"/>
      <c r="GP564" s="21"/>
      <c r="GQ564" s="21"/>
      <c r="GR564" s="21"/>
      <c r="GS564" s="21"/>
      <c r="GT564" s="21"/>
      <c r="GU564" s="21"/>
      <c r="GV564" s="21"/>
      <c r="GW564" s="21"/>
      <c r="GX564" s="21"/>
      <c r="GY564" s="21"/>
      <c r="GZ564" s="21"/>
      <c r="HA564" s="21"/>
      <c r="HB564" s="21"/>
    </row>
    <row r="565" spans="1:210"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21"/>
      <c r="CM565" s="21"/>
      <c r="CN565" s="21"/>
      <c r="CO565" s="21"/>
      <c r="CP565" s="21"/>
      <c r="CQ565" s="21"/>
      <c r="CR565" s="21"/>
      <c r="CS565" s="21"/>
      <c r="CT565" s="21"/>
      <c r="CU565" s="21"/>
      <c r="CV565" s="21"/>
      <c r="CW565" s="21"/>
      <c r="CX565" s="21"/>
      <c r="CY565" s="21"/>
      <c r="CZ565" s="21"/>
      <c r="DA565" s="21"/>
      <c r="DB565" s="21"/>
      <c r="DC565" s="21"/>
      <c r="DD565" s="21"/>
      <c r="DE565" s="21"/>
      <c r="DF565" s="21"/>
      <c r="DG565" s="21"/>
      <c r="DH565" s="21"/>
      <c r="DI565" s="21"/>
      <c r="DJ565" s="21"/>
      <c r="DK565" s="21"/>
      <c r="DL565" s="21"/>
      <c r="DM565" s="21"/>
      <c r="DN565" s="21"/>
      <c r="DO565" s="21"/>
      <c r="DP565" s="21"/>
      <c r="DQ565" s="21"/>
      <c r="DR565" s="21"/>
      <c r="DS565" s="21"/>
      <c r="DT565" s="21"/>
      <c r="DU565" s="21"/>
      <c r="DV565" s="21"/>
      <c r="DW565" s="21"/>
      <c r="DX565" s="21"/>
      <c r="DY565" s="21"/>
      <c r="DZ565" s="21"/>
      <c r="EA565" s="21"/>
      <c r="EB565" s="21"/>
      <c r="EC565" s="21"/>
      <c r="ED565" s="21"/>
      <c r="EE565" s="21"/>
      <c r="EF565" s="21"/>
      <c r="EG565" s="21"/>
      <c r="EH565" s="21"/>
      <c r="EI565" s="21"/>
      <c r="EJ565" s="21"/>
      <c r="EK565" s="21"/>
      <c r="EL565" s="21"/>
      <c r="EM565" s="21"/>
      <c r="EN565" s="21"/>
      <c r="EO565" s="21"/>
      <c r="EP565" s="21"/>
      <c r="EQ565" s="21"/>
      <c r="ER565" s="21"/>
      <c r="ES565" s="21"/>
      <c r="ET565" s="21"/>
      <c r="EU565" s="21"/>
      <c r="EV565" s="21"/>
      <c r="EW565" s="21"/>
      <c r="EX565" s="21"/>
      <c r="EY565" s="21"/>
      <c r="EZ565" s="21"/>
      <c r="FA565" s="21"/>
      <c r="FB565" s="21"/>
      <c r="FC565" s="21"/>
      <c r="FD565" s="21"/>
      <c r="FE565" s="21"/>
      <c r="FF565" s="21"/>
      <c r="FG565" s="21"/>
      <c r="FH565" s="21"/>
      <c r="FI565" s="21"/>
      <c r="FJ565" s="21"/>
      <c r="FK565" s="21"/>
      <c r="FL565" s="21"/>
      <c r="FM565" s="21"/>
      <c r="FN565" s="21"/>
      <c r="FO565" s="21"/>
      <c r="FP565" s="21"/>
      <c r="FQ565" s="21"/>
      <c r="FR565" s="21"/>
      <c r="FS565" s="21"/>
      <c r="FT565" s="21"/>
      <c r="FU565" s="21"/>
      <c r="FV565" s="21"/>
      <c r="FW565" s="21"/>
      <c r="FX565" s="21"/>
      <c r="FY565" s="21"/>
      <c r="FZ565" s="21"/>
      <c r="GA565" s="21"/>
      <c r="GB565" s="21"/>
      <c r="GC565" s="21"/>
      <c r="GD565" s="21"/>
      <c r="GE565" s="21"/>
      <c r="GF565" s="21"/>
      <c r="GG565" s="21"/>
      <c r="GH565" s="21"/>
      <c r="GI565" s="21"/>
      <c r="GJ565" s="21"/>
      <c r="GK565" s="21"/>
      <c r="GL565" s="21"/>
      <c r="GM565" s="21"/>
      <c r="GN565" s="21"/>
      <c r="GO565" s="21"/>
      <c r="GP565" s="21"/>
      <c r="GQ565" s="21"/>
      <c r="GR565" s="21"/>
      <c r="GS565" s="21"/>
      <c r="GT565" s="21"/>
      <c r="GU565" s="21"/>
      <c r="GV565" s="21"/>
      <c r="GW565" s="21"/>
      <c r="GX565" s="21"/>
      <c r="GY565" s="21"/>
      <c r="GZ565" s="21"/>
      <c r="HA565" s="21"/>
      <c r="HB565" s="21"/>
    </row>
  </sheetData>
  <sheetProtection algorithmName="SHA-512" hashValue="z2SiqfMobrQHFAChLy7qc1h5XV7ojp9p3iCTwLg5o+9wWFfMfHyaLVTxsQSyyvL61n9rd4vPk1FjS1FTjdoT6A==" saltValue="V+pcxyLBQiKdj65jTem28Q==" spinCount="100000" sheet="1" selectLockedCells="1"/>
  <mergeCells count="2">
    <mergeCell ref="A5:C5"/>
    <mergeCell ref="A15:C15"/>
  </mergeCells>
  <conditionalFormatting sqref="A183:C183 Z23:Z182 Z5:Z14">
    <cfRule type="expression" dxfId="73" priority="747">
      <formula>IF($E$3=$M$27, 0,1)</formula>
    </cfRule>
  </conditionalFormatting>
  <conditionalFormatting sqref="A198:Z357 A184:C197 AA23:AA357 AA1:AA14">
    <cfRule type="expression" dxfId="72" priority="748">
      <formula>IF($E$3=$M$27, 0,1)</formula>
    </cfRule>
  </conditionalFormatting>
  <conditionalFormatting sqref="D183:Z183">
    <cfRule type="expression" dxfId="71" priority="10">
      <formula>IF($E$3=$M$27, 0,1)</formula>
    </cfRule>
  </conditionalFormatting>
  <conditionalFormatting sqref="D184:Z197">
    <cfRule type="expression" dxfId="70" priority="11">
      <formula>IF($E$3=$M$27, 0,1)</formula>
    </cfRule>
  </conditionalFormatting>
  <conditionalFormatting sqref="Z15:Z22">
    <cfRule type="expression" dxfId="69" priority="8">
      <formula>IF($E$3=$M$27, 0,1)</formula>
    </cfRule>
  </conditionalFormatting>
  <conditionalFormatting sqref="AA15:AA22">
    <cfRule type="expression" dxfId="68" priority="9">
      <formula>IF($E$3=$M$27, 0,1)</formula>
    </cfRule>
  </conditionalFormatting>
  <dataValidations count="4">
    <dataValidation type="list" allowBlank="1" showInputMessage="1" showErrorMessage="1" sqref="E9" xr:uid="{D129E6FB-5E36-4932-A100-D0E00A56C085}">
      <formula1>$H$9:$K$9</formula1>
    </dataValidation>
    <dataValidation type="list" allowBlank="1" showInputMessage="1" showErrorMessage="1" sqref="E6" xr:uid="{BEBF96D7-8361-4044-B8F0-10F2BF6C8FA5}">
      <formula1>$H$6:$K$6</formula1>
    </dataValidation>
    <dataValidation type="list" allowBlank="1" showInputMessage="1" showErrorMessage="1" sqref="E7" xr:uid="{E6936608-1C76-4FFF-800F-5D7A65155C5C}">
      <formula1>$H$7:$K$7</formula1>
    </dataValidation>
    <dataValidation type="list" allowBlank="1" showInputMessage="1" showErrorMessage="1" sqref="E8" xr:uid="{E19D0037-DB5E-4E25-9B09-BE292E72F348}">
      <formula1>$H$8:$K$8</formula1>
    </dataValidation>
  </dataValidations>
  <pageMargins left="0.7" right="0.7" top="0.75" bottom="0.75" header="0.3" footer="0.3"/>
  <pageSetup orientation="portrait" r:id="rId1"/>
  <drawing r:id="rId2"/>
  <legacy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791" id="{BB168630-C389-40E3-B729-8EA36E716D26}">
            <xm:f>IF('BQ2575X Design Calculator'!$E$3='BQ2575X Design Calculator'!$H$3, 0,1)</xm:f>
            <x14:dxf>
              <font>
                <color theme="0"/>
              </font>
              <fill>
                <patternFill>
                  <fgColor theme="0"/>
                </patternFill>
              </fill>
            </x14:dxf>
          </x14:cfRule>
          <xm:sqref>Q20:S22 H15:S15 G181:P182 I20:P180 G6:S14 H18:S19 I16:S17 A20:A182 G5:Y5 Q23:Y182 Y6:Y14 T15:Y22</xm:sqref>
        </x14:conditionalFormatting>
        <x14:conditionalFormatting xmlns:xm="http://schemas.microsoft.com/office/excel/2006/main">
          <x14:cfRule type="expression" priority="804" id="{AD0FEB41-303C-4A2F-B6DF-73174E9D2750}">
            <xm:f>IF('BQ2575X Design Calculator'!$E$3='BQ2575X Design Calculator'!$H$3, 0,1)</xm:f>
            <x14:dxf>
              <font>
                <color theme="0" tint="-0.34998626667073579"/>
              </font>
            </x14:dxf>
          </x14:cfRule>
          <xm:sqref>Z1:Z4</xm:sqref>
        </x14:conditionalFormatting>
        <x14:conditionalFormatting xmlns:xm="http://schemas.microsoft.com/office/excel/2006/main">
          <x14:cfRule type="expression" priority="808" id="{4703E06C-4B2E-485B-A36C-C54FA3BF3FDE}">
            <xm:f>IF('BQ2575X Design Calculator'!$E$3='BQ2575X Design Calculator'!$H$3, 0,1)</xm:f>
            <x14:dxf>
              <font>
                <color theme="1" tint="0.14996795556505021"/>
              </font>
              <fill>
                <patternFill>
                  <bgColor theme="1" tint="0.14996795556505021"/>
                </patternFill>
              </fill>
              <border>
                <left/>
                <right/>
                <top/>
                <bottom/>
              </border>
            </x14:dxf>
          </x14:cfRule>
          <xm:sqref>AY23:BG28 AY29:BQ29 BD30:BW31 BD32:BQ38 BC22:BJ22 AZ11:BB14 AY191:BG191 AY44:BK190 AC192:BG357 AY30:BC38 AY39:BP43 BE1:HB357 AB15:BB18 AB19:AB357 AY19:BB22 BC14:BK21 BD6:BJ8 BD6:BD19 AB6:AY14 AB1:BG13 A358:HB565 AC19:AX191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6327-B55E-40DE-832A-509BC5B06618}">
  <sheetPr codeName="Sheet3"/>
  <dimension ref="B2:T1348"/>
  <sheetViews>
    <sheetView workbookViewId="0">
      <selection activeCell="L15" sqref="L15"/>
    </sheetView>
  </sheetViews>
  <sheetFormatPr defaultColWidth="9.140625" defaultRowHeight="15" x14ac:dyDescent="0.25"/>
  <cols>
    <col min="1" max="3" width="9.140625" style="22"/>
    <col min="4" max="4" width="12.5703125" style="78" customWidth="1"/>
    <col min="5" max="7" width="9.140625" style="22"/>
    <col min="8" max="8" width="13.28515625" style="22" customWidth="1"/>
    <col min="9" max="11" width="9.140625" style="22"/>
    <col min="12" max="12" width="12.5703125" style="78" customWidth="1"/>
    <col min="13" max="16384" width="9.140625" style="22"/>
  </cols>
  <sheetData>
    <row r="2" spans="2:20" x14ac:dyDescent="0.25">
      <c r="B2" s="261" t="s">
        <v>45</v>
      </c>
      <c r="C2" s="261"/>
      <c r="D2" s="262"/>
      <c r="F2" s="261" t="s">
        <v>46</v>
      </c>
      <c r="G2" s="261"/>
      <c r="H2" s="261"/>
      <c r="J2" s="261" t="s">
        <v>47</v>
      </c>
      <c r="K2" s="261"/>
      <c r="L2" s="262"/>
      <c r="N2" s="22" t="s">
        <v>48</v>
      </c>
      <c r="P2" s="22" t="s">
        <v>49</v>
      </c>
    </row>
    <row r="3" spans="2:20" x14ac:dyDescent="0.25">
      <c r="B3" s="22" t="s">
        <v>50</v>
      </c>
      <c r="D3" s="78" t="s">
        <v>51</v>
      </c>
      <c r="F3" s="22" t="s">
        <v>50</v>
      </c>
      <c r="G3" s="22" t="s">
        <v>52</v>
      </c>
      <c r="H3" s="22" t="s">
        <v>51</v>
      </c>
      <c r="J3" s="22" t="s">
        <v>50</v>
      </c>
      <c r="K3" s="22" t="s">
        <v>52</v>
      </c>
      <c r="L3" s="78" t="s">
        <v>51</v>
      </c>
      <c r="N3" s="79" t="s">
        <v>53</v>
      </c>
    </row>
    <row r="4" spans="2:20" x14ac:dyDescent="0.25">
      <c r="B4" s="80">
        <v>1</v>
      </c>
      <c r="D4" s="78">
        <v>1</v>
      </c>
      <c r="F4" s="80">
        <v>1</v>
      </c>
      <c r="G4" s="22">
        <v>0</v>
      </c>
      <c r="H4" s="78">
        <f t="shared" ref="H4:H67" si="0">F4*10^(G4/96)</f>
        <v>1</v>
      </c>
      <c r="J4" s="80">
        <v>1</v>
      </c>
      <c r="K4" s="22">
        <v>0</v>
      </c>
      <c r="L4" s="81">
        <f>J4*10^(K4/192)</f>
        <v>1</v>
      </c>
      <c r="N4" s="79">
        <v>2.2000000000000002</v>
      </c>
    </row>
    <row r="5" spans="2:20" x14ac:dyDescent="0.25">
      <c r="B5" s="80">
        <v>1</v>
      </c>
      <c r="D5" s="78">
        <v>1.1000000000000001</v>
      </c>
      <c r="F5" s="80">
        <v>1</v>
      </c>
      <c r="G5" s="22">
        <v>1</v>
      </c>
      <c r="H5" s="78">
        <f t="shared" si="0"/>
        <v>1.0242752213815922</v>
      </c>
      <c r="J5" s="80">
        <v>1</v>
      </c>
      <c r="K5" s="22">
        <f>K4+1</f>
        <v>1</v>
      </c>
      <c r="L5" s="81">
        <f t="shared" ref="L5:L68" si="1">J5*10^(K5/192)</f>
        <v>1.0120648306218294</v>
      </c>
      <c r="N5" s="79">
        <v>3.3</v>
      </c>
    </row>
    <row r="6" spans="2:20" x14ac:dyDescent="0.25">
      <c r="B6" s="80">
        <v>1</v>
      </c>
      <c r="D6" s="78">
        <v>1.2</v>
      </c>
      <c r="F6" s="80">
        <v>1</v>
      </c>
      <c r="G6" s="22">
        <v>2</v>
      </c>
      <c r="H6" s="78">
        <f t="shared" si="0"/>
        <v>1.0491397291363098</v>
      </c>
      <c r="J6" s="80">
        <v>1</v>
      </c>
      <c r="K6" s="22">
        <f t="shared" ref="K6:K69" si="2">K5+1</f>
        <v>2</v>
      </c>
      <c r="L6" s="81">
        <f t="shared" si="1"/>
        <v>1.0242752213815922</v>
      </c>
      <c r="N6" s="79">
        <v>4.7</v>
      </c>
    </row>
    <row r="7" spans="2:20" x14ac:dyDescent="0.25">
      <c r="B7" s="80">
        <v>1</v>
      </c>
      <c r="D7" s="78">
        <v>1.3</v>
      </c>
      <c r="F7" s="80">
        <v>1</v>
      </c>
      <c r="G7" s="22">
        <v>3</v>
      </c>
      <c r="H7" s="78">
        <f t="shared" si="0"/>
        <v>1.0746078283213174</v>
      </c>
      <c r="J7" s="80">
        <v>1</v>
      </c>
      <c r="K7" s="22">
        <f t="shared" si="2"/>
        <v>3</v>
      </c>
      <c r="L7" s="81">
        <f t="shared" si="1"/>
        <v>1.0366329284376981</v>
      </c>
      <c r="N7" s="79">
        <v>5.6</v>
      </c>
    </row>
    <row r="8" spans="2:20" x14ac:dyDescent="0.25">
      <c r="B8" s="80">
        <v>1</v>
      </c>
      <c r="D8" s="78">
        <v>1.5</v>
      </c>
      <c r="F8" s="80">
        <v>1</v>
      </c>
      <c r="G8" s="22">
        <v>4</v>
      </c>
      <c r="H8" s="78">
        <f t="shared" si="0"/>
        <v>1.1006941712522096</v>
      </c>
      <c r="J8" s="80">
        <v>1</v>
      </c>
      <c r="K8" s="22">
        <f t="shared" si="2"/>
        <v>4</v>
      </c>
      <c r="L8" s="81">
        <f t="shared" si="1"/>
        <v>1.0491397291363098</v>
      </c>
      <c r="N8" s="79">
        <v>6.8</v>
      </c>
    </row>
    <row r="9" spans="2:20" x14ac:dyDescent="0.25">
      <c r="B9" s="80">
        <v>1</v>
      </c>
      <c r="D9" s="78">
        <v>1.6</v>
      </c>
      <c r="F9" s="80">
        <v>1</v>
      </c>
      <c r="G9" s="22">
        <v>5</v>
      </c>
      <c r="H9" s="78">
        <f t="shared" si="0"/>
        <v>1.1274137659327852</v>
      </c>
      <c r="J9" s="80">
        <v>1</v>
      </c>
      <c r="K9" s="22">
        <f t="shared" si="2"/>
        <v>5</v>
      </c>
      <c r="L9" s="81">
        <f t="shared" si="1"/>
        <v>1.0617974222669715</v>
      </c>
      <c r="N9" s="79">
        <v>8.1999999999999993</v>
      </c>
    </row>
    <row r="10" spans="2:20" x14ac:dyDescent="0.25">
      <c r="B10" s="80">
        <v>1</v>
      </c>
      <c r="D10" s="78">
        <v>1.8</v>
      </c>
      <c r="F10" s="80">
        <v>1</v>
      </c>
      <c r="G10" s="22">
        <v>6</v>
      </c>
      <c r="H10" s="78">
        <f t="shared" si="0"/>
        <v>1.1547819846894583</v>
      </c>
      <c r="J10" s="80">
        <v>1</v>
      </c>
      <c r="K10" s="22">
        <f t="shared" si="2"/>
        <v>6</v>
      </c>
      <c r="L10" s="81">
        <f t="shared" si="1"/>
        <v>1.0746078283213174</v>
      </c>
      <c r="N10" s="79">
        <v>10</v>
      </c>
      <c r="R10" s="22">
        <v>1.1000000000000001</v>
      </c>
      <c r="T10" s="22">
        <f>IF(MIN(ABS(L4:L1347-R10))&lt;0, $R$10+MIN(ABS(L4:L1347-R10)), $R$10-MIN(ABS(L4:L1347-$R$10)))</f>
        <v>1.0746078283213174</v>
      </c>
    </row>
    <row r="11" spans="2:20" x14ac:dyDescent="0.25">
      <c r="B11" s="80">
        <v>1</v>
      </c>
      <c r="D11" s="78">
        <v>2</v>
      </c>
      <c r="F11" s="80">
        <v>1</v>
      </c>
      <c r="G11" s="22">
        <v>7</v>
      </c>
      <c r="H11" s="78">
        <f t="shared" si="0"/>
        <v>1.1828145730152693</v>
      </c>
      <c r="J11" s="80">
        <v>1</v>
      </c>
      <c r="K11" s="22">
        <f t="shared" si="2"/>
        <v>7</v>
      </c>
      <c r="L11" s="81">
        <f t="shared" si="1"/>
        <v>1.0875727897549061</v>
      </c>
      <c r="N11" s="79">
        <v>15</v>
      </c>
      <c r="Q11" s="22">
        <f>VLOOKUP(1.1,stdres_5pct[Resistance],1,TRUE)</f>
        <v>1.1000000000000001</v>
      </c>
    </row>
    <row r="12" spans="2:20" x14ac:dyDescent="0.25">
      <c r="B12" s="80">
        <v>1</v>
      </c>
      <c r="D12" s="78">
        <v>2.2000000000000002</v>
      </c>
      <c r="F12" s="80">
        <v>1</v>
      </c>
      <c r="G12" s="22">
        <v>8</v>
      </c>
      <c r="H12" s="78">
        <f t="shared" si="0"/>
        <v>1.2115276586285886</v>
      </c>
      <c r="J12" s="80">
        <v>1</v>
      </c>
      <c r="K12" s="22">
        <f t="shared" si="2"/>
        <v>8</v>
      </c>
      <c r="L12" s="81">
        <f t="shared" si="1"/>
        <v>1.1006941712522096</v>
      </c>
      <c r="Q12" s="22">
        <f>stdres_0p1pct[[#This Row],[Resistance]]</f>
        <v>1.1006941712522096</v>
      </c>
    </row>
    <row r="13" spans="2:20" x14ac:dyDescent="0.25">
      <c r="B13" s="80">
        <v>1</v>
      </c>
      <c r="D13" s="78">
        <v>2.4</v>
      </c>
      <c r="F13" s="80">
        <v>1</v>
      </c>
      <c r="G13" s="22">
        <v>9</v>
      </c>
      <c r="H13" s="78">
        <f t="shared" si="0"/>
        <v>1.2409377607517196</v>
      </c>
      <c r="J13" s="80">
        <v>1</v>
      </c>
      <c r="K13" s="22">
        <f t="shared" si="2"/>
        <v>9</v>
      </c>
      <c r="L13" s="81">
        <f t="shared" si="1"/>
        <v>1.1139738599948024</v>
      </c>
      <c r="Q13" s="22" t="e">
        <f>MATCH(MIN(ABS(L4:L1347-R10)),ABS(L4:L1347-R10),0)</f>
        <v>#N/A</v>
      </c>
    </row>
    <row r="14" spans="2:20" x14ac:dyDescent="0.25">
      <c r="B14" s="80">
        <v>1</v>
      </c>
      <c r="D14" s="78">
        <v>2.7</v>
      </c>
      <c r="F14" s="80">
        <v>1</v>
      </c>
      <c r="G14" s="22">
        <v>10</v>
      </c>
      <c r="H14" s="78">
        <f t="shared" si="0"/>
        <v>1.2710617996147449</v>
      </c>
      <c r="J14" s="80">
        <v>1</v>
      </c>
      <c r="K14" s="22">
        <f t="shared" si="2"/>
        <v>10</v>
      </c>
      <c r="L14" s="81">
        <f t="shared" si="1"/>
        <v>1.1274137659327852</v>
      </c>
    </row>
    <row r="15" spans="2:20" x14ac:dyDescent="0.25">
      <c r="B15" s="80">
        <v>1</v>
      </c>
      <c r="D15" s="78">
        <v>3</v>
      </c>
      <c r="F15" s="80">
        <v>1</v>
      </c>
      <c r="G15" s="22">
        <v>11</v>
      </c>
      <c r="H15" s="78">
        <f t="shared" si="0"/>
        <v>1.3019171061900778</v>
      </c>
      <c r="J15" s="80">
        <v>1</v>
      </c>
      <c r="K15" s="22">
        <f t="shared" si="2"/>
        <v>11</v>
      </c>
      <c r="L15" s="81">
        <f>J15*10^(K15/192)</f>
        <v>1.141015822059483</v>
      </c>
    </row>
    <row r="16" spans="2:20" x14ac:dyDescent="0.25">
      <c r="B16" s="80">
        <v>1</v>
      </c>
      <c r="D16" s="78">
        <v>3.3</v>
      </c>
      <c r="F16" s="80">
        <v>1</v>
      </c>
      <c r="G16" s="22">
        <v>12</v>
      </c>
      <c r="H16" s="78">
        <f t="shared" si="0"/>
        <v>1.333521432163324</v>
      </c>
      <c r="J16" s="80">
        <v>1</v>
      </c>
      <c r="K16" s="22">
        <f t="shared" si="2"/>
        <v>12</v>
      </c>
      <c r="L16" s="81">
        <f t="shared" si="1"/>
        <v>1.1547819846894583</v>
      </c>
    </row>
    <row r="17" spans="2:14" x14ac:dyDescent="0.25">
      <c r="B17" s="80">
        <v>1</v>
      </c>
      <c r="D17" s="78">
        <v>3.6</v>
      </c>
      <c r="F17" s="80">
        <v>1</v>
      </c>
      <c r="G17" s="22">
        <v>13</v>
      </c>
      <c r="H17" s="78">
        <f t="shared" si="0"/>
        <v>1.3658929601461867</v>
      </c>
      <c r="J17" s="80">
        <v>1</v>
      </c>
      <c r="K17" s="22">
        <f t="shared" si="2"/>
        <v>13</v>
      </c>
      <c r="L17" s="81">
        <f t="shared" si="1"/>
        <v>1.1687142337398766</v>
      </c>
    </row>
    <row r="18" spans="2:14" x14ac:dyDescent="0.25">
      <c r="B18" s="80">
        <v>1</v>
      </c>
      <c r="D18" s="78">
        <v>3.9</v>
      </c>
      <c r="F18" s="80">
        <v>1</v>
      </c>
      <c r="G18" s="22">
        <v>14</v>
      </c>
      <c r="H18" s="78">
        <f t="shared" si="0"/>
        <v>1.3990503141372939</v>
      </c>
      <c r="J18" s="80">
        <v>1</v>
      </c>
      <c r="K18" s="22">
        <f t="shared" si="2"/>
        <v>14</v>
      </c>
      <c r="L18" s="81">
        <f t="shared" si="1"/>
        <v>1.1828145730152693</v>
      </c>
    </row>
    <row r="19" spans="2:14" x14ac:dyDescent="0.25">
      <c r="B19" s="80">
        <v>1</v>
      </c>
      <c r="D19" s="78">
        <v>4.3</v>
      </c>
      <c r="F19" s="80">
        <v>1</v>
      </c>
      <c r="G19" s="22">
        <v>15</v>
      </c>
      <c r="H19" s="78">
        <f t="shared" si="0"/>
        <v>1.4330125702369629</v>
      </c>
      <c r="J19" s="80">
        <v>1</v>
      </c>
      <c r="K19" s="22">
        <f t="shared" si="2"/>
        <v>15</v>
      </c>
      <c r="L19" s="81">
        <f t="shared" si="1"/>
        <v>1.1970850304957299</v>
      </c>
    </row>
    <row r="20" spans="2:14" x14ac:dyDescent="0.25">
      <c r="B20" s="80">
        <v>1</v>
      </c>
      <c r="D20" s="78">
        <v>4.7</v>
      </c>
      <c r="F20" s="80">
        <v>1</v>
      </c>
      <c r="G20" s="22">
        <v>16</v>
      </c>
      <c r="H20" s="78">
        <f t="shared" si="0"/>
        <v>1.4677992676220697</v>
      </c>
      <c r="J20" s="80">
        <v>1</v>
      </c>
      <c r="K20" s="22">
        <f t="shared" si="2"/>
        <v>16</v>
      </c>
      <c r="L20" s="81">
        <f t="shared" si="1"/>
        <v>1.2115276586285886</v>
      </c>
    </row>
    <row r="21" spans="2:14" x14ac:dyDescent="0.25">
      <c r="B21" s="80">
        <v>1</v>
      </c>
      <c r="D21" s="78">
        <v>5.0999999999999996</v>
      </c>
      <c r="F21" s="80">
        <v>1</v>
      </c>
      <c r="G21" s="22">
        <v>17</v>
      </c>
      <c r="H21" s="78">
        <f t="shared" si="0"/>
        <v>1.5034304197873343</v>
      </c>
      <c r="J21" s="80">
        <v>1</v>
      </c>
      <c r="K21" s="22">
        <f t="shared" si="2"/>
        <v>17</v>
      </c>
      <c r="L21" s="81">
        <f t="shared" si="1"/>
        <v>1.226144534623604</v>
      </c>
    </row>
    <row r="22" spans="2:14" x14ac:dyDescent="0.25">
      <c r="B22" s="80">
        <v>1</v>
      </c>
      <c r="D22" s="78">
        <v>5.6</v>
      </c>
      <c r="F22" s="80">
        <v>1</v>
      </c>
      <c r="G22" s="22">
        <v>18</v>
      </c>
      <c r="H22" s="78">
        <f t="shared" si="0"/>
        <v>1.5399265260594921</v>
      </c>
      <c r="J22" s="80">
        <v>1</v>
      </c>
      <c r="K22" s="22">
        <f t="shared" si="2"/>
        <v>18</v>
      </c>
      <c r="L22" s="81">
        <f t="shared" si="1"/>
        <v>1.2409377607517196</v>
      </c>
    </row>
    <row r="23" spans="2:14" x14ac:dyDescent="0.25">
      <c r="B23" s="80">
        <v>1</v>
      </c>
      <c r="D23" s="78">
        <v>6.2</v>
      </c>
      <c r="F23" s="80">
        <v>1</v>
      </c>
      <c r="G23" s="22">
        <v>19</v>
      </c>
      <c r="H23" s="78">
        <f t="shared" si="0"/>
        <v>1.5773085833909726</v>
      </c>
      <c r="J23" s="80">
        <v>1</v>
      </c>
      <c r="K23" s="22">
        <f t="shared" si="2"/>
        <v>19</v>
      </c>
      <c r="L23" s="81">
        <f t="shared" si="1"/>
        <v>1.2559094646474214</v>
      </c>
    </row>
    <row r="24" spans="2:14" x14ac:dyDescent="0.25">
      <c r="B24" s="80">
        <v>1</v>
      </c>
      <c r="D24" s="78">
        <v>6.8</v>
      </c>
      <c r="F24" s="80">
        <v>1</v>
      </c>
      <c r="G24" s="22">
        <v>20</v>
      </c>
      <c r="H24" s="78">
        <f t="shared" si="0"/>
        <v>1.6155980984398741</v>
      </c>
      <c r="J24" s="80">
        <v>1</v>
      </c>
      <c r="K24" s="22">
        <f t="shared" si="2"/>
        <v>20</v>
      </c>
      <c r="L24" s="81">
        <f t="shared" si="1"/>
        <v>1.2710617996147449</v>
      </c>
    </row>
    <row r="25" spans="2:14" x14ac:dyDescent="0.25">
      <c r="B25" s="80">
        <v>1</v>
      </c>
      <c r="D25" s="78">
        <v>7.5</v>
      </c>
      <c r="F25" s="80">
        <v>1</v>
      </c>
      <c r="G25" s="22">
        <v>21</v>
      </c>
      <c r="H25" s="78">
        <f t="shared" si="0"/>
        <v>1.6548170999431815</v>
      </c>
      <c r="J25" s="80">
        <v>1</v>
      </c>
      <c r="K25" s="22">
        <f t="shared" si="2"/>
        <v>21</v>
      </c>
      <c r="L25" s="81">
        <f t="shared" si="1"/>
        <v>1.2863969449369745</v>
      </c>
    </row>
    <row r="26" spans="2:14" x14ac:dyDescent="0.25">
      <c r="B26" s="80">
        <v>1</v>
      </c>
      <c r="D26" s="78">
        <v>8.1999999999999993</v>
      </c>
      <c r="F26" s="80">
        <v>1</v>
      </c>
      <c r="G26" s="22">
        <v>22</v>
      </c>
      <c r="H26" s="78">
        <f t="shared" si="0"/>
        <v>1.6949881513903466</v>
      </c>
      <c r="J26" s="80">
        <v>1</v>
      </c>
      <c r="K26" s="22">
        <f t="shared" si="2"/>
        <v>22</v>
      </c>
      <c r="L26" s="81">
        <f t="shared" si="1"/>
        <v>1.3019171061900778</v>
      </c>
    </row>
    <row r="27" spans="2:14" x14ac:dyDescent="0.25">
      <c r="B27" s="80">
        <v>1</v>
      </c>
      <c r="D27" s="78">
        <v>9.1</v>
      </c>
      <c r="F27" s="80">
        <v>1</v>
      </c>
      <c r="G27" s="22">
        <v>23</v>
      </c>
      <c r="H27" s="78">
        <f t="shared" si="0"/>
        <v>1.7361343640045233</v>
      </c>
      <c r="J27" s="80">
        <v>1</v>
      </c>
      <c r="K27" s="22">
        <f t="shared" si="2"/>
        <v>23</v>
      </c>
      <c r="L27" s="81">
        <f t="shared" si="1"/>
        <v>1.3176245155599235</v>
      </c>
    </row>
    <row r="28" spans="2:14" x14ac:dyDescent="0.25">
      <c r="B28" s="80">
        <v>1</v>
      </c>
      <c r="D28" s="78">
        <f>D4*10</f>
        <v>10</v>
      </c>
      <c r="F28" s="80">
        <v>1</v>
      </c>
      <c r="G28" s="22">
        <v>24</v>
      </c>
      <c r="H28" s="78">
        <f t="shared" si="0"/>
        <v>1.778279410038923</v>
      </c>
      <c r="J28" s="80">
        <v>1</v>
      </c>
      <c r="K28" s="22">
        <f t="shared" si="2"/>
        <v>24</v>
      </c>
      <c r="L28" s="81">
        <f t="shared" si="1"/>
        <v>1.333521432163324</v>
      </c>
    </row>
    <row r="29" spans="2:14" x14ac:dyDescent="0.25">
      <c r="B29" s="80">
        <f>B4*10</f>
        <v>10</v>
      </c>
      <c r="D29" s="78">
        <f>D5*10</f>
        <v>11</v>
      </c>
      <c r="F29" s="80">
        <v>1</v>
      </c>
      <c r="G29" s="22">
        <v>25</v>
      </c>
      <c r="H29" s="78">
        <f t="shared" si="0"/>
        <v>1.8214475363959453</v>
      </c>
      <c r="J29" s="80">
        <v>1</v>
      </c>
      <c r="K29" s="22">
        <f t="shared" si="2"/>
        <v>25</v>
      </c>
      <c r="L29" s="81">
        <f t="shared" si="1"/>
        <v>1.3496101423729541</v>
      </c>
    </row>
    <row r="30" spans="2:14" x14ac:dyDescent="0.25">
      <c r="B30" s="80">
        <f t="shared" ref="B30:B52" si="3">B5*10</f>
        <v>10</v>
      </c>
      <c r="D30" s="78">
        <f t="shared" ref="D30:D93" si="4">D6*10</f>
        <v>12</v>
      </c>
      <c r="F30" s="80">
        <v>1</v>
      </c>
      <c r="G30" s="22">
        <v>26</v>
      </c>
      <c r="H30" s="78">
        <f t="shared" si="0"/>
        <v>1.8656635785769122</v>
      </c>
      <c r="I30" s="82"/>
      <c r="J30" s="80">
        <v>1</v>
      </c>
      <c r="K30" s="22">
        <f t="shared" si="2"/>
        <v>26</v>
      </c>
      <c r="L30" s="81">
        <f t="shared" si="1"/>
        <v>1.3658929601461867</v>
      </c>
    </row>
    <row r="31" spans="2:14" x14ac:dyDescent="0.25">
      <c r="B31" s="80">
        <f t="shared" si="3"/>
        <v>10</v>
      </c>
      <c r="D31" s="78">
        <f t="shared" si="4"/>
        <v>13</v>
      </c>
      <c r="F31" s="80">
        <v>1</v>
      </c>
      <c r="G31" s="22">
        <v>27</v>
      </c>
      <c r="H31" s="78">
        <f t="shared" si="0"/>
        <v>1.9109529749704406</v>
      </c>
      <c r="J31" s="80">
        <v>1</v>
      </c>
      <c r="K31" s="22">
        <f t="shared" si="2"/>
        <v>27</v>
      </c>
      <c r="L31" s="81">
        <f t="shared" si="1"/>
        <v>1.3823722273578998</v>
      </c>
      <c r="M31" s="82"/>
      <c r="N31" s="82"/>
    </row>
    <row r="32" spans="2:14" x14ac:dyDescent="0.25">
      <c r="B32" s="80">
        <f t="shared" si="3"/>
        <v>10</v>
      </c>
      <c r="D32" s="78">
        <f t="shared" si="4"/>
        <v>15</v>
      </c>
      <c r="F32" s="80">
        <v>1</v>
      </c>
      <c r="G32" s="22">
        <v>28</v>
      </c>
      <c r="H32" s="78">
        <f t="shared" si="0"/>
        <v>1.9573417814876604</v>
      </c>
      <c r="J32" s="80">
        <v>1</v>
      </c>
      <c r="K32" s="22">
        <f t="shared" si="2"/>
        <v>28</v>
      </c>
      <c r="L32" s="81">
        <f t="shared" si="1"/>
        <v>1.3990503141372939</v>
      </c>
    </row>
    <row r="33" spans="2:12" x14ac:dyDescent="0.25">
      <c r="B33" s="80">
        <f t="shared" si="3"/>
        <v>10</v>
      </c>
      <c r="D33" s="78">
        <f t="shared" si="4"/>
        <v>16</v>
      </c>
      <c r="F33" s="80">
        <v>1</v>
      </c>
      <c r="G33" s="22">
        <v>29</v>
      </c>
      <c r="H33" s="78">
        <f t="shared" si="0"/>
        <v>2.0048566865527135</v>
      </c>
      <c r="J33" s="80">
        <v>1</v>
      </c>
      <c r="K33" s="22">
        <f t="shared" si="2"/>
        <v>29</v>
      </c>
      <c r="L33" s="81">
        <f t="shared" si="1"/>
        <v>1.4159296192087774</v>
      </c>
    </row>
    <row r="34" spans="2:12" x14ac:dyDescent="0.25">
      <c r="B34" s="80">
        <f t="shared" si="3"/>
        <v>10</v>
      </c>
      <c r="D34" s="78">
        <f t="shared" si="4"/>
        <v>18</v>
      </c>
      <c r="F34" s="80">
        <v>1</v>
      </c>
      <c r="G34" s="22">
        <v>30</v>
      </c>
      <c r="H34" s="78">
        <f t="shared" si="0"/>
        <v>2.0535250264571463</v>
      </c>
      <c r="J34" s="80">
        <v>1</v>
      </c>
      <c r="K34" s="22">
        <f t="shared" si="2"/>
        <v>30</v>
      </c>
      <c r="L34" s="81">
        <f t="shared" si="1"/>
        <v>1.4330125702369629</v>
      </c>
    </row>
    <row r="35" spans="2:12" x14ac:dyDescent="0.25">
      <c r="B35" s="80">
        <f t="shared" si="3"/>
        <v>10</v>
      </c>
      <c r="D35" s="78">
        <f t="shared" si="4"/>
        <v>20</v>
      </c>
      <c r="F35" s="80">
        <v>1</v>
      </c>
      <c r="G35" s="22">
        <v>31</v>
      </c>
      <c r="H35" s="78">
        <f t="shared" si="0"/>
        <v>2.1033748010870337</v>
      </c>
      <c r="J35" s="80">
        <v>1</v>
      </c>
      <c r="K35" s="22">
        <f t="shared" si="2"/>
        <v>31</v>
      </c>
      <c r="L35" s="81">
        <f t="shared" si="1"/>
        <v>1.4503016241758242</v>
      </c>
    </row>
    <row r="36" spans="2:12" x14ac:dyDescent="0.25">
      <c r="B36" s="80">
        <f t="shared" si="3"/>
        <v>10</v>
      </c>
      <c r="D36" s="78">
        <f t="shared" si="4"/>
        <v>22</v>
      </c>
      <c r="F36" s="80">
        <v>1</v>
      </c>
      <c r="G36" s="22">
        <v>32</v>
      </c>
      <c r="H36" s="78">
        <f t="shared" si="0"/>
        <v>2.1544346900318838</v>
      </c>
      <c r="J36" s="80">
        <v>1</v>
      </c>
      <c r="K36" s="22">
        <f t="shared" si="2"/>
        <v>32</v>
      </c>
      <c r="L36" s="81">
        <f t="shared" si="1"/>
        <v>1.4677992676220697</v>
      </c>
    </row>
    <row r="37" spans="2:12" x14ac:dyDescent="0.25">
      <c r="B37" s="80">
        <f t="shared" si="3"/>
        <v>10</v>
      </c>
      <c r="D37" s="78">
        <f t="shared" si="4"/>
        <v>24</v>
      </c>
      <c r="F37" s="80">
        <v>1</v>
      </c>
      <c r="G37" s="22">
        <v>33</v>
      </c>
      <c r="H37" s="78">
        <f t="shared" si="0"/>
        <v>2.20673406908459</v>
      </c>
      <c r="J37" s="80">
        <v>1</v>
      </c>
      <c r="K37" s="22">
        <f t="shared" si="2"/>
        <v>33</v>
      </c>
      <c r="L37" s="81">
        <f t="shared" si="1"/>
        <v>1.485508017172775</v>
      </c>
    </row>
    <row r="38" spans="2:12" x14ac:dyDescent="0.25">
      <c r="B38" s="80">
        <f t="shared" si="3"/>
        <v>10</v>
      </c>
      <c r="D38" s="78">
        <f t="shared" si="4"/>
        <v>27</v>
      </c>
      <c r="F38" s="80">
        <v>1</v>
      </c>
      <c r="G38" s="22">
        <v>34</v>
      </c>
      <c r="H38" s="78">
        <f t="shared" si="0"/>
        <v>2.2603030271419202</v>
      </c>
      <c r="J38" s="80">
        <v>1</v>
      </c>
      <c r="K38" s="22">
        <f t="shared" si="2"/>
        <v>34</v>
      </c>
      <c r="L38" s="81">
        <f t="shared" si="1"/>
        <v>1.5034304197873343</v>
      </c>
    </row>
    <row r="39" spans="2:12" x14ac:dyDescent="0.25">
      <c r="B39" s="80">
        <f t="shared" si="3"/>
        <v>10</v>
      </c>
      <c r="D39" s="78">
        <f t="shared" si="4"/>
        <v>30</v>
      </c>
      <c r="F39" s="80">
        <v>1</v>
      </c>
      <c r="G39" s="22">
        <v>35</v>
      </c>
      <c r="H39" s="78">
        <f t="shared" si="0"/>
        <v>2.3151723835152733</v>
      </c>
      <c r="J39" s="80">
        <v>1</v>
      </c>
      <c r="K39" s="22">
        <f t="shared" si="2"/>
        <v>35</v>
      </c>
      <c r="L39" s="81">
        <f t="shared" si="1"/>
        <v>1.5215690531537744</v>
      </c>
    </row>
    <row r="40" spans="2:12" x14ac:dyDescent="0.25">
      <c r="B40" s="80">
        <f t="shared" si="3"/>
        <v>10</v>
      </c>
      <c r="D40" s="78">
        <f t="shared" si="4"/>
        <v>33</v>
      </c>
      <c r="F40" s="80">
        <v>1</v>
      </c>
      <c r="G40" s="22">
        <v>36</v>
      </c>
      <c r="H40" s="78">
        <f t="shared" si="0"/>
        <v>2.3713737056616555</v>
      </c>
      <c r="J40" s="80">
        <v>1</v>
      </c>
      <c r="K40" s="22">
        <f t="shared" si="2"/>
        <v>36</v>
      </c>
      <c r="L40" s="81">
        <f t="shared" si="1"/>
        <v>1.5399265260594921</v>
      </c>
    </row>
    <row r="41" spans="2:12" x14ac:dyDescent="0.25">
      <c r="B41" s="80">
        <f t="shared" si="3"/>
        <v>10</v>
      </c>
      <c r="D41" s="78">
        <f t="shared" si="4"/>
        <v>36</v>
      </c>
      <c r="F41" s="80">
        <v>1</v>
      </c>
      <c r="G41" s="22">
        <v>37</v>
      </c>
      <c r="H41" s="78">
        <f t="shared" si="0"/>
        <v>2.4289393273450792</v>
      </c>
      <c r="J41" s="80">
        <v>1</v>
      </c>
      <c r="K41" s="22">
        <f t="shared" si="2"/>
        <v>37</v>
      </c>
      <c r="L41" s="81">
        <f t="shared" si="1"/>
        <v>1.5585054787664621</v>
      </c>
    </row>
    <row r="42" spans="2:12" x14ac:dyDescent="0.25">
      <c r="B42" s="80">
        <f t="shared" si="3"/>
        <v>10</v>
      </c>
      <c r="D42" s="78">
        <f t="shared" si="4"/>
        <v>39</v>
      </c>
      <c r="F42" s="80">
        <v>1</v>
      </c>
      <c r="G42" s="22">
        <v>38</v>
      </c>
      <c r="H42" s="78">
        <f t="shared" si="0"/>
        <v>2.4879023672388363</v>
      </c>
      <c r="J42" s="80">
        <v>1</v>
      </c>
      <c r="K42" s="22">
        <f t="shared" si="2"/>
        <v>38</v>
      </c>
      <c r="L42" s="81">
        <f t="shared" si="1"/>
        <v>1.5773085833909726</v>
      </c>
    </row>
    <row r="43" spans="2:12" x14ac:dyDescent="0.25">
      <c r="B43" s="80">
        <f t="shared" si="3"/>
        <v>10</v>
      </c>
      <c r="D43" s="78">
        <f t="shared" si="4"/>
        <v>43</v>
      </c>
      <c r="F43" s="80">
        <v>1</v>
      </c>
      <c r="G43" s="22">
        <v>39</v>
      </c>
      <c r="H43" s="78">
        <f t="shared" si="0"/>
        <v>2.548296747979347</v>
      </c>
      <c r="J43" s="80">
        <v>1</v>
      </c>
      <c r="K43" s="22">
        <f t="shared" si="2"/>
        <v>39</v>
      </c>
      <c r="L43" s="81">
        <f t="shared" si="1"/>
        <v>1.5963385442879423</v>
      </c>
    </row>
    <row r="44" spans="2:12" x14ac:dyDescent="0.25">
      <c r="B44" s="80">
        <f t="shared" si="3"/>
        <v>10</v>
      </c>
      <c r="D44" s="78">
        <f t="shared" si="4"/>
        <v>47</v>
      </c>
      <c r="F44" s="80">
        <v>1</v>
      </c>
      <c r="G44" s="22">
        <v>40</v>
      </c>
      <c r="H44" s="78">
        <f t="shared" si="0"/>
        <v>2.6101572156825372</v>
      </c>
      <c r="J44" s="80">
        <v>1</v>
      </c>
      <c r="K44" s="22">
        <f t="shared" si="2"/>
        <v>40</v>
      </c>
      <c r="L44" s="81">
        <f t="shared" si="1"/>
        <v>1.6155980984398741</v>
      </c>
    </row>
    <row r="45" spans="2:12" x14ac:dyDescent="0.25">
      <c r="B45" s="80">
        <f t="shared" si="3"/>
        <v>10</v>
      </c>
      <c r="D45" s="78">
        <f t="shared" si="4"/>
        <v>51</v>
      </c>
      <c r="F45" s="80">
        <v>1</v>
      </c>
      <c r="G45" s="22">
        <v>41</v>
      </c>
      <c r="H45" s="78">
        <f t="shared" si="0"/>
        <v>2.6735193599339908</v>
      </c>
      <c r="J45" s="80">
        <v>1</v>
      </c>
      <c r="K45" s="22">
        <f t="shared" si="2"/>
        <v>41</v>
      </c>
      <c r="L45" s="81">
        <f t="shared" si="1"/>
        <v>1.6350900158505008</v>
      </c>
    </row>
    <row r="46" spans="2:12" x14ac:dyDescent="0.25">
      <c r="B46" s="80">
        <f t="shared" si="3"/>
        <v>10</v>
      </c>
      <c r="D46" s="78">
        <f t="shared" si="4"/>
        <v>56</v>
      </c>
      <c r="F46" s="80">
        <v>1</v>
      </c>
      <c r="G46" s="22">
        <v>42</v>
      </c>
      <c r="H46" s="78">
        <f t="shared" si="0"/>
        <v>2.7384196342643614</v>
      </c>
      <c r="J46" s="80">
        <v>1</v>
      </c>
      <c r="K46" s="22">
        <f t="shared" si="2"/>
        <v>42</v>
      </c>
      <c r="L46" s="81">
        <f t="shared" si="1"/>
        <v>1.6548170999431815</v>
      </c>
    </row>
    <row r="47" spans="2:12" x14ac:dyDescent="0.25">
      <c r="B47" s="80">
        <f t="shared" si="3"/>
        <v>10</v>
      </c>
      <c r="D47" s="78">
        <f t="shared" si="4"/>
        <v>62</v>
      </c>
      <c r="F47" s="80">
        <v>1</v>
      </c>
      <c r="G47" s="22">
        <v>43</v>
      </c>
      <c r="H47" s="78">
        <f t="shared" si="0"/>
        <v>2.8048953771218281</v>
      </c>
      <c r="J47" s="80">
        <v>1</v>
      </c>
      <c r="K47" s="22">
        <f t="shared" si="2"/>
        <v>43</v>
      </c>
      <c r="L47" s="81">
        <f t="shared" si="1"/>
        <v>1.6747821879641032</v>
      </c>
    </row>
    <row r="48" spans="2:12" x14ac:dyDescent="0.25">
      <c r="B48" s="80">
        <f t="shared" si="3"/>
        <v>10</v>
      </c>
      <c r="D48" s="78">
        <f t="shared" si="4"/>
        <v>68</v>
      </c>
      <c r="F48" s="80">
        <v>1</v>
      </c>
      <c r="G48" s="22">
        <v>44</v>
      </c>
      <c r="H48" s="78">
        <f t="shared" si="0"/>
        <v>2.8729848333536645</v>
      </c>
      <c r="J48" s="80">
        <v>1</v>
      </c>
      <c r="K48" s="22">
        <f t="shared" si="2"/>
        <v>44</v>
      </c>
      <c r="L48" s="81">
        <f t="shared" si="1"/>
        <v>1.6949881513903466</v>
      </c>
    </row>
    <row r="49" spans="2:12" x14ac:dyDescent="0.25">
      <c r="B49" s="80">
        <f t="shared" si="3"/>
        <v>10</v>
      </c>
      <c r="D49" s="78">
        <f t="shared" si="4"/>
        <v>75</v>
      </c>
      <c r="F49" s="80">
        <v>1</v>
      </c>
      <c r="G49" s="22">
        <v>45</v>
      </c>
      <c r="H49" s="78">
        <f t="shared" si="0"/>
        <v>2.9427271762092824</v>
      </c>
      <c r="J49" s="80">
        <v>1</v>
      </c>
      <c r="K49" s="22">
        <f t="shared" si="2"/>
        <v>45</v>
      </c>
      <c r="L49" s="81">
        <f t="shared" si="1"/>
        <v>1.7154378963428791</v>
      </c>
    </row>
    <row r="50" spans="2:12" x14ac:dyDescent="0.25">
      <c r="B50" s="80">
        <f t="shared" si="3"/>
        <v>10</v>
      </c>
      <c r="D50" s="78">
        <f t="shared" si="4"/>
        <v>82</v>
      </c>
      <c r="F50" s="80">
        <v>1</v>
      </c>
      <c r="G50" s="22">
        <v>46</v>
      </c>
      <c r="H50" s="78">
        <f t="shared" si="0"/>
        <v>3.0141625298773906</v>
      </c>
      <c r="J50" s="80">
        <v>1</v>
      </c>
      <c r="K50" s="22">
        <f t="shared" si="2"/>
        <v>46</v>
      </c>
      <c r="L50" s="81">
        <f t="shared" si="1"/>
        <v>1.7361343640045233</v>
      </c>
    </row>
    <row r="51" spans="2:12" x14ac:dyDescent="0.25">
      <c r="B51" s="80">
        <f t="shared" si="3"/>
        <v>10</v>
      </c>
      <c r="D51" s="78">
        <f t="shared" si="4"/>
        <v>91</v>
      </c>
      <c r="F51" s="80">
        <v>1</v>
      </c>
      <c r="G51" s="22">
        <v>47</v>
      </c>
      <c r="H51" s="78">
        <f t="shared" si="0"/>
        <v>3.087331992570264</v>
      </c>
      <c r="J51" s="80">
        <v>1</v>
      </c>
      <c r="K51" s="22">
        <f t="shared" si="2"/>
        <v>47</v>
      </c>
      <c r="L51" s="81">
        <f t="shared" si="1"/>
        <v>1.7570805310429753</v>
      </c>
    </row>
    <row r="52" spans="2:12" x14ac:dyDescent="0.25">
      <c r="B52" s="80">
        <f t="shared" si="3"/>
        <v>10</v>
      </c>
      <c r="D52" s="78">
        <f t="shared" si="4"/>
        <v>100</v>
      </c>
      <c r="F52" s="80">
        <v>1</v>
      </c>
      <c r="G52" s="22">
        <v>48</v>
      </c>
      <c r="H52" s="78">
        <f t="shared" si="0"/>
        <v>3.1622776601683795</v>
      </c>
      <c r="J52" s="80">
        <v>1</v>
      </c>
      <c r="K52" s="22">
        <f t="shared" si="2"/>
        <v>48</v>
      </c>
      <c r="L52" s="81">
        <f t="shared" si="1"/>
        <v>1.778279410038923</v>
      </c>
    </row>
    <row r="53" spans="2:12" x14ac:dyDescent="0.25">
      <c r="B53" s="80">
        <f>B29*10</f>
        <v>100</v>
      </c>
      <c r="D53" s="78">
        <f t="shared" si="4"/>
        <v>110</v>
      </c>
      <c r="F53" s="80">
        <v>1</v>
      </c>
      <c r="G53" s="22">
        <v>49</v>
      </c>
      <c r="H53" s="78">
        <f t="shared" si="0"/>
        <v>3.2390426504390306</v>
      </c>
      <c r="J53" s="80">
        <v>1</v>
      </c>
      <c r="K53" s="22">
        <f t="shared" si="2"/>
        <v>49</v>
      </c>
      <c r="L53" s="81">
        <f t="shared" si="1"/>
        <v>1.7997340499193293</v>
      </c>
    </row>
    <row r="54" spans="2:12" x14ac:dyDescent="0.25">
      <c r="B54" s="80">
        <f t="shared" ref="B54:B117" si="5">B30*10</f>
        <v>100</v>
      </c>
      <c r="D54" s="78">
        <f t="shared" si="4"/>
        <v>120</v>
      </c>
      <c r="F54" s="80">
        <v>1</v>
      </c>
      <c r="G54" s="22">
        <v>50</v>
      </c>
      <c r="H54" s="78">
        <f t="shared" si="0"/>
        <v>3.3176711278428579</v>
      </c>
      <c r="J54" s="80">
        <v>1</v>
      </c>
      <c r="K54" s="22">
        <f t="shared" si="2"/>
        <v>50</v>
      </c>
      <c r="L54" s="81">
        <f t="shared" si="1"/>
        <v>1.8214475363959453</v>
      </c>
    </row>
    <row r="55" spans="2:12" x14ac:dyDescent="0.25">
      <c r="B55" s="80">
        <f t="shared" si="5"/>
        <v>100</v>
      </c>
      <c r="D55" s="78">
        <f t="shared" si="4"/>
        <v>130</v>
      </c>
      <c r="F55" s="80">
        <v>1</v>
      </c>
      <c r="G55" s="22">
        <v>51</v>
      </c>
      <c r="H55" s="78">
        <f t="shared" si="0"/>
        <v>3.3982083289425593</v>
      </c>
      <c r="J55" s="80">
        <v>1</v>
      </c>
      <c r="K55" s="22">
        <f t="shared" si="2"/>
        <v>51</v>
      </c>
      <c r="L55" s="81">
        <f t="shared" si="1"/>
        <v>1.8434229924091106</v>
      </c>
    </row>
    <row r="56" spans="2:12" x14ac:dyDescent="0.25">
      <c r="B56" s="80">
        <f t="shared" si="5"/>
        <v>100</v>
      </c>
      <c r="D56" s="78">
        <f t="shared" si="4"/>
        <v>150</v>
      </c>
      <c r="F56" s="80">
        <v>1</v>
      </c>
      <c r="G56" s="22">
        <v>52</v>
      </c>
      <c r="H56" s="78">
        <f t="shared" si="0"/>
        <v>3.4807005884284106</v>
      </c>
      <c r="J56" s="80">
        <v>1</v>
      </c>
      <c r="K56" s="22">
        <f t="shared" si="2"/>
        <v>52</v>
      </c>
      <c r="L56" s="81">
        <f t="shared" si="1"/>
        <v>1.8656635785769122</v>
      </c>
    </row>
    <row r="57" spans="2:12" x14ac:dyDescent="0.25">
      <c r="B57" s="80">
        <f t="shared" si="5"/>
        <v>100</v>
      </c>
      <c r="D57" s="78">
        <f t="shared" si="4"/>
        <v>160</v>
      </c>
      <c r="F57" s="80">
        <v>1</v>
      </c>
      <c r="G57" s="22">
        <v>53</v>
      </c>
      <c r="H57" s="78">
        <f t="shared" si="0"/>
        <v>3.5651953657755495</v>
      </c>
      <c r="J57" s="80">
        <v>1</v>
      </c>
      <c r="K57" s="22">
        <f t="shared" si="2"/>
        <v>53</v>
      </c>
      <c r="L57" s="81">
        <f t="shared" si="1"/>
        <v>1.888172493649759</v>
      </c>
    </row>
    <row r="58" spans="2:12" x14ac:dyDescent="0.25">
      <c r="B58" s="80">
        <f t="shared" si="5"/>
        <v>100</v>
      </c>
      <c r="D58" s="78">
        <f t="shared" si="4"/>
        <v>180</v>
      </c>
      <c r="F58" s="80">
        <v>1</v>
      </c>
      <c r="G58" s="22">
        <v>54</v>
      </c>
      <c r="H58" s="78">
        <f t="shared" si="0"/>
        <v>3.6517412725483775</v>
      </c>
      <c r="J58" s="80">
        <v>1</v>
      </c>
      <c r="K58" s="22">
        <f t="shared" si="2"/>
        <v>54</v>
      </c>
      <c r="L58" s="81">
        <f t="shared" si="1"/>
        <v>1.9109529749704406</v>
      </c>
    </row>
    <row r="59" spans="2:12" x14ac:dyDescent="0.25">
      <c r="B59" s="80">
        <f t="shared" si="5"/>
        <v>100</v>
      </c>
      <c r="D59" s="78">
        <f t="shared" si="4"/>
        <v>200</v>
      </c>
      <c r="F59" s="80">
        <v>1</v>
      </c>
      <c r="G59" s="22">
        <v>55</v>
      </c>
      <c r="H59" s="78">
        <f t="shared" si="0"/>
        <v>3.7403881003677859</v>
      </c>
      <c r="J59" s="80">
        <v>1</v>
      </c>
      <c r="K59" s="22">
        <f t="shared" si="2"/>
        <v>55</v>
      </c>
      <c r="L59" s="81">
        <f t="shared" si="1"/>
        <v>1.9340082989397398</v>
      </c>
    </row>
    <row r="60" spans="2:12" x14ac:dyDescent="0.25">
      <c r="B60" s="80">
        <f t="shared" si="5"/>
        <v>100</v>
      </c>
      <c r="D60" s="78">
        <f t="shared" si="4"/>
        <v>220</v>
      </c>
      <c r="F60" s="80">
        <v>1</v>
      </c>
      <c r="G60" s="22">
        <v>56</v>
      </c>
      <c r="H60" s="78">
        <f t="shared" si="0"/>
        <v>3.8311868495572883</v>
      </c>
      <c r="J60" s="80">
        <v>1</v>
      </c>
      <c r="K60" s="22">
        <f t="shared" si="2"/>
        <v>56</v>
      </c>
      <c r="L60" s="81">
        <f t="shared" si="1"/>
        <v>1.9573417814876604</v>
      </c>
    </row>
    <row r="61" spans="2:12" x14ac:dyDescent="0.25">
      <c r="B61" s="80">
        <f t="shared" si="5"/>
        <v>100</v>
      </c>
      <c r="D61" s="78">
        <f t="shared" si="4"/>
        <v>240</v>
      </c>
      <c r="F61" s="80">
        <v>1</v>
      </c>
      <c r="G61" s="22">
        <v>57</v>
      </c>
      <c r="H61" s="78">
        <f t="shared" si="0"/>
        <v>3.9241897584845362</v>
      </c>
      <c r="J61" s="80">
        <v>1</v>
      </c>
      <c r="K61" s="22">
        <f t="shared" si="2"/>
        <v>57</v>
      </c>
      <c r="L61" s="81">
        <f t="shared" si="1"/>
        <v>1.9809567785503388</v>
      </c>
    </row>
    <row r="62" spans="2:12" x14ac:dyDescent="0.25">
      <c r="B62" s="80">
        <f t="shared" si="5"/>
        <v>100</v>
      </c>
      <c r="D62" s="78">
        <f t="shared" si="4"/>
        <v>270</v>
      </c>
      <c r="F62" s="80">
        <v>1</v>
      </c>
      <c r="G62" s="22">
        <v>58</v>
      </c>
      <c r="H62" s="78">
        <f t="shared" si="0"/>
        <v>4.0194503336151257</v>
      </c>
      <c r="J62" s="80">
        <v>1</v>
      </c>
      <c r="K62" s="22">
        <f t="shared" si="2"/>
        <v>58</v>
      </c>
      <c r="L62" s="81">
        <f t="shared" si="1"/>
        <v>2.0048566865527135</v>
      </c>
    </row>
    <row r="63" spans="2:12" x14ac:dyDescent="0.25">
      <c r="B63" s="80">
        <f t="shared" si="5"/>
        <v>100</v>
      </c>
      <c r="D63" s="78">
        <f t="shared" si="4"/>
        <v>300</v>
      </c>
      <c r="F63" s="80">
        <v>1</v>
      </c>
      <c r="G63" s="22">
        <v>59</v>
      </c>
      <c r="H63" s="78">
        <f t="shared" si="0"/>
        <v>4.1170233802959482</v>
      </c>
      <c r="J63" s="80">
        <v>1</v>
      </c>
      <c r="K63" s="22">
        <f t="shared" si="2"/>
        <v>59</v>
      </c>
      <c r="L63" s="81">
        <f t="shared" si="1"/>
        <v>2.0290449428970145</v>
      </c>
    </row>
    <row r="64" spans="2:12" x14ac:dyDescent="0.25">
      <c r="B64" s="80">
        <f t="shared" si="5"/>
        <v>100</v>
      </c>
      <c r="D64" s="78">
        <f t="shared" si="4"/>
        <v>330</v>
      </c>
      <c r="F64" s="80">
        <v>1</v>
      </c>
      <c r="G64" s="22">
        <v>60</v>
      </c>
      <c r="H64" s="78">
        <f t="shared" si="0"/>
        <v>4.2169650342858231</v>
      </c>
      <c r="J64" s="80">
        <v>1</v>
      </c>
      <c r="K64" s="22">
        <f t="shared" si="2"/>
        <v>60</v>
      </c>
      <c r="L64" s="81">
        <f t="shared" si="1"/>
        <v>2.0535250264571463</v>
      </c>
    </row>
    <row r="65" spans="2:12" x14ac:dyDescent="0.25">
      <c r="B65" s="80">
        <f t="shared" si="5"/>
        <v>100</v>
      </c>
      <c r="D65" s="78">
        <f t="shared" si="4"/>
        <v>360</v>
      </c>
      <c r="F65" s="80">
        <v>1</v>
      </c>
      <c r="G65" s="22">
        <v>61</v>
      </c>
      <c r="H65" s="78">
        <f t="shared" si="0"/>
        <v>4.3193327940515447</v>
      </c>
      <c r="J65" s="80">
        <v>1</v>
      </c>
      <c r="K65" s="22">
        <f t="shared" si="2"/>
        <v>61</v>
      </c>
      <c r="L65" s="81">
        <f t="shared" si="1"/>
        <v>2.0783004580790392</v>
      </c>
    </row>
    <row r="66" spans="2:12" x14ac:dyDescent="0.25">
      <c r="B66" s="80">
        <f t="shared" si="5"/>
        <v>100</v>
      </c>
      <c r="D66" s="78">
        <f t="shared" si="4"/>
        <v>390</v>
      </c>
      <c r="F66" s="80">
        <v>1</v>
      </c>
      <c r="G66" s="22">
        <v>62</v>
      </c>
      <c r="H66" s="78">
        <f t="shared" si="0"/>
        <v>4.4241855538479182</v>
      </c>
      <c r="J66" s="80">
        <v>1</v>
      </c>
      <c r="K66" s="22">
        <f t="shared" si="2"/>
        <v>62</v>
      </c>
      <c r="L66" s="81">
        <f t="shared" si="1"/>
        <v>2.1033748010870337</v>
      </c>
    </row>
    <row r="67" spans="2:12" x14ac:dyDescent="0.25">
      <c r="B67" s="80">
        <f t="shared" si="5"/>
        <v>100</v>
      </c>
      <c r="D67" s="78">
        <f t="shared" si="4"/>
        <v>430</v>
      </c>
      <c r="F67" s="80">
        <v>1</v>
      </c>
      <c r="G67" s="22">
        <v>63</v>
      </c>
      <c r="H67" s="78">
        <f t="shared" si="0"/>
        <v>4.5315836376008187</v>
      </c>
      <c r="J67" s="80">
        <v>1</v>
      </c>
      <c r="K67" s="22">
        <f t="shared" si="2"/>
        <v>63</v>
      </c>
      <c r="L67" s="81">
        <f t="shared" si="1"/>
        <v>2.1287516617963727</v>
      </c>
    </row>
    <row r="68" spans="2:12" x14ac:dyDescent="0.25">
      <c r="B68" s="80">
        <f t="shared" si="5"/>
        <v>100</v>
      </c>
      <c r="D68" s="78">
        <f t="shared" si="4"/>
        <v>470</v>
      </c>
      <c r="F68" s="80">
        <v>1</v>
      </c>
      <c r="G68" s="22">
        <v>64</v>
      </c>
      <c r="H68" s="78">
        <f t="shared" ref="H68:H131" si="6">F68*10^(G68/96)</f>
        <v>4.6415888336127793</v>
      </c>
      <c r="J68" s="80">
        <v>1</v>
      </c>
      <c r="K68" s="22">
        <f t="shared" si="2"/>
        <v>64</v>
      </c>
      <c r="L68" s="81">
        <f t="shared" si="1"/>
        <v>2.1544346900318838</v>
      </c>
    </row>
    <row r="69" spans="2:12" x14ac:dyDescent="0.25">
      <c r="B69" s="80">
        <f t="shared" si="5"/>
        <v>100</v>
      </c>
      <c r="D69" s="78">
        <f t="shared" si="4"/>
        <v>510</v>
      </c>
      <c r="F69" s="80">
        <v>1</v>
      </c>
      <c r="G69" s="22">
        <v>65</v>
      </c>
      <c r="H69" s="78">
        <f t="shared" si="6"/>
        <v>4.754264430111057</v>
      </c>
      <c r="J69" s="80">
        <v>1</v>
      </c>
      <c r="K69" s="22">
        <f t="shared" si="2"/>
        <v>65</v>
      </c>
      <c r="L69" s="81">
        <f t="shared" ref="L69:L132" si="7">J69*10^(K69/192)</f>
        <v>2.1804275796529122</v>
      </c>
    </row>
    <row r="70" spans="2:12" x14ac:dyDescent="0.25">
      <c r="B70" s="80">
        <f t="shared" si="5"/>
        <v>100</v>
      </c>
      <c r="D70" s="78">
        <f t="shared" si="4"/>
        <v>560</v>
      </c>
      <c r="F70" s="80">
        <v>1</v>
      </c>
      <c r="G70" s="22">
        <v>66</v>
      </c>
      <c r="H70" s="78">
        <f t="shared" si="6"/>
        <v>4.8696752516586317</v>
      </c>
      <c r="J70" s="80">
        <v>1</v>
      </c>
      <c r="K70" s="22">
        <f t="shared" ref="K70:K133" si="8">K69+1</f>
        <v>66</v>
      </c>
      <c r="L70" s="81">
        <f t="shared" si="7"/>
        <v>2.20673406908459</v>
      </c>
    </row>
    <row r="71" spans="2:12" x14ac:dyDescent="0.25">
      <c r="B71" s="80">
        <f t="shared" si="5"/>
        <v>100</v>
      </c>
      <c r="D71" s="78">
        <f t="shared" si="4"/>
        <v>620</v>
      </c>
      <c r="F71" s="80">
        <v>1</v>
      </c>
      <c r="G71" s="22">
        <v>67</v>
      </c>
      <c r="H71" s="78">
        <f t="shared" si="6"/>
        <v>4.9878876964491061</v>
      </c>
      <c r="J71" s="80">
        <v>1</v>
      </c>
      <c r="K71" s="22">
        <f t="shared" si="8"/>
        <v>67</v>
      </c>
      <c r="L71" s="81">
        <f t="shared" si="7"/>
        <v>2.2333579418555161</v>
      </c>
    </row>
    <row r="72" spans="2:12" x14ac:dyDescent="0.25">
      <c r="B72" s="80">
        <f t="shared" si="5"/>
        <v>100</v>
      </c>
      <c r="D72" s="78">
        <f t="shared" si="4"/>
        <v>680</v>
      </c>
      <c r="F72" s="80">
        <v>1</v>
      </c>
      <c r="G72" s="22">
        <v>68</v>
      </c>
      <c r="H72" s="78">
        <f t="shared" si="6"/>
        <v>5.1089697745069289</v>
      </c>
      <c r="J72" s="80">
        <v>1</v>
      </c>
      <c r="K72" s="22">
        <f t="shared" si="8"/>
        <v>68</v>
      </c>
      <c r="L72" s="81">
        <f t="shared" si="7"/>
        <v>2.2603030271419202</v>
      </c>
    </row>
    <row r="73" spans="2:12" x14ac:dyDescent="0.25">
      <c r="B73" s="80">
        <f t="shared" si="5"/>
        <v>100</v>
      </c>
      <c r="D73" s="78">
        <f t="shared" si="4"/>
        <v>750</v>
      </c>
      <c r="F73" s="80">
        <v>1</v>
      </c>
      <c r="G73" s="22">
        <v>69</v>
      </c>
      <c r="H73" s="78">
        <f t="shared" si="6"/>
        <v>5.2329911468149479</v>
      </c>
      <c r="J73" s="80">
        <v>1</v>
      </c>
      <c r="K73" s="22">
        <f t="shared" si="8"/>
        <v>69</v>
      </c>
      <c r="L73" s="81">
        <f t="shared" si="7"/>
        <v>2.2875732003183962</v>
      </c>
    </row>
    <row r="74" spans="2:12" x14ac:dyDescent="0.25">
      <c r="B74" s="80">
        <f t="shared" si="5"/>
        <v>100</v>
      </c>
      <c r="D74" s="78">
        <f t="shared" si="4"/>
        <v>820</v>
      </c>
      <c r="F74" s="80">
        <v>1</v>
      </c>
      <c r="G74" s="22">
        <v>70</v>
      </c>
      <c r="H74" s="78">
        <f t="shared" si="6"/>
        <v>5.3600231653917918</v>
      </c>
      <c r="J74" s="80">
        <v>1</v>
      </c>
      <c r="K74" s="22">
        <f t="shared" si="8"/>
        <v>70</v>
      </c>
      <c r="L74" s="81">
        <f t="shared" si="7"/>
        <v>2.3151723835152733</v>
      </c>
    </row>
    <row r="75" spans="2:12" x14ac:dyDescent="0.25">
      <c r="B75" s="80">
        <f t="shared" si="5"/>
        <v>100</v>
      </c>
      <c r="D75" s="78">
        <f t="shared" si="4"/>
        <v>910</v>
      </c>
      <c r="F75" s="80">
        <v>1</v>
      </c>
      <c r="G75" s="22">
        <v>71</v>
      </c>
      <c r="H75" s="78">
        <f t="shared" si="6"/>
        <v>5.4901389143421415</v>
      </c>
      <c r="J75" s="80">
        <v>1</v>
      </c>
      <c r="K75" s="22">
        <f t="shared" si="8"/>
        <v>71</v>
      </c>
      <c r="L75" s="81">
        <f t="shared" si="7"/>
        <v>2.3431045461827225</v>
      </c>
    </row>
    <row r="76" spans="2:12" x14ac:dyDescent="0.25">
      <c r="B76" s="80">
        <f t="shared" si="5"/>
        <v>100</v>
      </c>
      <c r="D76" s="78">
        <f t="shared" si="4"/>
        <v>1000</v>
      </c>
      <c r="F76" s="80">
        <v>1</v>
      </c>
      <c r="G76" s="22">
        <v>72</v>
      </c>
      <c r="H76" s="78">
        <f t="shared" si="6"/>
        <v>5.6234132519034921</v>
      </c>
      <c r="J76" s="80">
        <v>1</v>
      </c>
      <c r="K76" s="22">
        <f t="shared" si="8"/>
        <v>72</v>
      </c>
      <c r="L76" s="81">
        <f t="shared" si="7"/>
        <v>2.3713737056616555</v>
      </c>
    </row>
    <row r="77" spans="2:12" x14ac:dyDescent="0.25">
      <c r="B77" s="80">
        <f t="shared" si="5"/>
        <v>1000</v>
      </c>
      <c r="D77" s="78">
        <f t="shared" si="4"/>
        <v>1100</v>
      </c>
      <c r="F77" s="80">
        <v>1</v>
      </c>
      <c r="G77" s="22">
        <v>73</v>
      </c>
      <c r="H77" s="78">
        <f t="shared" si="6"/>
        <v>5.7599228535136282</v>
      </c>
      <c r="J77" s="80">
        <v>1</v>
      </c>
      <c r="K77" s="22">
        <f t="shared" si="8"/>
        <v>73</v>
      </c>
      <c r="L77" s="81">
        <f t="shared" si="7"/>
        <v>2.3999839277615234</v>
      </c>
    </row>
    <row r="78" spans="2:12" x14ac:dyDescent="0.25">
      <c r="B78" s="80">
        <f t="shared" si="5"/>
        <v>1000</v>
      </c>
      <c r="D78" s="78">
        <f t="shared" si="4"/>
        <v>1200</v>
      </c>
      <c r="F78" s="80">
        <v>1</v>
      </c>
      <c r="G78" s="22">
        <v>74</v>
      </c>
      <c r="H78" s="78">
        <f t="shared" si="6"/>
        <v>5.8997462559235654</v>
      </c>
      <c r="J78" s="80">
        <v>1</v>
      </c>
      <c r="K78" s="22">
        <f t="shared" si="8"/>
        <v>74</v>
      </c>
      <c r="L78" s="81">
        <f t="shared" si="7"/>
        <v>2.4289393273450792</v>
      </c>
    </row>
    <row r="79" spans="2:12" x14ac:dyDescent="0.25">
      <c r="B79" s="80">
        <f t="shared" si="5"/>
        <v>1000</v>
      </c>
      <c r="D79" s="78">
        <f t="shared" si="4"/>
        <v>1300</v>
      </c>
      <c r="F79" s="80">
        <v>1</v>
      </c>
      <c r="G79" s="22">
        <v>75</v>
      </c>
      <c r="H79" s="78">
        <f t="shared" si="6"/>
        <v>6.0429639023813291</v>
      </c>
      <c r="J79" s="80">
        <v>1</v>
      </c>
      <c r="K79" s="22">
        <f t="shared" si="8"/>
        <v>75</v>
      </c>
      <c r="L79" s="81">
        <f t="shared" si="7"/>
        <v>2.4582440689201976</v>
      </c>
    </row>
    <row r="80" spans="2:12" x14ac:dyDescent="0.25">
      <c r="B80" s="80">
        <f t="shared" si="5"/>
        <v>1000</v>
      </c>
      <c r="D80" s="78">
        <f t="shared" si="4"/>
        <v>1500</v>
      </c>
      <c r="F80" s="80">
        <v>1</v>
      </c>
      <c r="G80" s="22">
        <v>76</v>
      </c>
      <c r="H80" s="78">
        <f t="shared" si="6"/>
        <v>6.1896581889126061</v>
      </c>
      <c r="J80" s="80">
        <v>1</v>
      </c>
      <c r="K80" s="22">
        <f t="shared" si="8"/>
        <v>76</v>
      </c>
      <c r="L80" s="81">
        <f t="shared" si="7"/>
        <v>2.4879023672388363</v>
      </c>
    </row>
    <row r="81" spans="2:12" x14ac:dyDescent="0.25">
      <c r="B81" s="80">
        <f t="shared" si="5"/>
        <v>1000</v>
      </c>
      <c r="D81" s="78">
        <f t="shared" si="4"/>
        <v>1600</v>
      </c>
      <c r="F81" s="80">
        <v>1</v>
      </c>
      <c r="G81" s="22">
        <v>77</v>
      </c>
      <c r="H81" s="78">
        <f t="shared" si="6"/>
        <v>6.3399135117248457</v>
      </c>
      <c r="J81" s="80">
        <v>1</v>
      </c>
      <c r="K81" s="22">
        <f t="shared" si="8"/>
        <v>77</v>
      </c>
      <c r="L81" s="81">
        <f t="shared" si="7"/>
        <v>2.5179184879032217</v>
      </c>
    </row>
    <row r="82" spans="2:12" x14ac:dyDescent="0.25">
      <c r="B82" s="80">
        <f t="shared" si="5"/>
        <v>1000</v>
      </c>
      <c r="D82" s="78">
        <f t="shared" si="4"/>
        <v>1800</v>
      </c>
      <c r="F82" s="80">
        <v>1</v>
      </c>
      <c r="G82" s="22">
        <v>78</v>
      </c>
      <c r="H82" s="78">
        <f t="shared" si="6"/>
        <v>6.4938163157621149</v>
      </c>
      <c r="J82" s="80">
        <v>1</v>
      </c>
      <c r="K82" s="22">
        <f t="shared" si="8"/>
        <v>78</v>
      </c>
      <c r="L82" s="81">
        <f t="shared" si="7"/>
        <v>2.548296747979347</v>
      </c>
    </row>
    <row r="83" spans="2:12" x14ac:dyDescent="0.25">
      <c r="B83" s="80">
        <f t="shared" si="5"/>
        <v>1000</v>
      </c>
      <c r="D83" s="78">
        <f t="shared" si="4"/>
        <v>2000</v>
      </c>
      <c r="F83" s="80">
        <v>1</v>
      </c>
      <c r="G83" s="22">
        <v>79</v>
      </c>
      <c r="H83" s="78">
        <f t="shared" si="6"/>
        <v>6.6514551444386338</v>
      </c>
      <c r="J83" s="80">
        <v>1</v>
      </c>
      <c r="K83" s="22">
        <f t="shared" si="8"/>
        <v>79</v>
      </c>
      <c r="L83" s="81">
        <f t="shared" si="7"/>
        <v>2.5790415166178762</v>
      </c>
    </row>
    <row r="84" spans="2:12" x14ac:dyDescent="0.25">
      <c r="B84" s="80">
        <f t="shared" si="5"/>
        <v>1000</v>
      </c>
      <c r="D84" s="78">
        <f t="shared" si="4"/>
        <v>2200</v>
      </c>
      <c r="F84" s="80">
        <v>1</v>
      </c>
      <c r="G84" s="22">
        <v>80</v>
      </c>
      <c r="H84" s="78">
        <f t="shared" si="6"/>
        <v>6.812920690579614</v>
      </c>
      <c r="J84" s="80">
        <v>1</v>
      </c>
      <c r="K84" s="22">
        <f t="shared" si="8"/>
        <v>80</v>
      </c>
      <c r="L84" s="81">
        <f t="shared" si="7"/>
        <v>2.6101572156825372</v>
      </c>
    </row>
    <row r="85" spans="2:12" x14ac:dyDescent="0.25">
      <c r="B85" s="80">
        <f t="shared" si="5"/>
        <v>1000</v>
      </c>
      <c r="D85" s="78">
        <f t="shared" si="4"/>
        <v>2400</v>
      </c>
      <c r="F85" s="80">
        <v>1</v>
      </c>
      <c r="G85" s="22">
        <v>81</v>
      </c>
      <c r="H85" s="78">
        <f t="shared" si="6"/>
        <v>6.9783058485986649</v>
      </c>
      <c r="J85" s="80">
        <v>1</v>
      </c>
      <c r="K85" s="22">
        <f t="shared" si="8"/>
        <v>81</v>
      </c>
      <c r="L85" s="81">
        <f t="shared" si="7"/>
        <v>2.6416483203860928</v>
      </c>
    </row>
    <row r="86" spans="2:12" x14ac:dyDescent="0.25">
      <c r="B86" s="80">
        <f t="shared" si="5"/>
        <v>1000</v>
      </c>
      <c r="D86" s="78">
        <f t="shared" si="4"/>
        <v>2700</v>
      </c>
      <c r="F86" s="80">
        <v>1</v>
      </c>
      <c r="G86" s="22">
        <v>82</v>
      </c>
      <c r="H86" s="78">
        <f t="shared" si="6"/>
        <v>7.147705767941857</v>
      </c>
      <c r="J86" s="80">
        <v>1</v>
      </c>
      <c r="K86" s="22">
        <f t="shared" si="8"/>
        <v>82</v>
      </c>
      <c r="L86" s="81">
        <f t="shared" si="7"/>
        <v>2.6735193599339908</v>
      </c>
    </row>
    <row r="87" spans="2:12" x14ac:dyDescent="0.25">
      <c r="B87" s="80">
        <f t="shared" si="5"/>
        <v>1000</v>
      </c>
      <c r="D87" s="78">
        <f t="shared" si="4"/>
        <v>3000</v>
      </c>
      <c r="F87" s="80">
        <v>1</v>
      </c>
      <c r="G87" s="22">
        <v>83</v>
      </c>
      <c r="H87" s="78">
        <f t="shared" si="6"/>
        <v>7.3212179078291308</v>
      </c>
      <c r="J87" s="80">
        <v>1</v>
      </c>
      <c r="K87" s="22">
        <f t="shared" si="8"/>
        <v>83</v>
      </c>
      <c r="L87" s="81">
        <f t="shared" si="7"/>
        <v>2.7057749181757766</v>
      </c>
    </row>
    <row r="88" spans="2:12" x14ac:dyDescent="0.25">
      <c r="B88" s="80">
        <f t="shared" si="5"/>
        <v>1000</v>
      </c>
      <c r="D88" s="78">
        <f t="shared" si="4"/>
        <v>3300</v>
      </c>
      <c r="F88" s="80">
        <v>1</v>
      </c>
      <c r="G88" s="22">
        <v>84</v>
      </c>
      <c r="H88" s="78">
        <f t="shared" si="6"/>
        <v>7.4989420933245592</v>
      </c>
      <c r="J88" s="80">
        <v>1</v>
      </c>
      <c r="K88" s="22">
        <f t="shared" si="8"/>
        <v>84</v>
      </c>
      <c r="L88" s="81">
        <f t="shared" si="7"/>
        <v>2.7384196342643614</v>
      </c>
    </row>
    <row r="89" spans="2:12" x14ac:dyDescent="0.25">
      <c r="B89" s="80">
        <f t="shared" si="5"/>
        <v>1000</v>
      </c>
      <c r="D89" s="78">
        <f t="shared" si="4"/>
        <v>3600</v>
      </c>
      <c r="F89" s="80">
        <v>1</v>
      </c>
      <c r="G89" s="22">
        <v>85</v>
      </c>
      <c r="H89" s="78">
        <f t="shared" si="6"/>
        <v>7.6809805727677549</v>
      </c>
      <c r="J89" s="80">
        <v>1</v>
      </c>
      <c r="K89" s="22">
        <f t="shared" si="8"/>
        <v>85</v>
      </c>
      <c r="L89" s="81">
        <f t="shared" si="7"/>
        <v>2.7714582033232533</v>
      </c>
    </row>
    <row r="90" spans="2:12" x14ac:dyDescent="0.25">
      <c r="B90" s="80">
        <f t="shared" si="5"/>
        <v>1000</v>
      </c>
      <c r="D90" s="78">
        <f t="shared" si="4"/>
        <v>3900</v>
      </c>
      <c r="F90" s="80">
        <v>1</v>
      </c>
      <c r="G90" s="22">
        <v>86</v>
      </c>
      <c r="H90" s="78">
        <f t="shared" si="6"/>
        <v>7.8674380765994032</v>
      </c>
      <c r="J90" s="80">
        <v>1</v>
      </c>
      <c r="K90" s="22">
        <f t="shared" si="8"/>
        <v>86</v>
      </c>
      <c r="L90" s="81">
        <f t="shared" si="7"/>
        <v>2.8048953771218281</v>
      </c>
    </row>
    <row r="91" spans="2:12" x14ac:dyDescent="0.25">
      <c r="B91" s="80">
        <f t="shared" si="5"/>
        <v>1000</v>
      </c>
      <c r="D91" s="78">
        <f t="shared" si="4"/>
        <v>4300</v>
      </c>
      <c r="F91" s="80">
        <v>1</v>
      </c>
      <c r="G91" s="22">
        <v>87</v>
      </c>
      <c r="H91" s="78">
        <f t="shared" si="6"/>
        <v>8.0584218776148191</v>
      </c>
      <c r="J91" s="80">
        <v>1</v>
      </c>
      <c r="K91" s="22">
        <f t="shared" si="8"/>
        <v>87</v>
      </c>
      <c r="L91" s="81">
        <f t="shared" si="7"/>
        <v>2.8387359647587549</v>
      </c>
    </row>
    <row r="92" spans="2:12" x14ac:dyDescent="0.25">
      <c r="B92" s="80">
        <f t="shared" si="5"/>
        <v>1000</v>
      </c>
      <c r="D92" s="78">
        <f t="shared" si="4"/>
        <v>4700</v>
      </c>
      <c r="F92" s="80">
        <v>1</v>
      </c>
      <c r="G92" s="22">
        <v>88</v>
      </c>
      <c r="H92" s="78">
        <f t="shared" si="6"/>
        <v>8.2540418526801833</v>
      </c>
      <c r="J92" s="80">
        <v>1</v>
      </c>
      <c r="K92" s="22">
        <f t="shared" si="8"/>
        <v>88</v>
      </c>
      <c r="L92" s="81">
        <f t="shared" si="7"/>
        <v>2.8729848333536645</v>
      </c>
    </row>
    <row r="93" spans="2:12" x14ac:dyDescent="0.25">
      <c r="B93" s="80">
        <f t="shared" si="5"/>
        <v>1000</v>
      </c>
      <c r="D93" s="78">
        <f t="shared" si="4"/>
        <v>5100</v>
      </c>
      <c r="F93" s="80">
        <v>1</v>
      </c>
      <c r="G93" s="22">
        <v>89</v>
      </c>
      <c r="H93" s="78">
        <f t="shared" si="6"/>
        <v>8.4544105459469243</v>
      </c>
      <c r="J93" s="80">
        <v>1</v>
      </c>
      <c r="K93" s="22">
        <f t="shared" si="8"/>
        <v>89</v>
      </c>
      <c r="L93" s="81">
        <f t="shared" si="7"/>
        <v>2.9076469087471617</v>
      </c>
    </row>
    <row r="94" spans="2:12" x14ac:dyDescent="0.25">
      <c r="B94" s="80">
        <f t="shared" si="5"/>
        <v>1000</v>
      </c>
      <c r="D94" s="78">
        <f t="shared" ref="D94:D157" si="9">D70*10</f>
        <v>5600</v>
      </c>
      <c r="F94" s="80">
        <v>1</v>
      </c>
      <c r="G94" s="22">
        <v>90</v>
      </c>
      <c r="H94" s="78">
        <f t="shared" si="6"/>
        <v>8.6596432336006561</v>
      </c>
      <c r="J94" s="80">
        <v>1</v>
      </c>
      <c r="K94" s="22">
        <f t="shared" si="8"/>
        <v>90</v>
      </c>
      <c r="L94" s="81">
        <f t="shared" si="7"/>
        <v>2.9427271762092824</v>
      </c>
    </row>
    <row r="95" spans="2:12" x14ac:dyDescent="0.25">
      <c r="B95" s="80">
        <f t="shared" si="5"/>
        <v>1000</v>
      </c>
      <c r="D95" s="78">
        <f t="shared" si="9"/>
        <v>6200</v>
      </c>
      <c r="F95" s="80">
        <v>1</v>
      </c>
      <c r="G95" s="22">
        <v>91</v>
      </c>
      <c r="H95" s="78">
        <f t="shared" si="6"/>
        <v>8.8698579901819183</v>
      </c>
      <c r="J95" s="80">
        <v>1</v>
      </c>
      <c r="K95" s="22">
        <f t="shared" si="8"/>
        <v>91</v>
      </c>
      <c r="L95" s="81">
        <f t="shared" si="7"/>
        <v>2.9782306811565014</v>
      </c>
    </row>
    <row r="96" spans="2:12" x14ac:dyDescent="0.25">
      <c r="B96" s="80">
        <f t="shared" si="5"/>
        <v>1000</v>
      </c>
      <c r="D96" s="78">
        <f t="shared" si="9"/>
        <v>6800</v>
      </c>
      <c r="F96" s="80">
        <v>1</v>
      </c>
      <c r="G96" s="22">
        <v>92</v>
      </c>
      <c r="H96" s="78">
        <f t="shared" si="6"/>
        <v>9.08517575651687</v>
      </c>
      <c r="J96" s="80">
        <v>1</v>
      </c>
      <c r="K96" s="22">
        <f t="shared" si="8"/>
        <v>92</v>
      </c>
      <c r="L96" s="81">
        <f t="shared" si="7"/>
        <v>3.0141625298773906</v>
      </c>
    </row>
    <row r="97" spans="2:12" x14ac:dyDescent="0.25">
      <c r="B97" s="80">
        <f t="shared" si="5"/>
        <v>1000</v>
      </c>
      <c r="D97" s="78">
        <f t="shared" si="9"/>
        <v>7500</v>
      </c>
      <c r="F97" s="80">
        <v>1</v>
      </c>
      <c r="G97" s="22">
        <v>93</v>
      </c>
      <c r="H97" s="78">
        <f t="shared" si="6"/>
        <v>9.3057204092969901</v>
      </c>
      <c r="J97" s="80">
        <v>1</v>
      </c>
      <c r="K97" s="22">
        <f t="shared" si="8"/>
        <v>93</v>
      </c>
      <c r="L97" s="81">
        <f t="shared" si="7"/>
        <v>3.0505278902670256</v>
      </c>
    </row>
    <row r="98" spans="2:12" x14ac:dyDescent="0.25">
      <c r="B98" s="80">
        <f t="shared" si="5"/>
        <v>1000</v>
      </c>
      <c r="D98" s="78">
        <f t="shared" si="9"/>
        <v>8200</v>
      </c>
      <c r="F98" s="80">
        <v>1</v>
      </c>
      <c r="G98" s="22">
        <v>94</v>
      </c>
      <c r="H98" s="78">
        <f t="shared" si="6"/>
        <v>9.5316188323478777</v>
      </c>
      <c r="J98" s="80">
        <v>1</v>
      </c>
      <c r="K98" s="22">
        <f t="shared" si="8"/>
        <v>94</v>
      </c>
      <c r="L98" s="81">
        <f t="shared" si="7"/>
        <v>3.087331992570264</v>
      </c>
    </row>
    <row r="99" spans="2:12" x14ac:dyDescent="0.25">
      <c r="B99" s="80">
        <f t="shared" si="5"/>
        <v>1000</v>
      </c>
      <c r="D99" s="78">
        <f t="shared" si="9"/>
        <v>9100</v>
      </c>
      <c r="F99" s="80">
        <v>1</v>
      </c>
      <c r="G99" s="22">
        <v>95</v>
      </c>
      <c r="H99" s="78">
        <f t="shared" si="6"/>
        <v>9.7630009896280789</v>
      </c>
      <c r="J99" s="80">
        <v>1</v>
      </c>
      <c r="K99" s="22">
        <f t="shared" si="8"/>
        <v>95</v>
      </c>
      <c r="L99" s="81">
        <f t="shared" si="7"/>
        <v>3.1245801301339799</v>
      </c>
    </row>
    <row r="100" spans="2:12" x14ac:dyDescent="0.25">
      <c r="B100" s="80">
        <f t="shared" si="5"/>
        <v>1000</v>
      </c>
      <c r="D100" s="78">
        <f t="shared" si="9"/>
        <v>10000</v>
      </c>
      <c r="F100" s="80">
        <v>1</v>
      </c>
      <c r="G100" s="22">
        <v>96</v>
      </c>
      <c r="H100" s="78">
        <f t="shared" si="6"/>
        <v>10</v>
      </c>
      <c r="J100" s="80">
        <v>1</v>
      </c>
      <c r="K100" s="22">
        <f t="shared" si="8"/>
        <v>96</v>
      </c>
      <c r="L100" s="81">
        <f t="shared" si="7"/>
        <v>3.1622776601683795</v>
      </c>
    </row>
    <row r="101" spans="2:12" x14ac:dyDescent="0.25">
      <c r="B101" s="80">
        <f t="shared" si="5"/>
        <v>10000</v>
      </c>
      <c r="D101" s="78">
        <f t="shared" si="9"/>
        <v>11000</v>
      </c>
      <c r="F101" s="80">
        <v>10</v>
      </c>
      <c r="G101" s="22">
        <v>1</v>
      </c>
      <c r="H101" s="78">
        <f t="shared" si="6"/>
        <v>10.242752213815923</v>
      </c>
      <c r="J101" s="80">
        <v>1</v>
      </c>
      <c r="K101" s="22">
        <f t="shared" si="8"/>
        <v>97</v>
      </c>
      <c r="L101" s="81">
        <f t="shared" si="7"/>
        <v>3.2004300045175067</v>
      </c>
    </row>
    <row r="102" spans="2:12" x14ac:dyDescent="0.25">
      <c r="B102" s="80">
        <f t="shared" si="5"/>
        <v>10000</v>
      </c>
      <c r="D102" s="78">
        <f t="shared" si="9"/>
        <v>12000</v>
      </c>
      <c r="F102" s="80">
        <v>10</v>
      </c>
      <c r="G102" s="22">
        <v>2</v>
      </c>
      <c r="H102" s="78">
        <f t="shared" si="6"/>
        <v>10.491397291363098</v>
      </c>
      <c r="J102" s="80">
        <v>1</v>
      </c>
      <c r="K102" s="22">
        <f t="shared" si="8"/>
        <v>98</v>
      </c>
      <c r="L102" s="81">
        <f t="shared" si="7"/>
        <v>3.2390426504390306</v>
      </c>
    </row>
    <row r="103" spans="2:12" x14ac:dyDescent="0.25">
      <c r="B103" s="80">
        <f t="shared" si="5"/>
        <v>10000</v>
      </c>
      <c r="D103" s="78">
        <f t="shared" si="9"/>
        <v>13000</v>
      </c>
      <c r="F103" s="80">
        <v>10</v>
      </c>
      <c r="G103" s="22">
        <v>3</v>
      </c>
      <c r="H103" s="78">
        <f t="shared" si="6"/>
        <v>10.746078283213174</v>
      </c>
      <c r="J103" s="80">
        <v>1</v>
      </c>
      <c r="K103" s="22">
        <f t="shared" si="8"/>
        <v>99</v>
      </c>
      <c r="L103" s="81">
        <f t="shared" si="7"/>
        <v>3.2781211513934592</v>
      </c>
    </row>
    <row r="104" spans="2:12" x14ac:dyDescent="0.25">
      <c r="B104" s="80">
        <f t="shared" si="5"/>
        <v>10000</v>
      </c>
      <c r="D104" s="78">
        <f t="shared" si="9"/>
        <v>15000</v>
      </c>
      <c r="F104" s="80">
        <v>10</v>
      </c>
      <c r="G104" s="22">
        <v>4</v>
      </c>
      <c r="H104" s="78">
        <f t="shared" si="6"/>
        <v>11.006941712522096</v>
      </c>
      <c r="J104" s="80">
        <v>1</v>
      </c>
      <c r="K104" s="22">
        <f t="shared" si="8"/>
        <v>100</v>
      </c>
      <c r="L104" s="81">
        <f t="shared" si="7"/>
        <v>3.3176711278428579</v>
      </c>
    </row>
    <row r="105" spans="2:12" x14ac:dyDescent="0.25">
      <c r="B105" s="80">
        <f t="shared" si="5"/>
        <v>10000</v>
      </c>
      <c r="D105" s="78">
        <f t="shared" si="9"/>
        <v>16000</v>
      </c>
      <c r="F105" s="80">
        <v>10</v>
      </c>
      <c r="G105" s="22">
        <v>5</v>
      </c>
      <c r="H105" s="78">
        <f t="shared" si="6"/>
        <v>11.274137659327852</v>
      </c>
      <c r="J105" s="80">
        <v>1</v>
      </c>
      <c r="K105" s="22">
        <f t="shared" si="8"/>
        <v>101</v>
      </c>
      <c r="L105" s="81">
        <f t="shared" si="7"/>
        <v>3.3576982680592149</v>
      </c>
    </row>
    <row r="106" spans="2:12" x14ac:dyDescent="0.25">
      <c r="B106" s="80">
        <f t="shared" si="5"/>
        <v>10000</v>
      </c>
      <c r="D106" s="78">
        <f t="shared" si="9"/>
        <v>18000</v>
      </c>
      <c r="F106" s="80">
        <v>10</v>
      </c>
      <c r="G106" s="22">
        <v>6</v>
      </c>
      <c r="H106" s="78">
        <f t="shared" si="6"/>
        <v>11.547819846894583</v>
      </c>
      <c r="J106" s="80">
        <v>1</v>
      </c>
      <c r="K106" s="22">
        <f t="shared" si="8"/>
        <v>102</v>
      </c>
      <c r="L106" s="81">
        <f t="shared" si="7"/>
        <v>3.3982083289425593</v>
      </c>
    </row>
    <row r="107" spans="2:12" x14ac:dyDescent="0.25">
      <c r="B107" s="80">
        <f t="shared" si="5"/>
        <v>10000</v>
      </c>
      <c r="D107" s="78">
        <f t="shared" si="9"/>
        <v>20000</v>
      </c>
      <c r="F107" s="80">
        <v>10</v>
      </c>
      <c r="G107" s="22">
        <v>7</v>
      </c>
      <c r="H107" s="78">
        <f t="shared" si="6"/>
        <v>11.828145730152693</v>
      </c>
      <c r="J107" s="80">
        <v>1</v>
      </c>
      <c r="K107" s="22">
        <f t="shared" si="8"/>
        <v>103</v>
      </c>
      <c r="L107" s="81">
        <f t="shared" si="7"/>
        <v>3.4392071368489416</v>
      </c>
    </row>
    <row r="108" spans="2:12" x14ac:dyDescent="0.25">
      <c r="B108" s="80">
        <f t="shared" si="5"/>
        <v>10000</v>
      </c>
      <c r="D108" s="78">
        <f t="shared" si="9"/>
        <v>22000</v>
      </c>
      <c r="F108" s="80">
        <v>10</v>
      </c>
      <c r="G108" s="22">
        <v>8</v>
      </c>
      <c r="H108" s="78">
        <f t="shared" si="6"/>
        <v>12.115276586285885</v>
      </c>
      <c r="J108" s="80">
        <v>1</v>
      </c>
      <c r="K108" s="22">
        <f t="shared" si="8"/>
        <v>104</v>
      </c>
      <c r="L108" s="81">
        <f t="shared" si="7"/>
        <v>3.4807005884284106</v>
      </c>
    </row>
    <row r="109" spans="2:12" x14ac:dyDescent="0.25">
      <c r="B109" s="80">
        <f t="shared" si="5"/>
        <v>10000</v>
      </c>
      <c r="D109" s="78">
        <f t="shared" si="9"/>
        <v>24000</v>
      </c>
      <c r="F109" s="80">
        <v>10</v>
      </c>
      <c r="G109" s="22">
        <v>9</v>
      </c>
      <c r="H109" s="78">
        <f t="shared" si="6"/>
        <v>12.409377607517197</v>
      </c>
      <c r="J109" s="80">
        <v>1</v>
      </c>
      <c r="K109" s="22">
        <f t="shared" si="8"/>
        <v>105</v>
      </c>
      <c r="L109" s="81">
        <f t="shared" si="7"/>
        <v>3.5226946514731017</v>
      </c>
    </row>
    <row r="110" spans="2:12" x14ac:dyDescent="0.25">
      <c r="B110" s="80">
        <f t="shared" si="5"/>
        <v>10000</v>
      </c>
      <c r="D110" s="78">
        <f t="shared" si="9"/>
        <v>27000</v>
      </c>
      <c r="F110" s="80">
        <v>10</v>
      </c>
      <c r="G110" s="22">
        <v>10</v>
      </c>
      <c r="H110" s="78">
        <f t="shared" si="6"/>
        <v>12.710617996147448</v>
      </c>
      <c r="J110" s="80">
        <v>1</v>
      </c>
      <c r="K110" s="22">
        <f t="shared" si="8"/>
        <v>106</v>
      </c>
      <c r="L110" s="81">
        <f t="shared" si="7"/>
        <v>3.5651953657755495</v>
      </c>
    </row>
    <row r="111" spans="2:12" x14ac:dyDescent="0.25">
      <c r="B111" s="80">
        <f t="shared" si="5"/>
        <v>10000</v>
      </c>
      <c r="D111" s="78">
        <f t="shared" si="9"/>
        <v>30000</v>
      </c>
      <c r="F111" s="80">
        <v>10</v>
      </c>
      <c r="G111" s="22">
        <v>11</v>
      </c>
      <c r="H111" s="78">
        <f t="shared" si="6"/>
        <v>13.019171061900778</v>
      </c>
      <c r="J111" s="80">
        <v>1</v>
      </c>
      <c r="K111" s="22">
        <f t="shared" si="8"/>
        <v>107</v>
      </c>
      <c r="L111" s="81">
        <f t="shared" si="7"/>
        <v>3.6082088439973621</v>
      </c>
    </row>
    <row r="112" spans="2:12" x14ac:dyDescent="0.25">
      <c r="B112" s="80">
        <f t="shared" si="5"/>
        <v>10000</v>
      </c>
      <c r="D112" s="78">
        <f t="shared" si="9"/>
        <v>33000</v>
      </c>
      <c r="F112" s="80">
        <v>10</v>
      </c>
      <c r="G112" s="22">
        <v>12</v>
      </c>
      <c r="H112" s="78">
        <f t="shared" si="6"/>
        <v>13.33521432163324</v>
      </c>
      <c r="J112" s="80">
        <v>1</v>
      </c>
      <c r="K112" s="22">
        <f t="shared" si="8"/>
        <v>108</v>
      </c>
      <c r="L112" s="81">
        <f t="shared" si="7"/>
        <v>3.6517412725483775</v>
      </c>
    </row>
    <row r="113" spans="2:12" x14ac:dyDescent="0.25">
      <c r="B113" s="80">
        <f t="shared" si="5"/>
        <v>10000</v>
      </c>
      <c r="D113" s="78">
        <f t="shared" si="9"/>
        <v>36000</v>
      </c>
      <c r="F113" s="80">
        <v>10</v>
      </c>
      <c r="G113" s="22">
        <v>13</v>
      </c>
      <c r="H113" s="78">
        <f t="shared" si="6"/>
        <v>13.658929601461868</v>
      </c>
      <c r="J113" s="80">
        <v>1</v>
      </c>
      <c r="K113" s="22">
        <f t="shared" si="8"/>
        <v>109</v>
      </c>
      <c r="L113" s="81">
        <f t="shared" si="7"/>
        <v>3.6957989124764179</v>
      </c>
    </row>
    <row r="114" spans="2:12" x14ac:dyDescent="0.25">
      <c r="B114" s="80">
        <f t="shared" si="5"/>
        <v>10000</v>
      </c>
      <c r="D114" s="78">
        <f t="shared" si="9"/>
        <v>39000</v>
      </c>
      <c r="F114" s="80">
        <v>10</v>
      </c>
      <c r="G114" s="22">
        <v>14</v>
      </c>
      <c r="H114" s="78">
        <f t="shared" si="6"/>
        <v>13.990503141372939</v>
      </c>
      <c r="J114" s="80">
        <v>1</v>
      </c>
      <c r="K114" s="22">
        <f t="shared" si="8"/>
        <v>110</v>
      </c>
      <c r="L114" s="81">
        <f t="shared" si="7"/>
        <v>3.7403881003677859</v>
      </c>
    </row>
    <row r="115" spans="2:12" x14ac:dyDescent="0.25">
      <c r="B115" s="80">
        <f t="shared" si="5"/>
        <v>10000</v>
      </c>
      <c r="D115" s="78">
        <f t="shared" si="9"/>
        <v>43000</v>
      </c>
      <c r="F115" s="80">
        <v>10</v>
      </c>
      <c r="G115" s="22">
        <v>15</v>
      </c>
      <c r="H115" s="78">
        <f t="shared" si="6"/>
        <v>14.33012570236963</v>
      </c>
      <c r="J115" s="80">
        <v>1</v>
      </c>
      <c r="K115" s="22">
        <f t="shared" si="8"/>
        <v>111</v>
      </c>
      <c r="L115" s="81">
        <f t="shared" si="7"/>
        <v>3.7855152492586299</v>
      </c>
    </row>
    <row r="116" spans="2:12" x14ac:dyDescent="0.25">
      <c r="B116" s="80">
        <f t="shared" si="5"/>
        <v>10000</v>
      </c>
      <c r="D116" s="78">
        <f t="shared" si="9"/>
        <v>47000</v>
      </c>
      <c r="F116" s="80">
        <v>10</v>
      </c>
      <c r="G116" s="22">
        <v>16</v>
      </c>
      <c r="H116" s="78">
        <f t="shared" si="6"/>
        <v>14.677992676220697</v>
      </c>
      <c r="J116" s="80">
        <v>1</v>
      </c>
      <c r="K116" s="22">
        <f t="shared" si="8"/>
        <v>112</v>
      </c>
      <c r="L116" s="81">
        <f t="shared" si="7"/>
        <v>3.8311868495572883</v>
      </c>
    </row>
    <row r="117" spans="2:12" x14ac:dyDescent="0.25">
      <c r="B117" s="80">
        <f t="shared" si="5"/>
        <v>10000</v>
      </c>
      <c r="D117" s="78">
        <f t="shared" si="9"/>
        <v>51000</v>
      </c>
      <c r="F117" s="80">
        <v>10</v>
      </c>
      <c r="G117" s="22">
        <v>17</v>
      </c>
      <c r="H117" s="78">
        <f t="shared" si="6"/>
        <v>15.034304197873343</v>
      </c>
      <c r="J117" s="80">
        <v>1</v>
      </c>
      <c r="K117" s="22">
        <f t="shared" si="8"/>
        <v>113</v>
      </c>
      <c r="L117" s="81">
        <f t="shared" si="7"/>
        <v>3.8774094699777768</v>
      </c>
    </row>
    <row r="118" spans="2:12" x14ac:dyDescent="0.25">
      <c r="B118" s="80">
        <f t="shared" ref="B118:B172" si="10">B94*10</f>
        <v>10000</v>
      </c>
      <c r="D118" s="78">
        <f t="shared" si="9"/>
        <v>56000</v>
      </c>
      <c r="F118" s="80">
        <v>10</v>
      </c>
      <c r="G118" s="22">
        <v>18</v>
      </c>
      <c r="H118" s="78">
        <f t="shared" si="6"/>
        <v>15.399265260594921</v>
      </c>
      <c r="J118" s="80">
        <v>1</v>
      </c>
      <c r="K118" s="22">
        <f t="shared" si="8"/>
        <v>114</v>
      </c>
      <c r="L118" s="81">
        <f t="shared" si="7"/>
        <v>3.9241897584845362</v>
      </c>
    </row>
    <row r="119" spans="2:12" x14ac:dyDescent="0.25">
      <c r="B119" s="80">
        <f t="shared" si="10"/>
        <v>10000</v>
      </c>
      <c r="D119" s="78">
        <f t="shared" si="9"/>
        <v>62000</v>
      </c>
      <c r="F119" s="80">
        <v>10</v>
      </c>
      <c r="G119" s="22">
        <v>19</v>
      </c>
      <c r="H119" s="78">
        <f t="shared" si="6"/>
        <v>15.773085833909725</v>
      </c>
      <c r="J119" s="80">
        <v>1</v>
      </c>
      <c r="K119" s="22">
        <f t="shared" si="8"/>
        <v>115</v>
      </c>
      <c r="L119" s="81">
        <f t="shared" si="7"/>
        <v>3.9715344432485704</v>
      </c>
    </row>
    <row r="120" spans="2:12" x14ac:dyDescent="0.25">
      <c r="B120" s="80">
        <f t="shared" si="10"/>
        <v>10000</v>
      </c>
      <c r="D120" s="78">
        <f t="shared" si="9"/>
        <v>68000</v>
      </c>
      <c r="F120" s="80">
        <v>10</v>
      </c>
      <c r="G120" s="22">
        <v>20</v>
      </c>
      <c r="H120" s="78">
        <f t="shared" si="6"/>
        <v>16.155980984398742</v>
      </c>
      <c r="J120" s="80">
        <v>1</v>
      </c>
      <c r="K120" s="22">
        <f t="shared" si="8"/>
        <v>116</v>
      </c>
      <c r="L120" s="81">
        <f t="shared" si="7"/>
        <v>4.0194503336151257</v>
      </c>
    </row>
    <row r="121" spans="2:12" x14ac:dyDescent="0.25">
      <c r="B121" s="80">
        <f t="shared" si="10"/>
        <v>10000</v>
      </c>
      <c r="D121" s="78">
        <f t="shared" si="9"/>
        <v>75000</v>
      </c>
      <c r="F121" s="80">
        <v>10</v>
      </c>
      <c r="G121" s="22">
        <v>21</v>
      </c>
      <c r="H121" s="78">
        <f t="shared" si="6"/>
        <v>16.548170999431814</v>
      </c>
      <c r="J121" s="80">
        <v>1</v>
      </c>
      <c r="K121" s="22">
        <f t="shared" si="8"/>
        <v>117</v>
      </c>
      <c r="L121" s="81">
        <f t="shared" si="7"/>
        <v>4.0679443210830479</v>
      </c>
    </row>
    <row r="122" spans="2:12" x14ac:dyDescent="0.25">
      <c r="B122" s="80">
        <f t="shared" si="10"/>
        <v>10000</v>
      </c>
      <c r="D122" s="78">
        <f t="shared" si="9"/>
        <v>82000</v>
      </c>
      <c r="F122" s="80">
        <v>10</v>
      </c>
      <c r="G122" s="22">
        <v>22</v>
      </c>
      <c r="H122" s="78">
        <f t="shared" si="6"/>
        <v>16.949881513903467</v>
      </c>
      <c r="J122" s="80">
        <v>1</v>
      </c>
      <c r="K122" s="22">
        <f t="shared" si="8"/>
        <v>118</v>
      </c>
      <c r="L122" s="81">
        <f t="shared" si="7"/>
        <v>4.1170233802959482</v>
      </c>
    </row>
    <row r="123" spans="2:12" x14ac:dyDescent="0.25">
      <c r="B123" s="80">
        <f t="shared" si="10"/>
        <v>10000</v>
      </c>
      <c r="D123" s="78">
        <f t="shared" si="9"/>
        <v>91000</v>
      </c>
      <c r="F123" s="80">
        <v>10</v>
      </c>
      <c r="G123" s="22">
        <v>23</v>
      </c>
      <c r="H123" s="78">
        <f t="shared" si="6"/>
        <v>17.361343640045234</v>
      </c>
      <c r="J123" s="80">
        <v>1</v>
      </c>
      <c r="K123" s="22">
        <f t="shared" si="8"/>
        <v>119</v>
      </c>
      <c r="L123" s="81">
        <f t="shared" si="7"/>
        <v>4.1666945700453297</v>
      </c>
    </row>
    <row r="124" spans="2:12" x14ac:dyDescent="0.25">
      <c r="B124" s="80">
        <f t="shared" si="10"/>
        <v>10000</v>
      </c>
      <c r="D124" s="78">
        <f t="shared" si="9"/>
        <v>100000</v>
      </c>
      <c r="F124" s="80">
        <v>10</v>
      </c>
      <c r="G124" s="22">
        <v>24</v>
      </c>
      <c r="H124" s="78">
        <f t="shared" si="6"/>
        <v>17.782794100389228</v>
      </c>
      <c r="J124" s="80">
        <v>1</v>
      </c>
      <c r="K124" s="22">
        <f t="shared" si="8"/>
        <v>120</v>
      </c>
      <c r="L124" s="81">
        <f t="shared" si="7"/>
        <v>4.2169650342858231</v>
      </c>
    </row>
    <row r="125" spans="2:12" x14ac:dyDescent="0.25">
      <c r="B125" s="80">
        <f t="shared" si="10"/>
        <v>100000</v>
      </c>
      <c r="D125" s="78">
        <f t="shared" si="9"/>
        <v>110000</v>
      </c>
      <c r="F125" s="80">
        <v>10</v>
      </c>
      <c r="G125" s="22">
        <v>25</v>
      </c>
      <c r="H125" s="78">
        <f t="shared" si="6"/>
        <v>18.214475363959451</v>
      </c>
      <c r="J125" s="80">
        <v>1</v>
      </c>
      <c r="K125" s="22">
        <f t="shared" si="8"/>
        <v>121</v>
      </c>
      <c r="L125" s="81">
        <f t="shared" si="7"/>
        <v>4.2678420031626585</v>
      </c>
    </row>
    <row r="126" spans="2:12" x14ac:dyDescent="0.25">
      <c r="B126" s="80">
        <f t="shared" si="10"/>
        <v>100000</v>
      </c>
      <c r="D126" s="78">
        <f t="shared" si="9"/>
        <v>120000</v>
      </c>
      <c r="F126" s="80">
        <v>10</v>
      </c>
      <c r="G126" s="22">
        <v>26</v>
      </c>
      <c r="H126" s="78">
        <f t="shared" si="6"/>
        <v>18.656635785769122</v>
      </c>
      <c r="J126" s="80">
        <v>1</v>
      </c>
      <c r="K126" s="22">
        <f t="shared" si="8"/>
        <v>122</v>
      </c>
      <c r="L126" s="81">
        <f t="shared" si="7"/>
        <v>4.3193327940515447</v>
      </c>
    </row>
    <row r="127" spans="2:12" x14ac:dyDescent="0.25">
      <c r="B127" s="80">
        <f t="shared" si="10"/>
        <v>100000</v>
      </c>
      <c r="D127" s="78">
        <f t="shared" si="9"/>
        <v>130000</v>
      </c>
      <c r="F127" s="80">
        <v>10</v>
      </c>
      <c r="G127" s="22">
        <v>27</v>
      </c>
      <c r="H127" s="78">
        <f t="shared" si="6"/>
        <v>19.109529749704407</v>
      </c>
      <c r="J127" s="80">
        <v>1</v>
      </c>
      <c r="K127" s="22">
        <f t="shared" si="8"/>
        <v>123</v>
      </c>
      <c r="L127" s="81">
        <f t="shared" si="7"/>
        <v>4.3714448126110899</v>
      </c>
    </row>
    <row r="128" spans="2:12" x14ac:dyDescent="0.25">
      <c r="B128" s="80">
        <f t="shared" si="10"/>
        <v>100000</v>
      </c>
      <c r="D128" s="78">
        <f t="shared" si="9"/>
        <v>150000</v>
      </c>
      <c r="F128" s="80">
        <v>10</v>
      </c>
      <c r="G128" s="22">
        <v>28</v>
      </c>
      <c r="H128" s="78">
        <f t="shared" si="6"/>
        <v>19.573417814876603</v>
      </c>
      <c r="J128" s="80">
        <v>1</v>
      </c>
      <c r="K128" s="22">
        <f t="shared" si="8"/>
        <v>124</v>
      </c>
      <c r="L128" s="81">
        <f t="shared" si="7"/>
        <v>4.4241855538479182</v>
      </c>
    </row>
    <row r="129" spans="2:12" x14ac:dyDescent="0.25">
      <c r="B129" s="80">
        <f t="shared" si="10"/>
        <v>100000</v>
      </c>
      <c r="D129" s="78">
        <f t="shared" si="9"/>
        <v>160000</v>
      </c>
      <c r="F129" s="80">
        <v>10</v>
      </c>
      <c r="G129" s="22">
        <v>29</v>
      </c>
      <c r="H129" s="78">
        <f t="shared" si="6"/>
        <v>20.048566865527135</v>
      </c>
      <c r="J129" s="80">
        <v>1</v>
      </c>
      <c r="K129" s="22">
        <f t="shared" si="8"/>
        <v>125</v>
      </c>
      <c r="L129" s="81">
        <f t="shared" si="7"/>
        <v>4.4775626031946372</v>
      </c>
    </row>
    <row r="130" spans="2:12" x14ac:dyDescent="0.25">
      <c r="B130" s="80">
        <f t="shared" si="10"/>
        <v>100000</v>
      </c>
      <c r="D130" s="78">
        <f t="shared" si="9"/>
        <v>180000</v>
      </c>
      <c r="F130" s="80">
        <v>10</v>
      </c>
      <c r="G130" s="22">
        <v>30</v>
      </c>
      <c r="H130" s="78">
        <f t="shared" si="6"/>
        <v>20.535250264571463</v>
      </c>
      <c r="J130" s="80">
        <v>1</v>
      </c>
      <c r="K130" s="22">
        <f t="shared" si="8"/>
        <v>126</v>
      </c>
      <c r="L130" s="81">
        <f t="shared" si="7"/>
        <v>4.5315836376008187</v>
      </c>
    </row>
    <row r="131" spans="2:12" x14ac:dyDescent="0.25">
      <c r="B131" s="80">
        <f t="shared" si="10"/>
        <v>100000</v>
      </c>
      <c r="D131" s="78">
        <f t="shared" si="9"/>
        <v>200000</v>
      </c>
      <c r="F131" s="80">
        <v>10</v>
      </c>
      <c r="G131" s="22">
        <v>31</v>
      </c>
      <c r="H131" s="78">
        <f t="shared" si="6"/>
        <v>21.033748010870337</v>
      </c>
      <c r="J131" s="80">
        <v>1</v>
      </c>
      <c r="K131" s="22">
        <f t="shared" si="8"/>
        <v>127</v>
      </c>
      <c r="L131" s="81">
        <f t="shared" si="7"/>
        <v>4.5862564266371262</v>
      </c>
    </row>
    <row r="132" spans="2:12" x14ac:dyDescent="0.25">
      <c r="B132" s="80">
        <f t="shared" si="10"/>
        <v>100000</v>
      </c>
      <c r="D132" s="78">
        <f t="shared" si="9"/>
        <v>220000</v>
      </c>
      <c r="F132" s="80">
        <v>10</v>
      </c>
      <c r="G132" s="22">
        <v>32</v>
      </c>
      <c r="H132" s="78">
        <f t="shared" ref="H132:H195" si="11">F132*10^(G132/96)</f>
        <v>21.544346900318839</v>
      </c>
      <c r="J132" s="80">
        <v>1</v>
      </c>
      <c r="K132" s="22">
        <f t="shared" si="8"/>
        <v>128</v>
      </c>
      <c r="L132" s="81">
        <f t="shared" si="7"/>
        <v>4.6415888336127793</v>
      </c>
    </row>
    <row r="133" spans="2:12" x14ac:dyDescent="0.25">
      <c r="B133" s="80">
        <f t="shared" si="10"/>
        <v>100000</v>
      </c>
      <c r="D133" s="78">
        <f t="shared" si="9"/>
        <v>240000</v>
      </c>
      <c r="F133" s="80">
        <v>10</v>
      </c>
      <c r="G133" s="22">
        <v>33</v>
      </c>
      <c r="H133" s="78">
        <f t="shared" si="11"/>
        <v>22.067340690845899</v>
      </c>
      <c r="J133" s="80">
        <v>1</v>
      </c>
      <c r="K133" s="22">
        <f t="shared" si="8"/>
        <v>129</v>
      </c>
      <c r="L133" s="81">
        <f t="shared" ref="L133:L196" si="12">J133*10^(K133/192)</f>
        <v>4.6975888167064932</v>
      </c>
    </row>
    <row r="134" spans="2:12" x14ac:dyDescent="0.25">
      <c r="B134" s="80">
        <f t="shared" si="10"/>
        <v>100000</v>
      </c>
      <c r="D134" s="78">
        <f t="shared" si="9"/>
        <v>270000</v>
      </c>
      <c r="F134" s="80">
        <v>10</v>
      </c>
      <c r="G134" s="22">
        <v>34</v>
      </c>
      <c r="H134" s="78">
        <f t="shared" si="11"/>
        <v>22.6030302714192</v>
      </c>
      <c r="J134" s="80">
        <v>1</v>
      </c>
      <c r="K134" s="22">
        <f t="shared" ref="K134:K179" si="13">K133+1</f>
        <v>130</v>
      </c>
      <c r="L134" s="81">
        <f t="shared" si="12"/>
        <v>4.754264430111057</v>
      </c>
    </row>
    <row r="135" spans="2:12" x14ac:dyDescent="0.25">
      <c r="B135" s="80">
        <f t="shared" si="10"/>
        <v>100000</v>
      </c>
      <c r="D135" s="78">
        <f t="shared" si="9"/>
        <v>300000</v>
      </c>
      <c r="F135" s="80">
        <v>10</v>
      </c>
      <c r="G135" s="22">
        <v>35</v>
      </c>
      <c r="H135" s="78">
        <f t="shared" si="11"/>
        <v>23.151723835152733</v>
      </c>
      <c r="J135" s="80">
        <v>1</v>
      </c>
      <c r="K135" s="22">
        <f t="shared" si="13"/>
        <v>131</v>
      </c>
      <c r="L135" s="81">
        <f t="shared" si="12"/>
        <v>4.8116238251917336</v>
      </c>
    </row>
    <row r="136" spans="2:12" x14ac:dyDescent="0.25">
      <c r="B136" s="80">
        <f t="shared" si="10"/>
        <v>100000</v>
      </c>
      <c r="D136" s="78">
        <f t="shared" si="9"/>
        <v>330000</v>
      </c>
      <c r="F136" s="80">
        <v>10</v>
      </c>
      <c r="G136" s="22">
        <v>36</v>
      </c>
      <c r="H136" s="78">
        <f t="shared" si="11"/>
        <v>23.713737056616555</v>
      </c>
      <c r="J136" s="80">
        <v>1</v>
      </c>
      <c r="K136" s="22">
        <f t="shared" si="13"/>
        <v>132</v>
      </c>
      <c r="L136" s="81">
        <f t="shared" si="12"/>
        <v>4.8696752516586317</v>
      </c>
    </row>
    <row r="137" spans="2:12" x14ac:dyDescent="0.25">
      <c r="B137" s="80">
        <f t="shared" si="10"/>
        <v>100000</v>
      </c>
      <c r="D137" s="78">
        <f t="shared" si="9"/>
        <v>360000</v>
      </c>
      <c r="F137" s="80">
        <v>10</v>
      </c>
      <c r="G137" s="22">
        <v>37</v>
      </c>
      <c r="H137" s="78">
        <f t="shared" si="11"/>
        <v>24.289393273450791</v>
      </c>
      <c r="J137" s="80">
        <v>1</v>
      </c>
      <c r="K137" s="22">
        <f t="shared" si="13"/>
        <v>133</v>
      </c>
      <c r="L137" s="81">
        <f t="shared" si="12"/>
        <v>4.9284270587532077</v>
      </c>
    </row>
    <row r="138" spans="2:12" x14ac:dyDescent="0.25">
      <c r="B138" s="80">
        <f t="shared" si="10"/>
        <v>100000</v>
      </c>
      <c r="D138" s="78">
        <f t="shared" si="9"/>
        <v>390000</v>
      </c>
      <c r="F138" s="80">
        <v>10</v>
      </c>
      <c r="G138" s="22">
        <v>38</v>
      </c>
      <c r="H138" s="78">
        <f t="shared" si="11"/>
        <v>24.879023672388364</v>
      </c>
      <c r="J138" s="80">
        <v>1</v>
      </c>
      <c r="K138" s="22">
        <f t="shared" si="13"/>
        <v>134</v>
      </c>
      <c r="L138" s="81">
        <f t="shared" si="12"/>
        <v>4.9878876964491061</v>
      </c>
    </row>
    <row r="139" spans="2:12" x14ac:dyDescent="0.25">
      <c r="B139" s="80">
        <f t="shared" si="10"/>
        <v>100000</v>
      </c>
      <c r="D139" s="78">
        <f t="shared" si="9"/>
        <v>430000</v>
      </c>
      <c r="F139" s="80">
        <v>10</v>
      </c>
      <c r="G139" s="22">
        <v>39</v>
      </c>
      <c r="H139" s="78">
        <f t="shared" si="11"/>
        <v>25.482967479793469</v>
      </c>
      <c r="J139" s="80">
        <v>1</v>
      </c>
      <c r="K139" s="22">
        <f t="shared" si="13"/>
        <v>135</v>
      </c>
      <c r="L139" s="81">
        <f t="shared" si="12"/>
        <v>5.0480657166674714</v>
      </c>
    </row>
    <row r="140" spans="2:12" x14ac:dyDescent="0.25">
      <c r="B140" s="80">
        <f t="shared" si="10"/>
        <v>100000</v>
      </c>
      <c r="D140" s="78">
        <f t="shared" si="9"/>
        <v>470000</v>
      </c>
      <c r="F140" s="80">
        <v>10</v>
      </c>
      <c r="G140" s="22">
        <v>40</v>
      </c>
      <c r="H140" s="78">
        <f t="shared" si="11"/>
        <v>26.101572156825373</v>
      </c>
      <c r="J140" s="80">
        <v>1</v>
      </c>
      <c r="K140" s="22">
        <f t="shared" si="13"/>
        <v>136</v>
      </c>
      <c r="L140" s="81">
        <f t="shared" si="12"/>
        <v>5.1089697745069289</v>
      </c>
    </row>
    <row r="141" spans="2:12" x14ac:dyDescent="0.25">
      <c r="B141" s="80">
        <f t="shared" si="10"/>
        <v>100000</v>
      </c>
      <c r="D141" s="78">
        <f t="shared" si="9"/>
        <v>510000</v>
      </c>
      <c r="F141" s="80">
        <v>10</v>
      </c>
      <c r="G141" s="22">
        <v>41</v>
      </c>
      <c r="H141" s="78">
        <f t="shared" si="11"/>
        <v>26.735193599339908</v>
      </c>
      <c r="J141" s="80">
        <v>1</v>
      </c>
      <c r="K141" s="22">
        <f t="shared" si="13"/>
        <v>137</v>
      </c>
      <c r="L141" s="81">
        <f t="shared" si="12"/>
        <v>5.1706086294884006</v>
      </c>
    </row>
    <row r="142" spans="2:12" x14ac:dyDescent="0.25">
      <c r="B142" s="80">
        <f t="shared" si="10"/>
        <v>100000</v>
      </c>
      <c r="D142" s="78">
        <f t="shared" si="9"/>
        <v>560000</v>
      </c>
      <c r="F142" s="80">
        <v>10</v>
      </c>
      <c r="G142" s="22">
        <v>42</v>
      </c>
      <c r="H142" s="78">
        <f t="shared" si="11"/>
        <v>27.384196342643612</v>
      </c>
      <c r="J142" s="80">
        <v>1</v>
      </c>
      <c r="K142" s="22">
        <f t="shared" si="13"/>
        <v>138</v>
      </c>
      <c r="L142" s="81">
        <f t="shared" si="12"/>
        <v>5.2329911468149479</v>
      </c>
    </row>
    <row r="143" spans="2:12" x14ac:dyDescent="0.25">
      <c r="B143" s="80">
        <f t="shared" si="10"/>
        <v>100000</v>
      </c>
      <c r="D143" s="78">
        <f t="shared" si="9"/>
        <v>620000</v>
      </c>
      <c r="F143" s="80">
        <v>10</v>
      </c>
      <c r="G143" s="22">
        <v>43</v>
      </c>
      <c r="H143" s="78">
        <f t="shared" si="11"/>
        <v>28.048953771218279</v>
      </c>
      <c r="J143" s="80">
        <v>1</v>
      </c>
      <c r="K143" s="22">
        <f t="shared" si="13"/>
        <v>139</v>
      </c>
      <c r="L143" s="81">
        <f t="shared" si="12"/>
        <v>5.2961262986468043</v>
      </c>
    </row>
    <row r="144" spans="2:12" x14ac:dyDescent="0.25">
      <c r="B144" s="80">
        <f t="shared" si="10"/>
        <v>100000</v>
      </c>
      <c r="D144" s="78">
        <f t="shared" si="9"/>
        <v>680000</v>
      </c>
      <c r="F144" s="80">
        <v>10</v>
      </c>
      <c r="G144" s="22">
        <v>44</v>
      </c>
      <c r="H144" s="78">
        <f t="shared" si="11"/>
        <v>28.729848333536644</v>
      </c>
      <c r="J144" s="80">
        <v>1</v>
      </c>
      <c r="K144" s="22">
        <f t="shared" si="13"/>
        <v>140</v>
      </c>
      <c r="L144" s="81">
        <f t="shared" si="12"/>
        <v>5.3600231653917918</v>
      </c>
    </row>
    <row r="145" spans="2:12" x14ac:dyDescent="0.25">
      <c r="B145" s="80">
        <f t="shared" si="10"/>
        <v>100000</v>
      </c>
      <c r="D145" s="78">
        <f t="shared" si="9"/>
        <v>750000</v>
      </c>
      <c r="F145" s="80">
        <v>10</v>
      </c>
      <c r="G145" s="22">
        <v>45</v>
      </c>
      <c r="H145" s="78">
        <f t="shared" si="11"/>
        <v>29.427271762092822</v>
      </c>
      <c r="J145" s="80">
        <v>1</v>
      </c>
      <c r="K145" s="22">
        <f t="shared" si="13"/>
        <v>141</v>
      </c>
      <c r="L145" s="81">
        <f t="shared" si="12"/>
        <v>5.4246909370113263</v>
      </c>
    </row>
    <row r="146" spans="2:12" x14ac:dyDescent="0.25">
      <c r="B146" s="80">
        <f t="shared" si="10"/>
        <v>100000</v>
      </c>
      <c r="D146" s="78">
        <f t="shared" si="9"/>
        <v>820000</v>
      </c>
      <c r="F146" s="80">
        <v>10</v>
      </c>
      <c r="G146" s="22">
        <v>46</v>
      </c>
      <c r="H146" s="78">
        <f t="shared" si="11"/>
        <v>30.141625298773906</v>
      </c>
      <c r="J146" s="80">
        <v>1</v>
      </c>
      <c r="K146" s="22">
        <f t="shared" si="13"/>
        <v>142</v>
      </c>
      <c r="L146" s="81">
        <f t="shared" si="12"/>
        <v>5.4901389143421415</v>
      </c>
    </row>
    <row r="147" spans="2:12" x14ac:dyDescent="0.25">
      <c r="B147" s="80">
        <f t="shared" si="10"/>
        <v>100000</v>
      </c>
      <c r="D147" s="78">
        <f t="shared" si="9"/>
        <v>910000</v>
      </c>
      <c r="F147" s="80">
        <v>10</v>
      </c>
      <c r="G147" s="22">
        <v>47</v>
      </c>
      <c r="H147" s="78">
        <f t="shared" si="11"/>
        <v>30.873319925702638</v>
      </c>
      <c r="J147" s="80">
        <v>1</v>
      </c>
      <c r="K147" s="22">
        <f t="shared" si="13"/>
        <v>143</v>
      </c>
      <c r="L147" s="81">
        <f t="shared" si="12"/>
        <v>5.5563765104339931</v>
      </c>
    </row>
    <row r="148" spans="2:12" x14ac:dyDescent="0.25">
      <c r="B148" s="80">
        <f t="shared" si="10"/>
        <v>100000</v>
      </c>
      <c r="D148" s="78">
        <f t="shared" si="9"/>
        <v>1000000</v>
      </c>
      <c r="F148" s="80">
        <v>10</v>
      </c>
      <c r="G148" s="22">
        <v>48</v>
      </c>
      <c r="H148" s="78">
        <f t="shared" si="11"/>
        <v>31.622776601683796</v>
      </c>
      <c r="J148" s="80">
        <v>1</v>
      </c>
      <c r="K148" s="22">
        <f t="shared" si="13"/>
        <v>144</v>
      </c>
      <c r="L148" s="81">
        <f t="shared" si="12"/>
        <v>5.6234132519034921</v>
      </c>
    </row>
    <row r="149" spans="2:12" x14ac:dyDescent="0.25">
      <c r="B149" s="80">
        <f t="shared" si="10"/>
        <v>1000000</v>
      </c>
      <c r="D149" s="78">
        <f t="shared" si="9"/>
        <v>1100000</v>
      </c>
      <c r="F149" s="80">
        <v>10</v>
      </c>
      <c r="G149" s="22">
        <v>49</v>
      </c>
      <c r="H149" s="78">
        <f t="shared" si="11"/>
        <v>32.390426504390305</v>
      </c>
      <c r="J149" s="80">
        <v>1</v>
      </c>
      <c r="K149" s="22">
        <f t="shared" si="13"/>
        <v>145</v>
      </c>
      <c r="L149" s="81">
        <f t="shared" si="12"/>
        <v>5.6912587803042589</v>
      </c>
    </row>
    <row r="150" spans="2:12" x14ac:dyDescent="0.25">
      <c r="B150" s="80">
        <f t="shared" si="10"/>
        <v>1000000</v>
      </c>
      <c r="D150" s="78">
        <f t="shared" si="9"/>
        <v>1200000</v>
      </c>
      <c r="F150" s="80">
        <v>10</v>
      </c>
      <c r="G150" s="22">
        <v>50</v>
      </c>
      <c r="H150" s="78">
        <f t="shared" si="11"/>
        <v>33.176711278428577</v>
      </c>
      <c r="J150" s="80">
        <v>1</v>
      </c>
      <c r="K150" s="22">
        <f t="shared" si="13"/>
        <v>146</v>
      </c>
      <c r="L150" s="81">
        <f t="shared" si="12"/>
        <v>5.7599228535136282</v>
      </c>
    </row>
    <row r="151" spans="2:12" x14ac:dyDescent="0.25">
      <c r="B151" s="80">
        <f t="shared" si="10"/>
        <v>1000000</v>
      </c>
      <c r="D151" s="78">
        <f t="shared" si="9"/>
        <v>1300000</v>
      </c>
      <c r="F151" s="80">
        <v>10</v>
      </c>
      <c r="G151" s="22">
        <v>51</v>
      </c>
      <c r="H151" s="78">
        <f t="shared" si="11"/>
        <v>33.982083289425596</v>
      </c>
      <c r="J151" s="80">
        <v>1</v>
      </c>
      <c r="K151" s="22">
        <f t="shared" si="13"/>
        <v>147</v>
      </c>
      <c r="L151" s="81">
        <f t="shared" si="12"/>
        <v>5.8294153471360755</v>
      </c>
    </row>
    <row r="152" spans="2:12" x14ac:dyDescent="0.25">
      <c r="B152" s="80">
        <f t="shared" si="10"/>
        <v>1000000</v>
      </c>
      <c r="D152" s="78">
        <f t="shared" si="9"/>
        <v>1500000</v>
      </c>
      <c r="F152" s="80">
        <v>10</v>
      </c>
      <c r="G152" s="22">
        <v>52</v>
      </c>
      <c r="H152" s="78">
        <f t="shared" si="11"/>
        <v>34.807005884284109</v>
      </c>
      <c r="J152" s="80">
        <v>1</v>
      </c>
      <c r="K152" s="22">
        <f t="shared" si="13"/>
        <v>148</v>
      </c>
      <c r="L152" s="81">
        <f t="shared" si="12"/>
        <v>5.8997462559235654</v>
      </c>
    </row>
    <row r="153" spans="2:12" x14ac:dyDescent="0.25">
      <c r="B153" s="80">
        <f t="shared" si="10"/>
        <v>1000000</v>
      </c>
      <c r="D153" s="78">
        <f t="shared" si="9"/>
        <v>1600000</v>
      </c>
      <c r="F153" s="80">
        <v>10</v>
      </c>
      <c r="G153" s="22">
        <v>53</v>
      </c>
      <c r="H153" s="78">
        <f t="shared" si="11"/>
        <v>35.651953657755499</v>
      </c>
      <c r="J153" s="80">
        <v>1</v>
      </c>
      <c r="K153" s="22">
        <f t="shared" si="13"/>
        <v>149</v>
      </c>
      <c r="L153" s="81">
        <f t="shared" si="12"/>
        <v>5.9709256952130536</v>
      </c>
    </row>
    <row r="154" spans="2:12" x14ac:dyDescent="0.25">
      <c r="B154" s="80">
        <f t="shared" si="10"/>
        <v>1000000</v>
      </c>
      <c r="D154" s="78">
        <f t="shared" si="9"/>
        <v>1800000</v>
      </c>
      <c r="F154" s="80">
        <v>10</v>
      </c>
      <c r="G154" s="22">
        <v>54</v>
      </c>
      <c r="H154" s="78">
        <f t="shared" si="11"/>
        <v>36.517412725483773</v>
      </c>
      <c r="J154" s="80">
        <v>1</v>
      </c>
      <c r="K154" s="22">
        <f t="shared" si="13"/>
        <v>150</v>
      </c>
      <c r="L154" s="81">
        <f t="shared" si="12"/>
        <v>6.0429639023813291</v>
      </c>
    </row>
    <row r="155" spans="2:12" x14ac:dyDescent="0.25">
      <c r="B155" s="80">
        <f t="shared" si="10"/>
        <v>1000000</v>
      </c>
      <c r="D155" s="78">
        <f t="shared" si="9"/>
        <v>2000000</v>
      </c>
      <c r="F155" s="80">
        <v>10</v>
      </c>
      <c r="G155" s="22">
        <v>55</v>
      </c>
      <c r="H155" s="78">
        <f t="shared" si="11"/>
        <v>37.40388100367786</v>
      </c>
      <c r="J155" s="80">
        <v>1</v>
      </c>
      <c r="K155" s="22">
        <f t="shared" si="13"/>
        <v>151</v>
      </c>
      <c r="L155" s="81">
        <f t="shared" si="12"/>
        <v>6.1158712383173892</v>
      </c>
    </row>
    <row r="156" spans="2:12" x14ac:dyDescent="0.25">
      <c r="B156" s="80">
        <f t="shared" si="10"/>
        <v>1000000</v>
      </c>
      <c r="D156" s="78">
        <f t="shared" si="9"/>
        <v>2200000</v>
      </c>
      <c r="F156" s="80">
        <v>10</v>
      </c>
      <c r="G156" s="22">
        <v>56</v>
      </c>
      <c r="H156" s="78">
        <f t="shared" si="11"/>
        <v>38.311868495572881</v>
      </c>
      <c r="J156" s="80">
        <v>1</v>
      </c>
      <c r="K156" s="22">
        <f t="shared" si="13"/>
        <v>152</v>
      </c>
      <c r="L156" s="81">
        <f t="shared" si="12"/>
        <v>6.1896581889126061</v>
      </c>
    </row>
    <row r="157" spans="2:12" x14ac:dyDescent="0.25">
      <c r="B157" s="80">
        <f t="shared" si="10"/>
        <v>1000000</v>
      </c>
      <c r="D157" s="78">
        <f t="shared" si="9"/>
        <v>2400000</v>
      </c>
      <c r="F157" s="80">
        <v>10</v>
      </c>
      <c r="G157" s="22">
        <v>57</v>
      </c>
      <c r="H157" s="78">
        <f t="shared" si="11"/>
        <v>39.241897584845361</v>
      </c>
      <c r="J157" s="80">
        <v>1</v>
      </c>
      <c r="K157" s="22">
        <f t="shared" si="13"/>
        <v>153</v>
      </c>
      <c r="L157" s="81">
        <f t="shared" si="12"/>
        <v>6.264335366568857</v>
      </c>
    </row>
    <row r="158" spans="2:12" x14ac:dyDescent="0.25">
      <c r="B158" s="80">
        <f t="shared" si="10"/>
        <v>1000000</v>
      </c>
      <c r="D158" s="78">
        <f t="shared" ref="D158:D172" si="14">D134*10</f>
        <v>2700000</v>
      </c>
      <c r="F158" s="80">
        <v>10</v>
      </c>
      <c r="G158" s="22">
        <v>58</v>
      </c>
      <c r="H158" s="78">
        <f t="shared" si="11"/>
        <v>40.194503336151257</v>
      </c>
      <c r="J158" s="80">
        <v>1</v>
      </c>
      <c r="K158" s="22">
        <f t="shared" si="13"/>
        <v>154</v>
      </c>
      <c r="L158" s="81">
        <f t="shared" si="12"/>
        <v>6.3399135117248457</v>
      </c>
    </row>
    <row r="159" spans="2:12" x14ac:dyDescent="0.25">
      <c r="B159" s="80">
        <f t="shared" si="10"/>
        <v>1000000</v>
      </c>
      <c r="D159" s="78">
        <f t="shared" si="14"/>
        <v>3000000</v>
      </c>
      <c r="F159" s="80">
        <v>10</v>
      </c>
      <c r="G159" s="22">
        <v>59</v>
      </c>
      <c r="H159" s="78">
        <f t="shared" si="11"/>
        <v>41.17023380295948</v>
      </c>
      <c r="J159" s="80">
        <v>1</v>
      </c>
      <c r="K159" s="22">
        <f t="shared" si="13"/>
        <v>155</v>
      </c>
      <c r="L159" s="81">
        <f t="shared" si="12"/>
        <v>6.4164034944008534</v>
      </c>
    </row>
    <row r="160" spans="2:12" x14ac:dyDescent="0.25">
      <c r="B160" s="80">
        <f t="shared" si="10"/>
        <v>1000000</v>
      </c>
      <c r="D160" s="78">
        <f t="shared" si="14"/>
        <v>3300000</v>
      </c>
      <c r="F160" s="80">
        <v>10</v>
      </c>
      <c r="G160" s="22">
        <v>60</v>
      </c>
      <c r="H160" s="78">
        <f t="shared" si="11"/>
        <v>42.169650342858233</v>
      </c>
      <c r="J160" s="80">
        <v>1</v>
      </c>
      <c r="K160" s="22">
        <f t="shared" si="13"/>
        <v>156</v>
      </c>
      <c r="L160" s="81">
        <f t="shared" si="12"/>
        <v>6.4938163157621149</v>
      </c>
    </row>
    <row r="161" spans="2:12" x14ac:dyDescent="0.25">
      <c r="B161" s="80">
        <f t="shared" si="10"/>
        <v>1000000</v>
      </c>
      <c r="D161" s="78">
        <f t="shared" si="14"/>
        <v>3600000</v>
      </c>
      <c r="F161" s="80">
        <v>10</v>
      </c>
      <c r="G161" s="22">
        <v>61</v>
      </c>
      <c r="H161" s="78">
        <f t="shared" si="11"/>
        <v>43.193327940515445</v>
      </c>
      <c r="J161" s="80">
        <v>1</v>
      </c>
      <c r="K161" s="22">
        <f t="shared" si="13"/>
        <v>157</v>
      </c>
      <c r="L161" s="81">
        <f t="shared" si="12"/>
        <v>6.5721631097010578</v>
      </c>
    </row>
    <row r="162" spans="2:12" x14ac:dyDescent="0.25">
      <c r="B162" s="80">
        <f t="shared" si="10"/>
        <v>1000000</v>
      </c>
      <c r="D162" s="78">
        <f t="shared" si="14"/>
        <v>3900000</v>
      </c>
      <c r="F162" s="80">
        <v>10</v>
      </c>
      <c r="G162" s="22">
        <v>62</v>
      </c>
      <c r="H162" s="78">
        <f t="shared" si="11"/>
        <v>44.241855538479186</v>
      </c>
      <c r="J162" s="80">
        <v>1</v>
      </c>
      <c r="K162" s="22">
        <f t="shared" si="13"/>
        <v>158</v>
      </c>
      <c r="L162" s="81">
        <f t="shared" si="12"/>
        <v>6.6514551444386338</v>
      </c>
    </row>
    <row r="163" spans="2:12" x14ac:dyDescent="0.25">
      <c r="B163" s="80">
        <f t="shared" si="10"/>
        <v>1000000</v>
      </c>
      <c r="D163" s="78">
        <f t="shared" si="14"/>
        <v>4300000</v>
      </c>
      <c r="F163" s="80">
        <v>10</v>
      </c>
      <c r="G163" s="22">
        <v>63</v>
      </c>
      <c r="H163" s="78">
        <f t="shared" si="11"/>
        <v>45.315836376008185</v>
      </c>
      <c r="J163" s="80">
        <v>1</v>
      </c>
      <c r="K163" s="22">
        <f t="shared" si="13"/>
        <v>159</v>
      </c>
      <c r="L163" s="81">
        <f t="shared" si="12"/>
        <v>6.7317038241449829</v>
      </c>
    </row>
    <row r="164" spans="2:12" x14ac:dyDescent="0.25">
      <c r="B164" s="80">
        <f t="shared" si="10"/>
        <v>1000000</v>
      </c>
      <c r="D164" s="78">
        <f t="shared" si="14"/>
        <v>4700000</v>
      </c>
      <c r="F164" s="80">
        <v>10</v>
      </c>
      <c r="G164" s="22">
        <v>64</v>
      </c>
      <c r="H164" s="78">
        <f t="shared" si="11"/>
        <v>46.415888336127793</v>
      </c>
      <c r="J164" s="80">
        <v>1</v>
      </c>
      <c r="K164" s="22">
        <f t="shared" si="13"/>
        <v>160</v>
      </c>
      <c r="L164" s="81">
        <f t="shared" si="12"/>
        <v>6.812920690579614</v>
      </c>
    </row>
    <row r="165" spans="2:12" x14ac:dyDescent="0.25">
      <c r="B165" s="80">
        <f t="shared" si="10"/>
        <v>1000000</v>
      </c>
      <c r="D165" s="78">
        <f t="shared" si="14"/>
        <v>5100000</v>
      </c>
      <c r="F165" s="80">
        <v>10</v>
      </c>
      <c r="G165" s="22">
        <v>65</v>
      </c>
      <c r="H165" s="78">
        <f t="shared" si="11"/>
        <v>47.54264430111057</v>
      </c>
      <c r="J165" s="80">
        <v>1</v>
      </c>
      <c r="K165" s="22">
        <f t="shared" si="13"/>
        <v>161</v>
      </c>
      <c r="L165" s="81">
        <f t="shared" si="12"/>
        <v>6.8951174247514135</v>
      </c>
    </row>
    <row r="166" spans="2:12" x14ac:dyDescent="0.25">
      <c r="B166" s="80">
        <f t="shared" si="10"/>
        <v>1000000</v>
      </c>
      <c r="D166" s="78">
        <f t="shared" si="14"/>
        <v>5600000</v>
      </c>
      <c r="F166" s="80">
        <v>10</v>
      </c>
      <c r="G166" s="22">
        <v>66</v>
      </c>
      <c r="H166" s="78">
        <f t="shared" si="11"/>
        <v>48.696752516586315</v>
      </c>
      <c r="J166" s="80">
        <v>1</v>
      </c>
      <c r="K166" s="22">
        <f t="shared" si="13"/>
        <v>162</v>
      </c>
      <c r="L166" s="81">
        <f t="shared" si="12"/>
        <v>6.9783058485986649</v>
      </c>
    </row>
    <row r="167" spans="2:12" x14ac:dyDescent="0.25">
      <c r="B167" s="80">
        <f t="shared" si="10"/>
        <v>1000000</v>
      </c>
      <c r="D167" s="78">
        <f t="shared" si="14"/>
        <v>6200000</v>
      </c>
      <c r="F167" s="80">
        <v>10</v>
      </c>
      <c r="G167" s="22">
        <v>67</v>
      </c>
      <c r="H167" s="78">
        <f t="shared" si="11"/>
        <v>49.878876964491063</v>
      </c>
      <c r="J167" s="80">
        <v>1</v>
      </c>
      <c r="K167" s="22">
        <f t="shared" si="13"/>
        <v>163</v>
      </c>
      <c r="L167" s="81">
        <f t="shared" si="12"/>
        <v>7.0624979266893293</v>
      </c>
    </row>
    <row r="168" spans="2:12" x14ac:dyDescent="0.25">
      <c r="B168" s="80">
        <f t="shared" si="10"/>
        <v>1000000</v>
      </c>
      <c r="D168" s="78">
        <f t="shared" si="14"/>
        <v>6800000</v>
      </c>
      <c r="F168" s="80">
        <v>10</v>
      </c>
      <c r="G168" s="22">
        <v>68</v>
      </c>
      <c r="H168" s="78">
        <f t="shared" si="11"/>
        <v>51.089697745069287</v>
      </c>
      <c r="J168" s="80">
        <v>1</v>
      </c>
      <c r="K168" s="22">
        <f t="shared" si="13"/>
        <v>164</v>
      </c>
      <c r="L168" s="81">
        <f t="shared" si="12"/>
        <v>7.147705767941857</v>
      </c>
    </row>
    <row r="169" spans="2:12" x14ac:dyDescent="0.25">
      <c r="B169" s="80">
        <f t="shared" si="10"/>
        <v>1000000</v>
      </c>
      <c r="D169" s="78">
        <f t="shared" si="14"/>
        <v>7500000</v>
      </c>
      <c r="F169" s="80">
        <v>10</v>
      </c>
      <c r="G169" s="22">
        <v>69</v>
      </c>
      <c r="H169" s="78">
        <f t="shared" si="11"/>
        <v>52.329911468149476</v>
      </c>
      <c r="J169" s="80">
        <v>1</v>
      </c>
      <c r="K169" s="22">
        <f t="shared" si="13"/>
        <v>165</v>
      </c>
      <c r="L169" s="81">
        <f t="shared" si="12"/>
        <v>7.2339416273667494</v>
      </c>
    </row>
    <row r="170" spans="2:12" x14ac:dyDescent="0.25">
      <c r="B170" s="80">
        <f t="shared" si="10"/>
        <v>1000000</v>
      </c>
      <c r="D170" s="78">
        <f t="shared" si="14"/>
        <v>8200000</v>
      </c>
      <c r="F170" s="80">
        <v>10</v>
      </c>
      <c r="G170" s="22">
        <v>70</v>
      </c>
      <c r="H170" s="78">
        <f t="shared" si="11"/>
        <v>53.600231653917916</v>
      </c>
      <c r="J170" s="80">
        <v>1</v>
      </c>
      <c r="K170" s="22">
        <f t="shared" si="13"/>
        <v>166</v>
      </c>
      <c r="L170" s="81">
        <f t="shared" si="12"/>
        <v>7.3212179078291308</v>
      </c>
    </row>
    <row r="171" spans="2:12" x14ac:dyDescent="0.25">
      <c r="B171" s="80">
        <f t="shared" si="10"/>
        <v>1000000</v>
      </c>
      <c r="D171" s="78">
        <f t="shared" si="14"/>
        <v>9100000</v>
      </c>
      <c r="F171" s="80">
        <v>10</v>
      </c>
      <c r="G171" s="22">
        <v>71</v>
      </c>
      <c r="H171" s="78">
        <f t="shared" si="11"/>
        <v>54.901389143421412</v>
      </c>
      <c r="J171" s="80">
        <v>1</v>
      </c>
      <c r="K171" s="22">
        <f t="shared" si="13"/>
        <v>167</v>
      </c>
      <c r="L171" s="81">
        <f t="shared" si="12"/>
        <v>7.4095471618325908</v>
      </c>
    </row>
    <row r="172" spans="2:12" x14ac:dyDescent="0.25">
      <c r="B172" s="80">
        <f t="shared" si="10"/>
        <v>1000000</v>
      </c>
      <c r="D172" s="78">
        <f t="shared" si="14"/>
        <v>10000000</v>
      </c>
      <c r="F172" s="80">
        <v>10</v>
      </c>
      <c r="G172" s="22">
        <v>72</v>
      </c>
      <c r="H172" s="78">
        <f t="shared" si="11"/>
        <v>56.234132519034922</v>
      </c>
      <c r="J172" s="80">
        <v>1</v>
      </c>
      <c r="K172" s="22">
        <f t="shared" si="13"/>
        <v>168</v>
      </c>
      <c r="L172" s="81">
        <f t="shared" si="12"/>
        <v>7.4989420933245592</v>
      </c>
    </row>
    <row r="173" spans="2:12" x14ac:dyDescent="0.25">
      <c r="B173" s="80"/>
      <c r="F173" s="80">
        <v>10</v>
      </c>
      <c r="G173" s="22">
        <v>73</v>
      </c>
      <c r="H173" s="78">
        <f t="shared" si="11"/>
        <v>57.599228535136284</v>
      </c>
      <c r="J173" s="80">
        <v>1</v>
      </c>
      <c r="K173" s="22">
        <f t="shared" si="13"/>
        <v>169</v>
      </c>
      <c r="L173" s="81">
        <f t="shared" si="12"/>
        <v>7.5894155595234274</v>
      </c>
    </row>
    <row r="174" spans="2:12" x14ac:dyDescent="0.25">
      <c r="B174" s="80"/>
      <c r="F174" s="80">
        <v>10</v>
      </c>
      <c r="G174" s="22">
        <v>74</v>
      </c>
      <c r="H174" s="78">
        <f t="shared" si="11"/>
        <v>58.997462559235657</v>
      </c>
      <c r="J174" s="80">
        <v>1</v>
      </c>
      <c r="K174" s="22">
        <f t="shared" si="13"/>
        <v>170</v>
      </c>
      <c r="L174" s="81">
        <f t="shared" si="12"/>
        <v>7.6809805727677549</v>
      </c>
    </row>
    <row r="175" spans="2:12" x14ac:dyDescent="0.25">
      <c r="B175" s="80"/>
      <c r="F175" s="80">
        <v>10</v>
      </c>
      <c r="G175" s="22">
        <v>75</v>
      </c>
      <c r="H175" s="78">
        <f t="shared" si="11"/>
        <v>60.429639023813294</v>
      </c>
      <c r="J175" s="80">
        <v>1</v>
      </c>
      <c r="K175" s="22">
        <f t="shared" si="13"/>
        <v>171</v>
      </c>
      <c r="L175" s="81">
        <f t="shared" si="12"/>
        <v>7.773650302387761</v>
      </c>
    </row>
    <row r="176" spans="2:12" x14ac:dyDescent="0.25">
      <c r="B176" s="80"/>
      <c r="F176" s="80">
        <v>10</v>
      </c>
      <c r="G176" s="22">
        <v>76</v>
      </c>
      <c r="H176" s="78">
        <f t="shared" si="11"/>
        <v>61.896581889126061</v>
      </c>
      <c r="J176" s="80">
        <v>1</v>
      </c>
      <c r="K176" s="22">
        <f t="shared" si="13"/>
        <v>172</v>
      </c>
      <c r="L176" s="81">
        <f t="shared" si="12"/>
        <v>7.8674380765994032</v>
      </c>
    </row>
    <row r="177" spans="2:12" x14ac:dyDescent="0.25">
      <c r="B177" s="80"/>
      <c r="F177" s="80">
        <v>10</v>
      </c>
      <c r="G177" s="22">
        <v>77</v>
      </c>
      <c r="H177" s="78">
        <f t="shared" si="11"/>
        <v>63.399135117248456</v>
      </c>
      <c r="J177" s="80">
        <v>1</v>
      </c>
      <c r="K177" s="22">
        <f t="shared" si="13"/>
        <v>173</v>
      </c>
      <c r="L177" s="81">
        <f t="shared" si="12"/>
        <v>7.9623573844213036</v>
      </c>
    </row>
    <row r="178" spans="2:12" x14ac:dyDescent="0.25">
      <c r="B178" s="80"/>
      <c r="F178" s="80">
        <v>10</v>
      </c>
      <c r="G178" s="22">
        <v>78</v>
      </c>
      <c r="H178" s="78">
        <f t="shared" si="11"/>
        <v>64.938163157621148</v>
      </c>
      <c r="J178" s="80">
        <v>1</v>
      </c>
      <c r="K178" s="22">
        <f t="shared" si="13"/>
        <v>174</v>
      </c>
      <c r="L178" s="81">
        <f t="shared" si="12"/>
        <v>8.0584218776148191</v>
      </c>
    </row>
    <row r="179" spans="2:12" x14ac:dyDescent="0.25">
      <c r="B179" s="80"/>
      <c r="F179" s="80">
        <v>10</v>
      </c>
      <c r="G179" s="22">
        <v>79</v>
      </c>
      <c r="H179" s="78">
        <f t="shared" si="11"/>
        <v>66.514551444386342</v>
      </c>
      <c r="J179" s="80">
        <v>1</v>
      </c>
      <c r="K179" s="22">
        <f t="shared" si="13"/>
        <v>175</v>
      </c>
      <c r="L179" s="81">
        <f t="shared" si="12"/>
        <v>8.1556453726474878</v>
      </c>
    </row>
    <row r="180" spans="2:12" x14ac:dyDescent="0.25">
      <c r="B180" s="80"/>
      <c r="F180" s="80">
        <v>10</v>
      </c>
      <c r="G180" s="22">
        <v>80</v>
      </c>
      <c r="H180" s="78">
        <f t="shared" si="11"/>
        <v>68.129206905796138</v>
      </c>
      <c r="J180" s="80">
        <v>1</v>
      </c>
      <c r="K180" s="22">
        <f>K179+1</f>
        <v>176</v>
      </c>
      <c r="L180" s="81">
        <f t="shared" si="12"/>
        <v>8.2540418526801833</v>
      </c>
    </row>
    <row r="181" spans="2:12" x14ac:dyDescent="0.25">
      <c r="B181" s="80"/>
      <c r="F181" s="80">
        <v>10</v>
      </c>
      <c r="G181" s="22">
        <v>81</v>
      </c>
      <c r="H181" s="78">
        <f t="shared" si="11"/>
        <v>69.783058485986643</v>
      </c>
      <c r="J181" s="80">
        <v>1</v>
      </c>
      <c r="K181" s="22">
        <f t="shared" ref="K181:K196" si="15">K180+1</f>
        <v>177</v>
      </c>
      <c r="L181" s="81">
        <f t="shared" si="12"/>
        <v>8.3536254695782617</v>
      </c>
    </row>
    <row r="182" spans="2:12" x14ac:dyDescent="0.25">
      <c r="B182" s="80"/>
      <c r="F182" s="80">
        <v>10</v>
      </c>
      <c r="G182" s="22">
        <v>82</v>
      </c>
      <c r="H182" s="78">
        <f t="shared" si="11"/>
        <v>71.477057679418564</v>
      </c>
      <c r="J182" s="80">
        <v>1</v>
      </c>
      <c r="K182" s="22">
        <f t="shared" si="15"/>
        <v>178</v>
      </c>
      <c r="L182" s="81">
        <f t="shared" si="12"/>
        <v>8.4544105459469243</v>
      </c>
    </row>
    <row r="183" spans="2:12" x14ac:dyDescent="0.25">
      <c r="B183" s="80"/>
      <c r="F183" s="80">
        <v>10</v>
      </c>
      <c r="G183" s="22">
        <v>83</v>
      </c>
      <c r="H183" s="78">
        <f t="shared" si="11"/>
        <v>73.212179078291314</v>
      </c>
      <c r="J183" s="80">
        <v>1</v>
      </c>
      <c r="K183" s="22">
        <f t="shared" si="15"/>
        <v>179</v>
      </c>
      <c r="L183" s="81">
        <f t="shared" si="12"/>
        <v>8.5564115771911844</v>
      </c>
    </row>
    <row r="184" spans="2:12" x14ac:dyDescent="0.25">
      <c r="B184" s="80"/>
      <c r="F184" s="80">
        <v>10</v>
      </c>
      <c r="G184" s="22">
        <v>84</v>
      </c>
      <c r="H184" s="78">
        <f t="shared" si="11"/>
        <v>74.989420933245597</v>
      </c>
      <c r="J184" s="80">
        <v>1</v>
      </c>
      <c r="K184" s="22">
        <f t="shared" si="15"/>
        <v>180</v>
      </c>
      <c r="L184" s="81">
        <f t="shared" si="12"/>
        <v>8.6596432336006561</v>
      </c>
    </row>
    <row r="185" spans="2:12" x14ac:dyDescent="0.25">
      <c r="B185" s="80"/>
      <c r="F185" s="80">
        <v>10</v>
      </c>
      <c r="G185" s="22">
        <v>85</v>
      </c>
      <c r="H185" s="78">
        <f t="shared" si="11"/>
        <v>76.809805727677542</v>
      </c>
      <c r="J185" s="80">
        <v>1</v>
      </c>
      <c r="K185" s="22">
        <f t="shared" si="15"/>
        <v>181</v>
      </c>
      <c r="L185" s="81">
        <f t="shared" si="12"/>
        <v>8.7641203624595203</v>
      </c>
    </row>
    <row r="186" spans="2:12" x14ac:dyDescent="0.25">
      <c r="B186" s="80"/>
      <c r="F186" s="80">
        <v>10</v>
      </c>
      <c r="G186" s="22">
        <v>86</v>
      </c>
      <c r="H186" s="78">
        <f t="shared" si="11"/>
        <v>78.67438076599403</v>
      </c>
      <c r="J186" s="80">
        <v>1</v>
      </c>
      <c r="K186" s="22">
        <f t="shared" si="15"/>
        <v>182</v>
      </c>
      <c r="L186" s="81">
        <f t="shared" si="12"/>
        <v>8.8698579901819183</v>
      </c>
    </row>
    <row r="187" spans="2:12" x14ac:dyDescent="0.25">
      <c r="B187" s="80"/>
      <c r="F187" s="80">
        <v>10</v>
      </c>
      <c r="G187" s="22">
        <v>87</v>
      </c>
      <c r="H187" s="78">
        <f t="shared" si="11"/>
        <v>80.584218776148191</v>
      </c>
      <c r="J187" s="80">
        <v>1</v>
      </c>
      <c r="K187" s="22">
        <f t="shared" si="15"/>
        <v>183</v>
      </c>
      <c r="L187" s="81">
        <f t="shared" si="12"/>
        <v>8.9768713244731444</v>
      </c>
    </row>
    <row r="188" spans="2:12" x14ac:dyDescent="0.25">
      <c r="B188" s="80"/>
      <c r="F188" s="80">
        <v>10</v>
      </c>
      <c r="G188" s="22">
        <v>88</v>
      </c>
      <c r="H188" s="78">
        <f t="shared" si="11"/>
        <v>82.54041852680183</v>
      </c>
      <c r="J188" s="80">
        <v>1</v>
      </c>
      <c r="K188" s="22">
        <f t="shared" si="15"/>
        <v>184</v>
      </c>
      <c r="L188" s="81">
        <f t="shared" si="12"/>
        <v>9.08517575651687</v>
      </c>
    </row>
    <row r="189" spans="2:12" x14ac:dyDescent="0.25">
      <c r="B189" s="80"/>
      <c r="F189" s="80">
        <v>10</v>
      </c>
      <c r="G189" s="22">
        <v>89</v>
      </c>
      <c r="H189" s="78">
        <f t="shared" si="11"/>
        <v>84.54410545946925</v>
      </c>
      <c r="J189" s="80">
        <v>1</v>
      </c>
      <c r="K189" s="22">
        <f t="shared" si="15"/>
        <v>185</v>
      </c>
      <c r="L189" s="81">
        <f t="shared" si="12"/>
        <v>9.1947868631887939</v>
      </c>
    </row>
    <row r="190" spans="2:12" x14ac:dyDescent="0.25">
      <c r="B190" s="80"/>
      <c r="F190" s="80">
        <v>10</v>
      </c>
      <c r="G190" s="22">
        <v>90</v>
      </c>
      <c r="H190" s="78">
        <f t="shared" si="11"/>
        <v>86.596432336006558</v>
      </c>
      <c r="J190" s="80">
        <v>1</v>
      </c>
      <c r="K190" s="22">
        <f t="shared" si="15"/>
        <v>186</v>
      </c>
      <c r="L190" s="81">
        <f t="shared" si="12"/>
        <v>9.3057204092969901</v>
      </c>
    </row>
    <row r="191" spans="2:12" x14ac:dyDescent="0.25">
      <c r="F191" s="80">
        <v>10</v>
      </c>
      <c r="G191" s="22">
        <v>91</v>
      </c>
      <c r="H191" s="78">
        <f t="shared" si="11"/>
        <v>88.698579901819187</v>
      </c>
      <c r="J191" s="80">
        <v>1</v>
      </c>
      <c r="K191" s="22">
        <f t="shared" si="15"/>
        <v>187</v>
      </c>
      <c r="L191" s="81">
        <f t="shared" si="12"/>
        <v>9.4179923498492606</v>
      </c>
    </row>
    <row r="192" spans="2:12" x14ac:dyDescent="0.25">
      <c r="F192" s="80">
        <v>10</v>
      </c>
      <c r="G192" s="22">
        <v>92</v>
      </c>
      <c r="H192" s="78">
        <f t="shared" si="11"/>
        <v>90.851757565168697</v>
      </c>
      <c r="J192" s="80">
        <v>1</v>
      </c>
      <c r="K192" s="22">
        <f t="shared" si="15"/>
        <v>188</v>
      </c>
      <c r="L192" s="81">
        <f t="shared" si="12"/>
        <v>9.5316188323478777</v>
      </c>
    </row>
    <row r="193" spans="6:12" x14ac:dyDescent="0.25">
      <c r="F193" s="80">
        <v>10</v>
      </c>
      <c r="G193" s="22">
        <v>93</v>
      </c>
      <c r="H193" s="78">
        <f t="shared" si="11"/>
        <v>93.057204092969897</v>
      </c>
      <c r="J193" s="80">
        <v>1</v>
      </c>
      <c r="K193" s="22">
        <f t="shared" si="15"/>
        <v>189</v>
      </c>
      <c r="L193" s="81">
        <f t="shared" si="12"/>
        <v>9.6466161991119961</v>
      </c>
    </row>
    <row r="194" spans="6:12" x14ac:dyDescent="0.25">
      <c r="F194" s="80">
        <v>10</v>
      </c>
      <c r="G194" s="22">
        <v>94</v>
      </c>
      <c r="H194" s="78">
        <f t="shared" si="11"/>
        <v>95.316188323478769</v>
      </c>
      <c r="J194" s="80">
        <v>1</v>
      </c>
      <c r="K194" s="22">
        <f t="shared" si="15"/>
        <v>190</v>
      </c>
      <c r="L194" s="81">
        <f t="shared" si="12"/>
        <v>9.7630009896280789</v>
      </c>
    </row>
    <row r="195" spans="6:12" x14ac:dyDescent="0.25">
      <c r="F195" s="80">
        <v>10</v>
      </c>
      <c r="G195" s="22">
        <v>95</v>
      </c>
      <c r="H195" s="78">
        <f t="shared" si="11"/>
        <v>97.630009896280797</v>
      </c>
      <c r="J195" s="80">
        <v>1</v>
      </c>
      <c r="K195" s="22">
        <f t="shared" si="15"/>
        <v>191</v>
      </c>
      <c r="L195" s="81">
        <f t="shared" si="12"/>
        <v>9.8807899429286916</v>
      </c>
    </row>
    <row r="196" spans="6:12" x14ac:dyDescent="0.25">
      <c r="F196" s="80">
        <v>10</v>
      </c>
      <c r="G196" s="22">
        <v>96</v>
      </c>
      <c r="H196" s="78">
        <f t="shared" ref="H196:H259" si="16">F196*10^(G196/96)</f>
        <v>100</v>
      </c>
      <c r="J196" s="80">
        <v>1</v>
      </c>
      <c r="K196" s="22">
        <f t="shared" si="15"/>
        <v>192</v>
      </c>
      <c r="L196" s="81">
        <f t="shared" si="12"/>
        <v>10</v>
      </c>
    </row>
    <row r="197" spans="6:12" x14ac:dyDescent="0.25">
      <c r="F197" s="80">
        <v>100</v>
      </c>
      <c r="G197" s="22">
        <v>1</v>
      </c>
      <c r="H197" s="78">
        <f t="shared" si="16"/>
        <v>102.42752213815922</v>
      </c>
      <c r="J197" s="80">
        <f>J4*10</f>
        <v>10</v>
      </c>
      <c r="K197" s="22">
        <v>1</v>
      </c>
      <c r="L197" s="81">
        <f t="shared" ref="L197:L260" si="17">J197*10^(K197/192)</f>
        <v>10.120648306218294</v>
      </c>
    </row>
    <row r="198" spans="6:12" x14ac:dyDescent="0.25">
      <c r="F198" s="80">
        <v>100</v>
      </c>
      <c r="G198" s="22">
        <v>2</v>
      </c>
      <c r="H198" s="78">
        <f t="shared" si="16"/>
        <v>104.91397291363099</v>
      </c>
      <c r="J198" s="80">
        <f t="shared" ref="J198:J261" si="18">J5*10</f>
        <v>10</v>
      </c>
      <c r="K198" s="22">
        <f t="shared" ref="K198:K261" si="19">K197+1</f>
        <v>2</v>
      </c>
      <c r="L198" s="81">
        <f t="shared" si="17"/>
        <v>10.242752213815923</v>
      </c>
    </row>
    <row r="199" spans="6:12" x14ac:dyDescent="0.25">
      <c r="F199" s="80">
        <v>100</v>
      </c>
      <c r="G199" s="22">
        <v>3</v>
      </c>
      <c r="H199" s="78">
        <f t="shared" si="16"/>
        <v>107.46078283213174</v>
      </c>
      <c r="J199" s="80">
        <f t="shared" si="18"/>
        <v>10</v>
      </c>
      <c r="K199" s="22">
        <f t="shared" si="19"/>
        <v>3</v>
      </c>
      <c r="L199" s="81">
        <f t="shared" si="17"/>
        <v>10.366329284376981</v>
      </c>
    </row>
    <row r="200" spans="6:12" x14ac:dyDescent="0.25">
      <c r="F200" s="80">
        <v>100</v>
      </c>
      <c r="G200" s="22">
        <v>4</v>
      </c>
      <c r="H200" s="78">
        <f t="shared" si="16"/>
        <v>110.06941712522095</v>
      </c>
      <c r="J200" s="80">
        <f t="shared" si="18"/>
        <v>10</v>
      </c>
      <c r="K200" s="22">
        <f t="shared" si="19"/>
        <v>4</v>
      </c>
      <c r="L200" s="81">
        <f t="shared" si="17"/>
        <v>10.491397291363098</v>
      </c>
    </row>
    <row r="201" spans="6:12" x14ac:dyDescent="0.25">
      <c r="F201" s="80">
        <v>100</v>
      </c>
      <c r="G201" s="22">
        <v>5</v>
      </c>
      <c r="H201" s="78">
        <f t="shared" si="16"/>
        <v>112.74137659327852</v>
      </c>
      <c r="J201" s="80">
        <f t="shared" si="18"/>
        <v>10</v>
      </c>
      <c r="K201" s="22">
        <f t="shared" si="19"/>
        <v>5</v>
      </c>
      <c r="L201" s="81">
        <f t="shared" si="17"/>
        <v>10.617974222669716</v>
      </c>
    </row>
    <row r="202" spans="6:12" x14ac:dyDescent="0.25">
      <c r="F202" s="80">
        <v>100</v>
      </c>
      <c r="G202" s="22">
        <v>6</v>
      </c>
      <c r="H202" s="78">
        <f t="shared" si="16"/>
        <v>115.47819846894582</v>
      </c>
      <c r="J202" s="80">
        <f t="shared" si="18"/>
        <v>10</v>
      </c>
      <c r="K202" s="22">
        <f t="shared" si="19"/>
        <v>6</v>
      </c>
      <c r="L202" s="81">
        <f t="shared" si="17"/>
        <v>10.746078283213174</v>
      </c>
    </row>
    <row r="203" spans="6:12" x14ac:dyDescent="0.25">
      <c r="F203" s="80">
        <v>100</v>
      </c>
      <c r="G203" s="22">
        <v>7</v>
      </c>
      <c r="H203" s="78">
        <f t="shared" si="16"/>
        <v>118.28145730152693</v>
      </c>
      <c r="J203" s="80">
        <f t="shared" si="18"/>
        <v>10</v>
      </c>
      <c r="K203" s="22">
        <f t="shared" si="19"/>
        <v>7</v>
      </c>
      <c r="L203" s="81">
        <f t="shared" si="17"/>
        <v>10.875727897549062</v>
      </c>
    </row>
    <row r="204" spans="6:12" x14ac:dyDescent="0.25">
      <c r="F204" s="80">
        <v>100</v>
      </c>
      <c r="G204" s="22">
        <v>8</v>
      </c>
      <c r="H204" s="78">
        <f t="shared" si="16"/>
        <v>121.15276586285886</v>
      </c>
      <c r="J204" s="80">
        <f t="shared" si="18"/>
        <v>10</v>
      </c>
      <c r="K204" s="22">
        <f t="shared" si="19"/>
        <v>8</v>
      </c>
      <c r="L204" s="81">
        <f t="shared" si="17"/>
        <v>11.006941712522096</v>
      </c>
    </row>
    <row r="205" spans="6:12" x14ac:dyDescent="0.25">
      <c r="F205" s="80">
        <v>100</v>
      </c>
      <c r="G205" s="22">
        <v>9</v>
      </c>
      <c r="H205" s="78">
        <f t="shared" si="16"/>
        <v>124.09377607517196</v>
      </c>
      <c r="J205" s="80">
        <f t="shared" si="18"/>
        <v>10</v>
      </c>
      <c r="K205" s="22">
        <f t="shared" si="19"/>
        <v>9</v>
      </c>
      <c r="L205" s="81">
        <f t="shared" si="17"/>
        <v>11.139738599948023</v>
      </c>
    </row>
    <row r="206" spans="6:12" x14ac:dyDescent="0.25">
      <c r="F206" s="80">
        <v>100</v>
      </c>
      <c r="G206" s="22">
        <v>10</v>
      </c>
      <c r="H206" s="78">
        <f t="shared" si="16"/>
        <v>127.10617996147448</v>
      </c>
      <c r="J206" s="80">
        <f t="shared" si="18"/>
        <v>10</v>
      </c>
      <c r="K206" s="22">
        <f t="shared" si="19"/>
        <v>10</v>
      </c>
      <c r="L206" s="81">
        <f t="shared" si="17"/>
        <v>11.274137659327852</v>
      </c>
    </row>
    <row r="207" spans="6:12" x14ac:dyDescent="0.25">
      <c r="F207" s="80">
        <v>100</v>
      </c>
      <c r="G207" s="22">
        <v>11</v>
      </c>
      <c r="H207" s="78">
        <f t="shared" si="16"/>
        <v>130.19171061900778</v>
      </c>
      <c r="J207" s="80">
        <f t="shared" si="18"/>
        <v>10</v>
      </c>
      <c r="K207" s="22">
        <f t="shared" si="19"/>
        <v>11</v>
      </c>
      <c r="L207" s="81">
        <f t="shared" si="17"/>
        <v>11.41015822059483</v>
      </c>
    </row>
    <row r="208" spans="6:12" x14ac:dyDescent="0.25">
      <c r="F208" s="80">
        <v>100</v>
      </c>
      <c r="G208" s="22">
        <v>12</v>
      </c>
      <c r="H208" s="78">
        <f t="shared" si="16"/>
        <v>133.35214321633239</v>
      </c>
      <c r="J208" s="80">
        <f t="shared" si="18"/>
        <v>10</v>
      </c>
      <c r="K208" s="22">
        <f t="shared" si="19"/>
        <v>12</v>
      </c>
      <c r="L208" s="81">
        <f t="shared" si="17"/>
        <v>11.547819846894583</v>
      </c>
    </row>
    <row r="209" spans="6:12" x14ac:dyDescent="0.25">
      <c r="F209" s="80">
        <v>100</v>
      </c>
      <c r="G209" s="22">
        <v>13</v>
      </c>
      <c r="H209" s="78">
        <f t="shared" si="16"/>
        <v>136.58929601461867</v>
      </c>
      <c r="J209" s="80">
        <f t="shared" si="18"/>
        <v>10</v>
      </c>
      <c r="K209" s="22">
        <f t="shared" si="19"/>
        <v>13</v>
      </c>
      <c r="L209" s="81">
        <f t="shared" si="17"/>
        <v>11.687142337398766</v>
      </c>
    </row>
    <row r="210" spans="6:12" x14ac:dyDescent="0.25">
      <c r="F210" s="80">
        <v>100</v>
      </c>
      <c r="G210" s="22">
        <v>14</v>
      </c>
      <c r="H210" s="78">
        <f t="shared" si="16"/>
        <v>139.90503141372938</v>
      </c>
      <c r="J210" s="80">
        <f t="shared" si="18"/>
        <v>10</v>
      </c>
      <c r="K210" s="22">
        <f t="shared" si="19"/>
        <v>14</v>
      </c>
      <c r="L210" s="81">
        <f t="shared" si="17"/>
        <v>11.828145730152693</v>
      </c>
    </row>
    <row r="211" spans="6:12" x14ac:dyDescent="0.25">
      <c r="F211" s="80">
        <v>100</v>
      </c>
      <c r="G211" s="22">
        <v>15</v>
      </c>
      <c r="H211" s="78">
        <f t="shared" si="16"/>
        <v>143.30125702369628</v>
      </c>
      <c r="J211" s="80">
        <f t="shared" si="18"/>
        <v>10</v>
      </c>
      <c r="K211" s="22">
        <f t="shared" si="19"/>
        <v>15</v>
      </c>
      <c r="L211" s="81">
        <f t="shared" si="17"/>
        <v>11.970850304957299</v>
      </c>
    </row>
    <row r="212" spans="6:12" x14ac:dyDescent="0.25">
      <c r="F212" s="80">
        <v>100</v>
      </c>
      <c r="G212" s="22">
        <v>16</v>
      </c>
      <c r="H212" s="78">
        <f t="shared" si="16"/>
        <v>146.77992676220697</v>
      </c>
      <c r="J212" s="80">
        <f t="shared" si="18"/>
        <v>10</v>
      </c>
      <c r="K212" s="22">
        <f t="shared" si="19"/>
        <v>16</v>
      </c>
      <c r="L212" s="81">
        <f t="shared" si="17"/>
        <v>12.115276586285885</v>
      </c>
    </row>
    <row r="213" spans="6:12" x14ac:dyDescent="0.25">
      <c r="F213" s="80">
        <v>100</v>
      </c>
      <c r="G213" s="22">
        <v>17</v>
      </c>
      <c r="H213" s="78">
        <f t="shared" si="16"/>
        <v>150.34304197873342</v>
      </c>
      <c r="J213" s="80">
        <f t="shared" si="18"/>
        <v>10</v>
      </c>
      <c r="K213" s="22">
        <f t="shared" si="19"/>
        <v>17</v>
      </c>
      <c r="L213" s="81">
        <f t="shared" si="17"/>
        <v>12.261445346236039</v>
      </c>
    </row>
    <row r="214" spans="6:12" x14ac:dyDescent="0.25">
      <c r="F214" s="80">
        <v>100</v>
      </c>
      <c r="G214" s="22">
        <v>18</v>
      </c>
      <c r="H214" s="78">
        <f t="shared" si="16"/>
        <v>153.99265260594922</v>
      </c>
      <c r="J214" s="80">
        <f t="shared" si="18"/>
        <v>10</v>
      </c>
      <c r="K214" s="22">
        <f t="shared" si="19"/>
        <v>18</v>
      </c>
      <c r="L214" s="81">
        <f t="shared" si="17"/>
        <v>12.409377607517197</v>
      </c>
    </row>
    <row r="215" spans="6:12" x14ac:dyDescent="0.25">
      <c r="F215" s="80">
        <v>100</v>
      </c>
      <c r="G215" s="22">
        <v>19</v>
      </c>
      <c r="H215" s="78">
        <f t="shared" si="16"/>
        <v>157.73085833909727</v>
      </c>
      <c r="J215" s="80">
        <f t="shared" si="18"/>
        <v>10</v>
      </c>
      <c r="K215" s="22">
        <f t="shared" si="19"/>
        <v>19</v>
      </c>
      <c r="L215" s="81">
        <f t="shared" si="17"/>
        <v>12.559094646474215</v>
      </c>
    </row>
    <row r="216" spans="6:12" x14ac:dyDescent="0.25">
      <c r="F216" s="80">
        <v>100</v>
      </c>
      <c r="G216" s="22">
        <v>20</v>
      </c>
      <c r="H216" s="78">
        <f t="shared" si="16"/>
        <v>161.55980984398741</v>
      </c>
      <c r="J216" s="80">
        <f t="shared" si="18"/>
        <v>10</v>
      </c>
      <c r="K216" s="22">
        <f t="shared" si="19"/>
        <v>20</v>
      </c>
      <c r="L216" s="81">
        <f t="shared" si="17"/>
        <v>12.710617996147448</v>
      </c>
    </row>
    <row r="217" spans="6:12" x14ac:dyDescent="0.25">
      <c r="F217" s="80">
        <v>100</v>
      </c>
      <c r="G217" s="22">
        <v>21</v>
      </c>
      <c r="H217" s="78">
        <f t="shared" si="16"/>
        <v>165.48170999431815</v>
      </c>
      <c r="J217" s="80">
        <f t="shared" si="18"/>
        <v>10</v>
      </c>
      <c r="K217" s="22">
        <f t="shared" si="19"/>
        <v>21</v>
      </c>
      <c r="L217" s="81">
        <f t="shared" si="17"/>
        <v>12.863969449369746</v>
      </c>
    </row>
    <row r="218" spans="6:12" x14ac:dyDescent="0.25">
      <c r="F218" s="80">
        <v>100</v>
      </c>
      <c r="G218" s="22">
        <v>22</v>
      </c>
      <c r="H218" s="78">
        <f t="shared" si="16"/>
        <v>169.49881513903466</v>
      </c>
      <c r="J218" s="80">
        <f t="shared" si="18"/>
        <v>10</v>
      </c>
      <c r="K218" s="22">
        <f t="shared" si="19"/>
        <v>22</v>
      </c>
      <c r="L218" s="81">
        <f t="shared" si="17"/>
        <v>13.019171061900778</v>
      </c>
    </row>
    <row r="219" spans="6:12" x14ac:dyDescent="0.25">
      <c r="F219" s="80">
        <v>100</v>
      </c>
      <c r="G219" s="22">
        <v>23</v>
      </c>
      <c r="H219" s="78">
        <f t="shared" si="16"/>
        <v>173.61343640045231</v>
      </c>
      <c r="J219" s="80">
        <f t="shared" si="18"/>
        <v>10</v>
      </c>
      <c r="K219" s="22">
        <f t="shared" si="19"/>
        <v>23</v>
      </c>
      <c r="L219" s="81">
        <f t="shared" si="17"/>
        <v>13.176245155599236</v>
      </c>
    </row>
    <row r="220" spans="6:12" x14ac:dyDescent="0.25">
      <c r="F220" s="80">
        <v>100</v>
      </c>
      <c r="G220" s="22">
        <v>24</v>
      </c>
      <c r="H220" s="78">
        <f t="shared" si="16"/>
        <v>177.82794100389231</v>
      </c>
      <c r="J220" s="80">
        <f t="shared" si="18"/>
        <v>10</v>
      </c>
      <c r="K220" s="22">
        <f t="shared" si="19"/>
        <v>24</v>
      </c>
      <c r="L220" s="81">
        <f t="shared" si="17"/>
        <v>13.33521432163324</v>
      </c>
    </row>
    <row r="221" spans="6:12" x14ac:dyDescent="0.25">
      <c r="F221" s="80">
        <v>100</v>
      </c>
      <c r="G221" s="22">
        <v>25</v>
      </c>
      <c r="H221" s="78">
        <f t="shared" si="16"/>
        <v>182.14475363959451</v>
      </c>
      <c r="J221" s="80">
        <f t="shared" si="18"/>
        <v>10</v>
      </c>
      <c r="K221" s="22">
        <f t="shared" si="19"/>
        <v>25</v>
      </c>
      <c r="L221" s="81">
        <f t="shared" si="17"/>
        <v>13.496101423729542</v>
      </c>
    </row>
    <row r="222" spans="6:12" x14ac:dyDescent="0.25">
      <c r="F222" s="80">
        <v>100</v>
      </c>
      <c r="G222" s="22">
        <v>26</v>
      </c>
      <c r="H222" s="78">
        <f t="shared" si="16"/>
        <v>186.56635785769123</v>
      </c>
      <c r="J222" s="80">
        <f t="shared" si="18"/>
        <v>10</v>
      </c>
      <c r="K222" s="22">
        <f t="shared" si="19"/>
        <v>26</v>
      </c>
      <c r="L222" s="81">
        <f t="shared" si="17"/>
        <v>13.658929601461868</v>
      </c>
    </row>
    <row r="223" spans="6:12" x14ac:dyDescent="0.25">
      <c r="F223" s="80">
        <v>100</v>
      </c>
      <c r="G223" s="22">
        <v>27</v>
      </c>
      <c r="H223" s="78">
        <f t="shared" si="16"/>
        <v>191.09529749704407</v>
      </c>
      <c r="J223" s="80">
        <f t="shared" si="18"/>
        <v>10</v>
      </c>
      <c r="K223" s="22">
        <f t="shared" si="19"/>
        <v>27</v>
      </c>
      <c r="L223" s="81">
        <f t="shared" si="17"/>
        <v>13.823722273578998</v>
      </c>
    </row>
    <row r="224" spans="6:12" x14ac:dyDescent="0.25">
      <c r="F224" s="80">
        <v>100</v>
      </c>
      <c r="G224" s="22">
        <v>28</v>
      </c>
      <c r="H224" s="78">
        <f t="shared" si="16"/>
        <v>195.73417814876603</v>
      </c>
      <c r="J224" s="80">
        <f t="shared" si="18"/>
        <v>10</v>
      </c>
      <c r="K224" s="22">
        <f t="shared" si="19"/>
        <v>28</v>
      </c>
      <c r="L224" s="81">
        <f t="shared" si="17"/>
        <v>13.990503141372939</v>
      </c>
    </row>
    <row r="225" spans="6:12" x14ac:dyDescent="0.25">
      <c r="F225" s="80">
        <v>100</v>
      </c>
      <c r="G225" s="22">
        <v>29</v>
      </c>
      <c r="H225" s="78">
        <f t="shared" si="16"/>
        <v>200.48566865527135</v>
      </c>
      <c r="J225" s="80">
        <f t="shared" si="18"/>
        <v>10</v>
      </c>
      <c r="K225" s="22">
        <f t="shared" si="19"/>
        <v>29</v>
      </c>
      <c r="L225" s="81">
        <f t="shared" si="17"/>
        <v>14.159296192087773</v>
      </c>
    </row>
    <row r="226" spans="6:12" x14ac:dyDescent="0.25">
      <c r="F226" s="80">
        <v>100</v>
      </c>
      <c r="G226" s="22">
        <v>30</v>
      </c>
      <c r="H226" s="78">
        <f t="shared" si="16"/>
        <v>205.35250264571462</v>
      </c>
      <c r="J226" s="80">
        <f t="shared" si="18"/>
        <v>10</v>
      </c>
      <c r="K226" s="22">
        <f t="shared" si="19"/>
        <v>30</v>
      </c>
      <c r="L226" s="81">
        <f t="shared" si="17"/>
        <v>14.33012570236963</v>
      </c>
    </row>
    <row r="227" spans="6:12" x14ac:dyDescent="0.25">
      <c r="F227" s="80">
        <v>100</v>
      </c>
      <c r="G227" s="22">
        <v>31</v>
      </c>
      <c r="H227" s="78">
        <f t="shared" si="16"/>
        <v>210.33748010870337</v>
      </c>
      <c r="J227" s="80">
        <f t="shared" si="18"/>
        <v>10</v>
      </c>
      <c r="K227" s="22">
        <f t="shared" si="19"/>
        <v>31</v>
      </c>
      <c r="L227" s="81">
        <f t="shared" si="17"/>
        <v>14.503016241758242</v>
      </c>
    </row>
    <row r="228" spans="6:12" x14ac:dyDescent="0.25">
      <c r="F228" s="80">
        <v>100</v>
      </c>
      <c r="G228" s="22">
        <v>32</v>
      </c>
      <c r="H228" s="78">
        <f t="shared" si="16"/>
        <v>215.44346900318837</v>
      </c>
      <c r="J228" s="80">
        <f t="shared" si="18"/>
        <v>10</v>
      </c>
      <c r="K228" s="22">
        <f t="shared" si="19"/>
        <v>32</v>
      </c>
      <c r="L228" s="81">
        <f t="shared" si="17"/>
        <v>14.677992676220697</v>
      </c>
    </row>
    <row r="229" spans="6:12" x14ac:dyDescent="0.25">
      <c r="F229" s="80">
        <v>100</v>
      </c>
      <c r="G229" s="22">
        <v>33</v>
      </c>
      <c r="H229" s="78">
        <f t="shared" si="16"/>
        <v>220.67340690845901</v>
      </c>
      <c r="J229" s="80">
        <f t="shared" si="18"/>
        <v>10</v>
      </c>
      <c r="K229" s="22">
        <f t="shared" si="19"/>
        <v>33</v>
      </c>
      <c r="L229" s="81">
        <f t="shared" si="17"/>
        <v>14.855080171727749</v>
      </c>
    </row>
    <row r="230" spans="6:12" x14ac:dyDescent="0.25">
      <c r="F230" s="80">
        <v>100</v>
      </c>
      <c r="G230" s="22">
        <v>34</v>
      </c>
      <c r="H230" s="78">
        <f t="shared" si="16"/>
        <v>226.03030271419203</v>
      </c>
      <c r="J230" s="80">
        <f t="shared" si="18"/>
        <v>10</v>
      </c>
      <c r="K230" s="22">
        <f t="shared" si="19"/>
        <v>34</v>
      </c>
      <c r="L230" s="81">
        <f t="shared" si="17"/>
        <v>15.034304197873343</v>
      </c>
    </row>
    <row r="231" spans="6:12" x14ac:dyDescent="0.25">
      <c r="F231" s="80">
        <v>100</v>
      </c>
      <c r="G231" s="22">
        <v>35</v>
      </c>
      <c r="H231" s="78">
        <f t="shared" si="16"/>
        <v>231.51723835152734</v>
      </c>
      <c r="J231" s="80">
        <f t="shared" si="18"/>
        <v>10</v>
      </c>
      <c r="K231" s="22">
        <f t="shared" si="19"/>
        <v>35</v>
      </c>
      <c r="L231" s="81">
        <f t="shared" si="17"/>
        <v>15.215690531537744</v>
      </c>
    </row>
    <row r="232" spans="6:12" x14ac:dyDescent="0.25">
      <c r="F232" s="80">
        <v>100</v>
      </c>
      <c r="G232" s="22">
        <v>36</v>
      </c>
      <c r="H232" s="78">
        <f t="shared" si="16"/>
        <v>237.13737056616554</v>
      </c>
      <c r="J232" s="80">
        <f t="shared" si="18"/>
        <v>10</v>
      </c>
      <c r="K232" s="22">
        <f t="shared" si="19"/>
        <v>36</v>
      </c>
      <c r="L232" s="81">
        <f t="shared" si="17"/>
        <v>15.399265260594921</v>
      </c>
    </row>
    <row r="233" spans="6:12" x14ac:dyDescent="0.25">
      <c r="F233" s="80">
        <v>100</v>
      </c>
      <c r="G233" s="22">
        <v>37</v>
      </c>
      <c r="H233" s="78">
        <f t="shared" si="16"/>
        <v>242.89393273450793</v>
      </c>
      <c r="J233" s="80">
        <f t="shared" si="18"/>
        <v>10</v>
      </c>
      <c r="K233" s="22">
        <f t="shared" si="19"/>
        <v>37</v>
      </c>
      <c r="L233" s="81">
        <f t="shared" si="17"/>
        <v>15.585054787664621</v>
      </c>
    </row>
    <row r="234" spans="6:12" x14ac:dyDescent="0.25">
      <c r="F234" s="80">
        <v>100</v>
      </c>
      <c r="G234" s="22">
        <v>38</v>
      </c>
      <c r="H234" s="78">
        <f t="shared" si="16"/>
        <v>248.79023672388362</v>
      </c>
      <c r="J234" s="80">
        <f t="shared" si="18"/>
        <v>10</v>
      </c>
      <c r="K234" s="22">
        <f t="shared" si="19"/>
        <v>38</v>
      </c>
      <c r="L234" s="81">
        <f t="shared" si="17"/>
        <v>15.773085833909725</v>
      </c>
    </row>
    <row r="235" spans="6:12" x14ac:dyDescent="0.25">
      <c r="F235" s="80">
        <v>100</v>
      </c>
      <c r="G235" s="22">
        <v>39</v>
      </c>
      <c r="H235" s="78">
        <f t="shared" si="16"/>
        <v>254.8296747979347</v>
      </c>
      <c r="J235" s="80">
        <f t="shared" si="18"/>
        <v>10</v>
      </c>
      <c r="K235" s="22">
        <f t="shared" si="19"/>
        <v>39</v>
      </c>
      <c r="L235" s="81">
        <f t="shared" si="17"/>
        <v>15.963385442879423</v>
      </c>
    </row>
    <row r="236" spans="6:12" x14ac:dyDescent="0.25">
      <c r="F236" s="80">
        <v>100</v>
      </c>
      <c r="G236" s="22">
        <v>40</v>
      </c>
      <c r="H236" s="78">
        <f t="shared" si="16"/>
        <v>261.0157215682537</v>
      </c>
      <c r="J236" s="80">
        <f t="shared" si="18"/>
        <v>10</v>
      </c>
      <c r="K236" s="22">
        <f t="shared" si="19"/>
        <v>40</v>
      </c>
      <c r="L236" s="81">
        <f t="shared" si="17"/>
        <v>16.155980984398742</v>
      </c>
    </row>
    <row r="237" spans="6:12" x14ac:dyDescent="0.25">
      <c r="F237" s="80">
        <v>100</v>
      </c>
      <c r="G237" s="22">
        <v>41</v>
      </c>
      <c r="H237" s="78">
        <f t="shared" si="16"/>
        <v>267.35193599339908</v>
      </c>
      <c r="J237" s="80">
        <f t="shared" si="18"/>
        <v>10</v>
      </c>
      <c r="K237" s="22">
        <f t="shared" si="19"/>
        <v>41</v>
      </c>
      <c r="L237" s="81">
        <f t="shared" si="17"/>
        <v>16.350900158505009</v>
      </c>
    </row>
    <row r="238" spans="6:12" x14ac:dyDescent="0.25">
      <c r="F238" s="80">
        <v>100</v>
      </c>
      <c r="G238" s="22">
        <v>42</v>
      </c>
      <c r="H238" s="78">
        <f t="shared" si="16"/>
        <v>273.84196342643617</v>
      </c>
      <c r="J238" s="80">
        <f t="shared" si="18"/>
        <v>10</v>
      </c>
      <c r="K238" s="22">
        <f t="shared" si="19"/>
        <v>42</v>
      </c>
      <c r="L238" s="81">
        <f t="shared" si="17"/>
        <v>16.548170999431814</v>
      </c>
    </row>
    <row r="239" spans="6:12" x14ac:dyDescent="0.25">
      <c r="F239" s="80">
        <v>100</v>
      </c>
      <c r="G239" s="22">
        <v>43</v>
      </c>
      <c r="H239" s="78">
        <f t="shared" si="16"/>
        <v>280.48953771218282</v>
      </c>
      <c r="J239" s="80">
        <f t="shared" si="18"/>
        <v>10</v>
      </c>
      <c r="K239" s="22">
        <f t="shared" si="19"/>
        <v>43</v>
      </c>
      <c r="L239" s="81">
        <f t="shared" si="17"/>
        <v>16.74782187964103</v>
      </c>
    </row>
    <row r="240" spans="6:12" x14ac:dyDescent="0.25">
      <c r="F240" s="80">
        <v>100</v>
      </c>
      <c r="G240" s="22">
        <v>44</v>
      </c>
      <c r="H240" s="78">
        <f t="shared" si="16"/>
        <v>287.29848333536643</v>
      </c>
      <c r="J240" s="80">
        <f t="shared" si="18"/>
        <v>10</v>
      </c>
      <c r="K240" s="22">
        <f t="shared" si="19"/>
        <v>44</v>
      </c>
      <c r="L240" s="81">
        <f t="shared" si="17"/>
        <v>16.949881513903467</v>
      </c>
    </row>
    <row r="241" spans="6:12" x14ac:dyDescent="0.25">
      <c r="F241" s="80">
        <v>100</v>
      </c>
      <c r="G241" s="22">
        <v>45</v>
      </c>
      <c r="H241" s="78">
        <f t="shared" si="16"/>
        <v>294.27271762092823</v>
      </c>
      <c r="J241" s="80">
        <f t="shared" si="18"/>
        <v>10</v>
      </c>
      <c r="K241" s="22">
        <f t="shared" si="19"/>
        <v>45</v>
      </c>
      <c r="L241" s="81">
        <f t="shared" si="17"/>
        <v>17.15437896342879</v>
      </c>
    </row>
    <row r="242" spans="6:12" x14ac:dyDescent="0.25">
      <c r="F242" s="80">
        <v>100</v>
      </c>
      <c r="G242" s="22">
        <v>46</v>
      </c>
      <c r="H242" s="78">
        <f t="shared" si="16"/>
        <v>301.41625298773909</v>
      </c>
      <c r="J242" s="80">
        <f t="shared" si="18"/>
        <v>10</v>
      </c>
      <c r="K242" s="22">
        <f t="shared" si="19"/>
        <v>46</v>
      </c>
      <c r="L242" s="81">
        <f t="shared" si="17"/>
        <v>17.361343640045234</v>
      </c>
    </row>
    <row r="243" spans="6:12" x14ac:dyDescent="0.25">
      <c r="F243" s="80">
        <v>100</v>
      </c>
      <c r="G243" s="22">
        <v>47</v>
      </c>
      <c r="H243" s="78">
        <f t="shared" si="16"/>
        <v>308.7331992570264</v>
      </c>
      <c r="J243" s="80">
        <f t="shared" si="18"/>
        <v>10</v>
      </c>
      <c r="K243" s="22">
        <f t="shared" si="19"/>
        <v>47</v>
      </c>
      <c r="L243" s="81">
        <f t="shared" si="17"/>
        <v>17.570805310429755</v>
      </c>
    </row>
    <row r="244" spans="6:12" x14ac:dyDescent="0.25">
      <c r="F244" s="80">
        <v>100</v>
      </c>
      <c r="G244" s="22">
        <v>48</v>
      </c>
      <c r="H244" s="78">
        <f t="shared" si="16"/>
        <v>316.22776601683796</v>
      </c>
      <c r="J244" s="80">
        <f t="shared" si="18"/>
        <v>10</v>
      </c>
      <c r="K244" s="22">
        <f t="shared" si="19"/>
        <v>48</v>
      </c>
      <c r="L244" s="81">
        <f t="shared" si="17"/>
        <v>17.782794100389228</v>
      </c>
    </row>
    <row r="245" spans="6:12" x14ac:dyDescent="0.25">
      <c r="F245" s="80">
        <v>100</v>
      </c>
      <c r="G245" s="22">
        <v>49</v>
      </c>
      <c r="H245" s="78">
        <f t="shared" si="16"/>
        <v>323.90426504390308</v>
      </c>
      <c r="J245" s="80">
        <f t="shared" si="18"/>
        <v>10</v>
      </c>
      <c r="K245" s="22">
        <f t="shared" si="19"/>
        <v>49</v>
      </c>
      <c r="L245" s="81">
        <f t="shared" si="17"/>
        <v>17.997340499193292</v>
      </c>
    </row>
    <row r="246" spans="6:12" x14ac:dyDescent="0.25">
      <c r="F246" s="80">
        <v>100</v>
      </c>
      <c r="G246" s="22">
        <v>50</v>
      </c>
      <c r="H246" s="78">
        <f t="shared" si="16"/>
        <v>331.76711278428581</v>
      </c>
      <c r="J246" s="80">
        <f t="shared" si="18"/>
        <v>10</v>
      </c>
      <c r="K246" s="22">
        <f t="shared" si="19"/>
        <v>50</v>
      </c>
      <c r="L246" s="81">
        <f t="shared" si="17"/>
        <v>18.214475363959451</v>
      </c>
    </row>
    <row r="247" spans="6:12" x14ac:dyDescent="0.25">
      <c r="F247" s="80">
        <v>100</v>
      </c>
      <c r="G247" s="22">
        <v>51</v>
      </c>
      <c r="H247" s="78">
        <f t="shared" si="16"/>
        <v>339.82083289425594</v>
      </c>
      <c r="J247" s="80">
        <f t="shared" si="18"/>
        <v>10</v>
      </c>
      <c r="K247" s="22">
        <f t="shared" si="19"/>
        <v>51</v>
      </c>
      <c r="L247" s="81">
        <f t="shared" si="17"/>
        <v>18.434229924091106</v>
      </c>
    </row>
    <row r="248" spans="6:12" x14ac:dyDescent="0.25">
      <c r="F248" s="80">
        <v>100</v>
      </c>
      <c r="G248" s="22">
        <v>52</v>
      </c>
      <c r="H248" s="78">
        <f t="shared" si="16"/>
        <v>348.07005884284104</v>
      </c>
      <c r="J248" s="80">
        <f t="shared" si="18"/>
        <v>10</v>
      </c>
      <c r="K248" s="22">
        <f t="shared" si="19"/>
        <v>52</v>
      </c>
      <c r="L248" s="81">
        <f t="shared" si="17"/>
        <v>18.656635785769122</v>
      </c>
    </row>
    <row r="249" spans="6:12" x14ac:dyDescent="0.25">
      <c r="F249" s="80">
        <v>100</v>
      </c>
      <c r="G249" s="22">
        <v>53</v>
      </c>
      <c r="H249" s="78">
        <f t="shared" si="16"/>
        <v>356.51953657755496</v>
      </c>
      <c r="J249" s="80">
        <f t="shared" si="18"/>
        <v>10</v>
      </c>
      <c r="K249" s="22">
        <f t="shared" si="19"/>
        <v>53</v>
      </c>
      <c r="L249" s="81">
        <f t="shared" si="17"/>
        <v>18.881724936497591</v>
      </c>
    </row>
    <row r="250" spans="6:12" x14ac:dyDescent="0.25">
      <c r="F250" s="80">
        <v>100</v>
      </c>
      <c r="G250" s="22">
        <v>54</v>
      </c>
      <c r="H250" s="78">
        <f t="shared" si="16"/>
        <v>365.17412725483774</v>
      </c>
      <c r="J250" s="80">
        <f t="shared" si="18"/>
        <v>10</v>
      </c>
      <c r="K250" s="22">
        <f t="shared" si="19"/>
        <v>54</v>
      </c>
      <c r="L250" s="81">
        <f t="shared" si="17"/>
        <v>19.109529749704407</v>
      </c>
    </row>
    <row r="251" spans="6:12" x14ac:dyDescent="0.25">
      <c r="F251" s="80">
        <v>100</v>
      </c>
      <c r="G251" s="22">
        <v>55</v>
      </c>
      <c r="H251" s="78">
        <f t="shared" si="16"/>
        <v>374.03881003677861</v>
      </c>
      <c r="J251" s="80">
        <f t="shared" si="18"/>
        <v>10</v>
      </c>
      <c r="K251" s="22">
        <f t="shared" si="19"/>
        <v>55</v>
      </c>
      <c r="L251" s="81">
        <f t="shared" si="17"/>
        <v>19.340082989397398</v>
      </c>
    </row>
    <row r="252" spans="6:12" x14ac:dyDescent="0.25">
      <c r="F252" s="80">
        <v>100</v>
      </c>
      <c r="G252" s="22">
        <v>56</v>
      </c>
      <c r="H252" s="78">
        <f t="shared" si="16"/>
        <v>383.11868495572884</v>
      </c>
      <c r="J252" s="80">
        <f t="shared" si="18"/>
        <v>10</v>
      </c>
      <c r="K252" s="22">
        <f t="shared" si="19"/>
        <v>56</v>
      </c>
      <c r="L252" s="81">
        <f t="shared" si="17"/>
        <v>19.573417814876603</v>
      </c>
    </row>
    <row r="253" spans="6:12" x14ac:dyDescent="0.25">
      <c r="F253" s="80">
        <v>100</v>
      </c>
      <c r="G253" s="22">
        <v>57</v>
      </c>
      <c r="H253" s="78">
        <f t="shared" si="16"/>
        <v>392.41897584845361</v>
      </c>
      <c r="J253" s="80">
        <f t="shared" si="18"/>
        <v>10</v>
      </c>
      <c r="K253" s="22">
        <f t="shared" si="19"/>
        <v>57</v>
      </c>
      <c r="L253" s="81">
        <f t="shared" si="17"/>
        <v>19.80956778550339</v>
      </c>
    </row>
    <row r="254" spans="6:12" x14ac:dyDescent="0.25">
      <c r="F254" s="80">
        <v>100</v>
      </c>
      <c r="G254" s="22">
        <v>58</v>
      </c>
      <c r="H254" s="78">
        <f t="shared" si="16"/>
        <v>401.94503336151257</v>
      </c>
      <c r="J254" s="80">
        <f t="shared" si="18"/>
        <v>10</v>
      </c>
      <c r="K254" s="22">
        <f t="shared" si="19"/>
        <v>58</v>
      </c>
      <c r="L254" s="81">
        <f t="shared" si="17"/>
        <v>20.048566865527135</v>
      </c>
    </row>
    <row r="255" spans="6:12" x14ac:dyDescent="0.25">
      <c r="F255" s="80">
        <v>100</v>
      </c>
      <c r="G255" s="22">
        <v>59</v>
      </c>
      <c r="H255" s="78">
        <f t="shared" si="16"/>
        <v>411.70233802959484</v>
      </c>
      <c r="J255" s="80">
        <f t="shared" si="18"/>
        <v>10</v>
      </c>
      <c r="K255" s="22">
        <f t="shared" si="19"/>
        <v>59</v>
      </c>
      <c r="L255" s="81">
        <f t="shared" si="17"/>
        <v>20.290449428970145</v>
      </c>
    </row>
    <row r="256" spans="6:12" x14ac:dyDescent="0.25">
      <c r="F256" s="80">
        <v>100</v>
      </c>
      <c r="G256" s="22">
        <v>60</v>
      </c>
      <c r="H256" s="78">
        <f t="shared" si="16"/>
        <v>421.69650342858233</v>
      </c>
      <c r="J256" s="80">
        <f t="shared" si="18"/>
        <v>10</v>
      </c>
      <c r="K256" s="22">
        <f t="shared" si="19"/>
        <v>60</v>
      </c>
      <c r="L256" s="81">
        <f t="shared" si="17"/>
        <v>20.535250264571463</v>
      </c>
    </row>
    <row r="257" spans="6:12" x14ac:dyDescent="0.25">
      <c r="F257" s="80">
        <v>100</v>
      </c>
      <c r="G257" s="22">
        <v>61</v>
      </c>
      <c r="H257" s="78">
        <f t="shared" si="16"/>
        <v>431.93327940515445</v>
      </c>
      <c r="J257" s="80">
        <f t="shared" si="18"/>
        <v>10</v>
      </c>
      <c r="K257" s="22">
        <f t="shared" si="19"/>
        <v>61</v>
      </c>
      <c r="L257" s="81">
        <f t="shared" si="17"/>
        <v>20.78300458079039</v>
      </c>
    </row>
    <row r="258" spans="6:12" x14ac:dyDescent="0.25">
      <c r="F258" s="80">
        <v>100</v>
      </c>
      <c r="G258" s="22">
        <v>62</v>
      </c>
      <c r="H258" s="78">
        <f t="shared" si="16"/>
        <v>442.41855538479183</v>
      </c>
      <c r="J258" s="80">
        <f t="shared" si="18"/>
        <v>10</v>
      </c>
      <c r="K258" s="22">
        <f t="shared" si="19"/>
        <v>62</v>
      </c>
      <c r="L258" s="81">
        <f t="shared" si="17"/>
        <v>21.033748010870337</v>
      </c>
    </row>
    <row r="259" spans="6:12" x14ac:dyDescent="0.25">
      <c r="F259" s="80">
        <v>100</v>
      </c>
      <c r="G259" s="22">
        <v>63</v>
      </c>
      <c r="H259" s="78">
        <f t="shared" si="16"/>
        <v>453.1583637600819</v>
      </c>
      <c r="J259" s="80">
        <f t="shared" si="18"/>
        <v>10</v>
      </c>
      <c r="K259" s="22">
        <f t="shared" si="19"/>
        <v>63</v>
      </c>
      <c r="L259" s="81">
        <f t="shared" si="17"/>
        <v>21.287516617963725</v>
      </c>
    </row>
    <row r="260" spans="6:12" x14ac:dyDescent="0.25">
      <c r="F260" s="80">
        <v>100</v>
      </c>
      <c r="G260" s="22">
        <v>64</v>
      </c>
      <c r="H260" s="78">
        <f t="shared" ref="H260:H323" si="20">F260*10^(G260/96)</f>
        <v>464.15888336127796</v>
      </c>
      <c r="J260" s="80">
        <f t="shared" si="18"/>
        <v>10</v>
      </c>
      <c r="K260" s="22">
        <f t="shared" si="19"/>
        <v>64</v>
      </c>
      <c r="L260" s="81">
        <f t="shared" si="17"/>
        <v>21.544346900318839</v>
      </c>
    </row>
    <row r="261" spans="6:12" x14ac:dyDescent="0.25">
      <c r="F261" s="80">
        <v>100</v>
      </c>
      <c r="G261" s="22">
        <v>65</v>
      </c>
      <c r="H261" s="78">
        <f t="shared" si="20"/>
        <v>475.42644301110568</v>
      </c>
      <c r="J261" s="80">
        <f t="shared" si="18"/>
        <v>10</v>
      </c>
      <c r="K261" s="22">
        <f t="shared" si="19"/>
        <v>65</v>
      </c>
      <c r="L261" s="81">
        <f t="shared" ref="L261:L324" si="21">J261*10^(K261/192)</f>
        <v>21.804275796529122</v>
      </c>
    </row>
    <row r="262" spans="6:12" x14ac:dyDescent="0.25">
      <c r="F262" s="80">
        <v>100</v>
      </c>
      <c r="G262" s="22">
        <v>66</v>
      </c>
      <c r="H262" s="78">
        <f t="shared" si="20"/>
        <v>486.96752516586315</v>
      </c>
      <c r="J262" s="80">
        <f t="shared" ref="J262:J325" si="22">J69*10</f>
        <v>10</v>
      </c>
      <c r="K262" s="22">
        <f t="shared" ref="K262:K325" si="23">K261+1</f>
        <v>66</v>
      </c>
      <c r="L262" s="81">
        <f t="shared" si="21"/>
        <v>22.067340690845899</v>
      </c>
    </row>
    <row r="263" spans="6:12" x14ac:dyDescent="0.25">
      <c r="F263" s="80">
        <v>100</v>
      </c>
      <c r="G263" s="22">
        <v>67</v>
      </c>
      <c r="H263" s="78">
        <f t="shared" si="20"/>
        <v>498.78876964491059</v>
      </c>
      <c r="J263" s="80">
        <f t="shared" si="22"/>
        <v>10</v>
      </c>
      <c r="K263" s="22">
        <f t="shared" si="23"/>
        <v>67</v>
      </c>
      <c r="L263" s="81">
        <f t="shared" si="21"/>
        <v>22.333579418555161</v>
      </c>
    </row>
    <row r="264" spans="6:12" x14ac:dyDescent="0.25">
      <c r="F264" s="80">
        <v>100</v>
      </c>
      <c r="G264" s="22">
        <v>68</v>
      </c>
      <c r="H264" s="78">
        <f t="shared" si="20"/>
        <v>510.89697745069287</v>
      </c>
      <c r="J264" s="80">
        <f t="shared" si="22"/>
        <v>10</v>
      </c>
      <c r="K264" s="22">
        <f t="shared" si="23"/>
        <v>68</v>
      </c>
      <c r="L264" s="81">
        <f t="shared" si="21"/>
        <v>22.6030302714192</v>
      </c>
    </row>
    <row r="265" spans="6:12" x14ac:dyDescent="0.25">
      <c r="F265" s="80">
        <v>100</v>
      </c>
      <c r="G265" s="22">
        <v>69</v>
      </c>
      <c r="H265" s="78">
        <f t="shared" si="20"/>
        <v>523.29911468149476</v>
      </c>
      <c r="J265" s="80">
        <f t="shared" si="22"/>
        <v>10</v>
      </c>
      <c r="K265" s="22">
        <f t="shared" si="23"/>
        <v>69</v>
      </c>
      <c r="L265" s="81">
        <f t="shared" si="21"/>
        <v>22.875732003183963</v>
      </c>
    </row>
    <row r="266" spans="6:12" x14ac:dyDescent="0.25">
      <c r="F266" s="80">
        <v>100</v>
      </c>
      <c r="G266" s="22">
        <v>70</v>
      </c>
      <c r="H266" s="78">
        <f t="shared" si="20"/>
        <v>536.00231653917922</v>
      </c>
      <c r="J266" s="80">
        <f t="shared" si="22"/>
        <v>10</v>
      </c>
      <c r="K266" s="22">
        <f t="shared" si="23"/>
        <v>70</v>
      </c>
      <c r="L266" s="81">
        <f t="shared" si="21"/>
        <v>23.151723835152733</v>
      </c>
    </row>
    <row r="267" spans="6:12" x14ac:dyDescent="0.25">
      <c r="F267" s="80">
        <v>100</v>
      </c>
      <c r="G267" s="22">
        <v>71</v>
      </c>
      <c r="H267" s="78">
        <f t="shared" si="20"/>
        <v>549.0138914342142</v>
      </c>
      <c r="J267" s="80">
        <f t="shared" si="22"/>
        <v>10</v>
      </c>
      <c r="K267" s="22">
        <f t="shared" si="23"/>
        <v>71</v>
      </c>
      <c r="L267" s="81">
        <f t="shared" si="21"/>
        <v>23.431045461827225</v>
      </c>
    </row>
    <row r="268" spans="6:12" x14ac:dyDescent="0.25">
      <c r="F268" s="80">
        <v>100</v>
      </c>
      <c r="G268" s="22">
        <v>72</v>
      </c>
      <c r="H268" s="78">
        <f t="shared" si="20"/>
        <v>562.34132519034915</v>
      </c>
      <c r="J268" s="80">
        <f t="shared" si="22"/>
        <v>10</v>
      </c>
      <c r="K268" s="22">
        <f t="shared" si="23"/>
        <v>72</v>
      </c>
      <c r="L268" s="81">
        <f t="shared" si="21"/>
        <v>23.713737056616555</v>
      </c>
    </row>
    <row r="269" spans="6:12" x14ac:dyDescent="0.25">
      <c r="F269" s="80">
        <v>100</v>
      </c>
      <c r="G269" s="22">
        <v>73</v>
      </c>
      <c r="H269" s="78">
        <f t="shared" si="20"/>
        <v>575.99228535136285</v>
      </c>
      <c r="J269" s="80">
        <f t="shared" si="22"/>
        <v>10</v>
      </c>
      <c r="K269" s="22">
        <f t="shared" si="23"/>
        <v>73</v>
      </c>
      <c r="L269" s="81">
        <f t="shared" si="21"/>
        <v>23.999839277615234</v>
      </c>
    </row>
    <row r="270" spans="6:12" x14ac:dyDescent="0.25">
      <c r="F270" s="80">
        <v>100</v>
      </c>
      <c r="G270" s="22">
        <v>74</v>
      </c>
      <c r="H270" s="78">
        <f t="shared" si="20"/>
        <v>589.97462559235657</v>
      </c>
      <c r="J270" s="80">
        <f t="shared" si="22"/>
        <v>10</v>
      </c>
      <c r="K270" s="22">
        <f t="shared" si="23"/>
        <v>74</v>
      </c>
      <c r="L270" s="81">
        <f t="shared" si="21"/>
        <v>24.289393273450791</v>
      </c>
    </row>
    <row r="271" spans="6:12" x14ac:dyDescent="0.25">
      <c r="F271" s="80">
        <v>100</v>
      </c>
      <c r="G271" s="22">
        <v>75</v>
      </c>
      <c r="H271" s="78">
        <f t="shared" si="20"/>
        <v>604.29639023813286</v>
      </c>
      <c r="J271" s="80">
        <f t="shared" si="22"/>
        <v>10</v>
      </c>
      <c r="K271" s="22">
        <f t="shared" si="23"/>
        <v>75</v>
      </c>
      <c r="L271" s="81">
        <f t="shared" si="21"/>
        <v>24.582440689201977</v>
      </c>
    </row>
    <row r="272" spans="6:12" x14ac:dyDescent="0.25">
      <c r="F272" s="80">
        <v>100</v>
      </c>
      <c r="G272" s="22">
        <v>76</v>
      </c>
      <c r="H272" s="78">
        <f t="shared" si="20"/>
        <v>618.9658188912606</v>
      </c>
      <c r="J272" s="80">
        <f t="shared" si="22"/>
        <v>10</v>
      </c>
      <c r="K272" s="22">
        <f t="shared" si="23"/>
        <v>76</v>
      </c>
      <c r="L272" s="81">
        <f t="shared" si="21"/>
        <v>24.879023672388364</v>
      </c>
    </row>
    <row r="273" spans="6:12" x14ac:dyDescent="0.25">
      <c r="F273" s="80">
        <v>100</v>
      </c>
      <c r="G273" s="22">
        <v>77</v>
      </c>
      <c r="H273" s="78">
        <f t="shared" si="20"/>
        <v>633.99135117248454</v>
      </c>
      <c r="J273" s="80">
        <f t="shared" si="22"/>
        <v>10</v>
      </c>
      <c r="K273" s="22">
        <f t="shared" si="23"/>
        <v>77</v>
      </c>
      <c r="L273" s="81">
        <f t="shared" si="21"/>
        <v>25.179184879032217</v>
      </c>
    </row>
    <row r="274" spans="6:12" x14ac:dyDescent="0.25">
      <c r="F274" s="80">
        <v>100</v>
      </c>
      <c r="G274" s="22">
        <v>78</v>
      </c>
      <c r="H274" s="78">
        <f t="shared" si="20"/>
        <v>649.38163157621148</v>
      </c>
      <c r="J274" s="80">
        <f t="shared" si="22"/>
        <v>10</v>
      </c>
      <c r="K274" s="22">
        <f t="shared" si="23"/>
        <v>78</v>
      </c>
      <c r="L274" s="81">
        <f t="shared" si="21"/>
        <v>25.482967479793469</v>
      </c>
    </row>
    <row r="275" spans="6:12" x14ac:dyDescent="0.25">
      <c r="F275" s="80">
        <v>100</v>
      </c>
      <c r="G275" s="22">
        <v>79</v>
      </c>
      <c r="H275" s="78">
        <f t="shared" si="20"/>
        <v>665.14551444386336</v>
      </c>
      <c r="J275" s="80">
        <f t="shared" si="22"/>
        <v>10</v>
      </c>
      <c r="K275" s="22">
        <f t="shared" si="23"/>
        <v>79</v>
      </c>
      <c r="L275" s="81">
        <f t="shared" si="21"/>
        <v>25.790415166178761</v>
      </c>
    </row>
    <row r="276" spans="6:12" x14ac:dyDescent="0.25">
      <c r="F276" s="80">
        <v>100</v>
      </c>
      <c r="G276" s="22">
        <v>80</v>
      </c>
      <c r="H276" s="78">
        <f t="shared" si="20"/>
        <v>681.29206905796138</v>
      </c>
      <c r="J276" s="80">
        <f t="shared" si="22"/>
        <v>10</v>
      </c>
      <c r="K276" s="22">
        <f t="shared" si="23"/>
        <v>80</v>
      </c>
      <c r="L276" s="81">
        <f t="shared" si="21"/>
        <v>26.101572156825373</v>
      </c>
    </row>
    <row r="277" spans="6:12" x14ac:dyDescent="0.25">
      <c r="F277" s="80">
        <v>100</v>
      </c>
      <c r="G277" s="22">
        <v>81</v>
      </c>
      <c r="H277" s="78">
        <f t="shared" si="20"/>
        <v>697.83058485986646</v>
      </c>
      <c r="J277" s="80">
        <f t="shared" si="22"/>
        <v>10</v>
      </c>
      <c r="K277" s="22">
        <f t="shared" si="23"/>
        <v>81</v>
      </c>
      <c r="L277" s="81">
        <f t="shared" si="21"/>
        <v>26.416483203860928</v>
      </c>
    </row>
    <row r="278" spans="6:12" x14ac:dyDescent="0.25">
      <c r="F278" s="80">
        <v>100</v>
      </c>
      <c r="G278" s="22">
        <v>82</v>
      </c>
      <c r="H278" s="78">
        <f t="shared" si="20"/>
        <v>714.77057679418567</v>
      </c>
      <c r="J278" s="80">
        <f t="shared" si="22"/>
        <v>10</v>
      </c>
      <c r="K278" s="22">
        <f t="shared" si="23"/>
        <v>82</v>
      </c>
      <c r="L278" s="81">
        <f t="shared" si="21"/>
        <v>26.735193599339908</v>
      </c>
    </row>
    <row r="279" spans="6:12" x14ac:dyDescent="0.25">
      <c r="F279" s="80">
        <v>100</v>
      </c>
      <c r="G279" s="22">
        <v>83</v>
      </c>
      <c r="H279" s="78">
        <f t="shared" si="20"/>
        <v>732.12179078291308</v>
      </c>
      <c r="J279" s="80">
        <f t="shared" si="22"/>
        <v>10</v>
      </c>
      <c r="K279" s="22">
        <f t="shared" si="23"/>
        <v>83</v>
      </c>
      <c r="L279" s="81">
        <f t="shared" si="21"/>
        <v>27.057749181757767</v>
      </c>
    </row>
    <row r="280" spans="6:12" x14ac:dyDescent="0.25">
      <c r="F280" s="80">
        <v>100</v>
      </c>
      <c r="G280" s="22">
        <v>84</v>
      </c>
      <c r="H280" s="78">
        <f t="shared" si="20"/>
        <v>749.89420933245594</v>
      </c>
      <c r="J280" s="80">
        <f t="shared" si="22"/>
        <v>10</v>
      </c>
      <c r="K280" s="22">
        <f t="shared" si="23"/>
        <v>84</v>
      </c>
      <c r="L280" s="81">
        <f t="shared" si="21"/>
        <v>27.384196342643612</v>
      </c>
    </row>
    <row r="281" spans="6:12" x14ac:dyDescent="0.25">
      <c r="F281" s="80">
        <v>100</v>
      </c>
      <c r="G281" s="22">
        <v>85</v>
      </c>
      <c r="H281" s="78">
        <f t="shared" si="20"/>
        <v>768.09805727677553</v>
      </c>
      <c r="J281" s="80">
        <f t="shared" si="22"/>
        <v>10</v>
      </c>
      <c r="K281" s="22">
        <f t="shared" si="23"/>
        <v>85</v>
      </c>
      <c r="L281" s="81">
        <f t="shared" si="21"/>
        <v>27.714582033232531</v>
      </c>
    </row>
    <row r="282" spans="6:12" x14ac:dyDescent="0.25">
      <c r="F282" s="80">
        <v>100</v>
      </c>
      <c r="G282" s="22">
        <v>86</v>
      </c>
      <c r="H282" s="78">
        <f t="shared" si="20"/>
        <v>786.74380765994033</v>
      </c>
      <c r="J282" s="80">
        <f t="shared" si="22"/>
        <v>10</v>
      </c>
      <c r="K282" s="22">
        <f t="shared" si="23"/>
        <v>86</v>
      </c>
      <c r="L282" s="81">
        <f t="shared" si="21"/>
        <v>28.048953771218279</v>
      </c>
    </row>
    <row r="283" spans="6:12" x14ac:dyDescent="0.25">
      <c r="F283" s="80">
        <v>100</v>
      </c>
      <c r="G283" s="22">
        <v>87</v>
      </c>
      <c r="H283" s="78">
        <f t="shared" si="20"/>
        <v>805.84218776148191</v>
      </c>
      <c r="J283" s="80">
        <f t="shared" si="22"/>
        <v>10</v>
      </c>
      <c r="K283" s="22">
        <f t="shared" si="23"/>
        <v>87</v>
      </c>
      <c r="L283" s="81">
        <f t="shared" si="21"/>
        <v>28.387359647587548</v>
      </c>
    </row>
    <row r="284" spans="6:12" x14ac:dyDescent="0.25">
      <c r="F284" s="80">
        <v>100</v>
      </c>
      <c r="G284" s="22">
        <v>88</v>
      </c>
      <c r="H284" s="78">
        <f t="shared" si="20"/>
        <v>825.4041852680183</v>
      </c>
      <c r="J284" s="80">
        <f t="shared" si="22"/>
        <v>10</v>
      </c>
      <c r="K284" s="22">
        <f t="shared" si="23"/>
        <v>88</v>
      </c>
      <c r="L284" s="81">
        <f t="shared" si="21"/>
        <v>28.729848333536644</v>
      </c>
    </row>
    <row r="285" spans="6:12" x14ac:dyDescent="0.25">
      <c r="F285" s="80">
        <v>100</v>
      </c>
      <c r="G285" s="22">
        <v>89</v>
      </c>
      <c r="H285" s="78">
        <f t="shared" si="20"/>
        <v>845.44105459469245</v>
      </c>
      <c r="J285" s="80">
        <f t="shared" si="22"/>
        <v>10</v>
      </c>
      <c r="K285" s="22">
        <f t="shared" si="23"/>
        <v>89</v>
      </c>
      <c r="L285" s="81">
        <f t="shared" si="21"/>
        <v>29.076469087471615</v>
      </c>
    </row>
    <row r="286" spans="6:12" x14ac:dyDescent="0.25">
      <c r="F286" s="80">
        <v>100</v>
      </c>
      <c r="G286" s="22">
        <v>90</v>
      </c>
      <c r="H286" s="78">
        <f t="shared" si="20"/>
        <v>865.96432336006558</v>
      </c>
      <c r="J286" s="80">
        <f t="shared" si="22"/>
        <v>10</v>
      </c>
      <c r="K286" s="22">
        <f t="shared" si="23"/>
        <v>90</v>
      </c>
      <c r="L286" s="81">
        <f t="shared" si="21"/>
        <v>29.427271762092822</v>
      </c>
    </row>
    <row r="287" spans="6:12" x14ac:dyDescent="0.25">
      <c r="F287" s="80">
        <v>100</v>
      </c>
      <c r="G287" s="22">
        <v>91</v>
      </c>
      <c r="H287" s="78">
        <f t="shared" si="20"/>
        <v>886.98579901819187</v>
      </c>
      <c r="J287" s="80">
        <f t="shared" si="22"/>
        <v>10</v>
      </c>
      <c r="K287" s="22">
        <f t="shared" si="23"/>
        <v>91</v>
      </c>
      <c r="L287" s="81">
        <f t="shared" si="21"/>
        <v>29.782306811565014</v>
      </c>
    </row>
    <row r="288" spans="6:12" x14ac:dyDescent="0.25">
      <c r="F288" s="80">
        <v>100</v>
      </c>
      <c r="G288" s="22">
        <v>92</v>
      </c>
      <c r="H288" s="78">
        <f t="shared" si="20"/>
        <v>908.51757565168703</v>
      </c>
      <c r="J288" s="80">
        <f t="shared" si="22"/>
        <v>10</v>
      </c>
      <c r="K288" s="22">
        <f t="shared" si="23"/>
        <v>92</v>
      </c>
      <c r="L288" s="81">
        <f t="shared" si="21"/>
        <v>30.141625298773906</v>
      </c>
    </row>
    <row r="289" spans="6:12" x14ac:dyDescent="0.25">
      <c r="F289" s="80">
        <v>100</v>
      </c>
      <c r="G289" s="22">
        <v>93</v>
      </c>
      <c r="H289" s="78">
        <f t="shared" si="20"/>
        <v>930.57204092969903</v>
      </c>
      <c r="J289" s="80">
        <f t="shared" si="22"/>
        <v>10</v>
      </c>
      <c r="K289" s="22">
        <f t="shared" si="23"/>
        <v>93</v>
      </c>
      <c r="L289" s="81">
        <f t="shared" si="21"/>
        <v>30.505278902670256</v>
      </c>
    </row>
    <row r="290" spans="6:12" x14ac:dyDescent="0.25">
      <c r="F290" s="80">
        <v>100</v>
      </c>
      <c r="G290" s="22">
        <v>94</v>
      </c>
      <c r="H290" s="78">
        <f t="shared" si="20"/>
        <v>953.16188323478775</v>
      </c>
      <c r="J290" s="80">
        <f t="shared" si="22"/>
        <v>10</v>
      </c>
      <c r="K290" s="22">
        <f t="shared" si="23"/>
        <v>94</v>
      </c>
      <c r="L290" s="81">
        <f t="shared" si="21"/>
        <v>30.873319925702638</v>
      </c>
    </row>
    <row r="291" spans="6:12" x14ac:dyDescent="0.25">
      <c r="F291" s="80">
        <v>100</v>
      </c>
      <c r="G291" s="22">
        <v>95</v>
      </c>
      <c r="H291" s="78">
        <f t="shared" si="20"/>
        <v>976.30009896280785</v>
      </c>
      <c r="J291" s="80">
        <f t="shared" si="22"/>
        <v>10</v>
      </c>
      <c r="K291" s="22">
        <f t="shared" si="23"/>
        <v>95</v>
      </c>
      <c r="L291" s="81">
        <f t="shared" si="21"/>
        <v>31.245801301339799</v>
      </c>
    </row>
    <row r="292" spans="6:12" x14ac:dyDescent="0.25">
      <c r="F292" s="80">
        <v>100</v>
      </c>
      <c r="G292" s="22">
        <v>96</v>
      </c>
      <c r="H292" s="78">
        <f t="shared" si="20"/>
        <v>1000</v>
      </c>
      <c r="J292" s="80">
        <f t="shared" si="22"/>
        <v>10</v>
      </c>
      <c r="K292" s="22">
        <f t="shared" si="23"/>
        <v>96</v>
      </c>
      <c r="L292" s="81">
        <f t="shared" si="21"/>
        <v>31.622776601683796</v>
      </c>
    </row>
    <row r="293" spans="6:12" x14ac:dyDescent="0.25">
      <c r="F293" s="80">
        <f>F197*10</f>
        <v>1000</v>
      </c>
      <c r="G293" s="22">
        <v>1</v>
      </c>
      <c r="H293" s="78">
        <f t="shared" si="20"/>
        <v>1024.2752213815922</v>
      </c>
      <c r="J293" s="80">
        <f t="shared" si="22"/>
        <v>10</v>
      </c>
      <c r="K293" s="22">
        <f t="shared" si="23"/>
        <v>97</v>
      </c>
      <c r="L293" s="81">
        <f t="shared" si="21"/>
        <v>32.004300045175064</v>
      </c>
    </row>
    <row r="294" spans="6:12" x14ac:dyDescent="0.25">
      <c r="F294" s="80">
        <f t="shared" ref="F294:F357" si="24">F198*10</f>
        <v>1000</v>
      </c>
      <c r="G294" s="22">
        <v>2</v>
      </c>
      <c r="H294" s="78">
        <f t="shared" si="20"/>
        <v>1049.1397291363098</v>
      </c>
      <c r="J294" s="80">
        <f t="shared" si="22"/>
        <v>10</v>
      </c>
      <c r="K294" s="22">
        <f t="shared" si="23"/>
        <v>98</v>
      </c>
      <c r="L294" s="81">
        <f t="shared" si="21"/>
        <v>32.390426504390305</v>
      </c>
    </row>
    <row r="295" spans="6:12" x14ac:dyDescent="0.25">
      <c r="F295" s="80">
        <f t="shared" si="24"/>
        <v>1000</v>
      </c>
      <c r="G295" s="22">
        <v>3</v>
      </c>
      <c r="H295" s="78">
        <f t="shared" si="20"/>
        <v>1074.6078283213174</v>
      </c>
      <c r="J295" s="80">
        <f t="shared" si="22"/>
        <v>10</v>
      </c>
      <c r="K295" s="22">
        <f t="shared" si="23"/>
        <v>99</v>
      </c>
      <c r="L295" s="81">
        <f t="shared" si="21"/>
        <v>32.781211513934593</v>
      </c>
    </row>
    <row r="296" spans="6:12" x14ac:dyDescent="0.25">
      <c r="F296" s="80">
        <f t="shared" si="24"/>
        <v>1000</v>
      </c>
      <c r="G296" s="22">
        <v>4</v>
      </c>
      <c r="H296" s="78">
        <f t="shared" si="20"/>
        <v>1100.6941712522096</v>
      </c>
      <c r="J296" s="80">
        <f t="shared" si="22"/>
        <v>10</v>
      </c>
      <c r="K296" s="22">
        <f t="shared" si="23"/>
        <v>100</v>
      </c>
      <c r="L296" s="81">
        <f t="shared" si="21"/>
        <v>33.176711278428577</v>
      </c>
    </row>
    <row r="297" spans="6:12" x14ac:dyDescent="0.25">
      <c r="F297" s="80">
        <f t="shared" si="24"/>
        <v>1000</v>
      </c>
      <c r="G297" s="22">
        <v>5</v>
      </c>
      <c r="H297" s="78">
        <f t="shared" si="20"/>
        <v>1127.4137659327853</v>
      </c>
      <c r="J297" s="80">
        <f t="shared" si="22"/>
        <v>10</v>
      </c>
      <c r="K297" s="22">
        <f t="shared" si="23"/>
        <v>101</v>
      </c>
      <c r="L297" s="81">
        <f t="shared" si="21"/>
        <v>33.576982680592153</v>
      </c>
    </row>
    <row r="298" spans="6:12" x14ac:dyDescent="0.25">
      <c r="F298" s="80">
        <f t="shared" si="24"/>
        <v>1000</v>
      </c>
      <c r="G298" s="22">
        <v>6</v>
      </c>
      <c r="H298" s="78">
        <f t="shared" si="20"/>
        <v>1154.7819846894583</v>
      </c>
      <c r="J298" s="80">
        <f t="shared" si="22"/>
        <v>10</v>
      </c>
      <c r="K298" s="22">
        <f t="shared" si="23"/>
        <v>102</v>
      </c>
      <c r="L298" s="81">
        <f t="shared" si="21"/>
        <v>33.982083289425596</v>
      </c>
    </row>
    <row r="299" spans="6:12" x14ac:dyDescent="0.25">
      <c r="F299" s="80">
        <f t="shared" si="24"/>
        <v>1000</v>
      </c>
      <c r="G299" s="22">
        <v>7</v>
      </c>
      <c r="H299" s="78">
        <f t="shared" si="20"/>
        <v>1182.8145730152692</v>
      </c>
      <c r="J299" s="80">
        <f t="shared" si="22"/>
        <v>10</v>
      </c>
      <c r="K299" s="22">
        <f t="shared" si="23"/>
        <v>103</v>
      </c>
      <c r="L299" s="81">
        <f t="shared" si="21"/>
        <v>34.392071368489418</v>
      </c>
    </row>
    <row r="300" spans="6:12" x14ac:dyDescent="0.25">
      <c r="F300" s="80">
        <f t="shared" si="24"/>
        <v>1000</v>
      </c>
      <c r="G300" s="22">
        <v>8</v>
      </c>
      <c r="H300" s="78">
        <f t="shared" si="20"/>
        <v>1211.5276586285886</v>
      </c>
      <c r="J300" s="80">
        <f t="shared" si="22"/>
        <v>10</v>
      </c>
      <c r="K300" s="22">
        <f t="shared" si="23"/>
        <v>104</v>
      </c>
      <c r="L300" s="81">
        <f t="shared" si="21"/>
        <v>34.807005884284109</v>
      </c>
    </row>
    <row r="301" spans="6:12" x14ac:dyDescent="0.25">
      <c r="F301" s="80">
        <f t="shared" si="24"/>
        <v>1000</v>
      </c>
      <c r="G301" s="22">
        <v>9</v>
      </c>
      <c r="H301" s="78">
        <f t="shared" si="20"/>
        <v>1240.9377607517197</v>
      </c>
      <c r="J301" s="80">
        <f t="shared" si="22"/>
        <v>10</v>
      </c>
      <c r="K301" s="22">
        <f t="shared" si="23"/>
        <v>105</v>
      </c>
      <c r="L301" s="81">
        <f t="shared" si="21"/>
        <v>35.226946514731019</v>
      </c>
    </row>
    <row r="302" spans="6:12" x14ac:dyDescent="0.25">
      <c r="F302" s="80">
        <f t="shared" si="24"/>
        <v>1000</v>
      </c>
      <c r="G302" s="22">
        <v>10</v>
      </c>
      <c r="H302" s="78">
        <f t="shared" si="20"/>
        <v>1271.0617996147448</v>
      </c>
      <c r="J302" s="80">
        <f t="shared" si="22"/>
        <v>10</v>
      </c>
      <c r="K302" s="22">
        <f t="shared" si="23"/>
        <v>106</v>
      </c>
      <c r="L302" s="81">
        <f t="shared" si="21"/>
        <v>35.651953657755499</v>
      </c>
    </row>
    <row r="303" spans="6:12" x14ac:dyDescent="0.25">
      <c r="F303" s="80">
        <f t="shared" si="24"/>
        <v>1000</v>
      </c>
      <c r="G303" s="22">
        <v>11</v>
      </c>
      <c r="H303" s="78">
        <f t="shared" si="20"/>
        <v>1301.9171061900779</v>
      </c>
      <c r="J303" s="80">
        <f t="shared" si="22"/>
        <v>10</v>
      </c>
      <c r="K303" s="22">
        <f t="shared" si="23"/>
        <v>107</v>
      </c>
      <c r="L303" s="81">
        <f t="shared" si="21"/>
        <v>36.082088439973617</v>
      </c>
    </row>
    <row r="304" spans="6:12" x14ac:dyDescent="0.25">
      <c r="F304" s="80">
        <f t="shared" si="24"/>
        <v>1000</v>
      </c>
      <c r="G304" s="22">
        <v>12</v>
      </c>
      <c r="H304" s="78">
        <f t="shared" si="20"/>
        <v>1333.5214321633239</v>
      </c>
      <c r="J304" s="80">
        <f t="shared" si="22"/>
        <v>10</v>
      </c>
      <c r="K304" s="22">
        <f t="shared" si="23"/>
        <v>108</v>
      </c>
      <c r="L304" s="81">
        <f t="shared" si="21"/>
        <v>36.517412725483773</v>
      </c>
    </row>
    <row r="305" spans="6:12" x14ac:dyDescent="0.25">
      <c r="F305" s="80">
        <f t="shared" si="24"/>
        <v>1000</v>
      </c>
      <c r="G305" s="22">
        <v>13</v>
      </c>
      <c r="H305" s="78">
        <f t="shared" si="20"/>
        <v>1365.8929601461866</v>
      </c>
      <c r="J305" s="80">
        <f t="shared" si="22"/>
        <v>10</v>
      </c>
      <c r="K305" s="22">
        <f t="shared" si="23"/>
        <v>109</v>
      </c>
      <c r="L305" s="81">
        <f t="shared" si="21"/>
        <v>36.957989124764183</v>
      </c>
    </row>
    <row r="306" spans="6:12" x14ac:dyDescent="0.25">
      <c r="F306" s="80">
        <f t="shared" si="24"/>
        <v>1000</v>
      </c>
      <c r="G306" s="22">
        <v>14</v>
      </c>
      <c r="H306" s="78">
        <f t="shared" si="20"/>
        <v>1399.0503141372938</v>
      </c>
      <c r="J306" s="80">
        <f t="shared" si="22"/>
        <v>10</v>
      </c>
      <c r="K306" s="22">
        <f t="shared" si="23"/>
        <v>110</v>
      </c>
      <c r="L306" s="81">
        <f t="shared" si="21"/>
        <v>37.40388100367786</v>
      </c>
    </row>
    <row r="307" spans="6:12" x14ac:dyDescent="0.25">
      <c r="F307" s="80">
        <f t="shared" si="24"/>
        <v>1000</v>
      </c>
      <c r="G307" s="22">
        <v>15</v>
      </c>
      <c r="H307" s="78">
        <f t="shared" si="20"/>
        <v>1433.012570236963</v>
      </c>
      <c r="J307" s="80">
        <f t="shared" si="22"/>
        <v>10</v>
      </c>
      <c r="K307" s="22">
        <f t="shared" si="23"/>
        <v>111</v>
      </c>
      <c r="L307" s="81">
        <f t="shared" si="21"/>
        <v>37.855152492586299</v>
      </c>
    </row>
    <row r="308" spans="6:12" x14ac:dyDescent="0.25">
      <c r="F308" s="80">
        <f t="shared" si="24"/>
        <v>1000</v>
      </c>
      <c r="G308" s="22">
        <v>16</v>
      </c>
      <c r="H308" s="78">
        <f t="shared" si="20"/>
        <v>1467.7992676220697</v>
      </c>
      <c r="J308" s="80">
        <f t="shared" si="22"/>
        <v>10</v>
      </c>
      <c r="K308" s="22">
        <f t="shared" si="23"/>
        <v>112</v>
      </c>
      <c r="L308" s="81">
        <f t="shared" si="21"/>
        <v>38.311868495572881</v>
      </c>
    </row>
    <row r="309" spans="6:12" x14ac:dyDescent="0.25">
      <c r="F309" s="80">
        <f t="shared" si="24"/>
        <v>1000</v>
      </c>
      <c r="G309" s="22">
        <v>17</v>
      </c>
      <c r="H309" s="78">
        <f t="shared" si="20"/>
        <v>1503.4304197873344</v>
      </c>
      <c r="J309" s="80">
        <f t="shared" si="22"/>
        <v>10</v>
      </c>
      <c r="K309" s="22">
        <f t="shared" si="23"/>
        <v>113</v>
      </c>
      <c r="L309" s="81">
        <f t="shared" si="21"/>
        <v>38.77409469977777</v>
      </c>
    </row>
    <row r="310" spans="6:12" x14ac:dyDescent="0.25">
      <c r="F310" s="80">
        <f t="shared" si="24"/>
        <v>1000</v>
      </c>
      <c r="G310" s="22">
        <v>18</v>
      </c>
      <c r="H310" s="78">
        <f t="shared" si="20"/>
        <v>1539.9265260594921</v>
      </c>
      <c r="J310" s="80">
        <f t="shared" si="22"/>
        <v>10</v>
      </c>
      <c r="K310" s="22">
        <f t="shared" si="23"/>
        <v>114</v>
      </c>
      <c r="L310" s="81">
        <f t="shared" si="21"/>
        <v>39.241897584845361</v>
      </c>
    </row>
    <row r="311" spans="6:12" x14ac:dyDescent="0.25">
      <c r="F311" s="80">
        <f t="shared" si="24"/>
        <v>1000</v>
      </c>
      <c r="G311" s="22">
        <v>19</v>
      </c>
      <c r="H311" s="78">
        <f t="shared" si="20"/>
        <v>1577.3085833909727</v>
      </c>
      <c r="J311" s="80">
        <f t="shared" si="22"/>
        <v>10</v>
      </c>
      <c r="K311" s="22">
        <f t="shared" si="23"/>
        <v>115</v>
      </c>
      <c r="L311" s="81">
        <f t="shared" si="21"/>
        <v>39.715344432485708</v>
      </c>
    </row>
    <row r="312" spans="6:12" x14ac:dyDescent="0.25">
      <c r="F312" s="80">
        <f t="shared" si="24"/>
        <v>1000</v>
      </c>
      <c r="G312" s="22">
        <v>20</v>
      </c>
      <c r="H312" s="78">
        <f t="shared" si="20"/>
        <v>1615.5980984398741</v>
      </c>
      <c r="J312" s="80">
        <f t="shared" si="22"/>
        <v>10</v>
      </c>
      <c r="K312" s="22">
        <f t="shared" si="23"/>
        <v>116</v>
      </c>
      <c r="L312" s="81">
        <f t="shared" si="21"/>
        <v>40.194503336151257</v>
      </c>
    </row>
    <row r="313" spans="6:12" x14ac:dyDescent="0.25">
      <c r="F313" s="80">
        <f t="shared" si="24"/>
        <v>1000</v>
      </c>
      <c r="G313" s="22">
        <v>21</v>
      </c>
      <c r="H313" s="78">
        <f t="shared" si="20"/>
        <v>1654.8170999431816</v>
      </c>
      <c r="J313" s="80">
        <f t="shared" si="22"/>
        <v>10</v>
      </c>
      <c r="K313" s="22">
        <f t="shared" si="23"/>
        <v>117</v>
      </c>
      <c r="L313" s="81">
        <f t="shared" si="21"/>
        <v>40.679443210830478</v>
      </c>
    </row>
    <row r="314" spans="6:12" x14ac:dyDescent="0.25">
      <c r="F314" s="80">
        <f t="shared" si="24"/>
        <v>1000</v>
      </c>
      <c r="G314" s="22">
        <v>22</v>
      </c>
      <c r="H314" s="78">
        <f t="shared" si="20"/>
        <v>1694.9881513903467</v>
      </c>
      <c r="J314" s="80">
        <f t="shared" si="22"/>
        <v>10</v>
      </c>
      <c r="K314" s="22">
        <f t="shared" si="23"/>
        <v>118</v>
      </c>
      <c r="L314" s="81">
        <f t="shared" si="21"/>
        <v>41.17023380295948</v>
      </c>
    </row>
    <row r="315" spans="6:12" x14ac:dyDescent="0.25">
      <c r="F315" s="80">
        <f t="shared" si="24"/>
        <v>1000</v>
      </c>
      <c r="G315" s="22">
        <v>23</v>
      </c>
      <c r="H315" s="78">
        <f t="shared" si="20"/>
        <v>1736.1343640045231</v>
      </c>
      <c r="J315" s="80">
        <f t="shared" si="22"/>
        <v>10</v>
      </c>
      <c r="K315" s="22">
        <f t="shared" si="23"/>
        <v>119</v>
      </c>
      <c r="L315" s="81">
        <f t="shared" si="21"/>
        <v>41.666945700453297</v>
      </c>
    </row>
    <row r="316" spans="6:12" x14ac:dyDescent="0.25">
      <c r="F316" s="80">
        <f t="shared" si="24"/>
        <v>1000</v>
      </c>
      <c r="G316" s="22">
        <v>24</v>
      </c>
      <c r="H316" s="78">
        <f t="shared" si="20"/>
        <v>1778.2794100389231</v>
      </c>
      <c r="J316" s="80">
        <f t="shared" si="22"/>
        <v>10</v>
      </c>
      <c r="K316" s="22">
        <f t="shared" si="23"/>
        <v>120</v>
      </c>
      <c r="L316" s="81">
        <f t="shared" si="21"/>
        <v>42.169650342858233</v>
      </c>
    </row>
    <row r="317" spans="6:12" x14ac:dyDescent="0.25">
      <c r="F317" s="80">
        <f t="shared" si="24"/>
        <v>1000</v>
      </c>
      <c r="G317" s="22">
        <v>25</v>
      </c>
      <c r="H317" s="78">
        <f t="shared" si="20"/>
        <v>1821.4475363959452</v>
      </c>
      <c r="J317" s="80">
        <f t="shared" si="22"/>
        <v>10</v>
      </c>
      <c r="K317" s="22">
        <f t="shared" si="23"/>
        <v>121</v>
      </c>
      <c r="L317" s="81">
        <f t="shared" si="21"/>
        <v>42.678420031626587</v>
      </c>
    </row>
    <row r="318" spans="6:12" x14ac:dyDescent="0.25">
      <c r="F318" s="80">
        <f t="shared" si="24"/>
        <v>1000</v>
      </c>
      <c r="G318" s="22">
        <v>26</v>
      </c>
      <c r="H318" s="78">
        <f t="shared" si="20"/>
        <v>1865.6635785769122</v>
      </c>
      <c r="J318" s="80">
        <f t="shared" si="22"/>
        <v>10</v>
      </c>
      <c r="K318" s="22">
        <f t="shared" si="23"/>
        <v>122</v>
      </c>
      <c r="L318" s="81">
        <f t="shared" si="21"/>
        <v>43.193327940515445</v>
      </c>
    </row>
    <row r="319" spans="6:12" x14ac:dyDescent="0.25">
      <c r="F319" s="80">
        <f t="shared" si="24"/>
        <v>1000</v>
      </c>
      <c r="G319" s="22">
        <v>27</v>
      </c>
      <c r="H319" s="78">
        <f t="shared" si="20"/>
        <v>1910.9529749704407</v>
      </c>
      <c r="J319" s="80">
        <f t="shared" si="22"/>
        <v>10</v>
      </c>
      <c r="K319" s="22">
        <f t="shared" si="23"/>
        <v>123</v>
      </c>
      <c r="L319" s="81">
        <f t="shared" si="21"/>
        <v>43.714448126110895</v>
      </c>
    </row>
    <row r="320" spans="6:12" x14ac:dyDescent="0.25">
      <c r="F320" s="80">
        <f t="shared" si="24"/>
        <v>1000</v>
      </c>
      <c r="G320" s="22">
        <v>28</v>
      </c>
      <c r="H320" s="78">
        <f t="shared" si="20"/>
        <v>1957.3417814876605</v>
      </c>
      <c r="J320" s="80">
        <f t="shared" si="22"/>
        <v>10</v>
      </c>
      <c r="K320" s="22">
        <f t="shared" si="23"/>
        <v>124</v>
      </c>
      <c r="L320" s="81">
        <f t="shared" si="21"/>
        <v>44.241855538479186</v>
      </c>
    </row>
    <row r="321" spans="6:12" x14ac:dyDescent="0.25">
      <c r="F321" s="80">
        <f t="shared" si="24"/>
        <v>1000</v>
      </c>
      <c r="G321" s="22">
        <v>29</v>
      </c>
      <c r="H321" s="78">
        <f t="shared" si="20"/>
        <v>2004.8566865527137</v>
      </c>
      <c r="J321" s="80">
        <f t="shared" si="22"/>
        <v>10</v>
      </c>
      <c r="K321" s="22">
        <f t="shared" si="23"/>
        <v>125</v>
      </c>
      <c r="L321" s="81">
        <f t="shared" si="21"/>
        <v>44.775626031946373</v>
      </c>
    </row>
    <row r="322" spans="6:12" x14ac:dyDescent="0.25">
      <c r="F322" s="80">
        <f t="shared" si="24"/>
        <v>1000</v>
      </c>
      <c r="G322" s="22">
        <v>30</v>
      </c>
      <c r="H322" s="78">
        <f t="shared" si="20"/>
        <v>2053.5250264571464</v>
      </c>
      <c r="J322" s="80">
        <f t="shared" si="22"/>
        <v>10</v>
      </c>
      <c r="K322" s="22">
        <f t="shared" si="23"/>
        <v>126</v>
      </c>
      <c r="L322" s="81">
        <f t="shared" si="21"/>
        <v>45.315836376008185</v>
      </c>
    </row>
    <row r="323" spans="6:12" x14ac:dyDescent="0.25">
      <c r="F323" s="80">
        <f t="shared" si="24"/>
        <v>1000</v>
      </c>
      <c r="G323" s="22">
        <v>31</v>
      </c>
      <c r="H323" s="78">
        <f t="shared" si="20"/>
        <v>2103.3748010870336</v>
      </c>
      <c r="J323" s="80">
        <f t="shared" si="22"/>
        <v>10</v>
      </c>
      <c r="K323" s="22">
        <f t="shared" si="23"/>
        <v>127</v>
      </c>
      <c r="L323" s="81">
        <f t="shared" si="21"/>
        <v>45.862564266371265</v>
      </c>
    </row>
    <row r="324" spans="6:12" x14ac:dyDescent="0.25">
      <c r="F324" s="80">
        <f t="shared" si="24"/>
        <v>1000</v>
      </c>
      <c r="G324" s="22">
        <v>32</v>
      </c>
      <c r="H324" s="78">
        <f t="shared" ref="H324:H387" si="25">F324*10^(G324/96)</f>
        <v>2154.4346900318837</v>
      </c>
      <c r="J324" s="80">
        <f t="shared" si="22"/>
        <v>10</v>
      </c>
      <c r="K324" s="22">
        <f t="shared" si="23"/>
        <v>128</v>
      </c>
      <c r="L324" s="81">
        <f t="shared" si="21"/>
        <v>46.415888336127793</v>
      </c>
    </row>
    <row r="325" spans="6:12" x14ac:dyDescent="0.25">
      <c r="F325" s="80">
        <f t="shared" si="24"/>
        <v>1000</v>
      </c>
      <c r="G325" s="22">
        <v>33</v>
      </c>
      <c r="H325" s="78">
        <f t="shared" si="25"/>
        <v>2206.7340690845899</v>
      </c>
      <c r="J325" s="80">
        <f t="shared" si="22"/>
        <v>10</v>
      </c>
      <c r="K325" s="22">
        <f t="shared" si="23"/>
        <v>129</v>
      </c>
      <c r="L325" s="81">
        <f t="shared" ref="L325:L388" si="26">J325*10^(K325/192)</f>
        <v>46.97588816706493</v>
      </c>
    </row>
    <row r="326" spans="6:12" x14ac:dyDescent="0.25">
      <c r="F326" s="80">
        <f t="shared" si="24"/>
        <v>1000</v>
      </c>
      <c r="G326" s="22">
        <v>34</v>
      </c>
      <c r="H326" s="78">
        <f t="shared" si="25"/>
        <v>2260.3030271419202</v>
      </c>
      <c r="J326" s="80">
        <f t="shared" ref="J326:J388" si="27">J133*10</f>
        <v>10</v>
      </c>
      <c r="K326" s="22">
        <f t="shared" ref="K326:K371" si="28">K325+1</f>
        <v>130</v>
      </c>
      <c r="L326" s="81">
        <f t="shared" si="26"/>
        <v>47.54264430111057</v>
      </c>
    </row>
    <row r="327" spans="6:12" x14ac:dyDescent="0.25">
      <c r="F327" s="80">
        <f t="shared" si="24"/>
        <v>1000</v>
      </c>
      <c r="G327" s="22">
        <v>35</v>
      </c>
      <c r="H327" s="78">
        <f t="shared" si="25"/>
        <v>2315.1723835152734</v>
      </c>
      <c r="J327" s="80">
        <f t="shared" si="27"/>
        <v>10</v>
      </c>
      <c r="K327" s="22">
        <f t="shared" si="28"/>
        <v>131</v>
      </c>
      <c r="L327" s="81">
        <f t="shared" si="26"/>
        <v>48.116238251917338</v>
      </c>
    </row>
    <row r="328" spans="6:12" x14ac:dyDescent="0.25">
      <c r="F328" s="80">
        <f t="shared" si="24"/>
        <v>1000</v>
      </c>
      <c r="G328" s="22">
        <v>36</v>
      </c>
      <c r="H328" s="78">
        <f t="shared" si="25"/>
        <v>2371.3737056616555</v>
      </c>
      <c r="J328" s="80">
        <f t="shared" si="27"/>
        <v>10</v>
      </c>
      <c r="K328" s="22">
        <f t="shared" si="28"/>
        <v>132</v>
      </c>
      <c r="L328" s="81">
        <f t="shared" si="26"/>
        <v>48.696752516586315</v>
      </c>
    </row>
    <row r="329" spans="6:12" x14ac:dyDescent="0.25">
      <c r="F329" s="80">
        <f t="shared" si="24"/>
        <v>1000</v>
      </c>
      <c r="G329" s="22">
        <v>37</v>
      </c>
      <c r="H329" s="78">
        <f t="shared" si="25"/>
        <v>2428.9393273450792</v>
      </c>
      <c r="J329" s="80">
        <f t="shared" si="27"/>
        <v>10</v>
      </c>
      <c r="K329" s="22">
        <f t="shared" si="28"/>
        <v>133</v>
      </c>
      <c r="L329" s="81">
        <f t="shared" si="26"/>
        <v>49.284270587532077</v>
      </c>
    </row>
    <row r="330" spans="6:12" x14ac:dyDescent="0.25">
      <c r="F330" s="80">
        <f t="shared" si="24"/>
        <v>1000</v>
      </c>
      <c r="G330" s="22">
        <v>38</v>
      </c>
      <c r="H330" s="78">
        <f t="shared" si="25"/>
        <v>2487.9023672388362</v>
      </c>
      <c r="J330" s="80">
        <f t="shared" si="27"/>
        <v>10</v>
      </c>
      <c r="K330" s="22">
        <f t="shared" si="28"/>
        <v>134</v>
      </c>
      <c r="L330" s="81">
        <f t="shared" si="26"/>
        <v>49.878876964491063</v>
      </c>
    </row>
    <row r="331" spans="6:12" x14ac:dyDescent="0.25">
      <c r="F331" s="80">
        <f t="shared" si="24"/>
        <v>1000</v>
      </c>
      <c r="G331" s="22">
        <v>39</v>
      </c>
      <c r="H331" s="78">
        <f t="shared" si="25"/>
        <v>2548.2967479793469</v>
      </c>
      <c r="J331" s="80">
        <f t="shared" si="27"/>
        <v>10</v>
      </c>
      <c r="K331" s="22">
        <f t="shared" si="28"/>
        <v>135</v>
      </c>
      <c r="L331" s="81">
        <f t="shared" si="26"/>
        <v>50.480657166674717</v>
      </c>
    </row>
    <row r="332" spans="6:12" x14ac:dyDescent="0.25">
      <c r="F332" s="80">
        <f t="shared" si="24"/>
        <v>1000</v>
      </c>
      <c r="G332" s="22">
        <v>40</v>
      </c>
      <c r="H332" s="78">
        <f t="shared" si="25"/>
        <v>2610.1572156825373</v>
      </c>
      <c r="J332" s="80">
        <f t="shared" si="27"/>
        <v>10</v>
      </c>
      <c r="K332" s="22">
        <f t="shared" si="28"/>
        <v>136</v>
      </c>
      <c r="L332" s="81">
        <f t="shared" si="26"/>
        <v>51.089697745069287</v>
      </c>
    </row>
    <row r="333" spans="6:12" x14ac:dyDescent="0.25">
      <c r="F333" s="80">
        <f t="shared" si="24"/>
        <v>1000</v>
      </c>
      <c r="G333" s="22">
        <v>41</v>
      </c>
      <c r="H333" s="78">
        <f t="shared" si="25"/>
        <v>2673.5193599339909</v>
      </c>
      <c r="J333" s="80">
        <f t="shared" si="27"/>
        <v>10</v>
      </c>
      <c r="K333" s="22">
        <f t="shared" si="28"/>
        <v>137</v>
      </c>
      <c r="L333" s="81">
        <f t="shared" si="26"/>
        <v>51.706086294884003</v>
      </c>
    </row>
    <row r="334" spans="6:12" x14ac:dyDescent="0.25">
      <c r="F334" s="80">
        <f t="shared" si="24"/>
        <v>1000</v>
      </c>
      <c r="G334" s="22">
        <v>42</v>
      </c>
      <c r="H334" s="78">
        <f t="shared" si="25"/>
        <v>2738.4196342643613</v>
      </c>
      <c r="J334" s="80">
        <f t="shared" si="27"/>
        <v>10</v>
      </c>
      <c r="K334" s="22">
        <f t="shared" si="28"/>
        <v>138</v>
      </c>
      <c r="L334" s="81">
        <f t="shared" si="26"/>
        <v>52.329911468149476</v>
      </c>
    </row>
    <row r="335" spans="6:12" x14ac:dyDescent="0.25">
      <c r="F335" s="80">
        <f t="shared" si="24"/>
        <v>1000</v>
      </c>
      <c r="G335" s="22">
        <v>43</v>
      </c>
      <c r="H335" s="78">
        <f t="shared" si="25"/>
        <v>2804.895377121828</v>
      </c>
      <c r="J335" s="80">
        <f t="shared" si="27"/>
        <v>10</v>
      </c>
      <c r="K335" s="22">
        <f t="shared" si="28"/>
        <v>139</v>
      </c>
      <c r="L335" s="81">
        <f t="shared" si="26"/>
        <v>52.961262986468043</v>
      </c>
    </row>
    <row r="336" spans="6:12" x14ac:dyDescent="0.25">
      <c r="F336" s="80">
        <f t="shared" si="24"/>
        <v>1000</v>
      </c>
      <c r="G336" s="22">
        <v>44</v>
      </c>
      <c r="H336" s="78">
        <f t="shared" si="25"/>
        <v>2872.9848333536647</v>
      </c>
      <c r="J336" s="80">
        <f t="shared" si="27"/>
        <v>10</v>
      </c>
      <c r="K336" s="22">
        <f t="shared" si="28"/>
        <v>140</v>
      </c>
      <c r="L336" s="81">
        <f t="shared" si="26"/>
        <v>53.600231653917916</v>
      </c>
    </row>
    <row r="337" spans="6:12" x14ac:dyDescent="0.25">
      <c r="F337" s="80">
        <f t="shared" si="24"/>
        <v>1000</v>
      </c>
      <c r="G337" s="22">
        <v>45</v>
      </c>
      <c r="H337" s="78">
        <f t="shared" si="25"/>
        <v>2942.7271762092823</v>
      </c>
      <c r="J337" s="80">
        <f t="shared" si="27"/>
        <v>10</v>
      </c>
      <c r="K337" s="22">
        <f t="shared" si="28"/>
        <v>141</v>
      </c>
      <c r="L337" s="81">
        <f t="shared" si="26"/>
        <v>54.246909370113265</v>
      </c>
    </row>
    <row r="338" spans="6:12" x14ac:dyDescent="0.25">
      <c r="F338" s="80">
        <f t="shared" si="24"/>
        <v>1000</v>
      </c>
      <c r="G338" s="22">
        <v>46</v>
      </c>
      <c r="H338" s="78">
        <f t="shared" si="25"/>
        <v>3014.1625298773906</v>
      </c>
      <c r="J338" s="80">
        <f t="shared" si="27"/>
        <v>10</v>
      </c>
      <c r="K338" s="22">
        <f t="shared" si="28"/>
        <v>142</v>
      </c>
      <c r="L338" s="81">
        <f t="shared" si="26"/>
        <v>54.901389143421412</v>
      </c>
    </row>
    <row r="339" spans="6:12" x14ac:dyDescent="0.25">
      <c r="F339" s="80">
        <f t="shared" si="24"/>
        <v>1000</v>
      </c>
      <c r="G339" s="22">
        <v>47</v>
      </c>
      <c r="H339" s="78">
        <f t="shared" si="25"/>
        <v>3087.331992570264</v>
      </c>
      <c r="J339" s="80">
        <f t="shared" si="27"/>
        <v>10</v>
      </c>
      <c r="K339" s="22">
        <f t="shared" si="28"/>
        <v>143</v>
      </c>
      <c r="L339" s="81">
        <f t="shared" si="26"/>
        <v>55.563765104339929</v>
      </c>
    </row>
    <row r="340" spans="6:12" x14ac:dyDescent="0.25">
      <c r="F340" s="80">
        <f t="shared" si="24"/>
        <v>1000</v>
      </c>
      <c r="G340" s="22">
        <v>48</v>
      </c>
      <c r="H340" s="78">
        <f t="shared" si="25"/>
        <v>3162.2776601683795</v>
      </c>
      <c r="J340" s="80">
        <f t="shared" si="27"/>
        <v>10</v>
      </c>
      <c r="K340" s="22">
        <f t="shared" si="28"/>
        <v>144</v>
      </c>
      <c r="L340" s="81">
        <f t="shared" si="26"/>
        <v>56.234132519034922</v>
      </c>
    </row>
    <row r="341" spans="6:12" x14ac:dyDescent="0.25">
      <c r="F341" s="80">
        <f t="shared" si="24"/>
        <v>1000</v>
      </c>
      <c r="G341" s="22">
        <v>49</v>
      </c>
      <c r="H341" s="78">
        <f t="shared" si="25"/>
        <v>3239.0426504390307</v>
      </c>
      <c r="J341" s="80">
        <f t="shared" si="27"/>
        <v>10</v>
      </c>
      <c r="K341" s="22">
        <f t="shared" si="28"/>
        <v>145</v>
      </c>
      <c r="L341" s="81">
        <f t="shared" si="26"/>
        <v>56.912587803042591</v>
      </c>
    </row>
    <row r="342" spans="6:12" x14ac:dyDescent="0.25">
      <c r="F342" s="80">
        <f t="shared" si="24"/>
        <v>1000</v>
      </c>
      <c r="G342" s="22">
        <v>50</v>
      </c>
      <c r="H342" s="78">
        <f t="shared" si="25"/>
        <v>3317.6711278428579</v>
      </c>
      <c r="J342" s="80">
        <f t="shared" si="27"/>
        <v>10</v>
      </c>
      <c r="K342" s="22">
        <f t="shared" si="28"/>
        <v>146</v>
      </c>
      <c r="L342" s="81">
        <f t="shared" si="26"/>
        <v>57.599228535136284</v>
      </c>
    </row>
    <row r="343" spans="6:12" x14ac:dyDescent="0.25">
      <c r="F343" s="80">
        <f t="shared" si="24"/>
        <v>1000</v>
      </c>
      <c r="G343" s="22">
        <v>51</v>
      </c>
      <c r="H343" s="78">
        <f t="shared" si="25"/>
        <v>3398.2083289425591</v>
      </c>
      <c r="J343" s="80">
        <f t="shared" si="27"/>
        <v>10</v>
      </c>
      <c r="K343" s="22">
        <f t="shared" si="28"/>
        <v>147</v>
      </c>
      <c r="L343" s="81">
        <f t="shared" si="26"/>
        <v>58.294153471360758</v>
      </c>
    </row>
    <row r="344" spans="6:12" x14ac:dyDescent="0.25">
      <c r="F344" s="80">
        <f t="shared" si="24"/>
        <v>1000</v>
      </c>
      <c r="G344" s="22">
        <v>52</v>
      </c>
      <c r="H344" s="78">
        <f t="shared" si="25"/>
        <v>3480.7005884284104</v>
      </c>
      <c r="J344" s="80">
        <f t="shared" si="27"/>
        <v>10</v>
      </c>
      <c r="K344" s="22">
        <f t="shared" si="28"/>
        <v>148</v>
      </c>
      <c r="L344" s="81">
        <f t="shared" si="26"/>
        <v>58.997462559235657</v>
      </c>
    </row>
    <row r="345" spans="6:12" x14ac:dyDescent="0.25">
      <c r="F345" s="80">
        <f t="shared" si="24"/>
        <v>1000</v>
      </c>
      <c r="G345" s="22">
        <v>53</v>
      </c>
      <c r="H345" s="78">
        <f t="shared" si="25"/>
        <v>3565.1953657755494</v>
      </c>
      <c r="J345" s="80">
        <f t="shared" si="27"/>
        <v>10</v>
      </c>
      <c r="K345" s="22">
        <f t="shared" si="28"/>
        <v>149</v>
      </c>
      <c r="L345" s="81">
        <f t="shared" si="26"/>
        <v>59.709256952130538</v>
      </c>
    </row>
    <row r="346" spans="6:12" x14ac:dyDescent="0.25">
      <c r="F346" s="80">
        <f t="shared" si="24"/>
        <v>1000</v>
      </c>
      <c r="G346" s="22">
        <v>54</v>
      </c>
      <c r="H346" s="78">
        <f t="shared" si="25"/>
        <v>3651.7412725483778</v>
      </c>
      <c r="J346" s="80">
        <f t="shared" si="27"/>
        <v>10</v>
      </c>
      <c r="K346" s="22">
        <f t="shared" si="28"/>
        <v>150</v>
      </c>
      <c r="L346" s="81">
        <f t="shared" si="26"/>
        <v>60.429639023813294</v>
      </c>
    </row>
    <row r="347" spans="6:12" x14ac:dyDescent="0.25">
      <c r="F347" s="80">
        <f t="shared" si="24"/>
        <v>1000</v>
      </c>
      <c r="G347" s="22">
        <v>55</v>
      </c>
      <c r="H347" s="78">
        <f t="shared" si="25"/>
        <v>3740.3881003677857</v>
      </c>
      <c r="J347" s="80">
        <f t="shared" si="27"/>
        <v>10</v>
      </c>
      <c r="K347" s="22">
        <f t="shared" si="28"/>
        <v>151</v>
      </c>
      <c r="L347" s="81">
        <f t="shared" si="26"/>
        <v>61.158712383173892</v>
      </c>
    </row>
    <row r="348" spans="6:12" x14ac:dyDescent="0.25">
      <c r="F348" s="80">
        <f t="shared" si="24"/>
        <v>1000</v>
      </c>
      <c r="G348" s="22">
        <v>56</v>
      </c>
      <c r="H348" s="78">
        <f t="shared" si="25"/>
        <v>3831.1868495572885</v>
      </c>
      <c r="J348" s="80">
        <f t="shared" si="27"/>
        <v>10</v>
      </c>
      <c r="K348" s="22">
        <f t="shared" si="28"/>
        <v>152</v>
      </c>
      <c r="L348" s="81">
        <f t="shared" si="26"/>
        <v>61.896581889126061</v>
      </c>
    </row>
    <row r="349" spans="6:12" x14ac:dyDescent="0.25">
      <c r="F349" s="80">
        <f t="shared" si="24"/>
        <v>1000</v>
      </c>
      <c r="G349" s="22">
        <v>57</v>
      </c>
      <c r="H349" s="78">
        <f t="shared" si="25"/>
        <v>3924.189758484536</v>
      </c>
      <c r="J349" s="80">
        <f t="shared" si="27"/>
        <v>10</v>
      </c>
      <c r="K349" s="22">
        <f t="shared" si="28"/>
        <v>153</v>
      </c>
      <c r="L349" s="81">
        <f t="shared" si="26"/>
        <v>62.643353665688572</v>
      </c>
    </row>
    <row r="350" spans="6:12" x14ac:dyDescent="0.25">
      <c r="F350" s="80">
        <f t="shared" si="24"/>
        <v>1000</v>
      </c>
      <c r="G350" s="22">
        <v>58</v>
      </c>
      <c r="H350" s="78">
        <f t="shared" si="25"/>
        <v>4019.4503336151256</v>
      </c>
      <c r="J350" s="80">
        <f t="shared" si="27"/>
        <v>10</v>
      </c>
      <c r="K350" s="22">
        <f t="shared" si="28"/>
        <v>154</v>
      </c>
      <c r="L350" s="81">
        <f t="shared" si="26"/>
        <v>63.399135117248456</v>
      </c>
    </row>
    <row r="351" spans="6:12" x14ac:dyDescent="0.25">
      <c r="F351" s="80">
        <f t="shared" si="24"/>
        <v>1000</v>
      </c>
      <c r="G351" s="22">
        <v>59</v>
      </c>
      <c r="H351" s="78">
        <f t="shared" si="25"/>
        <v>4117.0233802959483</v>
      </c>
      <c r="J351" s="80">
        <f t="shared" si="27"/>
        <v>10</v>
      </c>
      <c r="K351" s="22">
        <f t="shared" si="28"/>
        <v>155</v>
      </c>
      <c r="L351" s="81">
        <f t="shared" si="26"/>
        <v>64.164034944008534</v>
      </c>
    </row>
    <row r="352" spans="6:12" x14ac:dyDescent="0.25">
      <c r="F352" s="80">
        <f t="shared" si="24"/>
        <v>1000</v>
      </c>
      <c r="G352" s="22">
        <v>60</v>
      </c>
      <c r="H352" s="78">
        <f t="shared" si="25"/>
        <v>4216.9650342858231</v>
      </c>
      <c r="J352" s="80">
        <f t="shared" si="27"/>
        <v>10</v>
      </c>
      <c r="K352" s="22">
        <f t="shared" si="28"/>
        <v>156</v>
      </c>
      <c r="L352" s="81">
        <f t="shared" si="26"/>
        <v>64.938163157621148</v>
      </c>
    </row>
    <row r="353" spans="6:12" x14ac:dyDescent="0.25">
      <c r="F353" s="80">
        <f t="shared" si="24"/>
        <v>1000</v>
      </c>
      <c r="G353" s="22">
        <v>61</v>
      </c>
      <c r="H353" s="78">
        <f t="shared" si="25"/>
        <v>4319.3327940515446</v>
      </c>
      <c r="J353" s="80">
        <f t="shared" si="27"/>
        <v>10</v>
      </c>
      <c r="K353" s="22">
        <f t="shared" si="28"/>
        <v>157</v>
      </c>
      <c r="L353" s="81">
        <f t="shared" si="26"/>
        <v>65.721631097010572</v>
      </c>
    </row>
    <row r="354" spans="6:12" x14ac:dyDescent="0.25">
      <c r="F354" s="80">
        <f t="shared" si="24"/>
        <v>1000</v>
      </c>
      <c r="G354" s="22">
        <v>62</v>
      </c>
      <c r="H354" s="78">
        <f t="shared" si="25"/>
        <v>4424.1855538479185</v>
      </c>
      <c r="J354" s="80">
        <f t="shared" si="27"/>
        <v>10</v>
      </c>
      <c r="K354" s="22">
        <f t="shared" si="28"/>
        <v>158</v>
      </c>
      <c r="L354" s="81">
        <f t="shared" si="26"/>
        <v>66.514551444386342</v>
      </c>
    </row>
    <row r="355" spans="6:12" x14ac:dyDescent="0.25">
      <c r="F355" s="80">
        <f t="shared" si="24"/>
        <v>1000</v>
      </c>
      <c r="G355" s="22">
        <v>63</v>
      </c>
      <c r="H355" s="78">
        <f t="shared" si="25"/>
        <v>4531.5836376008183</v>
      </c>
      <c r="J355" s="80">
        <f t="shared" si="27"/>
        <v>10</v>
      </c>
      <c r="K355" s="22">
        <f t="shared" si="28"/>
        <v>159</v>
      </c>
      <c r="L355" s="81">
        <f t="shared" si="26"/>
        <v>67.317038241449836</v>
      </c>
    </row>
    <row r="356" spans="6:12" x14ac:dyDescent="0.25">
      <c r="F356" s="80">
        <f t="shared" si="24"/>
        <v>1000</v>
      </c>
      <c r="G356" s="22">
        <v>64</v>
      </c>
      <c r="H356" s="78">
        <f t="shared" si="25"/>
        <v>4641.5888336127791</v>
      </c>
      <c r="J356" s="80">
        <f t="shared" si="27"/>
        <v>10</v>
      </c>
      <c r="K356" s="22">
        <f t="shared" si="28"/>
        <v>160</v>
      </c>
      <c r="L356" s="81">
        <f t="shared" si="26"/>
        <v>68.129206905796138</v>
      </c>
    </row>
    <row r="357" spans="6:12" x14ac:dyDescent="0.25">
      <c r="F357" s="80">
        <f t="shared" si="24"/>
        <v>1000</v>
      </c>
      <c r="G357" s="22">
        <v>65</v>
      </c>
      <c r="H357" s="78">
        <f t="shared" si="25"/>
        <v>4754.2644301110568</v>
      </c>
      <c r="J357" s="80">
        <f t="shared" si="27"/>
        <v>10</v>
      </c>
      <c r="K357" s="22">
        <f t="shared" si="28"/>
        <v>161</v>
      </c>
      <c r="L357" s="81">
        <f t="shared" si="26"/>
        <v>68.951174247514132</v>
      </c>
    </row>
    <row r="358" spans="6:12" x14ac:dyDescent="0.25">
      <c r="F358" s="80">
        <f t="shared" ref="F358:F388" si="29">F262*10</f>
        <v>1000</v>
      </c>
      <c r="G358" s="22">
        <v>66</v>
      </c>
      <c r="H358" s="78">
        <f t="shared" si="25"/>
        <v>4869.6752516586321</v>
      </c>
      <c r="J358" s="80">
        <f t="shared" si="27"/>
        <v>10</v>
      </c>
      <c r="K358" s="22">
        <f t="shared" si="28"/>
        <v>162</v>
      </c>
      <c r="L358" s="81">
        <f t="shared" si="26"/>
        <v>69.783058485986643</v>
      </c>
    </row>
    <row r="359" spans="6:12" x14ac:dyDescent="0.25">
      <c r="F359" s="80">
        <f t="shared" si="29"/>
        <v>1000</v>
      </c>
      <c r="G359" s="22">
        <v>67</v>
      </c>
      <c r="H359" s="78">
        <f t="shared" si="25"/>
        <v>4987.8876964491064</v>
      </c>
      <c r="J359" s="80">
        <f t="shared" si="27"/>
        <v>10</v>
      </c>
      <c r="K359" s="22">
        <f t="shared" si="28"/>
        <v>163</v>
      </c>
      <c r="L359" s="81">
        <f t="shared" si="26"/>
        <v>70.624979266893291</v>
      </c>
    </row>
    <row r="360" spans="6:12" x14ac:dyDescent="0.25">
      <c r="F360" s="80">
        <f t="shared" si="29"/>
        <v>1000</v>
      </c>
      <c r="G360" s="22">
        <v>68</v>
      </c>
      <c r="H360" s="78">
        <f t="shared" si="25"/>
        <v>5108.9697745069288</v>
      </c>
      <c r="J360" s="80">
        <f t="shared" si="27"/>
        <v>10</v>
      </c>
      <c r="K360" s="22">
        <f t="shared" si="28"/>
        <v>164</v>
      </c>
      <c r="L360" s="81">
        <f t="shared" si="26"/>
        <v>71.477057679418564</v>
      </c>
    </row>
    <row r="361" spans="6:12" x14ac:dyDescent="0.25">
      <c r="F361" s="80">
        <f t="shared" si="29"/>
        <v>1000</v>
      </c>
      <c r="G361" s="22">
        <v>69</v>
      </c>
      <c r="H361" s="78">
        <f t="shared" si="25"/>
        <v>5232.9911468149476</v>
      </c>
      <c r="J361" s="80">
        <f t="shared" si="27"/>
        <v>10</v>
      </c>
      <c r="K361" s="22">
        <f t="shared" si="28"/>
        <v>165</v>
      </c>
      <c r="L361" s="81">
        <f t="shared" si="26"/>
        <v>72.339416273667496</v>
      </c>
    </row>
    <row r="362" spans="6:12" x14ac:dyDescent="0.25">
      <c r="F362" s="80">
        <f t="shared" si="29"/>
        <v>1000</v>
      </c>
      <c r="G362" s="22">
        <v>70</v>
      </c>
      <c r="H362" s="78">
        <f t="shared" si="25"/>
        <v>5360.0231653917917</v>
      </c>
      <c r="J362" s="80">
        <f t="shared" si="27"/>
        <v>10</v>
      </c>
      <c r="K362" s="22">
        <f t="shared" si="28"/>
        <v>166</v>
      </c>
      <c r="L362" s="81">
        <f t="shared" si="26"/>
        <v>73.212179078291314</v>
      </c>
    </row>
    <row r="363" spans="6:12" x14ac:dyDescent="0.25">
      <c r="F363" s="80">
        <f t="shared" si="29"/>
        <v>1000</v>
      </c>
      <c r="G363" s="22">
        <v>71</v>
      </c>
      <c r="H363" s="78">
        <f t="shared" si="25"/>
        <v>5490.1389143421411</v>
      </c>
      <c r="J363" s="80">
        <f t="shared" si="27"/>
        <v>10</v>
      </c>
      <c r="K363" s="22">
        <f t="shared" si="28"/>
        <v>167</v>
      </c>
      <c r="L363" s="81">
        <f t="shared" si="26"/>
        <v>74.095471618325902</v>
      </c>
    </row>
    <row r="364" spans="6:12" x14ac:dyDescent="0.25">
      <c r="F364" s="80">
        <f t="shared" si="29"/>
        <v>1000</v>
      </c>
      <c r="G364" s="22">
        <v>72</v>
      </c>
      <c r="H364" s="78">
        <f t="shared" si="25"/>
        <v>5623.413251903492</v>
      </c>
      <c r="J364" s="80">
        <f t="shared" si="27"/>
        <v>10</v>
      </c>
      <c r="K364" s="22">
        <f t="shared" si="28"/>
        <v>168</v>
      </c>
      <c r="L364" s="81">
        <f t="shared" si="26"/>
        <v>74.989420933245597</v>
      </c>
    </row>
    <row r="365" spans="6:12" x14ac:dyDescent="0.25">
      <c r="F365" s="80">
        <f t="shared" si="29"/>
        <v>1000</v>
      </c>
      <c r="G365" s="22">
        <v>73</v>
      </c>
      <c r="H365" s="78">
        <f t="shared" si="25"/>
        <v>5759.9228535136281</v>
      </c>
      <c r="J365" s="80">
        <f t="shared" si="27"/>
        <v>10</v>
      </c>
      <c r="K365" s="22">
        <f t="shared" si="28"/>
        <v>169</v>
      </c>
      <c r="L365" s="81">
        <f t="shared" si="26"/>
        <v>75.894155595234281</v>
      </c>
    </row>
    <row r="366" spans="6:12" x14ac:dyDescent="0.25">
      <c r="F366" s="80">
        <f t="shared" si="29"/>
        <v>1000</v>
      </c>
      <c r="G366" s="22">
        <v>74</v>
      </c>
      <c r="H366" s="78">
        <f t="shared" si="25"/>
        <v>5899.7462559235655</v>
      </c>
      <c r="J366" s="80">
        <f t="shared" si="27"/>
        <v>10</v>
      </c>
      <c r="K366" s="22">
        <f t="shared" si="28"/>
        <v>170</v>
      </c>
      <c r="L366" s="81">
        <f t="shared" si="26"/>
        <v>76.809805727677542</v>
      </c>
    </row>
    <row r="367" spans="6:12" x14ac:dyDescent="0.25">
      <c r="F367" s="80">
        <f t="shared" si="29"/>
        <v>1000</v>
      </c>
      <c r="G367" s="22">
        <v>75</v>
      </c>
      <c r="H367" s="78">
        <f t="shared" si="25"/>
        <v>6042.9639023813288</v>
      </c>
      <c r="J367" s="80">
        <f t="shared" si="27"/>
        <v>10</v>
      </c>
      <c r="K367" s="22">
        <f t="shared" si="28"/>
        <v>171</v>
      </c>
      <c r="L367" s="81">
        <f t="shared" si="26"/>
        <v>77.736503023877617</v>
      </c>
    </row>
    <row r="368" spans="6:12" x14ac:dyDescent="0.25">
      <c r="F368" s="80">
        <f t="shared" si="29"/>
        <v>1000</v>
      </c>
      <c r="G368" s="22">
        <v>76</v>
      </c>
      <c r="H368" s="78">
        <f t="shared" si="25"/>
        <v>6189.6581889126064</v>
      </c>
      <c r="J368" s="80">
        <f t="shared" si="27"/>
        <v>10</v>
      </c>
      <c r="K368" s="22">
        <f t="shared" si="28"/>
        <v>172</v>
      </c>
      <c r="L368" s="81">
        <f t="shared" si="26"/>
        <v>78.67438076599403</v>
      </c>
    </row>
    <row r="369" spans="6:12" x14ac:dyDescent="0.25">
      <c r="F369" s="80">
        <f t="shared" si="29"/>
        <v>1000</v>
      </c>
      <c r="G369" s="22">
        <v>77</v>
      </c>
      <c r="H369" s="78">
        <f t="shared" si="25"/>
        <v>6339.9135117248461</v>
      </c>
      <c r="J369" s="80">
        <f t="shared" si="27"/>
        <v>10</v>
      </c>
      <c r="K369" s="22">
        <f t="shared" si="28"/>
        <v>173</v>
      </c>
      <c r="L369" s="81">
        <f t="shared" si="26"/>
        <v>79.623573844213041</v>
      </c>
    </row>
    <row r="370" spans="6:12" x14ac:dyDescent="0.25">
      <c r="F370" s="80">
        <f t="shared" si="29"/>
        <v>1000</v>
      </c>
      <c r="G370" s="22">
        <v>78</v>
      </c>
      <c r="H370" s="78">
        <f t="shared" si="25"/>
        <v>6493.8163157621148</v>
      </c>
      <c r="J370" s="80">
        <f t="shared" si="27"/>
        <v>10</v>
      </c>
      <c r="K370" s="22">
        <f t="shared" si="28"/>
        <v>174</v>
      </c>
      <c r="L370" s="81">
        <f t="shared" si="26"/>
        <v>80.584218776148191</v>
      </c>
    </row>
    <row r="371" spans="6:12" x14ac:dyDescent="0.25">
      <c r="F371" s="80">
        <f t="shared" si="29"/>
        <v>1000</v>
      </c>
      <c r="G371" s="22">
        <v>79</v>
      </c>
      <c r="H371" s="78">
        <f t="shared" si="25"/>
        <v>6651.4551444386334</v>
      </c>
      <c r="J371" s="80">
        <f t="shared" si="27"/>
        <v>10</v>
      </c>
      <c r="K371" s="22">
        <f t="shared" si="28"/>
        <v>175</v>
      </c>
      <c r="L371" s="81">
        <f t="shared" si="26"/>
        <v>81.556453726474871</v>
      </c>
    </row>
    <row r="372" spans="6:12" x14ac:dyDescent="0.25">
      <c r="F372" s="80">
        <f t="shared" si="29"/>
        <v>1000</v>
      </c>
      <c r="G372" s="22">
        <v>80</v>
      </c>
      <c r="H372" s="78">
        <f t="shared" si="25"/>
        <v>6812.9206905796136</v>
      </c>
      <c r="J372" s="80">
        <f t="shared" si="27"/>
        <v>10</v>
      </c>
      <c r="K372" s="22">
        <f>K371+1</f>
        <v>176</v>
      </c>
      <c r="L372" s="81">
        <f t="shared" si="26"/>
        <v>82.54041852680183</v>
      </c>
    </row>
    <row r="373" spans="6:12" x14ac:dyDescent="0.25">
      <c r="F373" s="80">
        <f t="shared" si="29"/>
        <v>1000</v>
      </c>
      <c r="G373" s="22">
        <v>81</v>
      </c>
      <c r="H373" s="78">
        <f t="shared" si="25"/>
        <v>6978.3058485986649</v>
      </c>
      <c r="J373" s="80">
        <f t="shared" si="27"/>
        <v>10</v>
      </c>
      <c r="K373" s="22">
        <f t="shared" ref="K373:K388" si="30">K372+1</f>
        <v>177</v>
      </c>
      <c r="L373" s="81">
        <f t="shared" si="26"/>
        <v>83.536254695782617</v>
      </c>
    </row>
    <row r="374" spans="6:12" x14ac:dyDescent="0.25">
      <c r="F374" s="80">
        <f t="shared" si="29"/>
        <v>1000</v>
      </c>
      <c r="G374" s="22">
        <v>82</v>
      </c>
      <c r="H374" s="78">
        <f t="shared" si="25"/>
        <v>7147.7057679418567</v>
      </c>
      <c r="J374" s="80">
        <f t="shared" si="27"/>
        <v>10</v>
      </c>
      <c r="K374" s="22">
        <f t="shared" si="30"/>
        <v>178</v>
      </c>
      <c r="L374" s="81">
        <f t="shared" si="26"/>
        <v>84.54410545946925</v>
      </c>
    </row>
    <row r="375" spans="6:12" x14ac:dyDescent="0.25">
      <c r="F375" s="80">
        <f t="shared" si="29"/>
        <v>1000</v>
      </c>
      <c r="G375" s="22">
        <v>83</v>
      </c>
      <c r="H375" s="78">
        <f t="shared" si="25"/>
        <v>7321.217907829131</v>
      </c>
      <c r="J375" s="80">
        <f t="shared" si="27"/>
        <v>10</v>
      </c>
      <c r="K375" s="22">
        <f t="shared" si="30"/>
        <v>179</v>
      </c>
      <c r="L375" s="81">
        <f t="shared" si="26"/>
        <v>85.564115771911844</v>
      </c>
    </row>
    <row r="376" spans="6:12" x14ac:dyDescent="0.25">
      <c r="F376" s="80">
        <f t="shared" si="29"/>
        <v>1000</v>
      </c>
      <c r="G376" s="22">
        <v>84</v>
      </c>
      <c r="H376" s="78">
        <f t="shared" si="25"/>
        <v>7498.9420933245592</v>
      </c>
      <c r="J376" s="80">
        <f t="shared" si="27"/>
        <v>10</v>
      </c>
      <c r="K376" s="22">
        <f t="shared" si="30"/>
        <v>180</v>
      </c>
      <c r="L376" s="81">
        <f t="shared" si="26"/>
        <v>86.596432336006558</v>
      </c>
    </row>
    <row r="377" spans="6:12" x14ac:dyDescent="0.25">
      <c r="F377" s="80">
        <f t="shared" si="29"/>
        <v>1000</v>
      </c>
      <c r="G377" s="22">
        <v>85</v>
      </c>
      <c r="H377" s="78">
        <f t="shared" si="25"/>
        <v>7680.9805727677549</v>
      </c>
      <c r="J377" s="80">
        <f t="shared" si="27"/>
        <v>10</v>
      </c>
      <c r="K377" s="22">
        <f t="shared" si="30"/>
        <v>181</v>
      </c>
      <c r="L377" s="81">
        <f t="shared" si="26"/>
        <v>87.641203624595207</v>
      </c>
    </row>
    <row r="378" spans="6:12" x14ac:dyDescent="0.25">
      <c r="F378" s="80">
        <f t="shared" si="29"/>
        <v>1000</v>
      </c>
      <c r="G378" s="22">
        <v>86</v>
      </c>
      <c r="H378" s="78">
        <f t="shared" si="25"/>
        <v>7867.4380765994028</v>
      </c>
      <c r="J378" s="80">
        <f t="shared" si="27"/>
        <v>10</v>
      </c>
      <c r="K378" s="22">
        <f t="shared" si="30"/>
        <v>182</v>
      </c>
      <c r="L378" s="81">
        <f t="shared" si="26"/>
        <v>88.698579901819187</v>
      </c>
    </row>
    <row r="379" spans="6:12" x14ac:dyDescent="0.25">
      <c r="F379" s="80">
        <f t="shared" si="29"/>
        <v>1000</v>
      </c>
      <c r="G379" s="22">
        <v>87</v>
      </c>
      <c r="H379" s="78">
        <f t="shared" si="25"/>
        <v>8058.4218776148191</v>
      </c>
      <c r="J379" s="80">
        <f t="shared" si="27"/>
        <v>10</v>
      </c>
      <c r="K379" s="22">
        <f t="shared" si="30"/>
        <v>183</v>
      </c>
      <c r="L379" s="81">
        <f t="shared" si="26"/>
        <v>89.768713244731444</v>
      </c>
    </row>
    <row r="380" spans="6:12" x14ac:dyDescent="0.25">
      <c r="F380" s="80">
        <f t="shared" si="29"/>
        <v>1000</v>
      </c>
      <c r="G380" s="22">
        <v>88</v>
      </c>
      <c r="H380" s="78">
        <f t="shared" si="25"/>
        <v>8254.0418526801841</v>
      </c>
      <c r="J380" s="80">
        <f t="shared" si="27"/>
        <v>10</v>
      </c>
      <c r="K380" s="22">
        <f t="shared" si="30"/>
        <v>184</v>
      </c>
      <c r="L380" s="81">
        <f t="shared" si="26"/>
        <v>90.851757565168697</v>
      </c>
    </row>
    <row r="381" spans="6:12" x14ac:dyDescent="0.25">
      <c r="F381" s="80">
        <f t="shared" si="29"/>
        <v>1000</v>
      </c>
      <c r="G381" s="22">
        <v>89</v>
      </c>
      <c r="H381" s="78">
        <f t="shared" si="25"/>
        <v>8454.4105459469247</v>
      </c>
      <c r="J381" s="80">
        <f t="shared" si="27"/>
        <v>10</v>
      </c>
      <c r="K381" s="22">
        <f t="shared" si="30"/>
        <v>185</v>
      </c>
      <c r="L381" s="81">
        <f t="shared" si="26"/>
        <v>91.947868631887943</v>
      </c>
    </row>
    <row r="382" spans="6:12" x14ac:dyDescent="0.25">
      <c r="F382" s="80">
        <f t="shared" si="29"/>
        <v>1000</v>
      </c>
      <c r="G382" s="22">
        <v>90</v>
      </c>
      <c r="H382" s="78">
        <f t="shared" si="25"/>
        <v>8659.6432336006565</v>
      </c>
      <c r="J382" s="80">
        <f t="shared" si="27"/>
        <v>10</v>
      </c>
      <c r="K382" s="22">
        <f t="shared" si="30"/>
        <v>186</v>
      </c>
      <c r="L382" s="81">
        <f t="shared" si="26"/>
        <v>93.057204092969897</v>
      </c>
    </row>
    <row r="383" spans="6:12" x14ac:dyDescent="0.25">
      <c r="F383" s="80">
        <f t="shared" si="29"/>
        <v>1000</v>
      </c>
      <c r="G383" s="22">
        <v>91</v>
      </c>
      <c r="H383" s="78">
        <f t="shared" si="25"/>
        <v>8869.8579901819176</v>
      </c>
      <c r="J383" s="80">
        <f t="shared" si="27"/>
        <v>10</v>
      </c>
      <c r="K383" s="22">
        <f t="shared" si="30"/>
        <v>187</v>
      </c>
      <c r="L383" s="81">
        <f t="shared" si="26"/>
        <v>94.179923498492599</v>
      </c>
    </row>
    <row r="384" spans="6:12" x14ac:dyDescent="0.25">
      <c r="F384" s="80">
        <f t="shared" si="29"/>
        <v>1000</v>
      </c>
      <c r="G384" s="22">
        <v>92</v>
      </c>
      <c r="H384" s="78">
        <f t="shared" si="25"/>
        <v>9085.17575651687</v>
      </c>
      <c r="J384" s="80">
        <f t="shared" si="27"/>
        <v>10</v>
      </c>
      <c r="K384" s="22">
        <f t="shared" si="30"/>
        <v>188</v>
      </c>
      <c r="L384" s="81">
        <f t="shared" si="26"/>
        <v>95.316188323478769</v>
      </c>
    </row>
    <row r="385" spans="6:12" x14ac:dyDescent="0.25">
      <c r="F385" s="80">
        <f t="shared" si="29"/>
        <v>1000</v>
      </c>
      <c r="G385" s="22">
        <v>93</v>
      </c>
      <c r="H385" s="78">
        <f t="shared" si="25"/>
        <v>9305.7204092969896</v>
      </c>
      <c r="J385" s="80">
        <f t="shared" si="27"/>
        <v>10</v>
      </c>
      <c r="K385" s="22">
        <f t="shared" si="30"/>
        <v>189</v>
      </c>
      <c r="L385" s="81">
        <f t="shared" si="26"/>
        <v>96.466161991119961</v>
      </c>
    </row>
    <row r="386" spans="6:12" x14ac:dyDescent="0.25">
      <c r="F386" s="80">
        <f t="shared" si="29"/>
        <v>1000</v>
      </c>
      <c r="G386" s="22">
        <v>94</v>
      </c>
      <c r="H386" s="78">
        <f t="shared" si="25"/>
        <v>9531.6188323478782</v>
      </c>
      <c r="J386" s="80">
        <f t="shared" si="27"/>
        <v>10</v>
      </c>
      <c r="K386" s="22">
        <f t="shared" si="30"/>
        <v>190</v>
      </c>
      <c r="L386" s="81">
        <f t="shared" si="26"/>
        <v>97.630009896280797</v>
      </c>
    </row>
    <row r="387" spans="6:12" x14ac:dyDescent="0.25">
      <c r="F387" s="80">
        <f t="shared" si="29"/>
        <v>1000</v>
      </c>
      <c r="G387" s="22">
        <v>95</v>
      </c>
      <c r="H387" s="78">
        <f t="shared" si="25"/>
        <v>9763.000989628079</v>
      </c>
      <c r="J387" s="80">
        <f t="shared" si="27"/>
        <v>10</v>
      </c>
      <c r="K387" s="22">
        <f t="shared" si="30"/>
        <v>191</v>
      </c>
      <c r="L387" s="81">
        <f t="shared" si="26"/>
        <v>98.80789942928692</v>
      </c>
    </row>
    <row r="388" spans="6:12" x14ac:dyDescent="0.25">
      <c r="F388" s="80">
        <f t="shared" si="29"/>
        <v>1000</v>
      </c>
      <c r="G388" s="22">
        <v>96</v>
      </c>
      <c r="H388" s="78">
        <f t="shared" ref="H388:H451" si="31">F388*10^(G388/96)</f>
        <v>10000</v>
      </c>
      <c r="J388" s="80">
        <f t="shared" si="27"/>
        <v>10</v>
      </c>
      <c r="K388" s="22">
        <f t="shared" si="30"/>
        <v>192</v>
      </c>
      <c r="L388" s="81">
        <f t="shared" si="26"/>
        <v>100</v>
      </c>
    </row>
    <row r="389" spans="6:12" x14ac:dyDescent="0.25">
      <c r="F389" s="80">
        <f>F293*10</f>
        <v>10000</v>
      </c>
      <c r="G389" s="22">
        <v>1</v>
      </c>
      <c r="H389" s="78">
        <f t="shared" si="31"/>
        <v>10242.752213815922</v>
      </c>
      <c r="J389" s="80">
        <f>J197*10</f>
        <v>100</v>
      </c>
      <c r="K389" s="22">
        <v>1</v>
      </c>
      <c r="L389" s="81">
        <f t="shared" ref="L389:L452" si="32">J389*10^(K389/192)</f>
        <v>101.20648306218294</v>
      </c>
    </row>
    <row r="390" spans="6:12" x14ac:dyDescent="0.25">
      <c r="F390" s="80">
        <f t="shared" ref="F390:F453" si="33">F294*10</f>
        <v>10000</v>
      </c>
      <c r="G390" s="22">
        <v>2</v>
      </c>
      <c r="H390" s="78">
        <f t="shared" si="31"/>
        <v>10491.397291363099</v>
      </c>
      <c r="J390" s="80">
        <f t="shared" ref="J390:J453" si="34">J198*10</f>
        <v>100</v>
      </c>
      <c r="K390" s="22">
        <f t="shared" ref="K390:K453" si="35">K389+1</f>
        <v>2</v>
      </c>
      <c r="L390" s="81">
        <f t="shared" si="32"/>
        <v>102.42752213815922</v>
      </c>
    </row>
    <row r="391" spans="6:12" x14ac:dyDescent="0.25">
      <c r="F391" s="80">
        <f t="shared" si="33"/>
        <v>10000</v>
      </c>
      <c r="G391" s="22">
        <v>3</v>
      </c>
      <c r="H391" s="78">
        <f t="shared" si="31"/>
        <v>10746.078283213174</v>
      </c>
      <c r="J391" s="80">
        <f t="shared" si="34"/>
        <v>100</v>
      </c>
      <c r="K391" s="22">
        <f t="shared" si="35"/>
        <v>3</v>
      </c>
      <c r="L391" s="81">
        <f t="shared" si="32"/>
        <v>103.66329284376981</v>
      </c>
    </row>
    <row r="392" spans="6:12" x14ac:dyDescent="0.25">
      <c r="F392" s="80">
        <f t="shared" si="33"/>
        <v>10000</v>
      </c>
      <c r="G392" s="22">
        <v>4</v>
      </c>
      <c r="H392" s="78">
        <f t="shared" si="31"/>
        <v>11006.941712522095</v>
      </c>
      <c r="J392" s="80">
        <f t="shared" si="34"/>
        <v>100</v>
      </c>
      <c r="K392" s="22">
        <f t="shared" si="35"/>
        <v>4</v>
      </c>
      <c r="L392" s="81">
        <f t="shared" si="32"/>
        <v>104.91397291363099</v>
      </c>
    </row>
    <row r="393" spans="6:12" x14ac:dyDescent="0.25">
      <c r="F393" s="80">
        <f t="shared" si="33"/>
        <v>10000</v>
      </c>
      <c r="G393" s="22">
        <v>5</v>
      </c>
      <c r="H393" s="78">
        <f t="shared" si="31"/>
        <v>11274.137659327853</v>
      </c>
      <c r="J393" s="80">
        <f t="shared" si="34"/>
        <v>100</v>
      </c>
      <c r="K393" s="22">
        <f t="shared" si="35"/>
        <v>5</v>
      </c>
      <c r="L393" s="81">
        <f t="shared" si="32"/>
        <v>106.17974222669714</v>
      </c>
    </row>
    <row r="394" spans="6:12" x14ac:dyDescent="0.25">
      <c r="F394" s="80">
        <f t="shared" si="33"/>
        <v>10000</v>
      </c>
      <c r="G394" s="22">
        <v>6</v>
      </c>
      <c r="H394" s="78">
        <f t="shared" si="31"/>
        <v>11547.819846894583</v>
      </c>
      <c r="J394" s="80">
        <f t="shared" si="34"/>
        <v>100</v>
      </c>
      <c r="K394" s="22">
        <f t="shared" si="35"/>
        <v>6</v>
      </c>
      <c r="L394" s="81">
        <f t="shared" si="32"/>
        <v>107.46078283213174</v>
      </c>
    </row>
    <row r="395" spans="6:12" x14ac:dyDescent="0.25">
      <c r="F395" s="80">
        <f t="shared" si="33"/>
        <v>10000</v>
      </c>
      <c r="G395" s="22">
        <v>7</v>
      </c>
      <c r="H395" s="78">
        <f t="shared" si="31"/>
        <v>11828.145730152693</v>
      </c>
      <c r="J395" s="80">
        <f t="shared" si="34"/>
        <v>100</v>
      </c>
      <c r="K395" s="22">
        <f t="shared" si="35"/>
        <v>7</v>
      </c>
      <c r="L395" s="81">
        <f t="shared" si="32"/>
        <v>108.75727897549061</v>
      </c>
    </row>
    <row r="396" spans="6:12" x14ac:dyDescent="0.25">
      <c r="F396" s="80">
        <f t="shared" si="33"/>
        <v>10000</v>
      </c>
      <c r="G396" s="22">
        <v>8</v>
      </c>
      <c r="H396" s="78">
        <f t="shared" si="31"/>
        <v>12115.276586285885</v>
      </c>
      <c r="J396" s="80">
        <f t="shared" si="34"/>
        <v>100</v>
      </c>
      <c r="K396" s="22">
        <f t="shared" si="35"/>
        <v>8</v>
      </c>
      <c r="L396" s="81">
        <f t="shared" si="32"/>
        <v>110.06941712522095</v>
      </c>
    </row>
    <row r="397" spans="6:12" x14ac:dyDescent="0.25">
      <c r="F397" s="80">
        <f t="shared" si="33"/>
        <v>10000</v>
      </c>
      <c r="G397" s="22">
        <v>9</v>
      </c>
      <c r="H397" s="78">
        <f t="shared" si="31"/>
        <v>12409.377607517195</v>
      </c>
      <c r="J397" s="80">
        <f t="shared" si="34"/>
        <v>100</v>
      </c>
      <c r="K397" s="22">
        <f t="shared" si="35"/>
        <v>9</v>
      </c>
      <c r="L397" s="81">
        <f t="shared" si="32"/>
        <v>111.39738599948024</v>
      </c>
    </row>
    <row r="398" spans="6:12" x14ac:dyDescent="0.25">
      <c r="F398" s="80">
        <f t="shared" si="33"/>
        <v>10000</v>
      </c>
      <c r="G398" s="22">
        <v>10</v>
      </c>
      <c r="H398" s="78">
        <f t="shared" si="31"/>
        <v>12710.617996147448</v>
      </c>
      <c r="J398" s="80">
        <f t="shared" si="34"/>
        <v>100</v>
      </c>
      <c r="K398" s="22">
        <f t="shared" si="35"/>
        <v>10</v>
      </c>
      <c r="L398" s="81">
        <f t="shared" si="32"/>
        <v>112.74137659327852</v>
      </c>
    </row>
    <row r="399" spans="6:12" x14ac:dyDescent="0.25">
      <c r="F399" s="80">
        <f t="shared" si="33"/>
        <v>10000</v>
      </c>
      <c r="G399" s="22">
        <v>11</v>
      </c>
      <c r="H399" s="78">
        <f t="shared" si="31"/>
        <v>13019.171061900779</v>
      </c>
      <c r="J399" s="80">
        <f t="shared" si="34"/>
        <v>100</v>
      </c>
      <c r="K399" s="22">
        <f t="shared" si="35"/>
        <v>11</v>
      </c>
      <c r="L399" s="81">
        <f t="shared" si="32"/>
        <v>114.1015822059483</v>
      </c>
    </row>
    <row r="400" spans="6:12" x14ac:dyDescent="0.25">
      <c r="F400" s="80">
        <f t="shared" si="33"/>
        <v>10000</v>
      </c>
      <c r="G400" s="22">
        <v>12</v>
      </c>
      <c r="H400" s="78">
        <f t="shared" si="31"/>
        <v>13335.214321633241</v>
      </c>
      <c r="J400" s="80">
        <f t="shared" si="34"/>
        <v>100</v>
      </c>
      <c r="K400" s="22">
        <f t="shared" si="35"/>
        <v>12</v>
      </c>
      <c r="L400" s="81">
        <f t="shared" si="32"/>
        <v>115.47819846894582</v>
      </c>
    </row>
    <row r="401" spans="6:12" x14ac:dyDescent="0.25">
      <c r="F401" s="80">
        <f t="shared" si="33"/>
        <v>10000</v>
      </c>
      <c r="G401" s="22">
        <v>13</v>
      </c>
      <c r="H401" s="78">
        <f t="shared" si="31"/>
        <v>13658.929601461867</v>
      </c>
      <c r="J401" s="80">
        <f t="shared" si="34"/>
        <v>100</v>
      </c>
      <c r="K401" s="22">
        <f t="shared" si="35"/>
        <v>13</v>
      </c>
      <c r="L401" s="81">
        <f t="shared" si="32"/>
        <v>116.87142337398765</v>
      </c>
    </row>
    <row r="402" spans="6:12" x14ac:dyDescent="0.25">
      <c r="F402" s="80">
        <f t="shared" si="33"/>
        <v>10000</v>
      </c>
      <c r="G402" s="22">
        <v>14</v>
      </c>
      <c r="H402" s="78">
        <f t="shared" si="31"/>
        <v>13990.503141372939</v>
      </c>
      <c r="J402" s="80">
        <f t="shared" si="34"/>
        <v>100</v>
      </c>
      <c r="K402" s="22">
        <f t="shared" si="35"/>
        <v>14</v>
      </c>
      <c r="L402" s="81">
        <f t="shared" si="32"/>
        <v>118.28145730152693</v>
      </c>
    </row>
    <row r="403" spans="6:12" x14ac:dyDescent="0.25">
      <c r="F403" s="80">
        <f t="shared" si="33"/>
        <v>10000</v>
      </c>
      <c r="G403" s="22">
        <v>15</v>
      </c>
      <c r="H403" s="78">
        <f t="shared" si="31"/>
        <v>14330.125702369629</v>
      </c>
      <c r="J403" s="80">
        <f t="shared" si="34"/>
        <v>100</v>
      </c>
      <c r="K403" s="22">
        <f t="shared" si="35"/>
        <v>15</v>
      </c>
      <c r="L403" s="81">
        <f t="shared" si="32"/>
        <v>119.70850304957298</v>
      </c>
    </row>
    <row r="404" spans="6:12" x14ac:dyDescent="0.25">
      <c r="F404" s="80">
        <f t="shared" si="33"/>
        <v>10000</v>
      </c>
      <c r="G404" s="22">
        <v>16</v>
      </c>
      <c r="H404" s="78">
        <f t="shared" si="31"/>
        <v>14677.992676220696</v>
      </c>
      <c r="J404" s="80">
        <f t="shared" si="34"/>
        <v>100</v>
      </c>
      <c r="K404" s="22">
        <f t="shared" si="35"/>
        <v>16</v>
      </c>
      <c r="L404" s="81">
        <f t="shared" si="32"/>
        <v>121.15276586285886</v>
      </c>
    </row>
    <row r="405" spans="6:12" x14ac:dyDescent="0.25">
      <c r="F405" s="80">
        <f t="shared" si="33"/>
        <v>10000</v>
      </c>
      <c r="G405" s="22">
        <v>17</v>
      </c>
      <c r="H405" s="78">
        <f t="shared" si="31"/>
        <v>15034.304197873344</v>
      </c>
      <c r="J405" s="80">
        <f t="shared" si="34"/>
        <v>100</v>
      </c>
      <c r="K405" s="22">
        <f t="shared" si="35"/>
        <v>17</v>
      </c>
      <c r="L405" s="81">
        <f t="shared" si="32"/>
        <v>122.6144534623604</v>
      </c>
    </row>
    <row r="406" spans="6:12" x14ac:dyDescent="0.25">
      <c r="F406" s="80">
        <f t="shared" si="33"/>
        <v>10000</v>
      </c>
      <c r="G406" s="22">
        <v>18</v>
      </c>
      <c r="H406" s="78">
        <f t="shared" si="31"/>
        <v>15399.265260594921</v>
      </c>
      <c r="J406" s="80">
        <f t="shared" si="34"/>
        <v>100</v>
      </c>
      <c r="K406" s="22">
        <f t="shared" si="35"/>
        <v>18</v>
      </c>
      <c r="L406" s="81">
        <f t="shared" si="32"/>
        <v>124.09377607517196</v>
      </c>
    </row>
    <row r="407" spans="6:12" x14ac:dyDescent="0.25">
      <c r="F407" s="80">
        <f t="shared" si="33"/>
        <v>10000</v>
      </c>
      <c r="G407" s="22">
        <v>19</v>
      </c>
      <c r="H407" s="78">
        <f t="shared" si="31"/>
        <v>15773.085833909725</v>
      </c>
      <c r="J407" s="80">
        <f t="shared" si="34"/>
        <v>100</v>
      </c>
      <c r="K407" s="22">
        <f t="shared" si="35"/>
        <v>19</v>
      </c>
      <c r="L407" s="81">
        <f t="shared" si="32"/>
        <v>125.59094646474213</v>
      </c>
    </row>
    <row r="408" spans="6:12" x14ac:dyDescent="0.25">
      <c r="F408" s="80">
        <f t="shared" si="33"/>
        <v>10000</v>
      </c>
      <c r="G408" s="22">
        <v>20</v>
      </c>
      <c r="H408" s="78">
        <f t="shared" si="31"/>
        <v>16155.98098439874</v>
      </c>
      <c r="J408" s="80">
        <f t="shared" si="34"/>
        <v>100</v>
      </c>
      <c r="K408" s="22">
        <f t="shared" si="35"/>
        <v>20</v>
      </c>
      <c r="L408" s="81">
        <f t="shared" si="32"/>
        <v>127.10617996147448</v>
      </c>
    </row>
    <row r="409" spans="6:12" x14ac:dyDescent="0.25">
      <c r="F409" s="80">
        <f t="shared" si="33"/>
        <v>10000</v>
      </c>
      <c r="G409" s="22">
        <v>21</v>
      </c>
      <c r="H409" s="78">
        <f t="shared" si="31"/>
        <v>16548.170999431815</v>
      </c>
      <c r="J409" s="80">
        <f t="shared" si="34"/>
        <v>100</v>
      </c>
      <c r="K409" s="22">
        <f t="shared" si="35"/>
        <v>21</v>
      </c>
      <c r="L409" s="81">
        <f t="shared" si="32"/>
        <v>128.63969449369745</v>
      </c>
    </row>
    <row r="410" spans="6:12" x14ac:dyDescent="0.25">
      <c r="F410" s="80">
        <f t="shared" si="33"/>
        <v>10000</v>
      </c>
      <c r="G410" s="22">
        <v>22</v>
      </c>
      <c r="H410" s="78">
        <f t="shared" si="31"/>
        <v>16949.881513903467</v>
      </c>
      <c r="J410" s="80">
        <f t="shared" si="34"/>
        <v>100</v>
      </c>
      <c r="K410" s="22">
        <f t="shared" si="35"/>
        <v>22</v>
      </c>
      <c r="L410" s="81">
        <f t="shared" si="32"/>
        <v>130.19171061900778</v>
      </c>
    </row>
    <row r="411" spans="6:12" x14ac:dyDescent="0.25">
      <c r="F411" s="80">
        <f t="shared" si="33"/>
        <v>10000</v>
      </c>
      <c r="G411" s="22">
        <v>23</v>
      </c>
      <c r="H411" s="78">
        <f t="shared" si="31"/>
        <v>17361.343640045234</v>
      </c>
      <c r="J411" s="80">
        <f t="shared" si="34"/>
        <v>100</v>
      </c>
      <c r="K411" s="22">
        <f t="shared" si="35"/>
        <v>23</v>
      </c>
      <c r="L411" s="81">
        <f t="shared" si="32"/>
        <v>131.76245155599236</v>
      </c>
    </row>
    <row r="412" spans="6:12" x14ac:dyDescent="0.25">
      <c r="F412" s="80">
        <f t="shared" si="33"/>
        <v>10000</v>
      </c>
      <c r="G412" s="22">
        <v>24</v>
      </c>
      <c r="H412" s="78">
        <f t="shared" si="31"/>
        <v>17782.79410038923</v>
      </c>
      <c r="J412" s="80">
        <f t="shared" si="34"/>
        <v>100</v>
      </c>
      <c r="K412" s="22">
        <f t="shared" si="35"/>
        <v>24</v>
      </c>
      <c r="L412" s="81">
        <f t="shared" si="32"/>
        <v>133.35214321633239</v>
      </c>
    </row>
    <row r="413" spans="6:12" x14ac:dyDescent="0.25">
      <c r="F413" s="80">
        <f t="shared" si="33"/>
        <v>10000</v>
      </c>
      <c r="G413" s="22">
        <v>25</v>
      </c>
      <c r="H413" s="78">
        <f t="shared" si="31"/>
        <v>18214.475363959453</v>
      </c>
      <c r="J413" s="80">
        <f t="shared" si="34"/>
        <v>100</v>
      </c>
      <c r="K413" s="22">
        <f t="shared" si="35"/>
        <v>25</v>
      </c>
      <c r="L413" s="81">
        <f t="shared" si="32"/>
        <v>134.96101423729542</v>
      </c>
    </row>
    <row r="414" spans="6:12" x14ac:dyDescent="0.25">
      <c r="F414" s="80">
        <f t="shared" si="33"/>
        <v>10000</v>
      </c>
      <c r="G414" s="22">
        <v>26</v>
      </c>
      <c r="H414" s="78">
        <f t="shared" si="31"/>
        <v>18656.635785769122</v>
      </c>
      <c r="J414" s="80">
        <f t="shared" si="34"/>
        <v>100</v>
      </c>
      <c r="K414" s="22">
        <f t="shared" si="35"/>
        <v>26</v>
      </c>
      <c r="L414" s="81">
        <f t="shared" si="32"/>
        <v>136.58929601461867</v>
      </c>
    </row>
    <row r="415" spans="6:12" x14ac:dyDescent="0.25">
      <c r="F415" s="80">
        <f t="shared" si="33"/>
        <v>10000</v>
      </c>
      <c r="G415" s="22">
        <v>27</v>
      </c>
      <c r="H415" s="78">
        <f t="shared" si="31"/>
        <v>19109.529749704405</v>
      </c>
      <c r="J415" s="80">
        <f t="shared" si="34"/>
        <v>100</v>
      </c>
      <c r="K415" s="22">
        <f t="shared" si="35"/>
        <v>27</v>
      </c>
      <c r="L415" s="81">
        <f t="shared" si="32"/>
        <v>138.23722273578997</v>
      </c>
    </row>
    <row r="416" spans="6:12" x14ac:dyDescent="0.25">
      <c r="F416" s="80">
        <f t="shared" si="33"/>
        <v>10000</v>
      </c>
      <c r="G416" s="22">
        <v>28</v>
      </c>
      <c r="H416" s="78">
        <f t="shared" si="31"/>
        <v>19573.417814876604</v>
      </c>
      <c r="J416" s="80">
        <f t="shared" si="34"/>
        <v>100</v>
      </c>
      <c r="K416" s="22">
        <f t="shared" si="35"/>
        <v>28</v>
      </c>
      <c r="L416" s="81">
        <f t="shared" si="32"/>
        <v>139.90503141372938</v>
      </c>
    </row>
    <row r="417" spans="6:12" x14ac:dyDescent="0.25">
      <c r="F417" s="80">
        <f t="shared" si="33"/>
        <v>10000</v>
      </c>
      <c r="G417" s="22">
        <v>29</v>
      </c>
      <c r="H417" s="78">
        <f t="shared" si="31"/>
        <v>20048.566865527137</v>
      </c>
      <c r="J417" s="80">
        <f t="shared" si="34"/>
        <v>100</v>
      </c>
      <c r="K417" s="22">
        <f t="shared" si="35"/>
        <v>29</v>
      </c>
      <c r="L417" s="81">
        <f t="shared" si="32"/>
        <v>141.59296192087774</v>
      </c>
    </row>
    <row r="418" spans="6:12" x14ac:dyDescent="0.25">
      <c r="F418" s="80">
        <f t="shared" si="33"/>
        <v>10000</v>
      </c>
      <c r="G418" s="22">
        <v>30</v>
      </c>
      <c r="H418" s="78">
        <f t="shared" si="31"/>
        <v>20535.250264571463</v>
      </c>
      <c r="J418" s="80">
        <f t="shared" si="34"/>
        <v>100</v>
      </c>
      <c r="K418" s="22">
        <f t="shared" si="35"/>
        <v>30</v>
      </c>
      <c r="L418" s="81">
        <f t="shared" si="32"/>
        <v>143.30125702369628</v>
      </c>
    </row>
    <row r="419" spans="6:12" x14ac:dyDescent="0.25">
      <c r="F419" s="80">
        <f t="shared" si="33"/>
        <v>10000</v>
      </c>
      <c r="G419" s="22">
        <v>31</v>
      </c>
      <c r="H419" s="78">
        <f t="shared" si="31"/>
        <v>21033.748010870338</v>
      </c>
      <c r="J419" s="80">
        <f t="shared" si="34"/>
        <v>100</v>
      </c>
      <c r="K419" s="22">
        <f t="shared" si="35"/>
        <v>31</v>
      </c>
      <c r="L419" s="81">
        <f t="shared" si="32"/>
        <v>145.03016241758243</v>
      </c>
    </row>
    <row r="420" spans="6:12" x14ac:dyDescent="0.25">
      <c r="F420" s="80">
        <f t="shared" si="33"/>
        <v>10000</v>
      </c>
      <c r="G420" s="22">
        <v>32</v>
      </c>
      <c r="H420" s="78">
        <f t="shared" si="31"/>
        <v>21544.346900318837</v>
      </c>
      <c r="J420" s="80">
        <f t="shared" si="34"/>
        <v>100</v>
      </c>
      <c r="K420" s="22">
        <f t="shared" si="35"/>
        <v>32</v>
      </c>
      <c r="L420" s="81">
        <f t="shared" si="32"/>
        <v>146.77992676220697</v>
      </c>
    </row>
    <row r="421" spans="6:12" x14ac:dyDescent="0.25">
      <c r="F421" s="80">
        <f t="shared" si="33"/>
        <v>10000</v>
      </c>
      <c r="G421" s="22">
        <v>33</v>
      </c>
      <c r="H421" s="78">
        <f t="shared" si="31"/>
        <v>22067.3406908459</v>
      </c>
      <c r="J421" s="80">
        <f t="shared" si="34"/>
        <v>100</v>
      </c>
      <c r="K421" s="22">
        <f t="shared" si="35"/>
        <v>33</v>
      </c>
      <c r="L421" s="81">
        <f t="shared" si="32"/>
        <v>148.55080171727749</v>
      </c>
    </row>
    <row r="422" spans="6:12" x14ac:dyDescent="0.25">
      <c r="F422" s="80">
        <f t="shared" si="33"/>
        <v>10000</v>
      </c>
      <c r="G422" s="22">
        <v>34</v>
      </c>
      <c r="H422" s="78">
        <f t="shared" si="31"/>
        <v>22603.030271419204</v>
      </c>
      <c r="J422" s="80">
        <f t="shared" si="34"/>
        <v>100</v>
      </c>
      <c r="K422" s="22">
        <f t="shared" si="35"/>
        <v>34</v>
      </c>
      <c r="L422" s="81">
        <f t="shared" si="32"/>
        <v>150.34304197873342</v>
      </c>
    </row>
    <row r="423" spans="6:12" x14ac:dyDescent="0.25">
      <c r="F423" s="80">
        <f t="shared" si="33"/>
        <v>10000</v>
      </c>
      <c r="G423" s="22">
        <v>35</v>
      </c>
      <c r="H423" s="78">
        <f t="shared" si="31"/>
        <v>23151.723835152734</v>
      </c>
      <c r="J423" s="80">
        <f t="shared" si="34"/>
        <v>100</v>
      </c>
      <c r="K423" s="22">
        <f t="shared" si="35"/>
        <v>35</v>
      </c>
      <c r="L423" s="81">
        <f t="shared" si="32"/>
        <v>152.15690531537746</v>
      </c>
    </row>
    <row r="424" spans="6:12" x14ac:dyDescent="0.25">
      <c r="F424" s="80">
        <f t="shared" si="33"/>
        <v>10000</v>
      </c>
      <c r="G424" s="22">
        <v>36</v>
      </c>
      <c r="H424" s="78">
        <f t="shared" si="31"/>
        <v>23713.737056616555</v>
      </c>
      <c r="J424" s="80">
        <f t="shared" si="34"/>
        <v>100</v>
      </c>
      <c r="K424" s="22">
        <f t="shared" si="35"/>
        <v>36</v>
      </c>
      <c r="L424" s="81">
        <f t="shared" si="32"/>
        <v>153.99265260594922</v>
      </c>
    </row>
    <row r="425" spans="6:12" x14ac:dyDescent="0.25">
      <c r="F425" s="80">
        <f t="shared" si="33"/>
        <v>10000</v>
      </c>
      <c r="G425" s="22">
        <v>37</v>
      </c>
      <c r="H425" s="78">
        <f t="shared" si="31"/>
        <v>24289.393273450791</v>
      </c>
      <c r="J425" s="80">
        <f t="shared" si="34"/>
        <v>100</v>
      </c>
      <c r="K425" s="22">
        <f t="shared" si="35"/>
        <v>37</v>
      </c>
      <c r="L425" s="81">
        <f t="shared" si="32"/>
        <v>155.8505478766462</v>
      </c>
    </row>
    <row r="426" spans="6:12" x14ac:dyDescent="0.25">
      <c r="F426" s="80">
        <f t="shared" si="33"/>
        <v>10000</v>
      </c>
      <c r="G426" s="22">
        <v>38</v>
      </c>
      <c r="H426" s="78">
        <f t="shared" si="31"/>
        <v>24879.023672388365</v>
      </c>
      <c r="J426" s="80">
        <f t="shared" si="34"/>
        <v>100</v>
      </c>
      <c r="K426" s="22">
        <f t="shared" si="35"/>
        <v>38</v>
      </c>
      <c r="L426" s="81">
        <f t="shared" si="32"/>
        <v>157.73085833909727</v>
      </c>
    </row>
    <row r="427" spans="6:12" x14ac:dyDescent="0.25">
      <c r="F427" s="80">
        <f t="shared" si="33"/>
        <v>10000</v>
      </c>
      <c r="G427" s="22">
        <v>39</v>
      </c>
      <c r="H427" s="78">
        <f t="shared" si="31"/>
        <v>25482.967479793471</v>
      </c>
      <c r="J427" s="80">
        <f t="shared" si="34"/>
        <v>100</v>
      </c>
      <c r="K427" s="22">
        <f t="shared" si="35"/>
        <v>39</v>
      </c>
      <c r="L427" s="81">
        <f t="shared" si="32"/>
        <v>159.63385442879422</v>
      </c>
    </row>
    <row r="428" spans="6:12" x14ac:dyDescent="0.25">
      <c r="F428" s="80">
        <f t="shared" si="33"/>
        <v>10000</v>
      </c>
      <c r="G428" s="22">
        <v>40</v>
      </c>
      <c r="H428" s="78">
        <f t="shared" si="31"/>
        <v>26101.572156825372</v>
      </c>
      <c r="J428" s="80">
        <f t="shared" si="34"/>
        <v>100</v>
      </c>
      <c r="K428" s="22">
        <f t="shared" si="35"/>
        <v>40</v>
      </c>
      <c r="L428" s="81">
        <f t="shared" si="32"/>
        <v>161.55980984398741</v>
      </c>
    </row>
    <row r="429" spans="6:12" x14ac:dyDescent="0.25">
      <c r="F429" s="80">
        <f t="shared" si="33"/>
        <v>10000</v>
      </c>
      <c r="G429" s="22">
        <v>41</v>
      </c>
      <c r="H429" s="78">
        <f t="shared" si="31"/>
        <v>26735.193599339909</v>
      </c>
      <c r="J429" s="80">
        <f t="shared" si="34"/>
        <v>100</v>
      </c>
      <c r="K429" s="22">
        <f t="shared" si="35"/>
        <v>41</v>
      </c>
      <c r="L429" s="81">
        <f t="shared" si="32"/>
        <v>163.50900158505007</v>
      </c>
    </row>
    <row r="430" spans="6:12" x14ac:dyDescent="0.25">
      <c r="F430" s="80">
        <f t="shared" si="33"/>
        <v>10000</v>
      </c>
      <c r="G430" s="22">
        <v>42</v>
      </c>
      <c r="H430" s="78">
        <f t="shared" si="31"/>
        <v>27384.196342643616</v>
      </c>
      <c r="J430" s="80">
        <f t="shared" si="34"/>
        <v>100</v>
      </c>
      <c r="K430" s="22">
        <f t="shared" si="35"/>
        <v>42</v>
      </c>
      <c r="L430" s="81">
        <f t="shared" si="32"/>
        <v>165.48170999431815</v>
      </c>
    </row>
    <row r="431" spans="6:12" x14ac:dyDescent="0.25">
      <c r="F431" s="80">
        <f t="shared" si="33"/>
        <v>10000</v>
      </c>
      <c r="G431" s="22">
        <v>43</v>
      </c>
      <c r="H431" s="78">
        <f t="shared" si="31"/>
        <v>28048.953771218283</v>
      </c>
      <c r="J431" s="80">
        <f t="shared" si="34"/>
        <v>100</v>
      </c>
      <c r="K431" s="22">
        <f t="shared" si="35"/>
        <v>43</v>
      </c>
      <c r="L431" s="81">
        <f t="shared" si="32"/>
        <v>167.47821879641032</v>
      </c>
    </row>
    <row r="432" spans="6:12" x14ac:dyDescent="0.25">
      <c r="F432" s="80">
        <f t="shared" si="33"/>
        <v>10000</v>
      </c>
      <c r="G432" s="22">
        <v>44</v>
      </c>
      <c r="H432" s="78">
        <f t="shared" si="31"/>
        <v>28729.848333536644</v>
      </c>
      <c r="J432" s="80">
        <f t="shared" si="34"/>
        <v>100</v>
      </c>
      <c r="K432" s="22">
        <f t="shared" si="35"/>
        <v>44</v>
      </c>
      <c r="L432" s="81">
        <f t="shared" si="32"/>
        <v>169.49881513903466</v>
      </c>
    </row>
    <row r="433" spans="6:12" x14ac:dyDescent="0.25">
      <c r="F433" s="80">
        <f t="shared" si="33"/>
        <v>10000</v>
      </c>
      <c r="G433" s="22">
        <v>45</v>
      </c>
      <c r="H433" s="78">
        <f t="shared" si="31"/>
        <v>29427.271762092823</v>
      </c>
      <c r="J433" s="80">
        <f t="shared" si="34"/>
        <v>100</v>
      </c>
      <c r="K433" s="22">
        <f t="shared" si="35"/>
        <v>45</v>
      </c>
      <c r="L433" s="81">
        <f t="shared" si="32"/>
        <v>171.54378963428792</v>
      </c>
    </row>
    <row r="434" spans="6:12" x14ac:dyDescent="0.25">
      <c r="F434" s="80">
        <f t="shared" si="33"/>
        <v>10000</v>
      </c>
      <c r="G434" s="22">
        <v>46</v>
      </c>
      <c r="H434" s="78">
        <f t="shared" si="31"/>
        <v>30141.625298773906</v>
      </c>
      <c r="J434" s="80">
        <f t="shared" si="34"/>
        <v>100</v>
      </c>
      <c r="K434" s="22">
        <f t="shared" si="35"/>
        <v>46</v>
      </c>
      <c r="L434" s="81">
        <f t="shared" si="32"/>
        <v>173.61343640045231</v>
      </c>
    </row>
    <row r="435" spans="6:12" x14ac:dyDescent="0.25">
      <c r="F435" s="80">
        <f t="shared" si="33"/>
        <v>10000</v>
      </c>
      <c r="G435" s="22">
        <v>47</v>
      </c>
      <c r="H435" s="78">
        <f t="shared" si="31"/>
        <v>30873.319925702639</v>
      </c>
      <c r="J435" s="80">
        <f t="shared" si="34"/>
        <v>100</v>
      </c>
      <c r="K435" s="22">
        <f t="shared" si="35"/>
        <v>47</v>
      </c>
      <c r="L435" s="81">
        <f t="shared" si="32"/>
        <v>175.70805310429753</v>
      </c>
    </row>
    <row r="436" spans="6:12" x14ac:dyDescent="0.25">
      <c r="F436" s="80">
        <f t="shared" si="33"/>
        <v>10000</v>
      </c>
      <c r="G436" s="22">
        <v>48</v>
      </c>
      <c r="H436" s="78">
        <f t="shared" si="31"/>
        <v>31622.776601683796</v>
      </c>
      <c r="J436" s="80">
        <f t="shared" si="34"/>
        <v>100</v>
      </c>
      <c r="K436" s="22">
        <f t="shared" si="35"/>
        <v>48</v>
      </c>
      <c r="L436" s="81">
        <f t="shared" si="32"/>
        <v>177.82794100389231</v>
      </c>
    </row>
    <row r="437" spans="6:12" x14ac:dyDescent="0.25">
      <c r="F437" s="80">
        <f t="shared" si="33"/>
        <v>10000</v>
      </c>
      <c r="G437" s="22">
        <v>49</v>
      </c>
      <c r="H437" s="78">
        <f t="shared" si="31"/>
        <v>32390.426504390307</v>
      </c>
      <c r="J437" s="80">
        <f t="shared" si="34"/>
        <v>100</v>
      </c>
      <c r="K437" s="22">
        <f t="shared" si="35"/>
        <v>49</v>
      </c>
      <c r="L437" s="81">
        <f t="shared" si="32"/>
        <v>179.97340499193294</v>
      </c>
    </row>
    <row r="438" spans="6:12" x14ac:dyDescent="0.25">
      <c r="F438" s="80">
        <f t="shared" si="33"/>
        <v>10000</v>
      </c>
      <c r="G438" s="22">
        <v>50</v>
      </c>
      <c r="H438" s="78">
        <f t="shared" si="31"/>
        <v>33176.711278428578</v>
      </c>
      <c r="J438" s="80">
        <f t="shared" si="34"/>
        <v>100</v>
      </c>
      <c r="K438" s="22">
        <f t="shared" si="35"/>
        <v>50</v>
      </c>
      <c r="L438" s="81">
        <f t="shared" si="32"/>
        <v>182.14475363959451</v>
      </c>
    </row>
    <row r="439" spans="6:12" x14ac:dyDescent="0.25">
      <c r="F439" s="80">
        <f t="shared" si="33"/>
        <v>10000</v>
      </c>
      <c r="G439" s="22">
        <v>51</v>
      </c>
      <c r="H439" s="78">
        <f t="shared" si="31"/>
        <v>33982.083289425595</v>
      </c>
      <c r="J439" s="80">
        <f t="shared" si="34"/>
        <v>100</v>
      </c>
      <c r="K439" s="22">
        <f t="shared" si="35"/>
        <v>51</v>
      </c>
      <c r="L439" s="81">
        <f t="shared" si="32"/>
        <v>184.34229924091105</v>
      </c>
    </row>
    <row r="440" spans="6:12" x14ac:dyDescent="0.25">
      <c r="F440" s="80">
        <f t="shared" si="33"/>
        <v>10000</v>
      </c>
      <c r="G440" s="22">
        <v>52</v>
      </c>
      <c r="H440" s="78">
        <f t="shared" si="31"/>
        <v>34807.005884284103</v>
      </c>
      <c r="J440" s="80">
        <f t="shared" si="34"/>
        <v>100</v>
      </c>
      <c r="K440" s="22">
        <f t="shared" si="35"/>
        <v>52</v>
      </c>
      <c r="L440" s="81">
        <f t="shared" si="32"/>
        <v>186.56635785769123</v>
      </c>
    </row>
    <row r="441" spans="6:12" x14ac:dyDescent="0.25">
      <c r="F441" s="80">
        <f t="shared" si="33"/>
        <v>10000</v>
      </c>
      <c r="G441" s="22">
        <v>53</v>
      </c>
      <c r="H441" s="78">
        <f t="shared" si="31"/>
        <v>35651.953657755497</v>
      </c>
      <c r="J441" s="80">
        <f t="shared" si="34"/>
        <v>100</v>
      </c>
      <c r="K441" s="22">
        <f t="shared" si="35"/>
        <v>53</v>
      </c>
      <c r="L441" s="81">
        <f t="shared" si="32"/>
        <v>188.81724936497591</v>
      </c>
    </row>
    <row r="442" spans="6:12" x14ac:dyDescent="0.25">
      <c r="F442" s="80">
        <f t="shared" si="33"/>
        <v>10000</v>
      </c>
      <c r="G442" s="22">
        <v>54</v>
      </c>
      <c r="H442" s="78">
        <f t="shared" si="31"/>
        <v>36517.412725483773</v>
      </c>
      <c r="J442" s="80">
        <f t="shared" si="34"/>
        <v>100</v>
      </c>
      <c r="K442" s="22">
        <f t="shared" si="35"/>
        <v>54</v>
      </c>
      <c r="L442" s="81">
        <f t="shared" si="32"/>
        <v>191.09529749704407</v>
      </c>
    </row>
    <row r="443" spans="6:12" x14ac:dyDescent="0.25">
      <c r="F443" s="80">
        <f t="shared" si="33"/>
        <v>10000</v>
      </c>
      <c r="G443" s="22">
        <v>55</v>
      </c>
      <c r="H443" s="78">
        <f t="shared" si="31"/>
        <v>37403.88100367786</v>
      </c>
      <c r="J443" s="80">
        <f t="shared" si="34"/>
        <v>100</v>
      </c>
      <c r="K443" s="22">
        <f t="shared" si="35"/>
        <v>55</v>
      </c>
      <c r="L443" s="81">
        <f t="shared" si="32"/>
        <v>193.40082989397399</v>
      </c>
    </row>
    <row r="444" spans="6:12" x14ac:dyDescent="0.25">
      <c r="F444" s="80">
        <f t="shared" si="33"/>
        <v>10000</v>
      </c>
      <c r="G444" s="22">
        <v>56</v>
      </c>
      <c r="H444" s="78">
        <f t="shared" si="31"/>
        <v>38311.868495572882</v>
      </c>
      <c r="J444" s="80">
        <f t="shared" si="34"/>
        <v>100</v>
      </c>
      <c r="K444" s="22">
        <f t="shared" si="35"/>
        <v>56</v>
      </c>
      <c r="L444" s="81">
        <f t="shared" si="32"/>
        <v>195.73417814876603</v>
      </c>
    </row>
    <row r="445" spans="6:12" x14ac:dyDescent="0.25">
      <c r="F445" s="80">
        <f t="shared" si="33"/>
        <v>10000</v>
      </c>
      <c r="G445" s="22">
        <v>57</v>
      </c>
      <c r="H445" s="78">
        <f t="shared" si="31"/>
        <v>39241.897584845363</v>
      </c>
      <c r="J445" s="80">
        <f t="shared" si="34"/>
        <v>100</v>
      </c>
      <c r="K445" s="22">
        <f t="shared" si="35"/>
        <v>57</v>
      </c>
      <c r="L445" s="81">
        <f t="shared" si="32"/>
        <v>198.09567785503387</v>
      </c>
    </row>
    <row r="446" spans="6:12" x14ac:dyDescent="0.25">
      <c r="F446" s="80">
        <f t="shared" si="33"/>
        <v>10000</v>
      </c>
      <c r="G446" s="22">
        <v>58</v>
      </c>
      <c r="H446" s="78">
        <f t="shared" si="31"/>
        <v>40194.503336151254</v>
      </c>
      <c r="J446" s="80">
        <f t="shared" si="34"/>
        <v>100</v>
      </c>
      <c r="K446" s="22">
        <f t="shared" si="35"/>
        <v>58</v>
      </c>
      <c r="L446" s="81">
        <f t="shared" si="32"/>
        <v>200.48566865527135</v>
      </c>
    </row>
    <row r="447" spans="6:12" x14ac:dyDescent="0.25">
      <c r="F447" s="80">
        <f t="shared" si="33"/>
        <v>10000</v>
      </c>
      <c r="G447" s="22">
        <v>59</v>
      </c>
      <c r="H447" s="78">
        <f t="shared" si="31"/>
        <v>41170.233802959483</v>
      </c>
      <c r="J447" s="80">
        <f t="shared" si="34"/>
        <v>100</v>
      </c>
      <c r="K447" s="22">
        <f t="shared" si="35"/>
        <v>59</v>
      </c>
      <c r="L447" s="81">
        <f t="shared" si="32"/>
        <v>202.90449428970146</v>
      </c>
    </row>
    <row r="448" spans="6:12" x14ac:dyDescent="0.25">
      <c r="F448" s="80">
        <f t="shared" si="33"/>
        <v>10000</v>
      </c>
      <c r="G448" s="22">
        <v>60</v>
      </c>
      <c r="H448" s="78">
        <f t="shared" si="31"/>
        <v>42169.650342858229</v>
      </c>
      <c r="J448" s="80">
        <f t="shared" si="34"/>
        <v>100</v>
      </c>
      <c r="K448" s="22">
        <f t="shared" si="35"/>
        <v>60</v>
      </c>
      <c r="L448" s="81">
        <f t="shared" si="32"/>
        <v>205.35250264571462</v>
      </c>
    </row>
    <row r="449" spans="6:12" x14ac:dyDescent="0.25">
      <c r="F449" s="80">
        <f t="shared" si="33"/>
        <v>10000</v>
      </c>
      <c r="G449" s="22">
        <v>61</v>
      </c>
      <c r="H449" s="78">
        <f t="shared" si="31"/>
        <v>43193.327940515446</v>
      </c>
      <c r="J449" s="80">
        <f t="shared" si="34"/>
        <v>100</v>
      </c>
      <c r="K449" s="22">
        <f t="shared" si="35"/>
        <v>61</v>
      </c>
      <c r="L449" s="81">
        <f t="shared" si="32"/>
        <v>207.83004580790393</v>
      </c>
    </row>
    <row r="450" spans="6:12" x14ac:dyDescent="0.25">
      <c r="F450" s="80">
        <f t="shared" si="33"/>
        <v>10000</v>
      </c>
      <c r="G450" s="22">
        <v>62</v>
      </c>
      <c r="H450" s="78">
        <f t="shared" si="31"/>
        <v>44241.855538479183</v>
      </c>
      <c r="J450" s="80">
        <f t="shared" si="34"/>
        <v>100</v>
      </c>
      <c r="K450" s="22">
        <f t="shared" si="35"/>
        <v>62</v>
      </c>
      <c r="L450" s="81">
        <f t="shared" si="32"/>
        <v>210.33748010870337</v>
      </c>
    </row>
    <row r="451" spans="6:12" x14ac:dyDescent="0.25">
      <c r="F451" s="80">
        <f t="shared" si="33"/>
        <v>10000</v>
      </c>
      <c r="G451" s="22">
        <v>63</v>
      </c>
      <c r="H451" s="78">
        <f t="shared" si="31"/>
        <v>45315.836376008185</v>
      </c>
      <c r="J451" s="80">
        <f t="shared" si="34"/>
        <v>100</v>
      </c>
      <c r="K451" s="22">
        <f t="shared" si="35"/>
        <v>63</v>
      </c>
      <c r="L451" s="81">
        <f t="shared" si="32"/>
        <v>212.87516617963726</v>
      </c>
    </row>
    <row r="452" spans="6:12" x14ac:dyDescent="0.25">
      <c r="F452" s="80">
        <f t="shared" si="33"/>
        <v>10000</v>
      </c>
      <c r="G452" s="22">
        <v>64</v>
      </c>
      <c r="H452" s="78">
        <f t="shared" ref="H452:H515" si="36">F452*10^(G452/96)</f>
        <v>46415.888336127791</v>
      </c>
      <c r="J452" s="80">
        <f t="shared" si="34"/>
        <v>100</v>
      </c>
      <c r="K452" s="22">
        <f t="shared" si="35"/>
        <v>64</v>
      </c>
      <c r="L452" s="81">
        <f t="shared" si="32"/>
        <v>215.44346900318837</v>
      </c>
    </row>
    <row r="453" spans="6:12" x14ac:dyDescent="0.25">
      <c r="F453" s="80">
        <f t="shared" si="33"/>
        <v>10000</v>
      </c>
      <c r="G453" s="22">
        <v>65</v>
      </c>
      <c r="H453" s="78">
        <f t="shared" si="36"/>
        <v>47542.644301110573</v>
      </c>
      <c r="J453" s="80">
        <f t="shared" si="34"/>
        <v>100</v>
      </c>
      <c r="K453" s="22">
        <f t="shared" si="35"/>
        <v>65</v>
      </c>
      <c r="L453" s="81">
        <f t="shared" ref="L453:L516" si="37">J453*10^(K453/192)</f>
        <v>218.04275796529123</v>
      </c>
    </row>
    <row r="454" spans="6:12" x14ac:dyDescent="0.25">
      <c r="F454" s="80">
        <f t="shared" ref="F454:F484" si="38">F358*10</f>
        <v>10000</v>
      </c>
      <c r="G454" s="22">
        <v>66</v>
      </c>
      <c r="H454" s="78">
        <f t="shared" si="36"/>
        <v>48696.752516586319</v>
      </c>
      <c r="J454" s="80">
        <f t="shared" ref="J454:J517" si="39">J262*10</f>
        <v>100</v>
      </c>
      <c r="K454" s="22">
        <f t="shared" ref="K454:K517" si="40">K453+1</f>
        <v>66</v>
      </c>
      <c r="L454" s="81">
        <f t="shared" si="37"/>
        <v>220.67340690845901</v>
      </c>
    </row>
    <row r="455" spans="6:12" x14ac:dyDescent="0.25">
      <c r="F455" s="80">
        <f t="shared" si="38"/>
        <v>10000</v>
      </c>
      <c r="G455" s="22">
        <v>67</v>
      </c>
      <c r="H455" s="78">
        <f t="shared" si="36"/>
        <v>49878.876964491064</v>
      </c>
      <c r="J455" s="80">
        <f t="shared" si="39"/>
        <v>100</v>
      </c>
      <c r="K455" s="22">
        <f t="shared" si="40"/>
        <v>67</v>
      </c>
      <c r="L455" s="81">
        <f t="shared" si="37"/>
        <v>223.33579418555161</v>
      </c>
    </row>
    <row r="456" spans="6:12" x14ac:dyDescent="0.25">
      <c r="F456" s="80">
        <f t="shared" si="38"/>
        <v>10000</v>
      </c>
      <c r="G456" s="22">
        <v>68</v>
      </c>
      <c r="H456" s="78">
        <f t="shared" si="36"/>
        <v>51089.697745069287</v>
      </c>
      <c r="J456" s="80">
        <f t="shared" si="39"/>
        <v>100</v>
      </c>
      <c r="K456" s="22">
        <f t="shared" si="40"/>
        <v>68</v>
      </c>
      <c r="L456" s="81">
        <f t="shared" si="37"/>
        <v>226.03030271419203</v>
      </c>
    </row>
    <row r="457" spans="6:12" x14ac:dyDescent="0.25">
      <c r="F457" s="80">
        <f t="shared" si="38"/>
        <v>10000</v>
      </c>
      <c r="G457" s="22">
        <v>69</v>
      </c>
      <c r="H457" s="78">
        <f t="shared" si="36"/>
        <v>52329.911468149476</v>
      </c>
      <c r="J457" s="80">
        <f t="shared" si="39"/>
        <v>100</v>
      </c>
      <c r="K457" s="22">
        <f t="shared" si="40"/>
        <v>69</v>
      </c>
      <c r="L457" s="81">
        <f t="shared" si="37"/>
        <v>228.75732003183961</v>
      </c>
    </row>
    <row r="458" spans="6:12" x14ac:dyDescent="0.25">
      <c r="F458" s="80">
        <f t="shared" si="38"/>
        <v>10000</v>
      </c>
      <c r="G458" s="22">
        <v>70</v>
      </c>
      <c r="H458" s="78">
        <f t="shared" si="36"/>
        <v>53600.231653917916</v>
      </c>
      <c r="J458" s="80">
        <f t="shared" si="39"/>
        <v>100</v>
      </c>
      <c r="K458" s="22">
        <f t="shared" si="40"/>
        <v>70</v>
      </c>
      <c r="L458" s="81">
        <f t="shared" si="37"/>
        <v>231.51723835152734</v>
      </c>
    </row>
    <row r="459" spans="6:12" x14ac:dyDescent="0.25">
      <c r="F459" s="80">
        <f t="shared" si="38"/>
        <v>10000</v>
      </c>
      <c r="G459" s="22">
        <v>71</v>
      </c>
      <c r="H459" s="78">
        <f t="shared" si="36"/>
        <v>54901.389143421417</v>
      </c>
      <c r="J459" s="80">
        <f t="shared" si="39"/>
        <v>100</v>
      </c>
      <c r="K459" s="22">
        <f t="shared" si="40"/>
        <v>71</v>
      </c>
      <c r="L459" s="81">
        <f t="shared" si="37"/>
        <v>234.31045461827225</v>
      </c>
    </row>
    <row r="460" spans="6:12" x14ac:dyDescent="0.25">
      <c r="F460" s="80">
        <f t="shared" si="38"/>
        <v>10000</v>
      </c>
      <c r="G460" s="22">
        <v>72</v>
      </c>
      <c r="H460" s="78">
        <f t="shared" si="36"/>
        <v>56234.132519034923</v>
      </c>
      <c r="J460" s="80">
        <f t="shared" si="39"/>
        <v>100</v>
      </c>
      <c r="K460" s="22">
        <f t="shared" si="40"/>
        <v>72</v>
      </c>
      <c r="L460" s="81">
        <f t="shared" si="37"/>
        <v>237.13737056616554</v>
      </c>
    </row>
    <row r="461" spans="6:12" x14ac:dyDescent="0.25">
      <c r="F461" s="80">
        <f t="shared" si="38"/>
        <v>10000</v>
      </c>
      <c r="G461" s="22">
        <v>73</v>
      </c>
      <c r="H461" s="78">
        <f t="shared" si="36"/>
        <v>57599.228535136281</v>
      </c>
      <c r="J461" s="80">
        <f t="shared" si="39"/>
        <v>100</v>
      </c>
      <c r="K461" s="22">
        <f t="shared" si="40"/>
        <v>73</v>
      </c>
      <c r="L461" s="81">
        <f t="shared" si="37"/>
        <v>239.99839277615234</v>
      </c>
    </row>
    <row r="462" spans="6:12" x14ac:dyDescent="0.25">
      <c r="F462" s="80">
        <f t="shared" si="38"/>
        <v>10000</v>
      </c>
      <c r="G462" s="22">
        <v>74</v>
      </c>
      <c r="H462" s="78">
        <f t="shared" si="36"/>
        <v>58997.462559235653</v>
      </c>
      <c r="J462" s="80">
        <f t="shared" si="39"/>
        <v>100</v>
      </c>
      <c r="K462" s="22">
        <f t="shared" si="40"/>
        <v>74</v>
      </c>
      <c r="L462" s="81">
        <f t="shared" si="37"/>
        <v>242.89393273450793</v>
      </c>
    </row>
    <row r="463" spans="6:12" x14ac:dyDescent="0.25">
      <c r="F463" s="80">
        <f t="shared" si="38"/>
        <v>10000</v>
      </c>
      <c r="G463" s="22">
        <v>75</v>
      </c>
      <c r="H463" s="78">
        <f t="shared" si="36"/>
        <v>60429.639023813288</v>
      </c>
      <c r="J463" s="80">
        <f t="shared" si="39"/>
        <v>100</v>
      </c>
      <c r="K463" s="22">
        <f t="shared" si="40"/>
        <v>75</v>
      </c>
      <c r="L463" s="81">
        <f t="shared" si="37"/>
        <v>245.82440689201977</v>
      </c>
    </row>
    <row r="464" spans="6:12" x14ac:dyDescent="0.25">
      <c r="F464" s="80">
        <f t="shared" si="38"/>
        <v>10000</v>
      </c>
      <c r="G464" s="22">
        <v>76</v>
      </c>
      <c r="H464" s="78">
        <f t="shared" si="36"/>
        <v>61896.581889126064</v>
      </c>
      <c r="J464" s="80">
        <f t="shared" si="39"/>
        <v>100</v>
      </c>
      <c r="K464" s="22">
        <f t="shared" si="40"/>
        <v>76</v>
      </c>
      <c r="L464" s="81">
        <f t="shared" si="37"/>
        <v>248.79023672388362</v>
      </c>
    </row>
    <row r="465" spans="6:16" x14ac:dyDescent="0.25">
      <c r="F465" s="80">
        <f t="shared" si="38"/>
        <v>10000</v>
      </c>
      <c r="G465" s="22">
        <v>77</v>
      </c>
      <c r="H465" s="78">
        <f t="shared" si="36"/>
        <v>63399.135117248457</v>
      </c>
      <c r="J465" s="80">
        <f t="shared" si="39"/>
        <v>100</v>
      </c>
      <c r="K465" s="22">
        <f t="shared" si="40"/>
        <v>77</v>
      </c>
      <c r="L465" s="81">
        <f t="shared" si="37"/>
        <v>251.79184879032218</v>
      </c>
    </row>
    <row r="466" spans="6:16" x14ac:dyDescent="0.25">
      <c r="F466" s="80">
        <f t="shared" si="38"/>
        <v>10000</v>
      </c>
      <c r="G466" s="22">
        <v>78</v>
      </c>
      <c r="H466" s="78">
        <f t="shared" si="36"/>
        <v>64938.163157621151</v>
      </c>
      <c r="J466" s="80">
        <f t="shared" si="39"/>
        <v>100</v>
      </c>
      <c r="K466" s="22">
        <f t="shared" si="40"/>
        <v>78</v>
      </c>
      <c r="L466" s="81">
        <f t="shared" si="37"/>
        <v>254.8296747979347</v>
      </c>
      <c r="O466" s="83"/>
    </row>
    <row r="467" spans="6:16" x14ac:dyDescent="0.25">
      <c r="F467" s="80">
        <f t="shared" si="38"/>
        <v>10000</v>
      </c>
      <c r="G467" s="22">
        <v>79</v>
      </c>
      <c r="H467" s="78">
        <f t="shared" si="36"/>
        <v>66514.551444386336</v>
      </c>
      <c r="J467" s="80">
        <f t="shared" si="39"/>
        <v>100</v>
      </c>
      <c r="K467" s="22">
        <f t="shared" si="40"/>
        <v>79</v>
      </c>
      <c r="L467" s="81">
        <f t="shared" si="37"/>
        <v>257.90415166178764</v>
      </c>
    </row>
    <row r="468" spans="6:16" x14ac:dyDescent="0.25">
      <c r="F468" s="80">
        <f t="shared" si="38"/>
        <v>10000</v>
      </c>
      <c r="G468" s="22">
        <v>80</v>
      </c>
      <c r="H468" s="78">
        <f t="shared" si="36"/>
        <v>68129.206905796134</v>
      </c>
      <c r="J468" s="80">
        <f t="shared" si="39"/>
        <v>100</v>
      </c>
      <c r="K468" s="22">
        <f t="shared" si="40"/>
        <v>80</v>
      </c>
      <c r="L468" s="81">
        <f t="shared" si="37"/>
        <v>261.0157215682537</v>
      </c>
    </row>
    <row r="469" spans="6:16" x14ac:dyDescent="0.25">
      <c r="F469" s="80">
        <f t="shared" si="38"/>
        <v>10000</v>
      </c>
      <c r="G469" s="22">
        <v>81</v>
      </c>
      <c r="H469" s="78">
        <f t="shared" si="36"/>
        <v>69783.05848598665</v>
      </c>
      <c r="J469" s="80">
        <f t="shared" si="39"/>
        <v>100</v>
      </c>
      <c r="K469" s="22">
        <f t="shared" si="40"/>
        <v>81</v>
      </c>
      <c r="L469" s="81">
        <f t="shared" si="37"/>
        <v>264.16483203860929</v>
      </c>
    </row>
    <row r="470" spans="6:16" x14ac:dyDescent="0.25">
      <c r="F470" s="80">
        <f t="shared" si="38"/>
        <v>10000</v>
      </c>
      <c r="G470" s="22">
        <v>82</v>
      </c>
      <c r="H470" s="78">
        <f t="shared" si="36"/>
        <v>71477.057679418576</v>
      </c>
      <c r="J470" s="80">
        <f t="shared" si="39"/>
        <v>100</v>
      </c>
      <c r="K470" s="22">
        <f t="shared" si="40"/>
        <v>82</v>
      </c>
      <c r="L470" s="81">
        <f t="shared" si="37"/>
        <v>267.35193599339908</v>
      </c>
      <c r="O470" s="84"/>
      <c r="P470" s="84"/>
    </row>
    <row r="471" spans="6:16" x14ac:dyDescent="0.25">
      <c r="F471" s="80">
        <f t="shared" si="38"/>
        <v>10000</v>
      </c>
      <c r="G471" s="22">
        <v>83</v>
      </c>
      <c r="H471" s="78">
        <f t="shared" si="36"/>
        <v>73212.179078291301</v>
      </c>
      <c r="J471" s="80">
        <f t="shared" si="39"/>
        <v>100</v>
      </c>
      <c r="K471" s="22">
        <f t="shared" si="40"/>
        <v>83</v>
      </c>
      <c r="L471" s="81">
        <f t="shared" si="37"/>
        <v>270.57749181757765</v>
      </c>
      <c r="O471" s="85"/>
    </row>
    <row r="472" spans="6:16" x14ac:dyDescent="0.25">
      <c r="F472" s="80">
        <f t="shared" si="38"/>
        <v>10000</v>
      </c>
      <c r="G472" s="22">
        <v>84</v>
      </c>
      <c r="H472" s="78">
        <f t="shared" si="36"/>
        <v>74989.420933245594</v>
      </c>
      <c r="J472" s="80">
        <f t="shared" si="39"/>
        <v>100</v>
      </c>
      <c r="K472" s="22">
        <f t="shared" si="40"/>
        <v>84</v>
      </c>
      <c r="L472" s="81">
        <f t="shared" si="37"/>
        <v>273.84196342643617</v>
      </c>
    </row>
    <row r="473" spans="6:16" x14ac:dyDescent="0.25">
      <c r="F473" s="80">
        <f t="shared" si="38"/>
        <v>10000</v>
      </c>
      <c r="G473" s="22">
        <v>85</v>
      </c>
      <c r="H473" s="78">
        <f t="shared" si="36"/>
        <v>76809.805727677551</v>
      </c>
      <c r="J473" s="80">
        <f t="shared" si="39"/>
        <v>100</v>
      </c>
      <c r="K473" s="22">
        <f t="shared" si="40"/>
        <v>85</v>
      </c>
      <c r="L473" s="81">
        <f t="shared" si="37"/>
        <v>277.14582033232534</v>
      </c>
    </row>
    <row r="474" spans="6:16" x14ac:dyDescent="0.25">
      <c r="F474" s="80">
        <f t="shared" si="38"/>
        <v>10000</v>
      </c>
      <c r="G474" s="22">
        <v>86</v>
      </c>
      <c r="H474" s="78">
        <f t="shared" si="36"/>
        <v>78674.380765994036</v>
      </c>
      <c r="J474" s="80">
        <f t="shared" si="39"/>
        <v>100</v>
      </c>
      <c r="K474" s="22">
        <f t="shared" si="40"/>
        <v>86</v>
      </c>
      <c r="L474" s="81">
        <f t="shared" si="37"/>
        <v>280.48953771218282</v>
      </c>
    </row>
    <row r="475" spans="6:16" x14ac:dyDescent="0.25">
      <c r="F475" s="80">
        <f t="shared" si="38"/>
        <v>10000</v>
      </c>
      <c r="G475" s="22">
        <v>87</v>
      </c>
      <c r="H475" s="78">
        <f t="shared" si="36"/>
        <v>80584.218776148191</v>
      </c>
      <c r="J475" s="80">
        <f t="shared" si="39"/>
        <v>100</v>
      </c>
      <c r="K475" s="22">
        <f t="shared" si="40"/>
        <v>87</v>
      </c>
      <c r="L475" s="81">
        <f t="shared" si="37"/>
        <v>283.8735964758755</v>
      </c>
    </row>
    <row r="476" spans="6:16" x14ac:dyDescent="0.25">
      <c r="F476" s="80">
        <f t="shared" si="38"/>
        <v>10000</v>
      </c>
      <c r="G476" s="22">
        <v>88</v>
      </c>
      <c r="H476" s="78">
        <f t="shared" si="36"/>
        <v>82540.418526801834</v>
      </c>
      <c r="J476" s="80">
        <f t="shared" si="39"/>
        <v>100</v>
      </c>
      <c r="K476" s="22">
        <f t="shared" si="40"/>
        <v>88</v>
      </c>
      <c r="L476" s="81">
        <f t="shared" si="37"/>
        <v>287.29848333536643</v>
      </c>
    </row>
    <row r="477" spans="6:16" x14ac:dyDescent="0.25">
      <c r="F477" s="80">
        <f t="shared" si="38"/>
        <v>10000</v>
      </c>
      <c r="G477" s="22">
        <v>89</v>
      </c>
      <c r="H477" s="78">
        <f t="shared" si="36"/>
        <v>84544.10545946924</v>
      </c>
      <c r="J477" s="80">
        <f t="shared" si="39"/>
        <v>100</v>
      </c>
      <c r="K477" s="22">
        <f t="shared" si="40"/>
        <v>89</v>
      </c>
      <c r="L477" s="81">
        <f t="shared" si="37"/>
        <v>290.76469087471617</v>
      </c>
    </row>
    <row r="478" spans="6:16" x14ac:dyDescent="0.25">
      <c r="F478" s="80">
        <f t="shared" si="38"/>
        <v>10000</v>
      </c>
      <c r="G478" s="22">
        <v>90</v>
      </c>
      <c r="H478" s="78">
        <f t="shared" si="36"/>
        <v>86596.432336006561</v>
      </c>
      <c r="J478" s="80">
        <f t="shared" si="39"/>
        <v>100</v>
      </c>
      <c r="K478" s="22">
        <f t="shared" si="40"/>
        <v>90</v>
      </c>
      <c r="L478" s="81">
        <f t="shared" si="37"/>
        <v>294.27271762092823</v>
      </c>
    </row>
    <row r="479" spans="6:16" x14ac:dyDescent="0.25">
      <c r="F479" s="80">
        <f t="shared" si="38"/>
        <v>10000</v>
      </c>
      <c r="G479" s="22">
        <v>91</v>
      </c>
      <c r="H479" s="78">
        <f t="shared" si="36"/>
        <v>88698.57990181919</v>
      </c>
      <c r="J479" s="80">
        <f t="shared" si="39"/>
        <v>100</v>
      </c>
      <c r="K479" s="22">
        <f t="shared" si="40"/>
        <v>91</v>
      </c>
      <c r="L479" s="81">
        <f t="shared" si="37"/>
        <v>297.82306811565013</v>
      </c>
    </row>
    <row r="480" spans="6:16" x14ac:dyDescent="0.25">
      <c r="F480" s="80">
        <f t="shared" si="38"/>
        <v>10000</v>
      </c>
      <c r="G480" s="22">
        <v>92</v>
      </c>
      <c r="H480" s="78">
        <f t="shared" si="36"/>
        <v>90851.757565168708</v>
      </c>
      <c r="J480" s="80">
        <f t="shared" si="39"/>
        <v>100</v>
      </c>
      <c r="K480" s="22">
        <f t="shared" si="40"/>
        <v>92</v>
      </c>
      <c r="L480" s="81">
        <f t="shared" si="37"/>
        <v>301.41625298773909</v>
      </c>
    </row>
    <row r="481" spans="6:12" x14ac:dyDescent="0.25">
      <c r="F481" s="80">
        <f t="shared" si="38"/>
        <v>10000</v>
      </c>
      <c r="G481" s="22">
        <v>93</v>
      </c>
      <c r="H481" s="78">
        <f t="shared" si="36"/>
        <v>93057.2040929699</v>
      </c>
      <c r="J481" s="80">
        <f t="shared" si="39"/>
        <v>100</v>
      </c>
      <c r="K481" s="22">
        <f t="shared" si="40"/>
        <v>93</v>
      </c>
      <c r="L481" s="81">
        <f t="shared" si="37"/>
        <v>305.05278902670256</v>
      </c>
    </row>
    <row r="482" spans="6:12" x14ac:dyDescent="0.25">
      <c r="F482" s="80">
        <f t="shared" si="38"/>
        <v>10000</v>
      </c>
      <c r="G482" s="22">
        <v>94</v>
      </c>
      <c r="H482" s="78">
        <f t="shared" si="36"/>
        <v>95316.188323478782</v>
      </c>
      <c r="J482" s="80">
        <f t="shared" si="39"/>
        <v>100</v>
      </c>
      <c r="K482" s="22">
        <f t="shared" si="40"/>
        <v>94</v>
      </c>
      <c r="L482" s="81">
        <f t="shared" si="37"/>
        <v>308.7331992570264</v>
      </c>
    </row>
    <row r="483" spans="6:12" x14ac:dyDescent="0.25">
      <c r="F483" s="80">
        <f t="shared" si="38"/>
        <v>10000</v>
      </c>
      <c r="G483" s="22">
        <v>95</v>
      </c>
      <c r="H483" s="78">
        <f t="shared" si="36"/>
        <v>97630.009896280782</v>
      </c>
      <c r="J483" s="80">
        <f t="shared" si="39"/>
        <v>100</v>
      </c>
      <c r="K483" s="22">
        <f t="shared" si="40"/>
        <v>95</v>
      </c>
      <c r="L483" s="81">
        <f t="shared" si="37"/>
        <v>312.45801301339799</v>
      </c>
    </row>
    <row r="484" spans="6:12" x14ac:dyDescent="0.25">
      <c r="F484" s="80">
        <f t="shared" si="38"/>
        <v>10000</v>
      </c>
      <c r="G484" s="22">
        <v>96</v>
      </c>
      <c r="H484" s="78">
        <f t="shared" si="36"/>
        <v>100000</v>
      </c>
      <c r="J484" s="80">
        <f t="shared" si="39"/>
        <v>100</v>
      </c>
      <c r="K484" s="22">
        <f t="shared" si="40"/>
        <v>96</v>
      </c>
      <c r="L484" s="81">
        <f t="shared" si="37"/>
        <v>316.22776601683796</v>
      </c>
    </row>
    <row r="485" spans="6:12" x14ac:dyDescent="0.25">
      <c r="F485" s="80">
        <f>F389*10</f>
        <v>100000</v>
      </c>
      <c r="G485" s="22">
        <v>1</v>
      </c>
      <c r="H485" s="78">
        <f t="shared" si="36"/>
        <v>102427.52213815923</v>
      </c>
      <c r="J485" s="80">
        <f t="shared" si="39"/>
        <v>100</v>
      </c>
      <c r="K485" s="22">
        <f t="shared" si="40"/>
        <v>97</v>
      </c>
      <c r="L485" s="81">
        <f t="shared" si="37"/>
        <v>320.04300045175069</v>
      </c>
    </row>
    <row r="486" spans="6:12" x14ac:dyDescent="0.25">
      <c r="F486" s="80">
        <f t="shared" ref="F486:F549" si="41">F390*10</f>
        <v>100000</v>
      </c>
      <c r="G486" s="22">
        <v>2</v>
      </c>
      <c r="H486" s="78">
        <f t="shared" si="36"/>
        <v>104913.97291363098</v>
      </c>
      <c r="J486" s="80">
        <f t="shared" si="39"/>
        <v>100</v>
      </c>
      <c r="K486" s="22">
        <f t="shared" si="40"/>
        <v>98</v>
      </c>
      <c r="L486" s="81">
        <f t="shared" si="37"/>
        <v>323.90426504390308</v>
      </c>
    </row>
    <row r="487" spans="6:12" x14ac:dyDescent="0.25">
      <c r="F487" s="80">
        <f t="shared" si="41"/>
        <v>100000</v>
      </c>
      <c r="G487" s="22">
        <v>3</v>
      </c>
      <c r="H487" s="78">
        <f t="shared" si="36"/>
        <v>107460.78283213174</v>
      </c>
      <c r="J487" s="80">
        <f t="shared" si="39"/>
        <v>100</v>
      </c>
      <c r="K487" s="22">
        <f t="shared" si="40"/>
        <v>99</v>
      </c>
      <c r="L487" s="81">
        <f t="shared" si="37"/>
        <v>327.81211513934591</v>
      </c>
    </row>
    <row r="488" spans="6:12" x14ac:dyDescent="0.25">
      <c r="F488" s="80">
        <f t="shared" si="41"/>
        <v>100000</v>
      </c>
      <c r="G488" s="22">
        <v>4</v>
      </c>
      <c r="H488" s="78">
        <f t="shared" si="36"/>
        <v>110069.41712522096</v>
      </c>
      <c r="J488" s="80">
        <f t="shared" si="39"/>
        <v>100</v>
      </c>
      <c r="K488" s="22">
        <f t="shared" si="40"/>
        <v>100</v>
      </c>
      <c r="L488" s="81">
        <f t="shared" si="37"/>
        <v>331.76711278428581</v>
      </c>
    </row>
    <row r="489" spans="6:12" x14ac:dyDescent="0.25">
      <c r="F489" s="80">
        <f t="shared" si="41"/>
        <v>100000</v>
      </c>
      <c r="G489" s="22">
        <v>5</v>
      </c>
      <c r="H489" s="78">
        <f t="shared" si="36"/>
        <v>112741.37659327852</v>
      </c>
      <c r="J489" s="80">
        <f t="shared" si="39"/>
        <v>100</v>
      </c>
      <c r="K489" s="22">
        <f t="shared" si="40"/>
        <v>101</v>
      </c>
      <c r="L489" s="81">
        <f t="shared" si="37"/>
        <v>335.76982680592147</v>
      </c>
    </row>
    <row r="490" spans="6:12" x14ac:dyDescent="0.25">
      <c r="F490" s="80">
        <f t="shared" si="41"/>
        <v>100000</v>
      </c>
      <c r="G490" s="22">
        <v>6</v>
      </c>
      <c r="H490" s="78">
        <f t="shared" si="36"/>
        <v>115478.19846894582</v>
      </c>
      <c r="J490" s="80">
        <f t="shared" si="39"/>
        <v>100</v>
      </c>
      <c r="K490" s="22">
        <f t="shared" si="40"/>
        <v>102</v>
      </c>
      <c r="L490" s="81">
        <f t="shared" si="37"/>
        <v>339.82083289425594</v>
      </c>
    </row>
    <row r="491" spans="6:12" x14ac:dyDescent="0.25">
      <c r="F491" s="80">
        <f t="shared" si="41"/>
        <v>100000</v>
      </c>
      <c r="G491" s="22">
        <v>7</v>
      </c>
      <c r="H491" s="78">
        <f t="shared" si="36"/>
        <v>118281.45730152693</v>
      </c>
      <c r="J491" s="80">
        <f t="shared" si="39"/>
        <v>100</v>
      </c>
      <c r="K491" s="22">
        <f t="shared" si="40"/>
        <v>103</v>
      </c>
      <c r="L491" s="81">
        <f t="shared" si="37"/>
        <v>343.92071368489417</v>
      </c>
    </row>
    <row r="492" spans="6:12" x14ac:dyDescent="0.25">
      <c r="F492" s="80">
        <f t="shared" si="41"/>
        <v>100000</v>
      </c>
      <c r="G492" s="22">
        <v>8</v>
      </c>
      <c r="H492" s="78">
        <f t="shared" si="36"/>
        <v>121152.76586285885</v>
      </c>
      <c r="J492" s="80">
        <f t="shared" si="39"/>
        <v>100</v>
      </c>
      <c r="K492" s="22">
        <f t="shared" si="40"/>
        <v>104</v>
      </c>
      <c r="L492" s="81">
        <f t="shared" si="37"/>
        <v>348.07005884284104</v>
      </c>
    </row>
    <row r="493" spans="6:12" x14ac:dyDescent="0.25">
      <c r="F493" s="80">
        <f t="shared" si="41"/>
        <v>100000</v>
      </c>
      <c r="G493" s="22">
        <v>9</v>
      </c>
      <c r="H493" s="78">
        <f t="shared" si="36"/>
        <v>124093.77607517196</v>
      </c>
      <c r="J493" s="80">
        <f t="shared" si="39"/>
        <v>100</v>
      </c>
      <c r="K493" s="22">
        <f t="shared" si="40"/>
        <v>105</v>
      </c>
      <c r="L493" s="81">
        <f t="shared" si="37"/>
        <v>352.26946514731014</v>
      </c>
    </row>
    <row r="494" spans="6:12" x14ac:dyDescent="0.25">
      <c r="F494" s="80">
        <f t="shared" si="41"/>
        <v>100000</v>
      </c>
      <c r="G494" s="22">
        <v>10</v>
      </c>
      <c r="H494" s="78">
        <f t="shared" si="36"/>
        <v>127106.17996147448</v>
      </c>
      <c r="J494" s="80">
        <f t="shared" si="39"/>
        <v>100</v>
      </c>
      <c r="K494" s="22">
        <f t="shared" si="40"/>
        <v>106</v>
      </c>
      <c r="L494" s="81">
        <f t="shared" si="37"/>
        <v>356.51953657755496</v>
      </c>
    </row>
    <row r="495" spans="6:12" x14ac:dyDescent="0.25">
      <c r="F495" s="80">
        <f t="shared" si="41"/>
        <v>100000</v>
      </c>
      <c r="G495" s="22">
        <v>11</v>
      </c>
      <c r="H495" s="78">
        <f t="shared" si="36"/>
        <v>130191.71061900779</v>
      </c>
      <c r="J495" s="80">
        <f t="shared" si="39"/>
        <v>100</v>
      </c>
      <c r="K495" s="22">
        <f t="shared" si="40"/>
        <v>107</v>
      </c>
      <c r="L495" s="81">
        <f t="shared" si="37"/>
        <v>360.8208843997362</v>
      </c>
    </row>
    <row r="496" spans="6:12" x14ac:dyDescent="0.25">
      <c r="F496" s="80">
        <f t="shared" si="41"/>
        <v>100000</v>
      </c>
      <c r="G496" s="22">
        <v>12</v>
      </c>
      <c r="H496" s="78">
        <f t="shared" si="36"/>
        <v>133352.14321633239</v>
      </c>
      <c r="J496" s="80">
        <f t="shared" si="39"/>
        <v>100</v>
      </c>
      <c r="K496" s="22">
        <f t="shared" si="40"/>
        <v>108</v>
      </c>
      <c r="L496" s="81">
        <f t="shared" si="37"/>
        <v>365.17412725483774</v>
      </c>
    </row>
    <row r="497" spans="6:12" x14ac:dyDescent="0.25">
      <c r="F497" s="80">
        <f t="shared" si="41"/>
        <v>100000</v>
      </c>
      <c r="G497" s="22">
        <v>13</v>
      </c>
      <c r="H497" s="78">
        <f t="shared" si="36"/>
        <v>136589.29601461865</v>
      </c>
      <c r="J497" s="80">
        <f t="shared" si="39"/>
        <v>100</v>
      </c>
      <c r="K497" s="22">
        <f t="shared" si="40"/>
        <v>109</v>
      </c>
      <c r="L497" s="81">
        <f t="shared" si="37"/>
        <v>369.5798912476418</v>
      </c>
    </row>
    <row r="498" spans="6:12" x14ac:dyDescent="0.25">
      <c r="F498" s="80">
        <f t="shared" si="41"/>
        <v>100000</v>
      </c>
      <c r="G498" s="22">
        <v>14</v>
      </c>
      <c r="H498" s="78">
        <f t="shared" si="36"/>
        <v>139905.03141372939</v>
      </c>
      <c r="J498" s="80">
        <f t="shared" si="39"/>
        <v>100</v>
      </c>
      <c r="K498" s="22">
        <f t="shared" si="40"/>
        <v>110</v>
      </c>
      <c r="L498" s="81">
        <f t="shared" si="37"/>
        <v>374.03881003677861</v>
      </c>
    </row>
    <row r="499" spans="6:12" x14ac:dyDescent="0.25">
      <c r="F499" s="80">
        <f t="shared" si="41"/>
        <v>100000</v>
      </c>
      <c r="G499" s="22">
        <v>15</v>
      </c>
      <c r="H499" s="78">
        <f t="shared" si="36"/>
        <v>143301.25702369629</v>
      </c>
      <c r="J499" s="80">
        <f t="shared" si="39"/>
        <v>100</v>
      </c>
      <c r="K499" s="22">
        <f t="shared" si="40"/>
        <v>111</v>
      </c>
      <c r="L499" s="81">
        <f t="shared" si="37"/>
        <v>378.55152492586296</v>
      </c>
    </row>
    <row r="500" spans="6:12" x14ac:dyDescent="0.25">
      <c r="F500" s="80">
        <f t="shared" si="41"/>
        <v>100000</v>
      </c>
      <c r="G500" s="22">
        <v>16</v>
      </c>
      <c r="H500" s="78">
        <f t="shared" si="36"/>
        <v>146779.92676220697</v>
      </c>
      <c r="J500" s="80">
        <f t="shared" si="39"/>
        <v>100</v>
      </c>
      <c r="K500" s="22">
        <f t="shared" si="40"/>
        <v>112</v>
      </c>
      <c r="L500" s="81">
        <f t="shared" si="37"/>
        <v>383.11868495572884</v>
      </c>
    </row>
    <row r="501" spans="6:12" x14ac:dyDescent="0.25">
      <c r="F501" s="80">
        <f t="shared" si="41"/>
        <v>100000</v>
      </c>
      <c r="G501" s="22">
        <v>17</v>
      </c>
      <c r="H501" s="78">
        <f t="shared" si="36"/>
        <v>150343.04197873344</v>
      </c>
      <c r="J501" s="80">
        <f t="shared" si="39"/>
        <v>100</v>
      </c>
      <c r="K501" s="22">
        <f t="shared" si="40"/>
        <v>113</v>
      </c>
      <c r="L501" s="81">
        <f t="shared" si="37"/>
        <v>387.74094699777766</v>
      </c>
    </row>
    <row r="502" spans="6:12" x14ac:dyDescent="0.25">
      <c r="F502" s="80">
        <f t="shared" si="41"/>
        <v>100000</v>
      </c>
      <c r="G502" s="22">
        <v>18</v>
      </c>
      <c r="H502" s="78">
        <f t="shared" si="36"/>
        <v>153992.6526059492</v>
      </c>
      <c r="J502" s="80">
        <f t="shared" si="39"/>
        <v>100</v>
      </c>
      <c r="K502" s="22">
        <f t="shared" si="40"/>
        <v>114</v>
      </c>
      <c r="L502" s="81">
        <f t="shared" si="37"/>
        <v>392.41897584845361</v>
      </c>
    </row>
    <row r="503" spans="6:12" x14ac:dyDescent="0.25">
      <c r="F503" s="80">
        <f t="shared" si="41"/>
        <v>100000</v>
      </c>
      <c r="G503" s="22">
        <v>19</v>
      </c>
      <c r="H503" s="78">
        <f t="shared" si="36"/>
        <v>157730.85833909726</v>
      </c>
      <c r="J503" s="80">
        <f t="shared" si="39"/>
        <v>100</v>
      </c>
      <c r="K503" s="22">
        <f t="shared" si="40"/>
        <v>115</v>
      </c>
      <c r="L503" s="81">
        <f t="shared" si="37"/>
        <v>397.15344432485705</v>
      </c>
    </row>
    <row r="504" spans="6:12" x14ac:dyDescent="0.25">
      <c r="F504" s="80">
        <f t="shared" si="41"/>
        <v>100000</v>
      </c>
      <c r="G504" s="22">
        <v>20</v>
      </c>
      <c r="H504" s="78">
        <f t="shared" si="36"/>
        <v>161559.8098439874</v>
      </c>
      <c r="J504" s="80">
        <f t="shared" si="39"/>
        <v>100</v>
      </c>
      <c r="K504" s="22">
        <f t="shared" si="40"/>
        <v>116</v>
      </c>
      <c r="L504" s="81">
        <f t="shared" si="37"/>
        <v>401.94503336151257</v>
      </c>
    </row>
    <row r="505" spans="6:12" x14ac:dyDescent="0.25">
      <c r="F505" s="80">
        <f t="shared" si="41"/>
        <v>100000</v>
      </c>
      <c r="G505" s="22">
        <v>21</v>
      </c>
      <c r="H505" s="78">
        <f t="shared" si="36"/>
        <v>165481.70999431814</v>
      </c>
      <c r="J505" s="80">
        <f t="shared" si="39"/>
        <v>100</v>
      </c>
      <c r="K505" s="22">
        <f t="shared" si="40"/>
        <v>117</v>
      </c>
      <c r="L505" s="81">
        <f t="shared" si="37"/>
        <v>406.79443210830482</v>
      </c>
    </row>
    <row r="506" spans="6:12" x14ac:dyDescent="0.25">
      <c r="F506" s="80">
        <f t="shared" si="41"/>
        <v>100000</v>
      </c>
      <c r="G506" s="22">
        <v>22</v>
      </c>
      <c r="H506" s="78">
        <f t="shared" si="36"/>
        <v>169498.81513903468</v>
      </c>
      <c r="J506" s="80">
        <f t="shared" si="39"/>
        <v>100</v>
      </c>
      <c r="K506" s="22">
        <f t="shared" si="40"/>
        <v>118</v>
      </c>
      <c r="L506" s="81">
        <f t="shared" si="37"/>
        <v>411.70233802959484</v>
      </c>
    </row>
    <row r="507" spans="6:12" x14ac:dyDescent="0.25">
      <c r="F507" s="80">
        <f t="shared" si="41"/>
        <v>100000</v>
      </c>
      <c r="G507" s="22">
        <v>23</v>
      </c>
      <c r="H507" s="78">
        <f t="shared" si="36"/>
        <v>173613.43640045234</v>
      </c>
      <c r="J507" s="80">
        <f t="shared" si="39"/>
        <v>100</v>
      </c>
      <c r="K507" s="22">
        <f t="shared" si="40"/>
        <v>119</v>
      </c>
      <c r="L507" s="81">
        <f t="shared" si="37"/>
        <v>416.669457004533</v>
      </c>
    </row>
    <row r="508" spans="6:12" x14ac:dyDescent="0.25">
      <c r="F508" s="80">
        <f t="shared" si="41"/>
        <v>100000</v>
      </c>
      <c r="G508" s="22">
        <v>24</v>
      </c>
      <c r="H508" s="78">
        <f t="shared" si="36"/>
        <v>177827.94100389231</v>
      </c>
      <c r="J508" s="80">
        <f t="shared" si="39"/>
        <v>100</v>
      </c>
      <c r="K508" s="22">
        <f t="shared" si="40"/>
        <v>120</v>
      </c>
      <c r="L508" s="81">
        <f t="shared" si="37"/>
        <v>421.69650342858233</v>
      </c>
    </row>
    <row r="509" spans="6:12" x14ac:dyDescent="0.25">
      <c r="F509" s="80">
        <f t="shared" si="41"/>
        <v>100000</v>
      </c>
      <c r="G509" s="22">
        <v>25</v>
      </c>
      <c r="H509" s="78">
        <f t="shared" si="36"/>
        <v>182144.75363959454</v>
      </c>
      <c r="J509" s="80">
        <f t="shared" si="39"/>
        <v>100</v>
      </c>
      <c r="K509" s="22">
        <f t="shared" si="40"/>
        <v>121</v>
      </c>
      <c r="L509" s="81">
        <f t="shared" si="37"/>
        <v>426.78420031626587</v>
      </c>
    </row>
    <row r="510" spans="6:12" x14ac:dyDescent="0.25">
      <c r="F510" s="80">
        <f t="shared" si="41"/>
        <v>100000</v>
      </c>
      <c r="G510" s="22">
        <v>26</v>
      </c>
      <c r="H510" s="78">
        <f t="shared" si="36"/>
        <v>186566.35785769121</v>
      </c>
      <c r="J510" s="80">
        <f t="shared" si="39"/>
        <v>100</v>
      </c>
      <c r="K510" s="22">
        <f t="shared" si="40"/>
        <v>122</v>
      </c>
      <c r="L510" s="81">
        <f t="shared" si="37"/>
        <v>431.93327940515445</v>
      </c>
    </row>
    <row r="511" spans="6:12" x14ac:dyDescent="0.25">
      <c r="F511" s="80">
        <f t="shared" si="41"/>
        <v>100000</v>
      </c>
      <c r="G511" s="22">
        <v>27</v>
      </c>
      <c r="H511" s="78">
        <f t="shared" si="36"/>
        <v>191095.29749704406</v>
      </c>
      <c r="J511" s="80">
        <f t="shared" si="39"/>
        <v>100</v>
      </c>
      <c r="K511" s="22">
        <f t="shared" si="40"/>
        <v>123</v>
      </c>
      <c r="L511" s="81">
        <f t="shared" si="37"/>
        <v>437.14448126110898</v>
      </c>
    </row>
    <row r="512" spans="6:12" x14ac:dyDescent="0.25">
      <c r="F512" s="80">
        <f t="shared" si="41"/>
        <v>100000</v>
      </c>
      <c r="G512" s="22">
        <v>28</v>
      </c>
      <c r="H512" s="78">
        <f t="shared" si="36"/>
        <v>195734.17814876605</v>
      </c>
      <c r="J512" s="80">
        <f t="shared" si="39"/>
        <v>100</v>
      </c>
      <c r="K512" s="22">
        <f t="shared" si="40"/>
        <v>124</v>
      </c>
      <c r="L512" s="81">
        <f t="shared" si="37"/>
        <v>442.41855538479183</v>
      </c>
    </row>
    <row r="513" spans="6:12" x14ac:dyDescent="0.25">
      <c r="F513" s="80">
        <f t="shared" si="41"/>
        <v>100000</v>
      </c>
      <c r="G513" s="22">
        <v>29</v>
      </c>
      <c r="H513" s="78">
        <f t="shared" si="36"/>
        <v>200485.66865527135</v>
      </c>
      <c r="J513" s="80">
        <f t="shared" si="39"/>
        <v>100</v>
      </c>
      <c r="K513" s="22">
        <f t="shared" si="40"/>
        <v>125</v>
      </c>
      <c r="L513" s="81">
        <f t="shared" si="37"/>
        <v>447.75626031946371</v>
      </c>
    </row>
    <row r="514" spans="6:12" x14ac:dyDescent="0.25">
      <c r="F514" s="80">
        <f t="shared" si="41"/>
        <v>100000</v>
      </c>
      <c r="G514" s="22">
        <v>30</v>
      </c>
      <c r="H514" s="78">
        <f t="shared" si="36"/>
        <v>205352.50264571462</v>
      </c>
      <c r="J514" s="80">
        <f t="shared" si="39"/>
        <v>100</v>
      </c>
      <c r="K514" s="22">
        <f t="shared" si="40"/>
        <v>126</v>
      </c>
      <c r="L514" s="81">
        <f t="shared" si="37"/>
        <v>453.1583637600819</v>
      </c>
    </row>
    <row r="515" spans="6:12" x14ac:dyDescent="0.25">
      <c r="F515" s="80">
        <f t="shared" si="41"/>
        <v>100000</v>
      </c>
      <c r="G515" s="22">
        <v>31</v>
      </c>
      <c r="H515" s="78">
        <f t="shared" si="36"/>
        <v>210337.48010870337</v>
      </c>
      <c r="J515" s="80">
        <f t="shared" si="39"/>
        <v>100</v>
      </c>
      <c r="K515" s="22">
        <f t="shared" si="40"/>
        <v>127</v>
      </c>
      <c r="L515" s="81">
        <f t="shared" si="37"/>
        <v>458.6256426637126</v>
      </c>
    </row>
    <row r="516" spans="6:12" x14ac:dyDescent="0.25">
      <c r="F516" s="80">
        <f t="shared" si="41"/>
        <v>100000</v>
      </c>
      <c r="G516" s="22">
        <v>32</v>
      </c>
      <c r="H516" s="78">
        <f t="shared" ref="H516:H579" si="42">F516*10^(G516/96)</f>
        <v>215443.46900318839</v>
      </c>
      <c r="J516" s="80">
        <f t="shared" si="39"/>
        <v>100</v>
      </c>
      <c r="K516" s="22">
        <f t="shared" si="40"/>
        <v>128</v>
      </c>
      <c r="L516" s="81">
        <f t="shared" si="37"/>
        <v>464.15888336127796</v>
      </c>
    </row>
    <row r="517" spans="6:12" x14ac:dyDescent="0.25">
      <c r="F517" s="80">
        <f t="shared" si="41"/>
        <v>100000</v>
      </c>
      <c r="G517" s="22">
        <v>33</v>
      </c>
      <c r="H517" s="78">
        <f t="shared" si="42"/>
        <v>220673.406908459</v>
      </c>
      <c r="J517" s="80">
        <f t="shared" si="39"/>
        <v>100</v>
      </c>
      <c r="K517" s="22">
        <f t="shared" si="40"/>
        <v>129</v>
      </c>
      <c r="L517" s="81">
        <f t="shared" ref="L517:L580" si="43">J517*10^(K517/192)</f>
        <v>469.75888167064932</v>
      </c>
    </row>
    <row r="518" spans="6:12" x14ac:dyDescent="0.25">
      <c r="F518" s="80">
        <f t="shared" si="41"/>
        <v>100000</v>
      </c>
      <c r="G518" s="22">
        <v>34</v>
      </c>
      <c r="H518" s="78">
        <f t="shared" si="42"/>
        <v>226030.30271419202</v>
      </c>
      <c r="J518" s="80">
        <f t="shared" ref="J518:J580" si="44">J326*10</f>
        <v>100</v>
      </c>
      <c r="K518" s="22">
        <f t="shared" ref="K518:K563" si="45">K517+1</f>
        <v>130</v>
      </c>
      <c r="L518" s="81">
        <f t="shared" si="43"/>
        <v>475.42644301110568</v>
      </c>
    </row>
    <row r="519" spans="6:12" x14ac:dyDescent="0.25">
      <c r="F519" s="80">
        <f t="shared" si="41"/>
        <v>100000</v>
      </c>
      <c r="G519" s="22">
        <v>35</v>
      </c>
      <c r="H519" s="78">
        <f t="shared" si="42"/>
        <v>231517.23835152734</v>
      </c>
      <c r="J519" s="80">
        <f t="shared" si="44"/>
        <v>100</v>
      </c>
      <c r="K519" s="22">
        <f t="shared" si="45"/>
        <v>131</v>
      </c>
      <c r="L519" s="81">
        <f t="shared" si="43"/>
        <v>481.16238251917338</v>
      </c>
    </row>
    <row r="520" spans="6:12" x14ac:dyDescent="0.25">
      <c r="F520" s="80">
        <f t="shared" si="41"/>
        <v>100000</v>
      </c>
      <c r="G520" s="22">
        <v>36</v>
      </c>
      <c r="H520" s="78">
        <f t="shared" si="42"/>
        <v>237137.37056616554</v>
      </c>
      <c r="J520" s="80">
        <f t="shared" si="44"/>
        <v>100</v>
      </c>
      <c r="K520" s="22">
        <f t="shared" si="45"/>
        <v>132</v>
      </c>
      <c r="L520" s="81">
        <f t="shared" si="43"/>
        <v>486.96752516586315</v>
      </c>
    </row>
    <row r="521" spans="6:12" x14ac:dyDescent="0.25">
      <c r="F521" s="80">
        <f t="shared" si="41"/>
        <v>100000</v>
      </c>
      <c r="G521" s="22">
        <v>37</v>
      </c>
      <c r="H521" s="78">
        <f t="shared" si="42"/>
        <v>242893.93273450792</v>
      </c>
      <c r="J521" s="80">
        <f t="shared" si="44"/>
        <v>100</v>
      </c>
      <c r="K521" s="22">
        <f t="shared" si="45"/>
        <v>133</v>
      </c>
      <c r="L521" s="81">
        <f t="shared" si="43"/>
        <v>492.8427058753208</v>
      </c>
    </row>
    <row r="522" spans="6:12" x14ac:dyDescent="0.25">
      <c r="F522" s="80">
        <f t="shared" si="41"/>
        <v>100000</v>
      </c>
      <c r="G522" s="22">
        <v>38</v>
      </c>
      <c r="H522" s="78">
        <f t="shared" si="42"/>
        <v>248790.23672388363</v>
      </c>
      <c r="J522" s="80">
        <f t="shared" si="44"/>
        <v>100</v>
      </c>
      <c r="K522" s="22">
        <f t="shared" si="45"/>
        <v>134</v>
      </c>
      <c r="L522" s="81">
        <f t="shared" si="43"/>
        <v>498.78876964491059</v>
      </c>
    </row>
    <row r="523" spans="6:12" x14ac:dyDescent="0.25">
      <c r="F523" s="80">
        <f t="shared" si="41"/>
        <v>100000</v>
      </c>
      <c r="G523" s="22">
        <v>39</v>
      </c>
      <c r="H523" s="78">
        <f t="shared" si="42"/>
        <v>254829.67479793471</v>
      </c>
      <c r="J523" s="80">
        <f t="shared" si="44"/>
        <v>100</v>
      </c>
      <c r="K523" s="22">
        <f t="shared" si="45"/>
        <v>135</v>
      </c>
      <c r="L523" s="81">
        <f t="shared" si="43"/>
        <v>504.80657166674712</v>
      </c>
    </row>
    <row r="524" spans="6:12" x14ac:dyDescent="0.25">
      <c r="F524" s="80">
        <f t="shared" si="41"/>
        <v>100000</v>
      </c>
      <c r="G524" s="22">
        <v>40</v>
      </c>
      <c r="H524" s="78">
        <f t="shared" si="42"/>
        <v>261015.72156825374</v>
      </c>
      <c r="J524" s="80">
        <f t="shared" si="44"/>
        <v>100</v>
      </c>
      <c r="K524" s="22">
        <f t="shared" si="45"/>
        <v>136</v>
      </c>
      <c r="L524" s="81">
        <f t="shared" si="43"/>
        <v>510.89697745069287</v>
      </c>
    </row>
    <row r="525" spans="6:12" x14ac:dyDescent="0.25">
      <c r="F525" s="80">
        <f t="shared" si="41"/>
        <v>100000</v>
      </c>
      <c r="G525" s="22">
        <v>41</v>
      </c>
      <c r="H525" s="78">
        <f t="shared" si="42"/>
        <v>267351.93599339906</v>
      </c>
      <c r="J525" s="80">
        <f t="shared" si="44"/>
        <v>100</v>
      </c>
      <c r="K525" s="22">
        <f t="shared" si="45"/>
        <v>137</v>
      </c>
      <c r="L525" s="81">
        <f t="shared" si="43"/>
        <v>517.06086294884005</v>
      </c>
    </row>
    <row r="526" spans="6:12" x14ac:dyDescent="0.25">
      <c r="F526" s="80">
        <f t="shared" si="41"/>
        <v>100000</v>
      </c>
      <c r="G526" s="22">
        <v>42</v>
      </c>
      <c r="H526" s="78">
        <f t="shared" si="42"/>
        <v>273841.96342643612</v>
      </c>
      <c r="J526" s="80">
        <f t="shared" si="44"/>
        <v>100</v>
      </c>
      <c r="K526" s="22">
        <f t="shared" si="45"/>
        <v>138</v>
      </c>
      <c r="L526" s="81">
        <f t="shared" si="43"/>
        <v>523.29911468149476</v>
      </c>
    </row>
    <row r="527" spans="6:12" x14ac:dyDescent="0.25">
      <c r="F527" s="80">
        <f t="shared" si="41"/>
        <v>100000</v>
      </c>
      <c r="G527" s="22">
        <v>43</v>
      </c>
      <c r="H527" s="78">
        <f t="shared" si="42"/>
        <v>280489.53771218279</v>
      </c>
      <c r="J527" s="80">
        <f t="shared" si="44"/>
        <v>100</v>
      </c>
      <c r="K527" s="22">
        <f t="shared" si="45"/>
        <v>139</v>
      </c>
      <c r="L527" s="81">
        <f t="shared" si="43"/>
        <v>529.61262986468046</v>
      </c>
    </row>
    <row r="528" spans="6:12" x14ac:dyDescent="0.25">
      <c r="F528" s="80">
        <f t="shared" si="41"/>
        <v>100000</v>
      </c>
      <c r="G528" s="22">
        <v>44</v>
      </c>
      <c r="H528" s="78">
        <f t="shared" si="42"/>
        <v>287298.48333536647</v>
      </c>
      <c r="J528" s="80">
        <f t="shared" si="44"/>
        <v>100</v>
      </c>
      <c r="K528" s="22">
        <f t="shared" si="45"/>
        <v>140</v>
      </c>
      <c r="L528" s="81">
        <f t="shared" si="43"/>
        <v>536.00231653917922</v>
      </c>
    </row>
    <row r="529" spans="6:12" x14ac:dyDescent="0.25">
      <c r="F529" s="80">
        <f t="shared" si="41"/>
        <v>100000</v>
      </c>
      <c r="G529" s="22">
        <v>45</v>
      </c>
      <c r="H529" s="78">
        <f t="shared" si="42"/>
        <v>294272.71762092825</v>
      </c>
      <c r="J529" s="80">
        <f t="shared" si="44"/>
        <v>100</v>
      </c>
      <c r="K529" s="22">
        <f t="shared" si="45"/>
        <v>141</v>
      </c>
      <c r="L529" s="81">
        <f t="shared" si="43"/>
        <v>542.46909370113258</v>
      </c>
    </row>
    <row r="530" spans="6:12" x14ac:dyDescent="0.25">
      <c r="F530" s="80">
        <f t="shared" si="41"/>
        <v>100000</v>
      </c>
      <c r="G530" s="22">
        <v>46</v>
      </c>
      <c r="H530" s="78">
        <f t="shared" si="42"/>
        <v>301416.25298773905</v>
      </c>
      <c r="J530" s="80">
        <f t="shared" si="44"/>
        <v>100</v>
      </c>
      <c r="K530" s="22">
        <f t="shared" si="45"/>
        <v>142</v>
      </c>
      <c r="L530" s="81">
        <f t="shared" si="43"/>
        <v>549.0138914342142</v>
      </c>
    </row>
    <row r="531" spans="6:12" x14ac:dyDescent="0.25">
      <c r="F531" s="80">
        <f t="shared" si="41"/>
        <v>100000</v>
      </c>
      <c r="G531" s="22">
        <v>47</v>
      </c>
      <c r="H531" s="78">
        <f t="shared" si="42"/>
        <v>308733.19925702643</v>
      </c>
      <c r="J531" s="80">
        <f t="shared" si="44"/>
        <v>100</v>
      </c>
      <c r="K531" s="22">
        <f t="shared" si="45"/>
        <v>143</v>
      </c>
      <c r="L531" s="81">
        <f t="shared" si="43"/>
        <v>555.63765104339927</v>
      </c>
    </row>
    <row r="532" spans="6:12" x14ac:dyDescent="0.25">
      <c r="F532" s="80">
        <f t="shared" si="41"/>
        <v>100000</v>
      </c>
      <c r="G532" s="22">
        <v>48</v>
      </c>
      <c r="H532" s="78">
        <f t="shared" si="42"/>
        <v>316227.76601683797</v>
      </c>
      <c r="J532" s="80">
        <f t="shared" si="44"/>
        <v>100</v>
      </c>
      <c r="K532" s="22">
        <f t="shared" si="45"/>
        <v>144</v>
      </c>
      <c r="L532" s="81">
        <f t="shared" si="43"/>
        <v>562.34132519034915</v>
      </c>
    </row>
    <row r="533" spans="6:12" x14ac:dyDescent="0.25">
      <c r="F533" s="80">
        <f t="shared" si="41"/>
        <v>100000</v>
      </c>
      <c r="G533" s="22">
        <v>49</v>
      </c>
      <c r="H533" s="78">
        <f t="shared" si="42"/>
        <v>323904.26504390308</v>
      </c>
      <c r="J533" s="80">
        <f t="shared" si="44"/>
        <v>100</v>
      </c>
      <c r="K533" s="22">
        <f t="shared" si="45"/>
        <v>145</v>
      </c>
      <c r="L533" s="81">
        <f t="shared" si="43"/>
        <v>569.12587803042584</v>
      </c>
    </row>
    <row r="534" spans="6:12" x14ac:dyDescent="0.25">
      <c r="F534" s="80">
        <f t="shared" si="41"/>
        <v>100000</v>
      </c>
      <c r="G534" s="22">
        <v>50</v>
      </c>
      <c r="H534" s="78">
        <f t="shared" si="42"/>
        <v>331767.1127842858</v>
      </c>
      <c r="J534" s="80">
        <f t="shared" si="44"/>
        <v>100</v>
      </c>
      <c r="K534" s="22">
        <f t="shared" si="45"/>
        <v>146</v>
      </c>
      <c r="L534" s="81">
        <f t="shared" si="43"/>
        <v>575.99228535136285</v>
      </c>
    </row>
    <row r="535" spans="6:12" x14ac:dyDescent="0.25">
      <c r="F535" s="80">
        <f t="shared" si="41"/>
        <v>100000</v>
      </c>
      <c r="G535" s="22">
        <v>51</v>
      </c>
      <c r="H535" s="78">
        <f t="shared" si="42"/>
        <v>339820.83289425593</v>
      </c>
      <c r="J535" s="80">
        <f t="shared" si="44"/>
        <v>100</v>
      </c>
      <c r="K535" s="22">
        <f t="shared" si="45"/>
        <v>147</v>
      </c>
      <c r="L535" s="81">
        <f t="shared" si="43"/>
        <v>582.94153471360755</v>
      </c>
    </row>
    <row r="536" spans="6:12" x14ac:dyDescent="0.25">
      <c r="F536" s="80">
        <f t="shared" si="41"/>
        <v>100000</v>
      </c>
      <c r="G536" s="22">
        <v>52</v>
      </c>
      <c r="H536" s="78">
        <f t="shared" si="42"/>
        <v>348070.05884284107</v>
      </c>
      <c r="J536" s="80">
        <f t="shared" si="44"/>
        <v>100</v>
      </c>
      <c r="K536" s="22">
        <f t="shared" si="45"/>
        <v>148</v>
      </c>
      <c r="L536" s="81">
        <f t="shared" si="43"/>
        <v>589.97462559235657</v>
      </c>
    </row>
    <row r="537" spans="6:12" x14ac:dyDescent="0.25">
      <c r="F537" s="80">
        <f t="shared" si="41"/>
        <v>100000</v>
      </c>
      <c r="G537" s="22">
        <v>53</v>
      </c>
      <c r="H537" s="78">
        <f t="shared" si="42"/>
        <v>356519.53657755494</v>
      </c>
      <c r="J537" s="80">
        <f t="shared" si="44"/>
        <v>100</v>
      </c>
      <c r="K537" s="22">
        <f t="shared" si="45"/>
        <v>149</v>
      </c>
      <c r="L537" s="81">
        <f t="shared" si="43"/>
        <v>597.09256952130534</v>
      </c>
    </row>
    <row r="538" spans="6:12" x14ac:dyDescent="0.25">
      <c r="F538" s="80">
        <f t="shared" si="41"/>
        <v>100000</v>
      </c>
      <c r="G538" s="22">
        <v>54</v>
      </c>
      <c r="H538" s="78">
        <f t="shared" si="42"/>
        <v>365174.12725483777</v>
      </c>
      <c r="J538" s="80">
        <f t="shared" si="44"/>
        <v>100</v>
      </c>
      <c r="K538" s="22">
        <f t="shared" si="45"/>
        <v>150</v>
      </c>
      <c r="L538" s="81">
        <f t="shared" si="43"/>
        <v>604.29639023813286</v>
      </c>
    </row>
    <row r="539" spans="6:12" x14ac:dyDescent="0.25">
      <c r="F539" s="80">
        <f t="shared" si="41"/>
        <v>100000</v>
      </c>
      <c r="G539" s="22">
        <v>55</v>
      </c>
      <c r="H539" s="78">
        <f t="shared" si="42"/>
        <v>374038.81003677857</v>
      </c>
      <c r="J539" s="80">
        <f t="shared" si="44"/>
        <v>100</v>
      </c>
      <c r="K539" s="22">
        <f t="shared" si="45"/>
        <v>151</v>
      </c>
      <c r="L539" s="81">
        <f t="shared" si="43"/>
        <v>611.58712383173895</v>
      </c>
    </row>
    <row r="540" spans="6:12" x14ac:dyDescent="0.25">
      <c r="F540" s="80">
        <f t="shared" si="41"/>
        <v>100000</v>
      </c>
      <c r="G540" s="22">
        <v>56</v>
      </c>
      <c r="H540" s="78">
        <f t="shared" si="42"/>
        <v>383118.68495572882</v>
      </c>
      <c r="J540" s="80">
        <f t="shared" si="44"/>
        <v>100</v>
      </c>
      <c r="K540" s="22">
        <f t="shared" si="45"/>
        <v>152</v>
      </c>
      <c r="L540" s="81">
        <f t="shared" si="43"/>
        <v>618.9658188912606</v>
      </c>
    </row>
    <row r="541" spans="6:12" x14ac:dyDescent="0.25">
      <c r="F541" s="80">
        <f t="shared" si="41"/>
        <v>100000</v>
      </c>
      <c r="G541" s="22">
        <v>57</v>
      </c>
      <c r="H541" s="78">
        <f t="shared" si="42"/>
        <v>392418.97584845364</v>
      </c>
      <c r="J541" s="80">
        <f t="shared" si="44"/>
        <v>100</v>
      </c>
      <c r="K541" s="22">
        <f t="shared" si="45"/>
        <v>153</v>
      </c>
      <c r="L541" s="81">
        <f t="shared" si="43"/>
        <v>626.43353665688574</v>
      </c>
    </row>
    <row r="542" spans="6:12" x14ac:dyDescent="0.25">
      <c r="F542" s="80">
        <f t="shared" si="41"/>
        <v>100000</v>
      </c>
      <c r="G542" s="22">
        <v>58</v>
      </c>
      <c r="H542" s="78">
        <f t="shared" si="42"/>
        <v>401945.03336151259</v>
      </c>
      <c r="J542" s="80">
        <f t="shared" si="44"/>
        <v>100</v>
      </c>
      <c r="K542" s="22">
        <f t="shared" si="45"/>
        <v>154</v>
      </c>
      <c r="L542" s="81">
        <f t="shared" si="43"/>
        <v>633.99135117248454</v>
      </c>
    </row>
    <row r="543" spans="6:12" x14ac:dyDescent="0.25">
      <c r="F543" s="80">
        <f t="shared" si="41"/>
        <v>100000</v>
      </c>
      <c r="G543" s="22">
        <v>59</v>
      </c>
      <c r="H543" s="78">
        <f t="shared" si="42"/>
        <v>411702.3380295948</v>
      </c>
      <c r="J543" s="80">
        <f t="shared" si="44"/>
        <v>100</v>
      </c>
      <c r="K543" s="22">
        <f t="shared" si="45"/>
        <v>155</v>
      </c>
      <c r="L543" s="81">
        <f t="shared" si="43"/>
        <v>641.6403494400854</v>
      </c>
    </row>
    <row r="544" spans="6:12" x14ac:dyDescent="0.25">
      <c r="F544" s="80">
        <f t="shared" si="41"/>
        <v>100000</v>
      </c>
      <c r="G544" s="22">
        <v>60</v>
      </c>
      <c r="H544" s="78">
        <f t="shared" si="42"/>
        <v>421696.50342858233</v>
      </c>
      <c r="J544" s="80">
        <f t="shared" si="44"/>
        <v>100</v>
      </c>
      <c r="K544" s="22">
        <f t="shared" si="45"/>
        <v>156</v>
      </c>
      <c r="L544" s="81">
        <f t="shared" si="43"/>
        <v>649.38163157621148</v>
      </c>
    </row>
    <row r="545" spans="6:12" x14ac:dyDescent="0.25">
      <c r="F545" s="80">
        <f t="shared" si="41"/>
        <v>100000</v>
      </c>
      <c r="G545" s="22">
        <v>61</v>
      </c>
      <c r="H545" s="78">
        <f t="shared" si="42"/>
        <v>431933.27940515446</v>
      </c>
      <c r="J545" s="80">
        <f t="shared" si="44"/>
        <v>100</v>
      </c>
      <c r="K545" s="22">
        <f t="shared" si="45"/>
        <v>157</v>
      </c>
      <c r="L545" s="81">
        <f t="shared" si="43"/>
        <v>657.21631097010572</v>
      </c>
    </row>
    <row r="546" spans="6:12" x14ac:dyDescent="0.25">
      <c r="F546" s="80">
        <f t="shared" si="41"/>
        <v>100000</v>
      </c>
      <c r="G546" s="22">
        <v>62</v>
      </c>
      <c r="H546" s="78">
        <f t="shared" si="42"/>
        <v>442418.55538479181</v>
      </c>
      <c r="J546" s="80">
        <f t="shared" si="44"/>
        <v>100</v>
      </c>
      <c r="K546" s="22">
        <f t="shared" si="45"/>
        <v>158</v>
      </c>
      <c r="L546" s="81">
        <f t="shared" si="43"/>
        <v>665.14551444386336</v>
      </c>
    </row>
    <row r="547" spans="6:12" x14ac:dyDescent="0.25">
      <c r="F547" s="80">
        <f t="shared" si="41"/>
        <v>100000</v>
      </c>
      <c r="G547" s="22">
        <v>63</v>
      </c>
      <c r="H547" s="78">
        <f t="shared" si="42"/>
        <v>453158.36376008188</v>
      </c>
      <c r="J547" s="80">
        <f t="shared" si="44"/>
        <v>100</v>
      </c>
      <c r="K547" s="22">
        <f t="shared" si="45"/>
        <v>159</v>
      </c>
      <c r="L547" s="81">
        <f t="shared" si="43"/>
        <v>673.17038241449825</v>
      </c>
    </row>
    <row r="548" spans="6:12" x14ac:dyDescent="0.25">
      <c r="F548" s="80">
        <f t="shared" si="41"/>
        <v>100000</v>
      </c>
      <c r="G548" s="22">
        <v>64</v>
      </c>
      <c r="H548" s="78">
        <f t="shared" si="42"/>
        <v>464158.88336127793</v>
      </c>
      <c r="J548" s="80">
        <f t="shared" si="44"/>
        <v>100</v>
      </c>
      <c r="K548" s="22">
        <f t="shared" si="45"/>
        <v>160</v>
      </c>
      <c r="L548" s="81">
        <f t="shared" si="43"/>
        <v>681.29206905796138</v>
      </c>
    </row>
    <row r="549" spans="6:12" x14ac:dyDescent="0.25">
      <c r="F549" s="80">
        <f t="shared" si="41"/>
        <v>100000</v>
      </c>
      <c r="G549" s="22">
        <v>65</v>
      </c>
      <c r="H549" s="78">
        <f t="shared" si="42"/>
        <v>475426.4430111057</v>
      </c>
      <c r="J549" s="80">
        <f t="shared" si="44"/>
        <v>100</v>
      </c>
      <c r="K549" s="22">
        <f t="shared" si="45"/>
        <v>161</v>
      </c>
      <c r="L549" s="81">
        <f t="shared" si="43"/>
        <v>689.51174247514132</v>
      </c>
    </row>
    <row r="550" spans="6:12" x14ac:dyDescent="0.25">
      <c r="F550" s="80">
        <f t="shared" ref="F550:F580" si="46">F454*10</f>
        <v>100000</v>
      </c>
      <c r="G550" s="22">
        <v>66</v>
      </c>
      <c r="H550" s="78">
        <f t="shared" si="42"/>
        <v>486967.52516586316</v>
      </c>
      <c r="J550" s="80">
        <f t="shared" si="44"/>
        <v>100</v>
      </c>
      <c r="K550" s="22">
        <f t="shared" si="45"/>
        <v>162</v>
      </c>
      <c r="L550" s="81">
        <f t="shared" si="43"/>
        <v>697.83058485986646</v>
      </c>
    </row>
    <row r="551" spans="6:12" x14ac:dyDescent="0.25">
      <c r="F551" s="80">
        <f t="shared" si="46"/>
        <v>100000</v>
      </c>
      <c r="G551" s="22">
        <v>67</v>
      </c>
      <c r="H551" s="78">
        <f t="shared" si="42"/>
        <v>498788.76964491059</v>
      </c>
      <c r="J551" s="80">
        <f t="shared" si="44"/>
        <v>100</v>
      </c>
      <c r="K551" s="22">
        <f t="shared" si="45"/>
        <v>163</v>
      </c>
      <c r="L551" s="81">
        <f t="shared" si="43"/>
        <v>706.24979266893297</v>
      </c>
    </row>
    <row r="552" spans="6:12" x14ac:dyDescent="0.25">
      <c r="F552" s="80">
        <f t="shared" si="46"/>
        <v>100000</v>
      </c>
      <c r="G552" s="22">
        <v>68</v>
      </c>
      <c r="H552" s="78">
        <f t="shared" si="42"/>
        <v>510896.97745069291</v>
      </c>
      <c r="J552" s="80">
        <f t="shared" si="44"/>
        <v>100</v>
      </c>
      <c r="K552" s="22">
        <f t="shared" si="45"/>
        <v>164</v>
      </c>
      <c r="L552" s="81">
        <f t="shared" si="43"/>
        <v>714.77057679418567</v>
      </c>
    </row>
    <row r="553" spans="6:12" x14ac:dyDescent="0.25">
      <c r="F553" s="80">
        <f t="shared" si="46"/>
        <v>100000</v>
      </c>
      <c r="G553" s="22">
        <v>69</v>
      </c>
      <c r="H553" s="78">
        <f t="shared" si="42"/>
        <v>523299.11468149477</v>
      </c>
      <c r="J553" s="80">
        <f t="shared" si="44"/>
        <v>100</v>
      </c>
      <c r="K553" s="22">
        <f t="shared" si="45"/>
        <v>165</v>
      </c>
      <c r="L553" s="81">
        <f t="shared" si="43"/>
        <v>723.39416273667496</v>
      </c>
    </row>
    <row r="554" spans="6:12" x14ac:dyDescent="0.25">
      <c r="F554" s="80">
        <f t="shared" si="46"/>
        <v>100000</v>
      </c>
      <c r="G554" s="22">
        <v>70</v>
      </c>
      <c r="H554" s="78">
        <f t="shared" si="42"/>
        <v>536002.31653917918</v>
      </c>
      <c r="J554" s="80">
        <f t="shared" si="44"/>
        <v>100</v>
      </c>
      <c r="K554" s="22">
        <f t="shared" si="45"/>
        <v>166</v>
      </c>
      <c r="L554" s="81">
        <f t="shared" si="43"/>
        <v>732.12179078291308</v>
      </c>
    </row>
    <row r="555" spans="6:12" x14ac:dyDescent="0.25">
      <c r="F555" s="80">
        <f t="shared" si="46"/>
        <v>100000</v>
      </c>
      <c r="G555" s="22">
        <v>71</v>
      </c>
      <c r="H555" s="78">
        <f t="shared" si="42"/>
        <v>549013.89143421419</v>
      </c>
      <c r="J555" s="80">
        <f t="shared" si="44"/>
        <v>100</v>
      </c>
      <c r="K555" s="22">
        <f t="shared" si="45"/>
        <v>167</v>
      </c>
      <c r="L555" s="81">
        <f t="shared" si="43"/>
        <v>740.95471618325905</v>
      </c>
    </row>
    <row r="556" spans="6:12" x14ac:dyDescent="0.25">
      <c r="F556" s="80">
        <f t="shared" si="46"/>
        <v>100000</v>
      </c>
      <c r="G556" s="22">
        <v>72</v>
      </c>
      <c r="H556" s="78">
        <f t="shared" si="42"/>
        <v>562341.32519034925</v>
      </c>
      <c r="J556" s="80">
        <f t="shared" si="44"/>
        <v>100</v>
      </c>
      <c r="K556" s="22">
        <f t="shared" si="45"/>
        <v>168</v>
      </c>
      <c r="L556" s="81">
        <f t="shared" si="43"/>
        <v>749.89420933245594</v>
      </c>
    </row>
    <row r="557" spans="6:12" x14ac:dyDescent="0.25">
      <c r="F557" s="80">
        <f t="shared" si="46"/>
        <v>100000</v>
      </c>
      <c r="G557" s="22">
        <v>73</v>
      </c>
      <c r="H557" s="78">
        <f t="shared" si="42"/>
        <v>575992.28535136278</v>
      </c>
      <c r="J557" s="80">
        <f t="shared" si="44"/>
        <v>100</v>
      </c>
      <c r="K557" s="22">
        <f t="shared" si="45"/>
        <v>169</v>
      </c>
      <c r="L557" s="81">
        <f t="shared" si="43"/>
        <v>758.9415559523427</v>
      </c>
    </row>
    <row r="558" spans="6:12" x14ac:dyDescent="0.25">
      <c r="F558" s="80">
        <f t="shared" si="46"/>
        <v>100000</v>
      </c>
      <c r="G558" s="22">
        <v>74</v>
      </c>
      <c r="H558" s="78">
        <f t="shared" si="42"/>
        <v>589974.62559235655</v>
      </c>
      <c r="J558" s="80">
        <f t="shared" si="44"/>
        <v>100</v>
      </c>
      <c r="K558" s="22">
        <f t="shared" si="45"/>
        <v>170</v>
      </c>
      <c r="L558" s="81">
        <f t="shared" si="43"/>
        <v>768.09805727677553</v>
      </c>
    </row>
    <row r="559" spans="6:12" x14ac:dyDescent="0.25">
      <c r="F559" s="80">
        <f t="shared" si="46"/>
        <v>100000</v>
      </c>
      <c r="G559" s="22">
        <v>75</v>
      </c>
      <c r="H559" s="78">
        <f t="shared" si="42"/>
        <v>604296.39023813291</v>
      </c>
      <c r="J559" s="80">
        <f t="shared" si="44"/>
        <v>100</v>
      </c>
      <c r="K559" s="22">
        <f t="shared" si="45"/>
        <v>171</v>
      </c>
      <c r="L559" s="81">
        <f t="shared" si="43"/>
        <v>777.36503023877606</v>
      </c>
    </row>
    <row r="560" spans="6:12" x14ac:dyDescent="0.25">
      <c r="F560" s="80">
        <f t="shared" si="46"/>
        <v>100000</v>
      </c>
      <c r="G560" s="22">
        <v>76</v>
      </c>
      <c r="H560" s="78">
        <f t="shared" si="42"/>
        <v>618965.81889126066</v>
      </c>
      <c r="J560" s="80">
        <f t="shared" si="44"/>
        <v>100</v>
      </c>
      <c r="K560" s="22">
        <f t="shared" si="45"/>
        <v>172</v>
      </c>
      <c r="L560" s="81">
        <f t="shared" si="43"/>
        <v>786.74380765994033</v>
      </c>
    </row>
    <row r="561" spans="6:12" x14ac:dyDescent="0.25">
      <c r="F561" s="80">
        <f t="shared" si="46"/>
        <v>100000</v>
      </c>
      <c r="G561" s="22">
        <v>77</v>
      </c>
      <c r="H561" s="78">
        <f t="shared" si="42"/>
        <v>633991.35117248457</v>
      </c>
      <c r="J561" s="80">
        <f t="shared" si="44"/>
        <v>100</v>
      </c>
      <c r="K561" s="22">
        <f t="shared" si="45"/>
        <v>173</v>
      </c>
      <c r="L561" s="81">
        <f t="shared" si="43"/>
        <v>796.23573844213035</v>
      </c>
    </row>
    <row r="562" spans="6:12" x14ac:dyDescent="0.25">
      <c r="F562" s="80">
        <f t="shared" si="46"/>
        <v>100000</v>
      </c>
      <c r="G562" s="22">
        <v>78</v>
      </c>
      <c r="H562" s="78">
        <f t="shared" si="42"/>
        <v>649381.63157621154</v>
      </c>
      <c r="J562" s="80">
        <f t="shared" si="44"/>
        <v>100</v>
      </c>
      <c r="K562" s="22">
        <f t="shared" si="45"/>
        <v>174</v>
      </c>
      <c r="L562" s="81">
        <f t="shared" si="43"/>
        <v>805.84218776148191</v>
      </c>
    </row>
    <row r="563" spans="6:12" x14ac:dyDescent="0.25">
      <c r="F563" s="80">
        <f t="shared" si="46"/>
        <v>100000</v>
      </c>
      <c r="G563" s="22">
        <v>79</v>
      </c>
      <c r="H563" s="78">
        <f t="shared" si="42"/>
        <v>665145.51444386342</v>
      </c>
      <c r="J563" s="80">
        <f t="shared" si="44"/>
        <v>100</v>
      </c>
      <c r="K563" s="22">
        <f t="shared" si="45"/>
        <v>175</v>
      </c>
      <c r="L563" s="81">
        <f t="shared" si="43"/>
        <v>815.56453726474876</v>
      </c>
    </row>
    <row r="564" spans="6:12" x14ac:dyDescent="0.25">
      <c r="F564" s="80">
        <f t="shared" si="46"/>
        <v>100000</v>
      </c>
      <c r="G564" s="22">
        <v>80</v>
      </c>
      <c r="H564" s="78">
        <f t="shared" si="42"/>
        <v>681292.06905796146</v>
      </c>
      <c r="J564" s="80">
        <f t="shared" si="44"/>
        <v>100</v>
      </c>
      <c r="K564" s="22">
        <f>K563+1</f>
        <v>176</v>
      </c>
      <c r="L564" s="81">
        <f t="shared" si="43"/>
        <v>825.4041852680183</v>
      </c>
    </row>
    <row r="565" spans="6:12" x14ac:dyDescent="0.25">
      <c r="F565" s="80">
        <f t="shared" si="46"/>
        <v>100000</v>
      </c>
      <c r="G565" s="22">
        <v>81</v>
      </c>
      <c r="H565" s="78">
        <f t="shared" si="42"/>
        <v>697830.58485986653</v>
      </c>
      <c r="J565" s="80">
        <f t="shared" si="44"/>
        <v>100</v>
      </c>
      <c r="K565" s="22">
        <f t="shared" ref="K565:K580" si="47">K564+1</f>
        <v>177</v>
      </c>
      <c r="L565" s="81">
        <f t="shared" si="43"/>
        <v>835.36254695782623</v>
      </c>
    </row>
    <row r="566" spans="6:12" x14ac:dyDescent="0.25">
      <c r="F566" s="80">
        <f t="shared" si="46"/>
        <v>100000</v>
      </c>
      <c r="G566" s="22">
        <v>82</v>
      </c>
      <c r="H566" s="78">
        <f t="shared" si="42"/>
        <v>714770.57679418568</v>
      </c>
      <c r="J566" s="80">
        <f t="shared" si="44"/>
        <v>100</v>
      </c>
      <c r="K566" s="22">
        <f t="shared" si="47"/>
        <v>178</v>
      </c>
      <c r="L566" s="81">
        <f t="shared" si="43"/>
        <v>845.44105459469245</v>
      </c>
    </row>
    <row r="567" spans="6:12" x14ac:dyDescent="0.25">
      <c r="F567" s="80">
        <f t="shared" si="46"/>
        <v>100000</v>
      </c>
      <c r="G567" s="22">
        <v>83</v>
      </c>
      <c r="H567" s="78">
        <f t="shared" si="42"/>
        <v>732121.7907829131</v>
      </c>
      <c r="J567" s="80">
        <f t="shared" si="44"/>
        <v>100</v>
      </c>
      <c r="K567" s="22">
        <f t="shared" si="47"/>
        <v>179</v>
      </c>
      <c r="L567" s="81">
        <f t="shared" si="43"/>
        <v>855.64115771911838</v>
      </c>
    </row>
    <row r="568" spans="6:12" x14ac:dyDescent="0.25">
      <c r="F568" s="80">
        <f t="shared" si="46"/>
        <v>100000</v>
      </c>
      <c r="G568" s="22">
        <v>84</v>
      </c>
      <c r="H568" s="78">
        <f t="shared" si="42"/>
        <v>749894.20933245588</v>
      </c>
      <c r="J568" s="80">
        <f t="shared" si="44"/>
        <v>100</v>
      </c>
      <c r="K568" s="22">
        <f t="shared" si="47"/>
        <v>180</v>
      </c>
      <c r="L568" s="81">
        <f t="shared" si="43"/>
        <v>865.96432336006558</v>
      </c>
    </row>
    <row r="569" spans="6:12" x14ac:dyDescent="0.25">
      <c r="F569" s="80">
        <f t="shared" si="46"/>
        <v>100000</v>
      </c>
      <c r="G569" s="22">
        <v>85</v>
      </c>
      <c r="H569" s="78">
        <f t="shared" si="42"/>
        <v>768098.05727677548</v>
      </c>
      <c r="J569" s="80">
        <f t="shared" si="44"/>
        <v>100</v>
      </c>
      <c r="K569" s="22">
        <f t="shared" si="47"/>
        <v>181</v>
      </c>
      <c r="L569" s="81">
        <f t="shared" si="43"/>
        <v>876.41203624595198</v>
      </c>
    </row>
    <row r="570" spans="6:12" x14ac:dyDescent="0.25">
      <c r="F570" s="80">
        <f t="shared" si="46"/>
        <v>100000</v>
      </c>
      <c r="G570" s="22">
        <v>86</v>
      </c>
      <c r="H570" s="78">
        <f t="shared" si="42"/>
        <v>786743.80765994033</v>
      </c>
      <c r="J570" s="80">
        <f t="shared" si="44"/>
        <v>100</v>
      </c>
      <c r="K570" s="22">
        <f t="shared" si="47"/>
        <v>182</v>
      </c>
      <c r="L570" s="81">
        <f t="shared" si="43"/>
        <v>886.98579901819187</v>
      </c>
    </row>
    <row r="571" spans="6:12" x14ac:dyDescent="0.25">
      <c r="F571" s="80">
        <f t="shared" si="46"/>
        <v>100000</v>
      </c>
      <c r="G571" s="22">
        <v>87</v>
      </c>
      <c r="H571" s="78">
        <f t="shared" si="42"/>
        <v>805842.18776148185</v>
      </c>
      <c r="J571" s="80">
        <f t="shared" si="44"/>
        <v>100</v>
      </c>
      <c r="K571" s="22">
        <f t="shared" si="47"/>
        <v>183</v>
      </c>
      <c r="L571" s="81">
        <f t="shared" si="43"/>
        <v>897.68713244731441</v>
      </c>
    </row>
    <row r="572" spans="6:12" x14ac:dyDescent="0.25">
      <c r="F572" s="80">
        <f t="shared" si="46"/>
        <v>100000</v>
      </c>
      <c r="G572" s="22">
        <v>88</v>
      </c>
      <c r="H572" s="78">
        <f t="shared" si="42"/>
        <v>825404.18526801828</v>
      </c>
      <c r="J572" s="80">
        <f t="shared" si="44"/>
        <v>100</v>
      </c>
      <c r="K572" s="22">
        <f t="shared" si="47"/>
        <v>184</v>
      </c>
      <c r="L572" s="81">
        <f t="shared" si="43"/>
        <v>908.51757565168703</v>
      </c>
    </row>
    <row r="573" spans="6:12" x14ac:dyDescent="0.25">
      <c r="F573" s="80">
        <f t="shared" si="46"/>
        <v>100000</v>
      </c>
      <c r="G573" s="22">
        <v>89</v>
      </c>
      <c r="H573" s="78">
        <f t="shared" si="42"/>
        <v>845441.05459469242</v>
      </c>
      <c r="J573" s="80">
        <f t="shared" si="44"/>
        <v>100</v>
      </c>
      <c r="K573" s="22">
        <f t="shared" si="47"/>
        <v>185</v>
      </c>
      <c r="L573" s="81">
        <f t="shared" si="43"/>
        <v>919.47868631887934</v>
      </c>
    </row>
    <row r="574" spans="6:12" x14ac:dyDescent="0.25">
      <c r="F574" s="80">
        <f t="shared" si="46"/>
        <v>100000</v>
      </c>
      <c r="G574" s="22">
        <v>90</v>
      </c>
      <c r="H574" s="78">
        <f t="shared" si="42"/>
        <v>865964.32336006558</v>
      </c>
      <c r="J574" s="80">
        <f t="shared" si="44"/>
        <v>100</v>
      </c>
      <c r="K574" s="22">
        <f t="shared" si="47"/>
        <v>186</v>
      </c>
      <c r="L574" s="81">
        <f t="shared" si="43"/>
        <v>930.57204092969903</v>
      </c>
    </row>
    <row r="575" spans="6:12" x14ac:dyDescent="0.25">
      <c r="F575" s="80">
        <f t="shared" si="46"/>
        <v>100000</v>
      </c>
      <c r="G575" s="22">
        <v>91</v>
      </c>
      <c r="H575" s="78">
        <f t="shared" si="42"/>
        <v>886985.79901819187</v>
      </c>
      <c r="J575" s="80">
        <f t="shared" si="44"/>
        <v>100</v>
      </c>
      <c r="K575" s="22">
        <f t="shared" si="47"/>
        <v>187</v>
      </c>
      <c r="L575" s="81">
        <f t="shared" si="43"/>
        <v>941.7992349849261</v>
      </c>
    </row>
    <row r="576" spans="6:12" x14ac:dyDescent="0.25">
      <c r="F576" s="80">
        <f t="shared" si="46"/>
        <v>100000</v>
      </c>
      <c r="G576" s="22">
        <v>92</v>
      </c>
      <c r="H576" s="78">
        <f t="shared" si="42"/>
        <v>908517.57565168699</v>
      </c>
      <c r="J576" s="80">
        <f t="shared" si="44"/>
        <v>100</v>
      </c>
      <c r="K576" s="22">
        <f t="shared" si="47"/>
        <v>188</v>
      </c>
      <c r="L576" s="81">
        <f t="shared" si="43"/>
        <v>953.16188323478775</v>
      </c>
    </row>
    <row r="577" spans="6:12" x14ac:dyDescent="0.25">
      <c r="F577" s="80">
        <f t="shared" si="46"/>
        <v>100000</v>
      </c>
      <c r="G577" s="22">
        <v>93</v>
      </c>
      <c r="H577" s="78">
        <f t="shared" si="42"/>
        <v>930572.04092969897</v>
      </c>
      <c r="J577" s="80">
        <f t="shared" si="44"/>
        <v>100</v>
      </c>
      <c r="K577" s="22">
        <f t="shared" si="47"/>
        <v>189</v>
      </c>
      <c r="L577" s="81">
        <f t="shared" si="43"/>
        <v>964.66161991119964</v>
      </c>
    </row>
    <row r="578" spans="6:12" x14ac:dyDescent="0.25">
      <c r="F578" s="80">
        <f t="shared" si="46"/>
        <v>100000</v>
      </c>
      <c r="G578" s="22">
        <v>94</v>
      </c>
      <c r="H578" s="78">
        <f t="shared" si="42"/>
        <v>953161.88323478773</v>
      </c>
      <c r="J578" s="80">
        <f t="shared" si="44"/>
        <v>100</v>
      </c>
      <c r="K578" s="22">
        <f t="shared" si="47"/>
        <v>190</v>
      </c>
      <c r="L578" s="81">
        <f t="shared" si="43"/>
        <v>976.30009896280785</v>
      </c>
    </row>
    <row r="579" spans="6:12" x14ac:dyDescent="0.25">
      <c r="F579" s="80">
        <f t="shared" si="46"/>
        <v>100000</v>
      </c>
      <c r="G579" s="22">
        <v>95</v>
      </c>
      <c r="H579" s="78">
        <f t="shared" si="42"/>
        <v>976300.09896280791</v>
      </c>
      <c r="J579" s="80">
        <f t="shared" si="44"/>
        <v>100</v>
      </c>
      <c r="K579" s="22">
        <f t="shared" si="47"/>
        <v>191</v>
      </c>
      <c r="L579" s="81">
        <f t="shared" si="43"/>
        <v>988.0789942928692</v>
      </c>
    </row>
    <row r="580" spans="6:12" x14ac:dyDescent="0.25">
      <c r="F580" s="80">
        <f t="shared" si="46"/>
        <v>100000</v>
      </c>
      <c r="G580" s="22">
        <v>96</v>
      </c>
      <c r="H580" s="78">
        <f t="shared" ref="H580:H643" si="48">F580*10^(G580/96)</f>
        <v>1000000</v>
      </c>
      <c r="J580" s="80">
        <f t="shared" si="44"/>
        <v>100</v>
      </c>
      <c r="K580" s="22">
        <f t="shared" si="47"/>
        <v>192</v>
      </c>
      <c r="L580" s="81">
        <f t="shared" si="43"/>
        <v>1000</v>
      </c>
    </row>
    <row r="581" spans="6:12" x14ac:dyDescent="0.25">
      <c r="F581" s="80">
        <f>F485*10</f>
        <v>1000000</v>
      </c>
      <c r="G581" s="22">
        <v>1</v>
      </c>
      <c r="H581" s="78">
        <f t="shared" si="48"/>
        <v>1024275.2213815922</v>
      </c>
      <c r="J581" s="80">
        <f>J389*10</f>
        <v>1000</v>
      </c>
      <c r="K581" s="22">
        <v>1</v>
      </c>
      <c r="L581" s="81">
        <f t="shared" ref="L581:L644" si="49">J581*10^(K581/192)</f>
        <v>1012.0648306218294</v>
      </c>
    </row>
    <row r="582" spans="6:12" x14ac:dyDescent="0.25">
      <c r="F582" s="80">
        <f t="shared" ref="F582:F645" si="50">F486*10</f>
        <v>1000000</v>
      </c>
      <c r="G582" s="22">
        <v>2</v>
      </c>
      <c r="H582" s="78">
        <f t="shared" si="48"/>
        <v>1049139.7291363098</v>
      </c>
      <c r="J582" s="80">
        <f t="shared" ref="J582:J645" si="51">J390*10</f>
        <v>1000</v>
      </c>
      <c r="K582" s="22">
        <f t="shared" ref="K582:K645" si="52">K581+1</f>
        <v>2</v>
      </c>
      <c r="L582" s="81">
        <f t="shared" si="49"/>
        <v>1024.2752213815922</v>
      </c>
    </row>
    <row r="583" spans="6:12" x14ac:dyDescent="0.25">
      <c r="F583" s="80">
        <f t="shared" si="50"/>
        <v>1000000</v>
      </c>
      <c r="G583" s="22">
        <v>3</v>
      </c>
      <c r="H583" s="78">
        <f t="shared" si="48"/>
        <v>1074607.8283213174</v>
      </c>
      <c r="J583" s="80">
        <f t="shared" si="51"/>
        <v>1000</v>
      </c>
      <c r="K583" s="22">
        <f t="shared" si="52"/>
        <v>3</v>
      </c>
      <c r="L583" s="81">
        <f t="shared" si="49"/>
        <v>1036.632928437698</v>
      </c>
    </row>
    <row r="584" spans="6:12" x14ac:dyDescent="0.25">
      <c r="F584" s="80">
        <f t="shared" si="50"/>
        <v>1000000</v>
      </c>
      <c r="G584" s="22">
        <v>4</v>
      </c>
      <c r="H584" s="78">
        <f t="shared" si="48"/>
        <v>1100694.1712522097</v>
      </c>
      <c r="J584" s="80">
        <f t="shared" si="51"/>
        <v>1000</v>
      </c>
      <c r="K584" s="22">
        <f t="shared" si="52"/>
        <v>4</v>
      </c>
      <c r="L584" s="81">
        <f t="shared" si="49"/>
        <v>1049.1397291363098</v>
      </c>
    </row>
    <row r="585" spans="6:12" x14ac:dyDescent="0.25">
      <c r="F585" s="80">
        <f t="shared" si="50"/>
        <v>1000000</v>
      </c>
      <c r="G585" s="22">
        <v>5</v>
      </c>
      <c r="H585" s="78">
        <f t="shared" si="48"/>
        <v>1127413.7659327851</v>
      </c>
      <c r="J585" s="80">
        <f t="shared" si="51"/>
        <v>1000</v>
      </c>
      <c r="K585" s="22">
        <f t="shared" si="52"/>
        <v>5</v>
      </c>
      <c r="L585" s="81">
        <f t="shared" si="49"/>
        <v>1061.7974222669716</v>
      </c>
    </row>
    <row r="586" spans="6:12" x14ac:dyDescent="0.25">
      <c r="F586" s="80">
        <f t="shared" si="50"/>
        <v>1000000</v>
      </c>
      <c r="G586" s="22">
        <v>6</v>
      </c>
      <c r="H586" s="78">
        <f t="shared" si="48"/>
        <v>1154781.9846894583</v>
      </c>
      <c r="J586" s="80">
        <f t="shared" si="51"/>
        <v>1000</v>
      </c>
      <c r="K586" s="22">
        <f t="shared" si="52"/>
        <v>6</v>
      </c>
      <c r="L586" s="81">
        <f t="shared" si="49"/>
        <v>1074.6078283213174</v>
      </c>
    </row>
    <row r="587" spans="6:12" x14ac:dyDescent="0.25">
      <c r="F587" s="80">
        <f t="shared" si="50"/>
        <v>1000000</v>
      </c>
      <c r="G587" s="22">
        <v>7</v>
      </c>
      <c r="H587" s="78">
        <f t="shared" si="48"/>
        <v>1182814.5730152694</v>
      </c>
      <c r="J587" s="80">
        <f t="shared" si="51"/>
        <v>1000</v>
      </c>
      <c r="K587" s="22">
        <f t="shared" si="52"/>
        <v>7</v>
      </c>
      <c r="L587" s="81">
        <f t="shared" si="49"/>
        <v>1087.5727897549061</v>
      </c>
    </row>
    <row r="588" spans="6:12" x14ac:dyDescent="0.25">
      <c r="F588" s="80">
        <f t="shared" si="50"/>
        <v>1000000</v>
      </c>
      <c r="G588" s="22">
        <v>8</v>
      </c>
      <c r="H588" s="78">
        <f t="shared" si="48"/>
        <v>1211527.6586285885</v>
      </c>
      <c r="J588" s="80">
        <f t="shared" si="51"/>
        <v>1000</v>
      </c>
      <c r="K588" s="22">
        <f t="shared" si="52"/>
        <v>8</v>
      </c>
      <c r="L588" s="81">
        <f t="shared" si="49"/>
        <v>1100.6941712522096</v>
      </c>
    </row>
    <row r="589" spans="6:12" x14ac:dyDescent="0.25">
      <c r="F589" s="80">
        <f t="shared" si="50"/>
        <v>1000000</v>
      </c>
      <c r="G589" s="22">
        <v>9</v>
      </c>
      <c r="H589" s="78">
        <f t="shared" si="48"/>
        <v>1240937.7607517196</v>
      </c>
      <c r="J589" s="80">
        <f t="shared" si="51"/>
        <v>1000</v>
      </c>
      <c r="K589" s="22">
        <f t="shared" si="52"/>
        <v>9</v>
      </c>
      <c r="L589" s="81">
        <f t="shared" si="49"/>
        <v>1113.9738599948023</v>
      </c>
    </row>
    <row r="590" spans="6:12" x14ac:dyDescent="0.25">
      <c r="F590" s="80">
        <f t="shared" si="50"/>
        <v>1000000</v>
      </c>
      <c r="G590" s="22">
        <v>10</v>
      </c>
      <c r="H590" s="78">
        <f t="shared" si="48"/>
        <v>1271061.799614745</v>
      </c>
      <c r="J590" s="80">
        <f t="shared" si="51"/>
        <v>1000</v>
      </c>
      <c r="K590" s="22">
        <f t="shared" si="52"/>
        <v>10</v>
      </c>
      <c r="L590" s="81">
        <f t="shared" si="49"/>
        <v>1127.4137659327853</v>
      </c>
    </row>
    <row r="591" spans="6:12" x14ac:dyDescent="0.25">
      <c r="F591" s="80">
        <f t="shared" si="50"/>
        <v>1000000</v>
      </c>
      <c r="G591" s="22">
        <v>11</v>
      </c>
      <c r="H591" s="78">
        <f t="shared" si="48"/>
        <v>1301917.1061900777</v>
      </c>
      <c r="J591" s="80">
        <f t="shared" si="51"/>
        <v>1000</v>
      </c>
      <c r="K591" s="22">
        <f t="shared" si="52"/>
        <v>11</v>
      </c>
      <c r="L591" s="81">
        <f t="shared" si="49"/>
        <v>1141.0158220594831</v>
      </c>
    </row>
    <row r="592" spans="6:12" x14ac:dyDescent="0.25">
      <c r="F592" s="80">
        <f t="shared" si="50"/>
        <v>1000000</v>
      </c>
      <c r="G592" s="22">
        <v>12</v>
      </c>
      <c r="H592" s="78">
        <f t="shared" si="48"/>
        <v>1333521.432163324</v>
      </c>
      <c r="J592" s="80">
        <f t="shared" si="51"/>
        <v>1000</v>
      </c>
      <c r="K592" s="22">
        <f t="shared" si="52"/>
        <v>12</v>
      </c>
      <c r="L592" s="81">
        <f t="shared" si="49"/>
        <v>1154.7819846894583</v>
      </c>
    </row>
    <row r="593" spans="6:12" x14ac:dyDescent="0.25">
      <c r="F593" s="80">
        <f t="shared" si="50"/>
        <v>1000000</v>
      </c>
      <c r="G593" s="22">
        <v>13</v>
      </c>
      <c r="H593" s="78">
        <f t="shared" si="48"/>
        <v>1365892.9601461866</v>
      </c>
      <c r="J593" s="80">
        <f t="shared" si="51"/>
        <v>1000</v>
      </c>
      <c r="K593" s="22">
        <f t="shared" si="52"/>
        <v>13</v>
      </c>
      <c r="L593" s="81">
        <f t="shared" si="49"/>
        <v>1168.7142337398766</v>
      </c>
    </row>
    <row r="594" spans="6:12" x14ac:dyDescent="0.25">
      <c r="F594" s="80">
        <f t="shared" si="50"/>
        <v>1000000</v>
      </c>
      <c r="G594" s="22">
        <v>14</v>
      </c>
      <c r="H594" s="78">
        <f t="shared" si="48"/>
        <v>1399050.314137294</v>
      </c>
      <c r="J594" s="80">
        <f t="shared" si="51"/>
        <v>1000</v>
      </c>
      <c r="K594" s="22">
        <f t="shared" si="52"/>
        <v>14</v>
      </c>
      <c r="L594" s="81">
        <f t="shared" si="49"/>
        <v>1182.8145730152692</v>
      </c>
    </row>
    <row r="595" spans="6:12" x14ac:dyDescent="0.25">
      <c r="F595" s="80">
        <f t="shared" si="50"/>
        <v>1000000</v>
      </c>
      <c r="G595" s="22">
        <v>15</v>
      </c>
      <c r="H595" s="78">
        <f t="shared" si="48"/>
        <v>1433012.570236963</v>
      </c>
      <c r="J595" s="80">
        <f t="shared" si="51"/>
        <v>1000</v>
      </c>
      <c r="K595" s="22">
        <f t="shared" si="52"/>
        <v>15</v>
      </c>
      <c r="L595" s="81">
        <f t="shared" si="49"/>
        <v>1197.0850304957298</v>
      </c>
    </row>
    <row r="596" spans="6:12" x14ac:dyDescent="0.25">
      <c r="F596" s="80">
        <f t="shared" si="50"/>
        <v>1000000</v>
      </c>
      <c r="G596" s="22">
        <v>16</v>
      </c>
      <c r="H596" s="78">
        <f t="shared" si="48"/>
        <v>1467799.2676220697</v>
      </c>
      <c r="J596" s="80">
        <f t="shared" si="51"/>
        <v>1000</v>
      </c>
      <c r="K596" s="22">
        <f t="shared" si="52"/>
        <v>16</v>
      </c>
      <c r="L596" s="81">
        <f t="shared" si="49"/>
        <v>1211.5276586285886</v>
      </c>
    </row>
    <row r="597" spans="6:12" x14ac:dyDescent="0.25">
      <c r="F597" s="80">
        <f t="shared" si="50"/>
        <v>1000000</v>
      </c>
      <c r="G597" s="22">
        <v>17</v>
      </c>
      <c r="H597" s="78">
        <f t="shared" si="48"/>
        <v>1503430.4197873343</v>
      </c>
      <c r="J597" s="80">
        <f t="shared" si="51"/>
        <v>1000</v>
      </c>
      <c r="K597" s="22">
        <f t="shared" si="52"/>
        <v>17</v>
      </c>
      <c r="L597" s="81">
        <f t="shared" si="49"/>
        <v>1226.1445346236039</v>
      </c>
    </row>
    <row r="598" spans="6:12" x14ac:dyDescent="0.25">
      <c r="F598" s="80">
        <f t="shared" si="50"/>
        <v>1000000</v>
      </c>
      <c r="G598" s="22">
        <v>18</v>
      </c>
      <c r="H598" s="78">
        <f t="shared" si="48"/>
        <v>1539926.526059492</v>
      </c>
      <c r="J598" s="80">
        <f t="shared" si="51"/>
        <v>1000</v>
      </c>
      <c r="K598" s="22">
        <f t="shared" si="52"/>
        <v>18</v>
      </c>
      <c r="L598" s="81">
        <f t="shared" si="49"/>
        <v>1240.9377607517197</v>
      </c>
    </row>
    <row r="599" spans="6:12" x14ac:dyDescent="0.25">
      <c r="F599" s="80">
        <f t="shared" si="50"/>
        <v>1000000</v>
      </c>
      <c r="G599" s="22">
        <v>19</v>
      </c>
      <c r="H599" s="78">
        <f t="shared" si="48"/>
        <v>1577308.5833909726</v>
      </c>
      <c r="J599" s="80">
        <f t="shared" si="51"/>
        <v>1000</v>
      </c>
      <c r="K599" s="22">
        <f t="shared" si="52"/>
        <v>19</v>
      </c>
      <c r="L599" s="81">
        <f t="shared" si="49"/>
        <v>1255.9094646474214</v>
      </c>
    </row>
    <row r="600" spans="6:12" x14ac:dyDescent="0.25">
      <c r="F600" s="80">
        <f t="shared" si="50"/>
        <v>1000000</v>
      </c>
      <c r="G600" s="22">
        <v>20</v>
      </c>
      <c r="H600" s="78">
        <f t="shared" si="48"/>
        <v>1615598.0984398741</v>
      </c>
      <c r="J600" s="80">
        <f t="shared" si="51"/>
        <v>1000</v>
      </c>
      <c r="K600" s="22">
        <f t="shared" si="52"/>
        <v>20</v>
      </c>
      <c r="L600" s="81">
        <f t="shared" si="49"/>
        <v>1271.0617996147448</v>
      </c>
    </row>
    <row r="601" spans="6:12" x14ac:dyDescent="0.25">
      <c r="F601" s="80">
        <f t="shared" si="50"/>
        <v>1000000</v>
      </c>
      <c r="G601" s="22">
        <v>21</v>
      </c>
      <c r="H601" s="78">
        <f t="shared" si="48"/>
        <v>1654817.0999431815</v>
      </c>
      <c r="J601" s="80">
        <f t="shared" si="51"/>
        <v>1000</v>
      </c>
      <c r="K601" s="22">
        <f t="shared" si="52"/>
        <v>21</v>
      </c>
      <c r="L601" s="81">
        <f t="shared" si="49"/>
        <v>1286.3969449369745</v>
      </c>
    </row>
    <row r="602" spans="6:12" x14ac:dyDescent="0.25">
      <c r="F602" s="80">
        <f t="shared" si="50"/>
        <v>1000000</v>
      </c>
      <c r="G602" s="22">
        <v>22</v>
      </c>
      <c r="H602" s="78">
        <f t="shared" si="48"/>
        <v>1694988.1513903467</v>
      </c>
      <c r="J602" s="80">
        <f t="shared" si="51"/>
        <v>1000</v>
      </c>
      <c r="K602" s="22">
        <f t="shared" si="52"/>
        <v>22</v>
      </c>
      <c r="L602" s="81">
        <f t="shared" si="49"/>
        <v>1301.9171061900779</v>
      </c>
    </row>
    <row r="603" spans="6:12" x14ac:dyDescent="0.25">
      <c r="F603" s="80">
        <f t="shared" si="50"/>
        <v>1000000</v>
      </c>
      <c r="G603" s="22">
        <v>23</v>
      </c>
      <c r="H603" s="78">
        <f t="shared" si="48"/>
        <v>1736134.3640045233</v>
      </c>
      <c r="J603" s="80">
        <f t="shared" si="51"/>
        <v>1000</v>
      </c>
      <c r="K603" s="22">
        <f t="shared" si="52"/>
        <v>23</v>
      </c>
      <c r="L603" s="81">
        <f t="shared" si="49"/>
        <v>1317.6245155599236</v>
      </c>
    </row>
    <row r="604" spans="6:12" x14ac:dyDescent="0.25">
      <c r="F604" s="80">
        <f t="shared" si="50"/>
        <v>1000000</v>
      </c>
      <c r="G604" s="22">
        <v>24</v>
      </c>
      <c r="H604" s="78">
        <f t="shared" si="48"/>
        <v>1778279.4100389229</v>
      </c>
      <c r="J604" s="80">
        <f t="shared" si="51"/>
        <v>1000</v>
      </c>
      <c r="K604" s="22">
        <f t="shared" si="52"/>
        <v>24</v>
      </c>
      <c r="L604" s="81">
        <f t="shared" si="49"/>
        <v>1333.5214321633239</v>
      </c>
    </row>
    <row r="605" spans="6:12" x14ac:dyDescent="0.25">
      <c r="F605" s="80">
        <f t="shared" si="50"/>
        <v>1000000</v>
      </c>
      <c r="G605" s="22">
        <v>25</v>
      </c>
      <c r="H605" s="78">
        <f t="shared" si="48"/>
        <v>1821447.5363959454</v>
      </c>
      <c r="J605" s="80">
        <f t="shared" si="51"/>
        <v>1000</v>
      </c>
      <c r="K605" s="22">
        <f t="shared" si="52"/>
        <v>25</v>
      </c>
      <c r="L605" s="81">
        <f t="shared" si="49"/>
        <v>1349.610142372954</v>
      </c>
    </row>
    <row r="606" spans="6:12" x14ac:dyDescent="0.25">
      <c r="F606" s="80">
        <f t="shared" si="50"/>
        <v>1000000</v>
      </c>
      <c r="G606" s="22">
        <v>26</v>
      </c>
      <c r="H606" s="78">
        <f t="shared" si="48"/>
        <v>1865663.5785769122</v>
      </c>
      <c r="J606" s="80">
        <f t="shared" si="51"/>
        <v>1000</v>
      </c>
      <c r="K606" s="22">
        <f t="shared" si="52"/>
        <v>26</v>
      </c>
      <c r="L606" s="81">
        <f t="shared" si="49"/>
        <v>1365.8929601461866</v>
      </c>
    </row>
    <row r="607" spans="6:12" x14ac:dyDescent="0.25">
      <c r="F607" s="80">
        <f t="shared" si="50"/>
        <v>1000000</v>
      </c>
      <c r="G607" s="22">
        <v>27</v>
      </c>
      <c r="H607" s="78">
        <f t="shared" si="48"/>
        <v>1910952.9749704406</v>
      </c>
      <c r="J607" s="80">
        <f t="shared" si="51"/>
        <v>1000</v>
      </c>
      <c r="K607" s="22">
        <f t="shared" si="52"/>
        <v>27</v>
      </c>
      <c r="L607" s="81">
        <f t="shared" si="49"/>
        <v>1382.3722273578999</v>
      </c>
    </row>
    <row r="608" spans="6:12" x14ac:dyDescent="0.25">
      <c r="F608" s="80">
        <f t="shared" si="50"/>
        <v>1000000</v>
      </c>
      <c r="G608" s="22">
        <v>28</v>
      </c>
      <c r="H608" s="78">
        <f t="shared" si="48"/>
        <v>1957341.7814876602</v>
      </c>
      <c r="J608" s="80">
        <f t="shared" si="51"/>
        <v>1000</v>
      </c>
      <c r="K608" s="22">
        <f t="shared" si="52"/>
        <v>28</v>
      </c>
      <c r="L608" s="81">
        <f t="shared" si="49"/>
        <v>1399.0503141372938</v>
      </c>
    </row>
    <row r="609" spans="6:12" x14ac:dyDescent="0.25">
      <c r="F609" s="80">
        <f t="shared" si="50"/>
        <v>1000000</v>
      </c>
      <c r="G609" s="22">
        <v>29</v>
      </c>
      <c r="H609" s="78">
        <f t="shared" si="48"/>
        <v>2004856.6865527136</v>
      </c>
      <c r="J609" s="80">
        <f t="shared" si="51"/>
        <v>1000</v>
      </c>
      <c r="K609" s="22">
        <f t="shared" si="52"/>
        <v>29</v>
      </c>
      <c r="L609" s="81">
        <f t="shared" si="49"/>
        <v>1415.9296192087775</v>
      </c>
    </row>
    <row r="610" spans="6:12" x14ac:dyDescent="0.25">
      <c r="F610" s="80">
        <f t="shared" si="50"/>
        <v>1000000</v>
      </c>
      <c r="G610" s="22">
        <v>30</v>
      </c>
      <c r="H610" s="78">
        <f t="shared" si="48"/>
        <v>2053525.0264571463</v>
      </c>
      <c r="J610" s="80">
        <f t="shared" si="51"/>
        <v>1000</v>
      </c>
      <c r="K610" s="22">
        <f t="shared" si="52"/>
        <v>30</v>
      </c>
      <c r="L610" s="81">
        <f t="shared" si="49"/>
        <v>1433.012570236963</v>
      </c>
    </row>
    <row r="611" spans="6:12" x14ac:dyDescent="0.25">
      <c r="F611" s="80">
        <f t="shared" si="50"/>
        <v>1000000</v>
      </c>
      <c r="G611" s="22">
        <v>31</v>
      </c>
      <c r="H611" s="78">
        <f t="shared" si="48"/>
        <v>2103374.8010870335</v>
      </c>
      <c r="J611" s="80">
        <f t="shared" si="51"/>
        <v>1000</v>
      </c>
      <c r="K611" s="22">
        <f t="shared" si="52"/>
        <v>31</v>
      </c>
      <c r="L611" s="81">
        <f t="shared" si="49"/>
        <v>1450.3016241758241</v>
      </c>
    </row>
    <row r="612" spans="6:12" x14ac:dyDescent="0.25">
      <c r="F612" s="80">
        <f t="shared" si="50"/>
        <v>1000000</v>
      </c>
      <c r="G612" s="22">
        <v>32</v>
      </c>
      <c r="H612" s="78">
        <f t="shared" si="48"/>
        <v>2154434.6900318838</v>
      </c>
      <c r="J612" s="80">
        <f t="shared" si="51"/>
        <v>1000</v>
      </c>
      <c r="K612" s="22">
        <f t="shared" si="52"/>
        <v>32</v>
      </c>
      <c r="L612" s="81">
        <f t="shared" si="49"/>
        <v>1467.7992676220697</v>
      </c>
    </row>
    <row r="613" spans="6:12" x14ac:dyDescent="0.25">
      <c r="F613" s="80">
        <f t="shared" si="50"/>
        <v>1000000</v>
      </c>
      <c r="G613" s="22">
        <v>33</v>
      </c>
      <c r="H613" s="78">
        <f t="shared" si="48"/>
        <v>2206734.0690845898</v>
      </c>
      <c r="J613" s="80">
        <f t="shared" si="51"/>
        <v>1000</v>
      </c>
      <c r="K613" s="22">
        <f t="shared" si="52"/>
        <v>33</v>
      </c>
      <c r="L613" s="81">
        <f t="shared" si="49"/>
        <v>1485.508017172775</v>
      </c>
    </row>
    <row r="614" spans="6:12" x14ac:dyDescent="0.25">
      <c r="F614" s="80">
        <f t="shared" si="50"/>
        <v>1000000</v>
      </c>
      <c r="G614" s="22">
        <v>34</v>
      </c>
      <c r="H614" s="78">
        <f t="shared" si="48"/>
        <v>2260303.0271419203</v>
      </c>
      <c r="J614" s="80">
        <f t="shared" si="51"/>
        <v>1000</v>
      </c>
      <c r="K614" s="22">
        <f t="shared" si="52"/>
        <v>34</v>
      </c>
      <c r="L614" s="81">
        <f t="shared" si="49"/>
        <v>1503.4304197873344</v>
      </c>
    </row>
    <row r="615" spans="6:12" x14ac:dyDescent="0.25">
      <c r="F615" s="80">
        <f t="shared" si="50"/>
        <v>1000000</v>
      </c>
      <c r="G615" s="22">
        <v>35</v>
      </c>
      <c r="H615" s="78">
        <f t="shared" si="48"/>
        <v>2315172.3835152732</v>
      </c>
      <c r="J615" s="80">
        <f t="shared" si="51"/>
        <v>1000</v>
      </c>
      <c r="K615" s="22">
        <f t="shared" si="52"/>
        <v>35</v>
      </c>
      <c r="L615" s="81">
        <f t="shared" si="49"/>
        <v>1521.5690531537743</v>
      </c>
    </row>
    <row r="616" spans="6:12" x14ac:dyDescent="0.25">
      <c r="F616" s="80">
        <f t="shared" si="50"/>
        <v>1000000</v>
      </c>
      <c r="G616" s="22">
        <v>36</v>
      </c>
      <c r="H616" s="78">
        <f t="shared" si="48"/>
        <v>2371373.7056616554</v>
      </c>
      <c r="J616" s="80">
        <f t="shared" si="51"/>
        <v>1000</v>
      </c>
      <c r="K616" s="22">
        <f t="shared" si="52"/>
        <v>36</v>
      </c>
      <c r="L616" s="81">
        <f t="shared" si="49"/>
        <v>1539.9265260594921</v>
      </c>
    </row>
    <row r="617" spans="6:12" x14ac:dyDescent="0.25">
      <c r="F617" s="80">
        <f t="shared" si="50"/>
        <v>1000000</v>
      </c>
      <c r="G617" s="22">
        <v>37</v>
      </c>
      <c r="H617" s="78">
        <f t="shared" si="48"/>
        <v>2428939.3273450793</v>
      </c>
      <c r="J617" s="80">
        <f t="shared" si="51"/>
        <v>1000</v>
      </c>
      <c r="K617" s="22">
        <f t="shared" si="52"/>
        <v>37</v>
      </c>
      <c r="L617" s="81">
        <f t="shared" si="49"/>
        <v>1558.5054787664621</v>
      </c>
    </row>
    <row r="618" spans="6:12" x14ac:dyDescent="0.25">
      <c r="F618" s="80">
        <f t="shared" si="50"/>
        <v>1000000</v>
      </c>
      <c r="G618" s="22">
        <v>38</v>
      </c>
      <c r="H618" s="78">
        <f t="shared" si="48"/>
        <v>2487902.3672388364</v>
      </c>
      <c r="J618" s="80">
        <f t="shared" si="51"/>
        <v>1000</v>
      </c>
      <c r="K618" s="22">
        <f t="shared" si="52"/>
        <v>38</v>
      </c>
      <c r="L618" s="81">
        <f t="shared" si="49"/>
        <v>1577.3085833909727</v>
      </c>
    </row>
    <row r="619" spans="6:12" x14ac:dyDescent="0.25">
      <c r="F619" s="80">
        <f t="shared" si="50"/>
        <v>1000000</v>
      </c>
      <c r="G619" s="22">
        <v>39</v>
      </c>
      <c r="H619" s="78">
        <f t="shared" si="48"/>
        <v>2548296.7479793471</v>
      </c>
      <c r="J619" s="80">
        <f t="shared" si="51"/>
        <v>1000</v>
      </c>
      <c r="K619" s="22">
        <f t="shared" si="52"/>
        <v>39</v>
      </c>
      <c r="L619" s="81">
        <f t="shared" si="49"/>
        <v>1596.3385442879423</v>
      </c>
    </row>
    <row r="620" spans="6:12" x14ac:dyDescent="0.25">
      <c r="F620" s="80">
        <f t="shared" si="50"/>
        <v>1000000</v>
      </c>
      <c r="G620" s="22">
        <v>40</v>
      </c>
      <c r="H620" s="78">
        <f t="shared" si="48"/>
        <v>2610157.2156825373</v>
      </c>
      <c r="J620" s="80">
        <f t="shared" si="51"/>
        <v>1000</v>
      </c>
      <c r="K620" s="22">
        <f t="shared" si="52"/>
        <v>40</v>
      </c>
      <c r="L620" s="81">
        <f t="shared" si="49"/>
        <v>1615.5980984398741</v>
      </c>
    </row>
    <row r="621" spans="6:12" x14ac:dyDescent="0.25">
      <c r="F621" s="80">
        <f t="shared" si="50"/>
        <v>1000000</v>
      </c>
      <c r="G621" s="22">
        <v>41</v>
      </c>
      <c r="H621" s="78">
        <f t="shared" si="48"/>
        <v>2673519.359933991</v>
      </c>
      <c r="J621" s="80">
        <f t="shared" si="51"/>
        <v>1000</v>
      </c>
      <c r="K621" s="22">
        <f t="shared" si="52"/>
        <v>41</v>
      </c>
      <c r="L621" s="81">
        <f t="shared" si="49"/>
        <v>1635.0900158505008</v>
      </c>
    </row>
    <row r="622" spans="6:12" x14ac:dyDescent="0.25">
      <c r="F622" s="80">
        <f t="shared" si="50"/>
        <v>1000000</v>
      </c>
      <c r="G622" s="22">
        <v>42</v>
      </c>
      <c r="H622" s="78">
        <f t="shared" si="48"/>
        <v>2738419.6342643616</v>
      </c>
      <c r="J622" s="80">
        <f t="shared" si="51"/>
        <v>1000</v>
      </c>
      <c r="K622" s="22">
        <f t="shared" si="52"/>
        <v>42</v>
      </c>
      <c r="L622" s="81">
        <f t="shared" si="49"/>
        <v>1654.8170999431816</v>
      </c>
    </row>
    <row r="623" spans="6:12" x14ac:dyDescent="0.25">
      <c r="F623" s="80">
        <f t="shared" si="50"/>
        <v>1000000</v>
      </c>
      <c r="G623" s="22">
        <v>43</v>
      </c>
      <c r="H623" s="78">
        <f t="shared" si="48"/>
        <v>2804895.377121828</v>
      </c>
      <c r="J623" s="80">
        <f t="shared" si="51"/>
        <v>1000</v>
      </c>
      <c r="K623" s="22">
        <f t="shared" si="52"/>
        <v>43</v>
      </c>
      <c r="L623" s="81">
        <f t="shared" si="49"/>
        <v>1674.7821879641031</v>
      </c>
    </row>
    <row r="624" spans="6:12" x14ac:dyDescent="0.25">
      <c r="F624" s="80">
        <f t="shared" si="50"/>
        <v>1000000</v>
      </c>
      <c r="G624" s="22">
        <v>44</v>
      </c>
      <c r="H624" s="78">
        <f t="shared" si="48"/>
        <v>2872984.8333536647</v>
      </c>
      <c r="J624" s="80">
        <f t="shared" si="51"/>
        <v>1000</v>
      </c>
      <c r="K624" s="22">
        <f t="shared" si="52"/>
        <v>44</v>
      </c>
      <c r="L624" s="81">
        <f t="shared" si="49"/>
        <v>1694.9881513903467</v>
      </c>
    </row>
    <row r="625" spans="6:12" x14ac:dyDescent="0.25">
      <c r="F625" s="80">
        <f t="shared" si="50"/>
        <v>1000000</v>
      </c>
      <c r="G625" s="22">
        <v>45</v>
      </c>
      <c r="H625" s="78">
        <f t="shared" si="48"/>
        <v>2942727.1762092826</v>
      </c>
      <c r="J625" s="80">
        <f t="shared" si="51"/>
        <v>1000</v>
      </c>
      <c r="K625" s="22">
        <f t="shared" si="52"/>
        <v>45</v>
      </c>
      <c r="L625" s="81">
        <f t="shared" si="49"/>
        <v>1715.4378963428792</v>
      </c>
    </row>
    <row r="626" spans="6:12" x14ac:dyDescent="0.25">
      <c r="F626" s="80">
        <f t="shared" si="50"/>
        <v>1000000</v>
      </c>
      <c r="G626" s="22">
        <v>46</v>
      </c>
      <c r="H626" s="78">
        <f t="shared" si="48"/>
        <v>3014162.5298773907</v>
      </c>
      <c r="J626" s="80">
        <f t="shared" si="51"/>
        <v>1000</v>
      </c>
      <c r="K626" s="22">
        <f t="shared" si="52"/>
        <v>46</v>
      </c>
      <c r="L626" s="81">
        <f t="shared" si="49"/>
        <v>1736.1343640045231</v>
      </c>
    </row>
    <row r="627" spans="6:12" x14ac:dyDescent="0.25">
      <c r="F627" s="80">
        <f t="shared" si="50"/>
        <v>1000000</v>
      </c>
      <c r="G627" s="22">
        <v>47</v>
      </c>
      <c r="H627" s="78">
        <f t="shared" si="48"/>
        <v>3087331.9925702638</v>
      </c>
      <c r="J627" s="80">
        <f t="shared" si="51"/>
        <v>1000</v>
      </c>
      <c r="K627" s="22">
        <f t="shared" si="52"/>
        <v>47</v>
      </c>
      <c r="L627" s="81">
        <f t="shared" si="49"/>
        <v>1757.0805310429753</v>
      </c>
    </row>
    <row r="628" spans="6:12" x14ac:dyDescent="0.25">
      <c r="F628" s="80">
        <f t="shared" si="50"/>
        <v>1000000</v>
      </c>
      <c r="G628" s="22">
        <v>48</v>
      </c>
      <c r="H628" s="78">
        <f t="shared" si="48"/>
        <v>3162277.6601683795</v>
      </c>
      <c r="J628" s="80">
        <f t="shared" si="51"/>
        <v>1000</v>
      </c>
      <c r="K628" s="22">
        <f t="shared" si="52"/>
        <v>48</v>
      </c>
      <c r="L628" s="81">
        <f t="shared" si="49"/>
        <v>1778.2794100389231</v>
      </c>
    </row>
    <row r="629" spans="6:12" x14ac:dyDescent="0.25">
      <c r="F629" s="80">
        <f t="shared" si="50"/>
        <v>1000000</v>
      </c>
      <c r="G629" s="22">
        <v>49</v>
      </c>
      <c r="H629" s="78">
        <f t="shared" si="48"/>
        <v>3239042.6504390305</v>
      </c>
      <c r="J629" s="80">
        <f t="shared" si="51"/>
        <v>1000</v>
      </c>
      <c r="K629" s="22">
        <f t="shared" si="52"/>
        <v>49</v>
      </c>
      <c r="L629" s="81">
        <f t="shared" si="49"/>
        <v>1799.7340499193292</v>
      </c>
    </row>
    <row r="630" spans="6:12" x14ac:dyDescent="0.25">
      <c r="F630" s="80">
        <f t="shared" si="50"/>
        <v>1000000</v>
      </c>
      <c r="G630" s="22">
        <v>50</v>
      </c>
      <c r="H630" s="78">
        <f t="shared" si="48"/>
        <v>3317671.127842858</v>
      </c>
      <c r="J630" s="80">
        <f t="shared" si="51"/>
        <v>1000</v>
      </c>
      <c r="K630" s="22">
        <f t="shared" si="52"/>
        <v>50</v>
      </c>
      <c r="L630" s="81">
        <f t="shared" si="49"/>
        <v>1821.4475363959452</v>
      </c>
    </row>
    <row r="631" spans="6:12" x14ac:dyDescent="0.25">
      <c r="F631" s="80">
        <f t="shared" si="50"/>
        <v>1000000</v>
      </c>
      <c r="G631" s="22">
        <v>51</v>
      </c>
      <c r="H631" s="78">
        <f t="shared" si="48"/>
        <v>3398208.3289425592</v>
      </c>
      <c r="J631" s="80">
        <f t="shared" si="51"/>
        <v>1000</v>
      </c>
      <c r="K631" s="22">
        <f t="shared" si="52"/>
        <v>51</v>
      </c>
      <c r="L631" s="81">
        <f t="shared" si="49"/>
        <v>1843.4229924091105</v>
      </c>
    </row>
    <row r="632" spans="6:12" x14ac:dyDescent="0.25">
      <c r="F632" s="80">
        <f t="shared" si="50"/>
        <v>1000000</v>
      </c>
      <c r="G632" s="22">
        <v>52</v>
      </c>
      <c r="H632" s="78">
        <f t="shared" si="48"/>
        <v>3480700.5884284107</v>
      </c>
      <c r="J632" s="80">
        <f t="shared" si="51"/>
        <v>1000</v>
      </c>
      <c r="K632" s="22">
        <f t="shared" si="52"/>
        <v>52</v>
      </c>
      <c r="L632" s="81">
        <f t="shared" si="49"/>
        <v>1865.6635785769122</v>
      </c>
    </row>
    <row r="633" spans="6:12" x14ac:dyDescent="0.25">
      <c r="F633" s="80">
        <f t="shared" si="50"/>
        <v>1000000</v>
      </c>
      <c r="G633" s="22">
        <v>53</v>
      </c>
      <c r="H633" s="78">
        <f t="shared" si="48"/>
        <v>3565195.3657755493</v>
      </c>
      <c r="J633" s="80">
        <f t="shared" si="51"/>
        <v>1000</v>
      </c>
      <c r="K633" s="22">
        <f t="shared" si="52"/>
        <v>53</v>
      </c>
      <c r="L633" s="81">
        <f t="shared" si="49"/>
        <v>1888.172493649759</v>
      </c>
    </row>
    <row r="634" spans="6:12" x14ac:dyDescent="0.25">
      <c r="F634" s="80">
        <f t="shared" si="50"/>
        <v>1000000</v>
      </c>
      <c r="G634" s="22">
        <v>54</v>
      </c>
      <c r="H634" s="78">
        <f t="shared" si="48"/>
        <v>3651741.2725483775</v>
      </c>
      <c r="J634" s="80">
        <f t="shared" si="51"/>
        <v>1000</v>
      </c>
      <c r="K634" s="22">
        <f t="shared" si="52"/>
        <v>54</v>
      </c>
      <c r="L634" s="81">
        <f t="shared" si="49"/>
        <v>1910.9529749704407</v>
      </c>
    </row>
    <row r="635" spans="6:12" x14ac:dyDescent="0.25">
      <c r="F635" s="80">
        <f t="shared" si="50"/>
        <v>1000000</v>
      </c>
      <c r="G635" s="22">
        <v>55</v>
      </c>
      <c r="H635" s="78">
        <f t="shared" si="48"/>
        <v>3740388.1003677859</v>
      </c>
      <c r="J635" s="80">
        <f t="shared" si="51"/>
        <v>1000</v>
      </c>
      <c r="K635" s="22">
        <f t="shared" si="52"/>
        <v>55</v>
      </c>
      <c r="L635" s="81">
        <f t="shared" si="49"/>
        <v>1934.0082989397397</v>
      </c>
    </row>
    <row r="636" spans="6:12" x14ac:dyDescent="0.25">
      <c r="F636" s="80">
        <f t="shared" si="50"/>
        <v>1000000</v>
      </c>
      <c r="G636" s="22">
        <v>56</v>
      </c>
      <c r="H636" s="78">
        <f t="shared" si="48"/>
        <v>3831186.8495572885</v>
      </c>
      <c r="J636" s="80">
        <f t="shared" si="51"/>
        <v>1000</v>
      </c>
      <c r="K636" s="22">
        <f t="shared" si="52"/>
        <v>56</v>
      </c>
      <c r="L636" s="81">
        <f t="shared" si="49"/>
        <v>1957.3417814876605</v>
      </c>
    </row>
    <row r="637" spans="6:12" x14ac:dyDescent="0.25">
      <c r="F637" s="80">
        <f t="shared" si="50"/>
        <v>1000000</v>
      </c>
      <c r="G637" s="22">
        <v>57</v>
      </c>
      <c r="H637" s="78">
        <f t="shared" si="48"/>
        <v>3924189.7584845363</v>
      </c>
      <c r="J637" s="80">
        <f t="shared" si="51"/>
        <v>1000</v>
      </c>
      <c r="K637" s="22">
        <f t="shared" si="52"/>
        <v>57</v>
      </c>
      <c r="L637" s="81">
        <f t="shared" si="49"/>
        <v>1980.9567785503389</v>
      </c>
    </row>
    <row r="638" spans="6:12" x14ac:dyDescent="0.25">
      <c r="F638" s="80">
        <f t="shared" si="50"/>
        <v>1000000</v>
      </c>
      <c r="G638" s="22">
        <v>58</v>
      </c>
      <c r="H638" s="78">
        <f t="shared" si="48"/>
        <v>4019450.3336151256</v>
      </c>
      <c r="J638" s="80">
        <f t="shared" si="51"/>
        <v>1000</v>
      </c>
      <c r="K638" s="22">
        <f t="shared" si="52"/>
        <v>58</v>
      </c>
      <c r="L638" s="81">
        <f t="shared" si="49"/>
        <v>2004.8566865527137</v>
      </c>
    </row>
    <row r="639" spans="6:12" x14ac:dyDescent="0.25">
      <c r="F639" s="80">
        <f t="shared" si="50"/>
        <v>1000000</v>
      </c>
      <c r="G639" s="22">
        <v>59</v>
      </c>
      <c r="H639" s="78">
        <f t="shared" si="48"/>
        <v>4117023.3802959481</v>
      </c>
      <c r="J639" s="80">
        <f t="shared" si="51"/>
        <v>1000</v>
      </c>
      <c r="K639" s="22">
        <f t="shared" si="52"/>
        <v>59</v>
      </c>
      <c r="L639" s="81">
        <f t="shared" si="49"/>
        <v>2029.0449428970146</v>
      </c>
    </row>
    <row r="640" spans="6:12" x14ac:dyDescent="0.25">
      <c r="F640" s="80">
        <f t="shared" si="50"/>
        <v>1000000</v>
      </c>
      <c r="G640" s="22">
        <v>60</v>
      </c>
      <c r="H640" s="78">
        <f t="shared" si="48"/>
        <v>4216965.0342858229</v>
      </c>
      <c r="J640" s="80">
        <f t="shared" si="51"/>
        <v>1000</v>
      </c>
      <c r="K640" s="22">
        <f t="shared" si="52"/>
        <v>60</v>
      </c>
      <c r="L640" s="81">
        <f t="shared" si="49"/>
        <v>2053.5250264571464</v>
      </c>
    </row>
    <row r="641" spans="6:12" x14ac:dyDescent="0.25">
      <c r="F641" s="80">
        <f t="shared" si="50"/>
        <v>1000000</v>
      </c>
      <c r="G641" s="22">
        <v>61</v>
      </c>
      <c r="H641" s="78">
        <f t="shared" si="48"/>
        <v>4319332.7940515447</v>
      </c>
      <c r="J641" s="80">
        <f t="shared" si="51"/>
        <v>1000</v>
      </c>
      <c r="K641" s="22">
        <f t="shared" si="52"/>
        <v>61</v>
      </c>
      <c r="L641" s="81">
        <f t="shared" si="49"/>
        <v>2078.3004580790393</v>
      </c>
    </row>
    <row r="642" spans="6:12" x14ac:dyDescent="0.25">
      <c r="F642" s="80">
        <f t="shared" si="50"/>
        <v>1000000</v>
      </c>
      <c r="G642" s="22">
        <v>62</v>
      </c>
      <c r="H642" s="78">
        <f t="shared" si="48"/>
        <v>4424185.5538479183</v>
      </c>
      <c r="J642" s="80">
        <f t="shared" si="51"/>
        <v>1000</v>
      </c>
      <c r="K642" s="22">
        <f t="shared" si="52"/>
        <v>62</v>
      </c>
      <c r="L642" s="81">
        <f t="shared" si="49"/>
        <v>2103.3748010870336</v>
      </c>
    </row>
    <row r="643" spans="6:12" x14ac:dyDescent="0.25">
      <c r="F643" s="80">
        <f t="shared" si="50"/>
        <v>1000000</v>
      </c>
      <c r="G643" s="22">
        <v>63</v>
      </c>
      <c r="H643" s="78">
        <f t="shared" si="48"/>
        <v>4531583.6376008186</v>
      </c>
      <c r="J643" s="80">
        <f t="shared" si="51"/>
        <v>1000</v>
      </c>
      <c r="K643" s="22">
        <f t="shared" si="52"/>
        <v>63</v>
      </c>
      <c r="L643" s="81">
        <f t="shared" si="49"/>
        <v>2128.7516617963724</v>
      </c>
    </row>
    <row r="644" spans="6:12" x14ac:dyDescent="0.25">
      <c r="F644" s="80">
        <f t="shared" si="50"/>
        <v>1000000</v>
      </c>
      <c r="G644" s="22">
        <v>64</v>
      </c>
      <c r="H644" s="78">
        <f t="shared" ref="H644:H676" si="53">F644*10^(G644/96)</f>
        <v>4641588.8336127792</v>
      </c>
      <c r="J644" s="80">
        <f t="shared" si="51"/>
        <v>1000</v>
      </c>
      <c r="K644" s="22">
        <f t="shared" si="52"/>
        <v>64</v>
      </c>
      <c r="L644" s="81">
        <f t="shared" si="49"/>
        <v>2154.4346900318837</v>
      </c>
    </row>
    <row r="645" spans="6:12" x14ac:dyDescent="0.25">
      <c r="F645" s="80">
        <f t="shared" si="50"/>
        <v>1000000</v>
      </c>
      <c r="G645" s="22">
        <v>65</v>
      </c>
      <c r="H645" s="78">
        <f t="shared" si="53"/>
        <v>4754264.4301110571</v>
      </c>
      <c r="J645" s="80">
        <f t="shared" si="51"/>
        <v>1000</v>
      </c>
      <c r="K645" s="22">
        <f t="shared" si="52"/>
        <v>65</v>
      </c>
      <c r="L645" s="81">
        <f t="shared" ref="L645:L708" si="54">J645*10^(K645/192)</f>
        <v>2180.4275796529123</v>
      </c>
    </row>
    <row r="646" spans="6:12" x14ac:dyDescent="0.25">
      <c r="F646" s="80">
        <f t="shared" ref="F646:F676" si="55">F550*10</f>
        <v>1000000</v>
      </c>
      <c r="G646" s="22">
        <v>66</v>
      </c>
      <c r="H646" s="78">
        <f t="shared" si="53"/>
        <v>4869675.2516586315</v>
      </c>
      <c r="J646" s="80">
        <f t="shared" ref="J646:J709" si="56">J454*10</f>
        <v>1000</v>
      </c>
      <c r="K646" s="22">
        <f t="shared" ref="K646:K709" si="57">K645+1</f>
        <v>66</v>
      </c>
      <c r="L646" s="81">
        <f t="shared" si="54"/>
        <v>2206.7340690845899</v>
      </c>
    </row>
    <row r="647" spans="6:12" x14ac:dyDescent="0.25">
      <c r="F647" s="80">
        <f t="shared" si="55"/>
        <v>1000000</v>
      </c>
      <c r="G647" s="22">
        <v>67</v>
      </c>
      <c r="H647" s="78">
        <f t="shared" si="53"/>
        <v>4987887.6964491066</v>
      </c>
      <c r="J647" s="80">
        <f t="shared" si="56"/>
        <v>1000</v>
      </c>
      <c r="K647" s="22">
        <f t="shared" si="57"/>
        <v>67</v>
      </c>
      <c r="L647" s="81">
        <f t="shared" si="54"/>
        <v>2233.3579418555159</v>
      </c>
    </row>
    <row r="648" spans="6:12" x14ac:dyDescent="0.25">
      <c r="F648" s="80">
        <f t="shared" si="55"/>
        <v>1000000</v>
      </c>
      <c r="G648" s="22">
        <v>68</v>
      </c>
      <c r="H648" s="78">
        <f t="shared" si="53"/>
        <v>5108969.7745069293</v>
      </c>
      <c r="J648" s="80">
        <f t="shared" si="56"/>
        <v>1000</v>
      </c>
      <c r="K648" s="22">
        <f t="shared" si="57"/>
        <v>68</v>
      </c>
      <c r="L648" s="81">
        <f t="shared" si="54"/>
        <v>2260.3030271419202</v>
      </c>
    </row>
    <row r="649" spans="6:12" x14ac:dyDescent="0.25">
      <c r="F649" s="80">
        <f t="shared" si="55"/>
        <v>1000000</v>
      </c>
      <c r="G649" s="22">
        <v>69</v>
      </c>
      <c r="H649" s="78">
        <f t="shared" si="53"/>
        <v>5232991.1468149479</v>
      </c>
      <c r="J649" s="80">
        <f t="shared" si="56"/>
        <v>1000</v>
      </c>
      <c r="K649" s="22">
        <f t="shared" si="57"/>
        <v>69</v>
      </c>
      <c r="L649" s="81">
        <f t="shared" si="54"/>
        <v>2287.5732003183962</v>
      </c>
    </row>
    <row r="650" spans="6:12" x14ac:dyDescent="0.25">
      <c r="F650" s="80">
        <f t="shared" si="55"/>
        <v>1000000</v>
      </c>
      <c r="G650" s="22">
        <v>70</v>
      </c>
      <c r="H650" s="78">
        <f t="shared" si="53"/>
        <v>5360023.1653917916</v>
      </c>
      <c r="J650" s="80">
        <f t="shared" si="56"/>
        <v>1000</v>
      </c>
      <c r="K650" s="22">
        <f t="shared" si="57"/>
        <v>70</v>
      </c>
      <c r="L650" s="81">
        <f t="shared" si="54"/>
        <v>2315.1723835152734</v>
      </c>
    </row>
    <row r="651" spans="6:12" x14ac:dyDescent="0.25">
      <c r="F651" s="80">
        <f t="shared" si="55"/>
        <v>1000000</v>
      </c>
      <c r="G651" s="22">
        <v>71</v>
      </c>
      <c r="H651" s="78">
        <f t="shared" si="53"/>
        <v>5490138.9143421417</v>
      </c>
      <c r="J651" s="80">
        <f t="shared" si="56"/>
        <v>1000</v>
      </c>
      <c r="K651" s="22">
        <f t="shared" si="57"/>
        <v>71</v>
      </c>
      <c r="L651" s="81">
        <f t="shared" si="54"/>
        <v>2343.1045461827225</v>
      </c>
    </row>
    <row r="652" spans="6:12" x14ac:dyDescent="0.25">
      <c r="F652" s="80">
        <f t="shared" si="55"/>
        <v>1000000</v>
      </c>
      <c r="G652" s="22">
        <v>72</v>
      </c>
      <c r="H652" s="78">
        <f t="shared" si="53"/>
        <v>5623413.251903492</v>
      </c>
      <c r="J652" s="80">
        <f t="shared" si="56"/>
        <v>1000</v>
      </c>
      <c r="K652" s="22">
        <f t="shared" si="57"/>
        <v>72</v>
      </c>
      <c r="L652" s="81">
        <f t="shared" si="54"/>
        <v>2371.3737056616555</v>
      </c>
    </row>
    <row r="653" spans="6:12" x14ac:dyDescent="0.25">
      <c r="F653" s="80">
        <f t="shared" si="55"/>
        <v>1000000</v>
      </c>
      <c r="G653" s="22">
        <v>73</v>
      </c>
      <c r="H653" s="78">
        <f t="shared" si="53"/>
        <v>5759922.8535136282</v>
      </c>
      <c r="J653" s="80">
        <f t="shared" si="56"/>
        <v>1000</v>
      </c>
      <c r="K653" s="22">
        <f t="shared" si="57"/>
        <v>73</v>
      </c>
      <c r="L653" s="81">
        <f t="shared" si="54"/>
        <v>2399.9839277615233</v>
      </c>
    </row>
    <row r="654" spans="6:12" x14ac:dyDescent="0.25">
      <c r="F654" s="80">
        <f t="shared" si="55"/>
        <v>1000000</v>
      </c>
      <c r="G654" s="22">
        <v>74</v>
      </c>
      <c r="H654" s="78">
        <f t="shared" si="53"/>
        <v>5899746.2559235655</v>
      </c>
      <c r="J654" s="80">
        <f t="shared" si="56"/>
        <v>1000</v>
      </c>
      <c r="K654" s="22">
        <f t="shared" si="57"/>
        <v>74</v>
      </c>
      <c r="L654" s="81">
        <f t="shared" si="54"/>
        <v>2428.9393273450792</v>
      </c>
    </row>
    <row r="655" spans="6:12" x14ac:dyDescent="0.25">
      <c r="F655" s="80">
        <f t="shared" si="55"/>
        <v>1000000</v>
      </c>
      <c r="G655" s="22">
        <v>75</v>
      </c>
      <c r="H655" s="78">
        <f t="shared" si="53"/>
        <v>6042963.9023813289</v>
      </c>
      <c r="J655" s="80">
        <f t="shared" si="56"/>
        <v>1000</v>
      </c>
      <c r="K655" s="22">
        <f t="shared" si="57"/>
        <v>75</v>
      </c>
      <c r="L655" s="81">
        <f t="shared" si="54"/>
        <v>2458.2440689201976</v>
      </c>
    </row>
    <row r="656" spans="6:12" x14ac:dyDescent="0.25">
      <c r="F656" s="80">
        <f t="shared" si="55"/>
        <v>1000000</v>
      </c>
      <c r="G656" s="22">
        <v>76</v>
      </c>
      <c r="H656" s="78">
        <f t="shared" si="53"/>
        <v>6189658.1889126059</v>
      </c>
      <c r="J656" s="80">
        <f t="shared" si="56"/>
        <v>1000</v>
      </c>
      <c r="K656" s="22">
        <f t="shared" si="57"/>
        <v>76</v>
      </c>
      <c r="L656" s="81">
        <f t="shared" si="54"/>
        <v>2487.9023672388362</v>
      </c>
    </row>
    <row r="657" spans="6:12" x14ac:dyDescent="0.25">
      <c r="F657" s="80">
        <f t="shared" si="55"/>
        <v>1000000</v>
      </c>
      <c r="G657" s="22">
        <v>77</v>
      </c>
      <c r="H657" s="78">
        <f t="shared" si="53"/>
        <v>6339913.5117248455</v>
      </c>
      <c r="J657" s="80">
        <f t="shared" si="56"/>
        <v>1000</v>
      </c>
      <c r="K657" s="22">
        <f t="shared" si="57"/>
        <v>77</v>
      </c>
      <c r="L657" s="81">
        <f t="shared" si="54"/>
        <v>2517.9184879032218</v>
      </c>
    </row>
    <row r="658" spans="6:12" x14ac:dyDescent="0.25">
      <c r="F658" s="80">
        <f t="shared" si="55"/>
        <v>1000000</v>
      </c>
      <c r="G658" s="22">
        <v>78</v>
      </c>
      <c r="H658" s="78">
        <f t="shared" si="53"/>
        <v>6493816.3157621147</v>
      </c>
      <c r="J658" s="80">
        <f t="shared" si="56"/>
        <v>1000</v>
      </c>
      <c r="K658" s="22">
        <f t="shared" si="57"/>
        <v>78</v>
      </c>
      <c r="L658" s="81">
        <f t="shared" si="54"/>
        <v>2548.2967479793469</v>
      </c>
    </row>
    <row r="659" spans="6:12" x14ac:dyDescent="0.25">
      <c r="F659" s="80">
        <f t="shared" si="55"/>
        <v>1000000</v>
      </c>
      <c r="G659" s="22">
        <v>79</v>
      </c>
      <c r="H659" s="78">
        <f t="shared" si="53"/>
        <v>6651455.1444386337</v>
      </c>
      <c r="J659" s="80">
        <f t="shared" si="56"/>
        <v>1000</v>
      </c>
      <c r="K659" s="22">
        <f t="shared" si="57"/>
        <v>79</v>
      </c>
      <c r="L659" s="81">
        <f t="shared" si="54"/>
        <v>2579.0415166178764</v>
      </c>
    </row>
    <row r="660" spans="6:12" x14ac:dyDescent="0.25">
      <c r="F660" s="80">
        <f t="shared" si="55"/>
        <v>1000000</v>
      </c>
      <c r="G660" s="22">
        <v>80</v>
      </c>
      <c r="H660" s="78">
        <f t="shared" si="53"/>
        <v>6812920.6905796137</v>
      </c>
      <c r="J660" s="80">
        <f t="shared" si="56"/>
        <v>1000</v>
      </c>
      <c r="K660" s="22">
        <f t="shared" si="57"/>
        <v>80</v>
      </c>
      <c r="L660" s="81">
        <f t="shared" si="54"/>
        <v>2610.1572156825373</v>
      </c>
    </row>
    <row r="661" spans="6:12" x14ac:dyDescent="0.25">
      <c r="F661" s="80">
        <f t="shared" si="55"/>
        <v>1000000</v>
      </c>
      <c r="G661" s="22">
        <v>81</v>
      </c>
      <c r="H661" s="78">
        <f t="shared" si="53"/>
        <v>6978305.8485986646</v>
      </c>
      <c r="J661" s="80">
        <f t="shared" si="56"/>
        <v>1000</v>
      </c>
      <c r="K661" s="22">
        <f t="shared" si="57"/>
        <v>81</v>
      </c>
      <c r="L661" s="81">
        <f t="shared" si="54"/>
        <v>2641.6483203860926</v>
      </c>
    </row>
    <row r="662" spans="6:12" x14ac:dyDescent="0.25">
      <c r="F662" s="80">
        <f t="shared" si="55"/>
        <v>1000000</v>
      </c>
      <c r="G662" s="22">
        <v>82</v>
      </c>
      <c r="H662" s="78">
        <f t="shared" si="53"/>
        <v>7147705.7679418568</v>
      </c>
      <c r="J662" s="80">
        <f t="shared" si="56"/>
        <v>1000</v>
      </c>
      <c r="K662" s="22">
        <f t="shared" si="57"/>
        <v>82</v>
      </c>
      <c r="L662" s="81">
        <f t="shared" si="54"/>
        <v>2673.5193599339909</v>
      </c>
    </row>
    <row r="663" spans="6:12" x14ac:dyDescent="0.25">
      <c r="F663" s="80">
        <f t="shared" si="55"/>
        <v>1000000</v>
      </c>
      <c r="G663" s="22">
        <v>83</v>
      </c>
      <c r="H663" s="78">
        <f t="shared" si="53"/>
        <v>7321217.907829131</v>
      </c>
      <c r="J663" s="80">
        <f t="shared" si="56"/>
        <v>1000</v>
      </c>
      <c r="K663" s="22">
        <f t="shared" si="57"/>
        <v>83</v>
      </c>
      <c r="L663" s="81">
        <f t="shared" si="54"/>
        <v>2705.7749181757767</v>
      </c>
    </row>
    <row r="664" spans="6:12" x14ac:dyDescent="0.25">
      <c r="F664" s="80">
        <f t="shared" si="55"/>
        <v>1000000</v>
      </c>
      <c r="G664" s="22">
        <v>84</v>
      </c>
      <c r="H664" s="78">
        <f t="shared" si="53"/>
        <v>7498942.0933245588</v>
      </c>
      <c r="J664" s="80">
        <f t="shared" si="56"/>
        <v>1000</v>
      </c>
      <c r="K664" s="22">
        <f t="shared" si="57"/>
        <v>84</v>
      </c>
      <c r="L664" s="81">
        <f t="shared" si="54"/>
        <v>2738.4196342643613</v>
      </c>
    </row>
    <row r="665" spans="6:12" x14ac:dyDescent="0.25">
      <c r="F665" s="80">
        <f t="shared" si="55"/>
        <v>1000000</v>
      </c>
      <c r="G665" s="22">
        <v>85</v>
      </c>
      <c r="H665" s="78">
        <f t="shared" si="53"/>
        <v>7680980.572767755</v>
      </c>
      <c r="J665" s="80">
        <f t="shared" si="56"/>
        <v>1000</v>
      </c>
      <c r="K665" s="22">
        <f t="shared" si="57"/>
        <v>85</v>
      </c>
      <c r="L665" s="81">
        <f t="shared" si="54"/>
        <v>2771.4582033232532</v>
      </c>
    </row>
    <row r="666" spans="6:12" x14ac:dyDescent="0.25">
      <c r="F666" s="80">
        <f t="shared" si="55"/>
        <v>1000000</v>
      </c>
      <c r="G666" s="22">
        <v>86</v>
      </c>
      <c r="H666" s="78">
        <f t="shared" si="53"/>
        <v>7867438.0765994033</v>
      </c>
      <c r="J666" s="80">
        <f t="shared" si="56"/>
        <v>1000</v>
      </c>
      <c r="K666" s="22">
        <f t="shared" si="57"/>
        <v>86</v>
      </c>
      <c r="L666" s="81">
        <f t="shared" si="54"/>
        <v>2804.895377121828</v>
      </c>
    </row>
    <row r="667" spans="6:12" x14ac:dyDescent="0.25">
      <c r="F667" s="80">
        <f t="shared" si="55"/>
        <v>1000000</v>
      </c>
      <c r="G667" s="22">
        <v>87</v>
      </c>
      <c r="H667" s="78">
        <f t="shared" si="53"/>
        <v>8058421.8776148194</v>
      </c>
      <c r="J667" s="80">
        <f t="shared" si="56"/>
        <v>1000</v>
      </c>
      <c r="K667" s="22">
        <f t="shared" si="57"/>
        <v>87</v>
      </c>
      <c r="L667" s="81">
        <f t="shared" si="54"/>
        <v>2838.735964758755</v>
      </c>
    </row>
    <row r="668" spans="6:12" x14ac:dyDescent="0.25">
      <c r="F668" s="80">
        <f t="shared" si="55"/>
        <v>1000000</v>
      </c>
      <c r="G668" s="22">
        <v>88</v>
      </c>
      <c r="H668" s="78">
        <f t="shared" si="53"/>
        <v>8254041.852680183</v>
      </c>
      <c r="J668" s="80">
        <f t="shared" si="56"/>
        <v>1000</v>
      </c>
      <c r="K668" s="22">
        <f t="shared" si="57"/>
        <v>88</v>
      </c>
      <c r="L668" s="81">
        <f t="shared" si="54"/>
        <v>2872.9848333536647</v>
      </c>
    </row>
    <row r="669" spans="6:12" x14ac:dyDescent="0.25">
      <c r="F669" s="80">
        <f t="shared" si="55"/>
        <v>1000000</v>
      </c>
      <c r="G669" s="22">
        <v>89</v>
      </c>
      <c r="H669" s="78">
        <f t="shared" si="53"/>
        <v>8454410.545946924</v>
      </c>
      <c r="J669" s="80">
        <f t="shared" si="56"/>
        <v>1000</v>
      </c>
      <c r="K669" s="22">
        <f t="shared" si="57"/>
        <v>89</v>
      </c>
      <c r="L669" s="81">
        <f t="shared" si="54"/>
        <v>2907.6469087471619</v>
      </c>
    </row>
    <row r="670" spans="6:12" x14ac:dyDescent="0.25">
      <c r="F670" s="80">
        <f t="shared" si="55"/>
        <v>1000000</v>
      </c>
      <c r="G670" s="22">
        <v>90</v>
      </c>
      <c r="H670" s="78">
        <f t="shared" si="53"/>
        <v>8659643.2336006556</v>
      </c>
      <c r="J670" s="80">
        <f t="shared" si="56"/>
        <v>1000</v>
      </c>
      <c r="K670" s="22">
        <f t="shared" si="57"/>
        <v>90</v>
      </c>
      <c r="L670" s="81">
        <f t="shared" si="54"/>
        <v>2942.7271762092823</v>
      </c>
    </row>
    <row r="671" spans="6:12" x14ac:dyDescent="0.25">
      <c r="F671" s="80">
        <f t="shared" si="55"/>
        <v>1000000</v>
      </c>
      <c r="G671" s="22">
        <v>91</v>
      </c>
      <c r="H671" s="78">
        <f t="shared" si="53"/>
        <v>8869857.9901819192</v>
      </c>
      <c r="J671" s="80">
        <f t="shared" si="56"/>
        <v>1000</v>
      </c>
      <c r="K671" s="22">
        <f t="shared" si="57"/>
        <v>91</v>
      </c>
      <c r="L671" s="81">
        <f t="shared" si="54"/>
        <v>2978.2306811565013</v>
      </c>
    </row>
    <row r="672" spans="6:12" x14ac:dyDescent="0.25">
      <c r="F672" s="80">
        <f t="shared" si="55"/>
        <v>1000000</v>
      </c>
      <c r="G672" s="22">
        <v>92</v>
      </c>
      <c r="H672" s="78">
        <f t="shared" si="53"/>
        <v>9085175.7565168701</v>
      </c>
      <c r="J672" s="80">
        <f t="shared" si="56"/>
        <v>1000</v>
      </c>
      <c r="K672" s="22">
        <f t="shared" si="57"/>
        <v>92</v>
      </c>
      <c r="L672" s="81">
        <f t="shared" si="54"/>
        <v>3014.1625298773906</v>
      </c>
    </row>
    <row r="673" spans="6:12" x14ac:dyDescent="0.25">
      <c r="F673" s="80">
        <f t="shared" si="55"/>
        <v>1000000</v>
      </c>
      <c r="G673" s="22">
        <v>93</v>
      </c>
      <c r="H673" s="78">
        <f t="shared" si="53"/>
        <v>9305720.4092969894</v>
      </c>
      <c r="J673" s="80">
        <f t="shared" si="56"/>
        <v>1000</v>
      </c>
      <c r="K673" s="22">
        <f t="shared" si="57"/>
        <v>93</v>
      </c>
      <c r="L673" s="81">
        <f t="shared" si="54"/>
        <v>3050.5278902670257</v>
      </c>
    </row>
    <row r="674" spans="6:12" x14ac:dyDescent="0.25">
      <c r="F674" s="80">
        <f t="shared" si="55"/>
        <v>1000000</v>
      </c>
      <c r="G674" s="22">
        <v>94</v>
      </c>
      <c r="H674" s="78">
        <f t="shared" si="53"/>
        <v>9531618.8323478773</v>
      </c>
      <c r="J674" s="80">
        <f t="shared" si="56"/>
        <v>1000</v>
      </c>
      <c r="K674" s="22">
        <f t="shared" si="57"/>
        <v>94</v>
      </c>
      <c r="L674" s="81">
        <f t="shared" si="54"/>
        <v>3087.331992570264</v>
      </c>
    </row>
    <row r="675" spans="6:12" x14ac:dyDescent="0.25">
      <c r="F675" s="80">
        <f t="shared" si="55"/>
        <v>1000000</v>
      </c>
      <c r="G675" s="22">
        <v>95</v>
      </c>
      <c r="H675" s="78">
        <f t="shared" si="53"/>
        <v>9763000.9896280784</v>
      </c>
      <c r="J675" s="80">
        <f t="shared" si="56"/>
        <v>1000</v>
      </c>
      <c r="K675" s="22">
        <f t="shared" si="57"/>
        <v>95</v>
      </c>
      <c r="L675" s="81">
        <f t="shared" si="54"/>
        <v>3124.5801301339798</v>
      </c>
    </row>
    <row r="676" spans="6:12" x14ac:dyDescent="0.25">
      <c r="F676" s="80">
        <f t="shared" si="55"/>
        <v>1000000</v>
      </c>
      <c r="G676" s="22">
        <v>96</v>
      </c>
      <c r="H676" s="78">
        <f t="shared" si="53"/>
        <v>10000000</v>
      </c>
      <c r="J676" s="80">
        <f t="shared" si="56"/>
        <v>1000</v>
      </c>
      <c r="K676" s="22">
        <f t="shared" si="57"/>
        <v>96</v>
      </c>
      <c r="L676" s="81">
        <f t="shared" si="54"/>
        <v>3162.2776601683795</v>
      </c>
    </row>
    <row r="677" spans="6:12" x14ac:dyDescent="0.25">
      <c r="J677" s="80">
        <f t="shared" si="56"/>
        <v>1000</v>
      </c>
      <c r="K677" s="22">
        <f t="shared" si="57"/>
        <v>97</v>
      </c>
      <c r="L677" s="81">
        <f t="shared" si="54"/>
        <v>3200.4300045175069</v>
      </c>
    </row>
    <row r="678" spans="6:12" x14ac:dyDescent="0.25">
      <c r="J678" s="80">
        <f t="shared" si="56"/>
        <v>1000</v>
      </c>
      <c r="K678" s="22">
        <f t="shared" si="57"/>
        <v>98</v>
      </c>
      <c r="L678" s="81">
        <f t="shared" si="54"/>
        <v>3239.0426504390307</v>
      </c>
    </row>
    <row r="679" spans="6:12" x14ac:dyDescent="0.25">
      <c r="J679" s="80">
        <f t="shared" si="56"/>
        <v>1000</v>
      </c>
      <c r="K679" s="22">
        <f t="shared" si="57"/>
        <v>99</v>
      </c>
      <c r="L679" s="81">
        <f t="shared" si="54"/>
        <v>3278.1211513934591</v>
      </c>
    </row>
    <row r="680" spans="6:12" x14ac:dyDescent="0.25">
      <c r="J680" s="80">
        <f t="shared" si="56"/>
        <v>1000</v>
      </c>
      <c r="K680" s="22">
        <f t="shared" si="57"/>
        <v>100</v>
      </c>
      <c r="L680" s="81">
        <f t="shared" si="54"/>
        <v>3317.6711278428579</v>
      </c>
    </row>
    <row r="681" spans="6:12" x14ac:dyDescent="0.25">
      <c r="J681" s="80">
        <f t="shared" si="56"/>
        <v>1000</v>
      </c>
      <c r="K681" s="22">
        <f t="shared" si="57"/>
        <v>101</v>
      </c>
      <c r="L681" s="81">
        <f t="shared" si="54"/>
        <v>3357.698268059215</v>
      </c>
    </row>
    <row r="682" spans="6:12" x14ac:dyDescent="0.25">
      <c r="J682" s="80">
        <f t="shared" si="56"/>
        <v>1000</v>
      </c>
      <c r="K682" s="22">
        <f t="shared" si="57"/>
        <v>102</v>
      </c>
      <c r="L682" s="81">
        <f t="shared" si="54"/>
        <v>3398.2083289425591</v>
      </c>
    </row>
    <row r="683" spans="6:12" x14ac:dyDescent="0.25">
      <c r="J683" s="80">
        <f t="shared" si="56"/>
        <v>1000</v>
      </c>
      <c r="K683" s="22">
        <f t="shared" si="57"/>
        <v>103</v>
      </c>
      <c r="L683" s="81">
        <f t="shared" si="54"/>
        <v>3439.2071368489414</v>
      </c>
    </row>
    <row r="684" spans="6:12" x14ac:dyDescent="0.25">
      <c r="J684" s="80">
        <f t="shared" si="56"/>
        <v>1000</v>
      </c>
      <c r="K684" s="22">
        <f t="shared" si="57"/>
        <v>104</v>
      </c>
      <c r="L684" s="81">
        <f t="shared" si="54"/>
        <v>3480.7005884284104</v>
      </c>
    </row>
    <row r="685" spans="6:12" x14ac:dyDescent="0.25">
      <c r="J685" s="80">
        <f t="shared" si="56"/>
        <v>1000</v>
      </c>
      <c r="K685" s="22">
        <f t="shared" si="57"/>
        <v>105</v>
      </c>
      <c r="L685" s="81">
        <f t="shared" si="54"/>
        <v>3522.6946514731017</v>
      </c>
    </row>
    <row r="686" spans="6:12" x14ac:dyDescent="0.25">
      <c r="J686" s="80">
        <f t="shared" si="56"/>
        <v>1000</v>
      </c>
      <c r="K686" s="22">
        <f t="shared" si="57"/>
        <v>106</v>
      </c>
      <c r="L686" s="81">
        <f t="shared" si="54"/>
        <v>3565.1953657755494</v>
      </c>
    </row>
    <row r="687" spans="6:12" x14ac:dyDescent="0.25">
      <c r="J687" s="80">
        <f t="shared" si="56"/>
        <v>1000</v>
      </c>
      <c r="K687" s="22">
        <f t="shared" si="57"/>
        <v>107</v>
      </c>
      <c r="L687" s="81">
        <f t="shared" si="54"/>
        <v>3608.2088439973622</v>
      </c>
    </row>
    <row r="688" spans="6:12" x14ac:dyDescent="0.25">
      <c r="J688" s="80">
        <f t="shared" si="56"/>
        <v>1000</v>
      </c>
      <c r="K688" s="22">
        <f t="shared" si="57"/>
        <v>108</v>
      </c>
      <c r="L688" s="81">
        <f t="shared" si="54"/>
        <v>3651.7412725483778</v>
      </c>
    </row>
    <row r="689" spans="10:12" x14ac:dyDescent="0.25">
      <c r="J689" s="80">
        <f t="shared" si="56"/>
        <v>1000</v>
      </c>
      <c r="K689" s="22">
        <f t="shared" si="57"/>
        <v>109</v>
      </c>
      <c r="L689" s="81">
        <f t="shared" si="54"/>
        <v>3695.7989124764181</v>
      </c>
    </row>
    <row r="690" spans="10:12" x14ac:dyDescent="0.25">
      <c r="J690" s="80">
        <f t="shared" si="56"/>
        <v>1000</v>
      </c>
      <c r="K690" s="22">
        <f t="shared" si="57"/>
        <v>110</v>
      </c>
      <c r="L690" s="81">
        <f t="shared" si="54"/>
        <v>3740.3881003677857</v>
      </c>
    </row>
    <row r="691" spans="10:12" x14ac:dyDescent="0.25">
      <c r="J691" s="80">
        <f t="shared" si="56"/>
        <v>1000</v>
      </c>
      <c r="K691" s="22">
        <f t="shared" si="57"/>
        <v>111</v>
      </c>
      <c r="L691" s="81">
        <f t="shared" si="54"/>
        <v>3785.5152492586299</v>
      </c>
    </row>
    <row r="692" spans="10:12" x14ac:dyDescent="0.25">
      <c r="J692" s="80">
        <f t="shared" si="56"/>
        <v>1000</v>
      </c>
      <c r="K692" s="22">
        <f t="shared" si="57"/>
        <v>112</v>
      </c>
      <c r="L692" s="81">
        <f t="shared" si="54"/>
        <v>3831.1868495572885</v>
      </c>
    </row>
    <row r="693" spans="10:12" x14ac:dyDescent="0.25">
      <c r="J693" s="80">
        <f t="shared" si="56"/>
        <v>1000</v>
      </c>
      <c r="K693" s="22">
        <f t="shared" si="57"/>
        <v>113</v>
      </c>
      <c r="L693" s="81">
        <f t="shared" si="54"/>
        <v>3877.409469977777</v>
      </c>
    </row>
    <row r="694" spans="10:12" x14ac:dyDescent="0.25">
      <c r="J694" s="80">
        <f t="shared" si="56"/>
        <v>1000</v>
      </c>
      <c r="K694" s="22">
        <f t="shared" si="57"/>
        <v>114</v>
      </c>
      <c r="L694" s="81">
        <f t="shared" si="54"/>
        <v>3924.189758484536</v>
      </c>
    </row>
    <row r="695" spans="10:12" x14ac:dyDescent="0.25">
      <c r="J695" s="80">
        <f t="shared" si="56"/>
        <v>1000</v>
      </c>
      <c r="K695" s="22">
        <f t="shared" si="57"/>
        <v>115</v>
      </c>
      <c r="L695" s="81">
        <f t="shared" si="54"/>
        <v>3971.5344432485704</v>
      </c>
    </row>
    <row r="696" spans="10:12" x14ac:dyDescent="0.25">
      <c r="J696" s="80">
        <f t="shared" si="56"/>
        <v>1000</v>
      </c>
      <c r="K696" s="22">
        <f t="shared" si="57"/>
        <v>116</v>
      </c>
      <c r="L696" s="81">
        <f t="shared" si="54"/>
        <v>4019.4503336151256</v>
      </c>
    </row>
    <row r="697" spans="10:12" x14ac:dyDescent="0.25">
      <c r="J697" s="80">
        <f t="shared" si="56"/>
        <v>1000</v>
      </c>
      <c r="K697" s="22">
        <f t="shared" si="57"/>
        <v>117</v>
      </c>
      <c r="L697" s="81">
        <f t="shared" si="54"/>
        <v>4067.9443210830477</v>
      </c>
    </row>
    <row r="698" spans="10:12" x14ac:dyDescent="0.25">
      <c r="J698" s="80">
        <f t="shared" si="56"/>
        <v>1000</v>
      </c>
      <c r="K698" s="22">
        <f t="shared" si="57"/>
        <v>118</v>
      </c>
      <c r="L698" s="81">
        <f t="shared" si="54"/>
        <v>4117.0233802959483</v>
      </c>
    </row>
    <row r="699" spans="10:12" x14ac:dyDescent="0.25">
      <c r="J699" s="80">
        <f t="shared" si="56"/>
        <v>1000</v>
      </c>
      <c r="K699" s="22">
        <f t="shared" si="57"/>
        <v>119</v>
      </c>
      <c r="L699" s="81">
        <f t="shared" si="54"/>
        <v>4166.6945700453298</v>
      </c>
    </row>
    <row r="700" spans="10:12" x14ac:dyDescent="0.25">
      <c r="J700" s="80">
        <f t="shared" si="56"/>
        <v>1000</v>
      </c>
      <c r="K700" s="22">
        <f t="shared" si="57"/>
        <v>120</v>
      </c>
      <c r="L700" s="81">
        <f t="shared" si="54"/>
        <v>4216.9650342858231</v>
      </c>
    </row>
    <row r="701" spans="10:12" x14ac:dyDescent="0.25">
      <c r="J701" s="80">
        <f t="shared" si="56"/>
        <v>1000</v>
      </c>
      <c r="K701" s="22">
        <f t="shared" si="57"/>
        <v>121</v>
      </c>
      <c r="L701" s="81">
        <f t="shared" si="54"/>
        <v>4267.8420031626583</v>
      </c>
    </row>
    <row r="702" spans="10:12" x14ac:dyDescent="0.25">
      <c r="J702" s="80">
        <f t="shared" si="56"/>
        <v>1000</v>
      </c>
      <c r="K702" s="22">
        <f t="shared" si="57"/>
        <v>122</v>
      </c>
      <c r="L702" s="81">
        <f t="shared" si="54"/>
        <v>4319.3327940515446</v>
      </c>
    </row>
    <row r="703" spans="10:12" x14ac:dyDescent="0.25">
      <c r="J703" s="80">
        <f t="shared" si="56"/>
        <v>1000</v>
      </c>
      <c r="K703" s="22">
        <f t="shared" si="57"/>
        <v>123</v>
      </c>
      <c r="L703" s="81">
        <f t="shared" si="54"/>
        <v>4371.4448126110901</v>
      </c>
    </row>
    <row r="704" spans="10:12" x14ac:dyDescent="0.25">
      <c r="J704" s="80">
        <f t="shared" si="56"/>
        <v>1000</v>
      </c>
      <c r="K704" s="22">
        <f t="shared" si="57"/>
        <v>124</v>
      </c>
      <c r="L704" s="81">
        <f t="shared" si="54"/>
        <v>4424.1855538479185</v>
      </c>
    </row>
    <row r="705" spans="10:12" x14ac:dyDescent="0.25">
      <c r="J705" s="80">
        <f t="shared" si="56"/>
        <v>1000</v>
      </c>
      <c r="K705" s="22">
        <f t="shared" si="57"/>
        <v>125</v>
      </c>
      <c r="L705" s="81">
        <f t="shared" si="54"/>
        <v>4477.5626031946367</v>
      </c>
    </row>
    <row r="706" spans="10:12" x14ac:dyDescent="0.25">
      <c r="J706" s="80">
        <f t="shared" si="56"/>
        <v>1000</v>
      </c>
      <c r="K706" s="22">
        <f t="shared" si="57"/>
        <v>126</v>
      </c>
      <c r="L706" s="81">
        <f t="shared" si="54"/>
        <v>4531.5836376008183</v>
      </c>
    </row>
    <row r="707" spans="10:12" x14ac:dyDescent="0.25">
      <c r="J707" s="80">
        <f t="shared" si="56"/>
        <v>1000</v>
      </c>
      <c r="K707" s="22">
        <f t="shared" si="57"/>
        <v>127</v>
      </c>
      <c r="L707" s="81">
        <f t="shared" si="54"/>
        <v>4586.2564266371264</v>
      </c>
    </row>
    <row r="708" spans="10:12" x14ac:dyDescent="0.25">
      <c r="J708" s="80">
        <f t="shared" si="56"/>
        <v>1000</v>
      </c>
      <c r="K708" s="22">
        <f t="shared" si="57"/>
        <v>128</v>
      </c>
      <c r="L708" s="81">
        <f t="shared" si="54"/>
        <v>4641.5888336127791</v>
      </c>
    </row>
    <row r="709" spans="10:12" x14ac:dyDescent="0.25">
      <c r="J709" s="80">
        <f t="shared" si="56"/>
        <v>1000</v>
      </c>
      <c r="K709" s="22">
        <f t="shared" si="57"/>
        <v>129</v>
      </c>
      <c r="L709" s="81">
        <f t="shared" ref="L709:L772" si="58">J709*10^(K709/192)</f>
        <v>4697.5888167064932</v>
      </c>
    </row>
    <row r="710" spans="10:12" x14ac:dyDescent="0.25">
      <c r="J710" s="80">
        <f t="shared" ref="J710:J773" si="59">J518*10</f>
        <v>1000</v>
      </c>
      <c r="K710" s="22">
        <f t="shared" ref="K710:K755" si="60">K709+1</f>
        <v>130</v>
      </c>
      <c r="L710" s="81">
        <f t="shared" si="58"/>
        <v>4754.2644301110568</v>
      </c>
    </row>
    <row r="711" spans="10:12" x14ac:dyDescent="0.25">
      <c r="J711" s="80">
        <f t="shared" si="59"/>
        <v>1000</v>
      </c>
      <c r="K711" s="22">
        <f t="shared" si="60"/>
        <v>131</v>
      </c>
      <c r="L711" s="81">
        <f t="shared" si="58"/>
        <v>4811.6238251917339</v>
      </c>
    </row>
    <row r="712" spans="10:12" x14ac:dyDescent="0.25">
      <c r="J712" s="80">
        <f t="shared" si="59"/>
        <v>1000</v>
      </c>
      <c r="K712" s="22">
        <f t="shared" si="60"/>
        <v>132</v>
      </c>
      <c r="L712" s="81">
        <f t="shared" si="58"/>
        <v>4869.6752516586321</v>
      </c>
    </row>
    <row r="713" spans="10:12" x14ac:dyDescent="0.25">
      <c r="J713" s="80">
        <f t="shared" si="59"/>
        <v>1000</v>
      </c>
      <c r="K713" s="22">
        <f t="shared" si="60"/>
        <v>133</v>
      </c>
      <c r="L713" s="81">
        <f t="shared" si="58"/>
        <v>4928.4270587532073</v>
      </c>
    </row>
    <row r="714" spans="10:12" x14ac:dyDescent="0.25">
      <c r="J714" s="80">
        <f t="shared" si="59"/>
        <v>1000</v>
      </c>
      <c r="K714" s="22">
        <f t="shared" si="60"/>
        <v>134</v>
      </c>
      <c r="L714" s="81">
        <f t="shared" si="58"/>
        <v>4987.8876964491064</v>
      </c>
    </row>
    <row r="715" spans="10:12" x14ac:dyDescent="0.25">
      <c r="J715" s="80">
        <f t="shared" si="59"/>
        <v>1000</v>
      </c>
      <c r="K715" s="22">
        <f t="shared" si="60"/>
        <v>135</v>
      </c>
      <c r="L715" s="81">
        <f t="shared" si="58"/>
        <v>5048.065716667471</v>
      </c>
    </row>
    <row r="716" spans="10:12" x14ac:dyDescent="0.25">
      <c r="J716" s="80">
        <f t="shared" si="59"/>
        <v>1000</v>
      </c>
      <c r="K716" s="22">
        <f t="shared" si="60"/>
        <v>136</v>
      </c>
      <c r="L716" s="81">
        <f t="shared" si="58"/>
        <v>5108.9697745069288</v>
      </c>
    </row>
    <row r="717" spans="10:12" x14ac:dyDescent="0.25">
      <c r="J717" s="80">
        <f t="shared" si="59"/>
        <v>1000</v>
      </c>
      <c r="K717" s="22">
        <f t="shared" si="60"/>
        <v>137</v>
      </c>
      <c r="L717" s="81">
        <f t="shared" si="58"/>
        <v>5170.6086294884008</v>
      </c>
    </row>
    <row r="718" spans="10:12" x14ac:dyDescent="0.25">
      <c r="J718" s="80">
        <f t="shared" si="59"/>
        <v>1000</v>
      </c>
      <c r="K718" s="22">
        <f t="shared" si="60"/>
        <v>138</v>
      </c>
      <c r="L718" s="81">
        <f t="shared" si="58"/>
        <v>5232.9911468149476</v>
      </c>
    </row>
    <row r="719" spans="10:12" x14ac:dyDescent="0.25">
      <c r="J719" s="80">
        <f t="shared" si="59"/>
        <v>1000</v>
      </c>
      <c r="K719" s="22">
        <f t="shared" si="60"/>
        <v>139</v>
      </c>
      <c r="L719" s="81">
        <f t="shared" si="58"/>
        <v>5296.1262986468046</v>
      </c>
    </row>
    <row r="720" spans="10:12" x14ac:dyDescent="0.25">
      <c r="J720" s="80">
        <f t="shared" si="59"/>
        <v>1000</v>
      </c>
      <c r="K720" s="22">
        <f t="shared" si="60"/>
        <v>140</v>
      </c>
      <c r="L720" s="81">
        <f t="shared" si="58"/>
        <v>5360.0231653917917</v>
      </c>
    </row>
    <row r="721" spans="10:12" x14ac:dyDescent="0.25">
      <c r="J721" s="80">
        <f t="shared" si="59"/>
        <v>1000</v>
      </c>
      <c r="K721" s="22">
        <f t="shared" si="60"/>
        <v>141</v>
      </c>
      <c r="L721" s="81">
        <f t="shared" si="58"/>
        <v>5424.6909370113262</v>
      </c>
    </row>
    <row r="722" spans="10:12" x14ac:dyDescent="0.25">
      <c r="J722" s="80">
        <f t="shared" si="59"/>
        <v>1000</v>
      </c>
      <c r="K722" s="22">
        <f t="shared" si="60"/>
        <v>142</v>
      </c>
      <c r="L722" s="81">
        <f t="shared" si="58"/>
        <v>5490.1389143421411</v>
      </c>
    </row>
    <row r="723" spans="10:12" x14ac:dyDescent="0.25">
      <c r="J723" s="80">
        <f t="shared" si="59"/>
        <v>1000</v>
      </c>
      <c r="K723" s="22">
        <f t="shared" si="60"/>
        <v>143</v>
      </c>
      <c r="L723" s="81">
        <f t="shared" si="58"/>
        <v>5556.3765104339927</v>
      </c>
    </row>
    <row r="724" spans="10:12" x14ac:dyDescent="0.25">
      <c r="J724" s="80">
        <f t="shared" si="59"/>
        <v>1000</v>
      </c>
      <c r="K724" s="22">
        <f t="shared" si="60"/>
        <v>144</v>
      </c>
      <c r="L724" s="81">
        <f t="shared" si="58"/>
        <v>5623.413251903492</v>
      </c>
    </row>
    <row r="725" spans="10:12" x14ac:dyDescent="0.25">
      <c r="J725" s="80">
        <f t="shared" si="59"/>
        <v>1000</v>
      </c>
      <c r="K725" s="22">
        <f t="shared" si="60"/>
        <v>145</v>
      </c>
      <c r="L725" s="81">
        <f t="shared" si="58"/>
        <v>5691.2587803042588</v>
      </c>
    </row>
    <row r="726" spans="10:12" x14ac:dyDescent="0.25">
      <c r="J726" s="80">
        <f t="shared" si="59"/>
        <v>1000</v>
      </c>
      <c r="K726" s="22">
        <f t="shared" si="60"/>
        <v>146</v>
      </c>
      <c r="L726" s="81">
        <f t="shared" si="58"/>
        <v>5759.9228535136281</v>
      </c>
    </row>
    <row r="727" spans="10:12" x14ac:dyDescent="0.25">
      <c r="J727" s="80">
        <f t="shared" si="59"/>
        <v>1000</v>
      </c>
      <c r="K727" s="22">
        <f t="shared" si="60"/>
        <v>147</v>
      </c>
      <c r="L727" s="81">
        <f t="shared" si="58"/>
        <v>5829.4153471360751</v>
      </c>
    </row>
    <row r="728" spans="10:12" x14ac:dyDescent="0.25">
      <c r="J728" s="80">
        <f t="shared" si="59"/>
        <v>1000</v>
      </c>
      <c r="K728" s="22">
        <f t="shared" si="60"/>
        <v>148</v>
      </c>
      <c r="L728" s="81">
        <f t="shared" si="58"/>
        <v>5899.7462559235655</v>
      </c>
    </row>
    <row r="729" spans="10:12" x14ac:dyDescent="0.25">
      <c r="J729" s="80">
        <f t="shared" si="59"/>
        <v>1000</v>
      </c>
      <c r="K729" s="22">
        <f t="shared" si="60"/>
        <v>149</v>
      </c>
      <c r="L729" s="81">
        <f t="shared" si="58"/>
        <v>5970.9256952130536</v>
      </c>
    </row>
    <row r="730" spans="10:12" x14ac:dyDescent="0.25">
      <c r="J730" s="80">
        <f t="shared" si="59"/>
        <v>1000</v>
      </c>
      <c r="K730" s="22">
        <f t="shared" si="60"/>
        <v>150</v>
      </c>
      <c r="L730" s="81">
        <f t="shared" si="58"/>
        <v>6042.9639023813288</v>
      </c>
    </row>
    <row r="731" spans="10:12" x14ac:dyDescent="0.25">
      <c r="J731" s="80">
        <f t="shared" si="59"/>
        <v>1000</v>
      </c>
      <c r="K731" s="22">
        <f t="shared" si="60"/>
        <v>151</v>
      </c>
      <c r="L731" s="81">
        <f t="shared" si="58"/>
        <v>6115.8712383173888</v>
      </c>
    </row>
    <row r="732" spans="10:12" x14ac:dyDescent="0.25">
      <c r="J732" s="80">
        <f t="shared" si="59"/>
        <v>1000</v>
      </c>
      <c r="K732" s="22">
        <f t="shared" si="60"/>
        <v>152</v>
      </c>
      <c r="L732" s="81">
        <f t="shared" si="58"/>
        <v>6189.6581889126064</v>
      </c>
    </row>
    <row r="733" spans="10:12" x14ac:dyDescent="0.25">
      <c r="J733" s="80">
        <f t="shared" si="59"/>
        <v>1000</v>
      </c>
      <c r="K733" s="22">
        <f t="shared" si="60"/>
        <v>153</v>
      </c>
      <c r="L733" s="81">
        <f t="shared" si="58"/>
        <v>6264.3353665688574</v>
      </c>
    </row>
    <row r="734" spans="10:12" x14ac:dyDescent="0.25">
      <c r="J734" s="80">
        <f t="shared" si="59"/>
        <v>1000</v>
      </c>
      <c r="K734" s="22">
        <f t="shared" si="60"/>
        <v>154</v>
      </c>
      <c r="L734" s="81">
        <f t="shared" si="58"/>
        <v>6339.9135117248461</v>
      </c>
    </row>
    <row r="735" spans="10:12" x14ac:dyDescent="0.25">
      <c r="J735" s="80">
        <f t="shared" si="59"/>
        <v>1000</v>
      </c>
      <c r="K735" s="22">
        <f t="shared" si="60"/>
        <v>155</v>
      </c>
      <c r="L735" s="81">
        <f t="shared" si="58"/>
        <v>6416.4034944008536</v>
      </c>
    </row>
    <row r="736" spans="10:12" x14ac:dyDescent="0.25">
      <c r="J736" s="80">
        <f t="shared" si="59"/>
        <v>1000</v>
      </c>
      <c r="K736" s="22">
        <f t="shared" si="60"/>
        <v>156</v>
      </c>
      <c r="L736" s="81">
        <f t="shared" si="58"/>
        <v>6493.8163157621148</v>
      </c>
    </row>
    <row r="737" spans="10:12" x14ac:dyDescent="0.25">
      <c r="J737" s="80">
        <f t="shared" si="59"/>
        <v>1000</v>
      </c>
      <c r="K737" s="22">
        <f t="shared" si="60"/>
        <v>157</v>
      </c>
      <c r="L737" s="81">
        <f t="shared" si="58"/>
        <v>6572.1631097010577</v>
      </c>
    </row>
    <row r="738" spans="10:12" x14ac:dyDescent="0.25">
      <c r="J738" s="80">
        <f t="shared" si="59"/>
        <v>1000</v>
      </c>
      <c r="K738" s="22">
        <f t="shared" si="60"/>
        <v>158</v>
      </c>
      <c r="L738" s="81">
        <f t="shared" si="58"/>
        <v>6651.4551444386334</v>
      </c>
    </row>
    <row r="739" spans="10:12" x14ac:dyDescent="0.25">
      <c r="J739" s="80">
        <f t="shared" si="59"/>
        <v>1000</v>
      </c>
      <c r="K739" s="22">
        <f t="shared" si="60"/>
        <v>159</v>
      </c>
      <c r="L739" s="81">
        <f t="shared" si="58"/>
        <v>6731.7038241449827</v>
      </c>
    </row>
    <row r="740" spans="10:12" x14ac:dyDescent="0.25">
      <c r="J740" s="80">
        <f t="shared" si="59"/>
        <v>1000</v>
      </c>
      <c r="K740" s="22">
        <f t="shared" si="60"/>
        <v>160</v>
      </c>
      <c r="L740" s="81">
        <f t="shared" si="58"/>
        <v>6812.9206905796136</v>
      </c>
    </row>
    <row r="741" spans="10:12" x14ac:dyDescent="0.25">
      <c r="J741" s="80">
        <f t="shared" si="59"/>
        <v>1000</v>
      </c>
      <c r="K741" s="22">
        <f t="shared" si="60"/>
        <v>161</v>
      </c>
      <c r="L741" s="81">
        <f t="shared" si="58"/>
        <v>6895.1174247514136</v>
      </c>
    </row>
    <row r="742" spans="10:12" x14ac:dyDescent="0.25">
      <c r="J742" s="80">
        <f t="shared" si="59"/>
        <v>1000</v>
      </c>
      <c r="K742" s="22">
        <f t="shared" si="60"/>
        <v>162</v>
      </c>
      <c r="L742" s="81">
        <f t="shared" si="58"/>
        <v>6978.3058485986649</v>
      </c>
    </row>
    <row r="743" spans="10:12" x14ac:dyDescent="0.25">
      <c r="J743" s="80">
        <f t="shared" si="59"/>
        <v>1000</v>
      </c>
      <c r="K743" s="22">
        <f t="shared" si="60"/>
        <v>163</v>
      </c>
      <c r="L743" s="81">
        <f t="shared" si="58"/>
        <v>7062.4979266893297</v>
      </c>
    </row>
    <row r="744" spans="10:12" x14ac:dyDescent="0.25">
      <c r="J744" s="80">
        <f t="shared" si="59"/>
        <v>1000</v>
      </c>
      <c r="K744" s="22">
        <f t="shared" si="60"/>
        <v>164</v>
      </c>
      <c r="L744" s="81">
        <f t="shared" si="58"/>
        <v>7147.7057679418567</v>
      </c>
    </row>
    <row r="745" spans="10:12" x14ac:dyDescent="0.25">
      <c r="J745" s="80">
        <f t="shared" si="59"/>
        <v>1000</v>
      </c>
      <c r="K745" s="22">
        <f t="shared" si="60"/>
        <v>165</v>
      </c>
      <c r="L745" s="81">
        <f t="shared" si="58"/>
        <v>7233.9416273667493</v>
      </c>
    </row>
    <row r="746" spans="10:12" x14ac:dyDescent="0.25">
      <c r="J746" s="80">
        <f t="shared" si="59"/>
        <v>1000</v>
      </c>
      <c r="K746" s="22">
        <f t="shared" si="60"/>
        <v>166</v>
      </c>
      <c r="L746" s="81">
        <f t="shared" si="58"/>
        <v>7321.217907829131</v>
      </c>
    </row>
    <row r="747" spans="10:12" x14ac:dyDescent="0.25">
      <c r="J747" s="80">
        <f t="shared" si="59"/>
        <v>1000</v>
      </c>
      <c r="K747" s="22">
        <f t="shared" si="60"/>
        <v>167</v>
      </c>
      <c r="L747" s="81">
        <f t="shared" si="58"/>
        <v>7409.547161832591</v>
      </c>
    </row>
    <row r="748" spans="10:12" x14ac:dyDescent="0.25">
      <c r="J748" s="80">
        <f t="shared" si="59"/>
        <v>1000</v>
      </c>
      <c r="K748" s="22">
        <f t="shared" si="60"/>
        <v>168</v>
      </c>
      <c r="L748" s="81">
        <f t="shared" si="58"/>
        <v>7498.9420933245592</v>
      </c>
    </row>
    <row r="749" spans="10:12" x14ac:dyDescent="0.25">
      <c r="J749" s="80">
        <f t="shared" si="59"/>
        <v>1000</v>
      </c>
      <c r="K749" s="22">
        <f t="shared" si="60"/>
        <v>169</v>
      </c>
      <c r="L749" s="81">
        <f t="shared" si="58"/>
        <v>7589.415559523427</v>
      </c>
    </row>
    <row r="750" spans="10:12" x14ac:dyDescent="0.25">
      <c r="J750" s="80">
        <f t="shared" si="59"/>
        <v>1000</v>
      </c>
      <c r="K750" s="22">
        <f t="shared" si="60"/>
        <v>170</v>
      </c>
      <c r="L750" s="81">
        <f t="shared" si="58"/>
        <v>7680.9805727677549</v>
      </c>
    </row>
    <row r="751" spans="10:12" x14ac:dyDescent="0.25">
      <c r="J751" s="80">
        <f t="shared" si="59"/>
        <v>1000</v>
      </c>
      <c r="K751" s="22">
        <f t="shared" si="60"/>
        <v>171</v>
      </c>
      <c r="L751" s="81">
        <f t="shared" si="58"/>
        <v>7773.6503023877613</v>
      </c>
    </row>
    <row r="752" spans="10:12" x14ac:dyDescent="0.25">
      <c r="J752" s="80">
        <f t="shared" si="59"/>
        <v>1000</v>
      </c>
      <c r="K752" s="22">
        <f t="shared" si="60"/>
        <v>172</v>
      </c>
      <c r="L752" s="81">
        <f t="shared" si="58"/>
        <v>7867.4380765994028</v>
      </c>
    </row>
    <row r="753" spans="10:12" x14ac:dyDescent="0.25">
      <c r="J753" s="80">
        <f t="shared" si="59"/>
        <v>1000</v>
      </c>
      <c r="K753" s="22">
        <f t="shared" si="60"/>
        <v>173</v>
      </c>
      <c r="L753" s="81">
        <f t="shared" si="58"/>
        <v>7962.3573844213033</v>
      </c>
    </row>
    <row r="754" spans="10:12" x14ac:dyDescent="0.25">
      <c r="J754" s="80">
        <f t="shared" si="59"/>
        <v>1000</v>
      </c>
      <c r="K754" s="22">
        <f t="shared" si="60"/>
        <v>174</v>
      </c>
      <c r="L754" s="81">
        <f t="shared" si="58"/>
        <v>8058.4218776148191</v>
      </c>
    </row>
    <row r="755" spans="10:12" x14ac:dyDescent="0.25">
      <c r="J755" s="80">
        <f t="shared" si="59"/>
        <v>1000</v>
      </c>
      <c r="K755" s="22">
        <f t="shared" si="60"/>
        <v>175</v>
      </c>
      <c r="L755" s="81">
        <f t="shared" si="58"/>
        <v>8155.6453726474874</v>
      </c>
    </row>
    <row r="756" spans="10:12" x14ac:dyDescent="0.25">
      <c r="J756" s="80">
        <f t="shared" si="59"/>
        <v>1000</v>
      </c>
      <c r="K756" s="22">
        <f>K755+1</f>
        <v>176</v>
      </c>
      <c r="L756" s="81">
        <f t="shared" si="58"/>
        <v>8254.0418526801841</v>
      </c>
    </row>
    <row r="757" spans="10:12" x14ac:dyDescent="0.25">
      <c r="J757" s="80">
        <f t="shared" si="59"/>
        <v>1000</v>
      </c>
      <c r="K757" s="22">
        <f t="shared" ref="K757:K772" si="61">K756+1</f>
        <v>177</v>
      </c>
      <c r="L757" s="81">
        <f t="shared" si="58"/>
        <v>8353.6254695782609</v>
      </c>
    </row>
    <row r="758" spans="10:12" x14ac:dyDescent="0.25">
      <c r="J758" s="80">
        <f t="shared" si="59"/>
        <v>1000</v>
      </c>
      <c r="K758" s="22">
        <f t="shared" si="61"/>
        <v>178</v>
      </c>
      <c r="L758" s="81">
        <f t="shared" si="58"/>
        <v>8454.4105459469247</v>
      </c>
    </row>
    <row r="759" spans="10:12" x14ac:dyDescent="0.25">
      <c r="J759" s="80">
        <f t="shared" si="59"/>
        <v>1000</v>
      </c>
      <c r="K759" s="22">
        <f t="shared" si="61"/>
        <v>179</v>
      </c>
      <c r="L759" s="81">
        <f t="shared" si="58"/>
        <v>8556.4115771911838</v>
      </c>
    </row>
    <row r="760" spans="10:12" x14ac:dyDescent="0.25">
      <c r="J760" s="80">
        <f t="shared" si="59"/>
        <v>1000</v>
      </c>
      <c r="K760" s="22">
        <f t="shared" si="61"/>
        <v>180</v>
      </c>
      <c r="L760" s="81">
        <f t="shared" si="58"/>
        <v>8659.6432336006565</v>
      </c>
    </row>
    <row r="761" spans="10:12" x14ac:dyDescent="0.25">
      <c r="J761" s="80">
        <f t="shared" si="59"/>
        <v>1000</v>
      </c>
      <c r="K761" s="22">
        <f t="shared" si="61"/>
        <v>181</v>
      </c>
      <c r="L761" s="81">
        <f t="shared" si="58"/>
        <v>8764.12036245952</v>
      </c>
    </row>
    <row r="762" spans="10:12" x14ac:dyDescent="0.25">
      <c r="J762" s="80">
        <f t="shared" si="59"/>
        <v>1000</v>
      </c>
      <c r="K762" s="22">
        <f t="shared" si="61"/>
        <v>182</v>
      </c>
      <c r="L762" s="81">
        <f t="shared" si="58"/>
        <v>8869.8579901819176</v>
      </c>
    </row>
    <row r="763" spans="10:12" x14ac:dyDescent="0.25">
      <c r="J763" s="80">
        <f t="shared" si="59"/>
        <v>1000</v>
      </c>
      <c r="K763" s="22">
        <f t="shared" si="61"/>
        <v>183</v>
      </c>
      <c r="L763" s="81">
        <f t="shared" si="58"/>
        <v>8976.8713244731443</v>
      </c>
    </row>
    <row r="764" spans="10:12" x14ac:dyDescent="0.25">
      <c r="J764" s="80">
        <f t="shared" si="59"/>
        <v>1000</v>
      </c>
      <c r="K764" s="22">
        <f t="shared" si="61"/>
        <v>184</v>
      </c>
      <c r="L764" s="81">
        <f t="shared" si="58"/>
        <v>9085.17575651687</v>
      </c>
    </row>
    <row r="765" spans="10:12" x14ac:dyDescent="0.25">
      <c r="J765" s="80">
        <f t="shared" si="59"/>
        <v>1000</v>
      </c>
      <c r="K765" s="22">
        <f t="shared" si="61"/>
        <v>185</v>
      </c>
      <c r="L765" s="81">
        <f t="shared" si="58"/>
        <v>9194.7868631887941</v>
      </c>
    </row>
    <row r="766" spans="10:12" x14ac:dyDescent="0.25">
      <c r="J766" s="80">
        <f t="shared" si="59"/>
        <v>1000</v>
      </c>
      <c r="K766" s="22">
        <f t="shared" si="61"/>
        <v>186</v>
      </c>
      <c r="L766" s="81">
        <f t="shared" si="58"/>
        <v>9305.7204092969896</v>
      </c>
    </row>
    <row r="767" spans="10:12" x14ac:dyDescent="0.25">
      <c r="J767" s="80">
        <f t="shared" si="59"/>
        <v>1000</v>
      </c>
      <c r="K767" s="22">
        <f t="shared" si="61"/>
        <v>187</v>
      </c>
      <c r="L767" s="81">
        <f t="shared" si="58"/>
        <v>9417.9923498492608</v>
      </c>
    </row>
    <row r="768" spans="10:12" x14ac:dyDescent="0.25">
      <c r="J768" s="80">
        <f t="shared" si="59"/>
        <v>1000</v>
      </c>
      <c r="K768" s="22">
        <f t="shared" si="61"/>
        <v>188</v>
      </c>
      <c r="L768" s="81">
        <f t="shared" si="58"/>
        <v>9531.6188323478782</v>
      </c>
    </row>
    <row r="769" spans="10:12" x14ac:dyDescent="0.25">
      <c r="J769" s="80">
        <f t="shared" si="59"/>
        <v>1000</v>
      </c>
      <c r="K769" s="22">
        <f t="shared" si="61"/>
        <v>189</v>
      </c>
      <c r="L769" s="81">
        <f t="shared" si="58"/>
        <v>9646.6161991119952</v>
      </c>
    </row>
    <row r="770" spans="10:12" x14ac:dyDescent="0.25">
      <c r="J770" s="80">
        <f t="shared" si="59"/>
        <v>1000</v>
      </c>
      <c r="K770" s="22">
        <f t="shared" si="61"/>
        <v>190</v>
      </c>
      <c r="L770" s="81">
        <f t="shared" si="58"/>
        <v>9763.000989628079</v>
      </c>
    </row>
    <row r="771" spans="10:12" x14ac:dyDescent="0.25">
      <c r="J771" s="80">
        <f t="shared" si="59"/>
        <v>1000</v>
      </c>
      <c r="K771" s="22">
        <f t="shared" si="61"/>
        <v>191</v>
      </c>
      <c r="L771" s="81">
        <f t="shared" si="58"/>
        <v>9880.7899429286917</v>
      </c>
    </row>
    <row r="772" spans="10:12" x14ac:dyDescent="0.25">
      <c r="J772" s="80">
        <f t="shared" si="59"/>
        <v>1000</v>
      </c>
      <c r="K772" s="22">
        <f t="shared" si="61"/>
        <v>192</v>
      </c>
      <c r="L772" s="81">
        <f t="shared" si="58"/>
        <v>10000</v>
      </c>
    </row>
    <row r="773" spans="10:12" x14ac:dyDescent="0.25">
      <c r="J773" s="80">
        <f t="shared" si="59"/>
        <v>10000</v>
      </c>
      <c r="K773" s="22">
        <v>1</v>
      </c>
      <c r="L773" s="81">
        <f t="shared" ref="L773:L836" si="62">J773*10^(K773/192)</f>
        <v>10120.648306218294</v>
      </c>
    </row>
    <row r="774" spans="10:12" x14ac:dyDescent="0.25">
      <c r="J774" s="80">
        <f t="shared" ref="J774:J837" si="63">J582*10</f>
        <v>10000</v>
      </c>
      <c r="K774" s="22">
        <f t="shared" ref="K774:K837" si="64">K773+1</f>
        <v>2</v>
      </c>
      <c r="L774" s="81">
        <f t="shared" si="62"/>
        <v>10242.752213815922</v>
      </c>
    </row>
    <row r="775" spans="10:12" x14ac:dyDescent="0.25">
      <c r="J775" s="80">
        <f t="shared" si="63"/>
        <v>10000</v>
      </c>
      <c r="K775" s="22">
        <f t="shared" si="64"/>
        <v>3</v>
      </c>
      <c r="L775" s="81">
        <f t="shared" si="62"/>
        <v>10366.329284376981</v>
      </c>
    </row>
    <row r="776" spans="10:12" x14ac:dyDescent="0.25">
      <c r="J776" s="80">
        <f t="shared" si="63"/>
        <v>10000</v>
      </c>
      <c r="K776" s="22">
        <f t="shared" si="64"/>
        <v>4</v>
      </c>
      <c r="L776" s="81">
        <f t="shared" si="62"/>
        <v>10491.397291363099</v>
      </c>
    </row>
    <row r="777" spans="10:12" x14ac:dyDescent="0.25">
      <c r="J777" s="80">
        <f t="shared" si="63"/>
        <v>10000</v>
      </c>
      <c r="K777" s="22">
        <f t="shared" si="64"/>
        <v>5</v>
      </c>
      <c r="L777" s="81">
        <f t="shared" si="62"/>
        <v>10617.974222669714</v>
      </c>
    </row>
    <row r="778" spans="10:12" x14ac:dyDescent="0.25">
      <c r="J778" s="80">
        <f t="shared" si="63"/>
        <v>10000</v>
      </c>
      <c r="K778" s="22">
        <f t="shared" si="64"/>
        <v>6</v>
      </c>
      <c r="L778" s="81">
        <f t="shared" si="62"/>
        <v>10746.078283213174</v>
      </c>
    </row>
    <row r="779" spans="10:12" x14ac:dyDescent="0.25">
      <c r="J779" s="80">
        <f t="shared" si="63"/>
        <v>10000</v>
      </c>
      <c r="K779" s="22">
        <f t="shared" si="64"/>
        <v>7</v>
      </c>
      <c r="L779" s="81">
        <f t="shared" si="62"/>
        <v>10875.727897549061</v>
      </c>
    </row>
    <row r="780" spans="10:12" x14ac:dyDescent="0.25">
      <c r="J780" s="80">
        <f t="shared" si="63"/>
        <v>10000</v>
      </c>
      <c r="K780" s="22">
        <f t="shared" si="64"/>
        <v>8</v>
      </c>
      <c r="L780" s="81">
        <f t="shared" si="62"/>
        <v>11006.941712522095</v>
      </c>
    </row>
    <row r="781" spans="10:12" x14ac:dyDescent="0.25">
      <c r="J781" s="80">
        <f t="shared" si="63"/>
        <v>10000</v>
      </c>
      <c r="K781" s="22">
        <f t="shared" si="64"/>
        <v>9</v>
      </c>
      <c r="L781" s="81">
        <f t="shared" si="62"/>
        <v>11139.738599948023</v>
      </c>
    </row>
    <row r="782" spans="10:12" x14ac:dyDescent="0.25">
      <c r="J782" s="80">
        <f t="shared" si="63"/>
        <v>10000</v>
      </c>
      <c r="K782" s="22">
        <f t="shared" si="64"/>
        <v>10</v>
      </c>
      <c r="L782" s="81">
        <f t="shared" si="62"/>
        <v>11274.137659327853</v>
      </c>
    </row>
    <row r="783" spans="10:12" x14ac:dyDescent="0.25">
      <c r="J783" s="80">
        <f t="shared" si="63"/>
        <v>10000</v>
      </c>
      <c r="K783" s="22">
        <f t="shared" si="64"/>
        <v>11</v>
      </c>
      <c r="L783" s="81">
        <f t="shared" si="62"/>
        <v>11410.158220594831</v>
      </c>
    </row>
    <row r="784" spans="10:12" x14ac:dyDescent="0.25">
      <c r="J784" s="80">
        <f t="shared" si="63"/>
        <v>10000</v>
      </c>
      <c r="K784" s="22">
        <f t="shared" si="64"/>
        <v>12</v>
      </c>
      <c r="L784" s="81">
        <f t="shared" si="62"/>
        <v>11547.819846894583</v>
      </c>
    </row>
    <row r="785" spans="10:12" x14ac:dyDescent="0.25">
      <c r="J785" s="80">
        <f t="shared" si="63"/>
        <v>10000</v>
      </c>
      <c r="K785" s="22">
        <f t="shared" si="64"/>
        <v>13</v>
      </c>
      <c r="L785" s="81">
        <f t="shared" si="62"/>
        <v>11687.142337398765</v>
      </c>
    </row>
    <row r="786" spans="10:12" x14ac:dyDescent="0.25">
      <c r="J786" s="80">
        <f t="shared" si="63"/>
        <v>10000</v>
      </c>
      <c r="K786" s="22">
        <f t="shared" si="64"/>
        <v>14</v>
      </c>
      <c r="L786" s="81">
        <f t="shared" si="62"/>
        <v>11828.145730152693</v>
      </c>
    </row>
    <row r="787" spans="10:12" x14ac:dyDescent="0.25">
      <c r="J787" s="80">
        <f t="shared" si="63"/>
        <v>10000</v>
      </c>
      <c r="K787" s="22">
        <f t="shared" si="64"/>
        <v>15</v>
      </c>
      <c r="L787" s="81">
        <f t="shared" si="62"/>
        <v>11970.850304957299</v>
      </c>
    </row>
    <row r="788" spans="10:12" x14ac:dyDescent="0.25">
      <c r="J788" s="80">
        <f t="shared" si="63"/>
        <v>10000</v>
      </c>
      <c r="K788" s="22">
        <f t="shared" si="64"/>
        <v>16</v>
      </c>
      <c r="L788" s="81">
        <f t="shared" si="62"/>
        <v>12115.276586285885</v>
      </c>
    </row>
    <row r="789" spans="10:12" x14ac:dyDescent="0.25">
      <c r="J789" s="80">
        <f t="shared" si="63"/>
        <v>10000</v>
      </c>
      <c r="K789" s="22">
        <f t="shared" si="64"/>
        <v>17</v>
      </c>
      <c r="L789" s="81">
        <f t="shared" si="62"/>
        <v>12261.44534623604</v>
      </c>
    </row>
    <row r="790" spans="10:12" x14ac:dyDescent="0.25">
      <c r="J790" s="80">
        <f t="shared" si="63"/>
        <v>10000</v>
      </c>
      <c r="K790" s="22">
        <f t="shared" si="64"/>
        <v>18</v>
      </c>
      <c r="L790" s="81">
        <f t="shared" si="62"/>
        <v>12409.377607517195</v>
      </c>
    </row>
    <row r="791" spans="10:12" x14ac:dyDescent="0.25">
      <c r="J791" s="80">
        <f t="shared" si="63"/>
        <v>10000</v>
      </c>
      <c r="K791" s="22">
        <f t="shared" si="64"/>
        <v>19</v>
      </c>
      <c r="L791" s="81">
        <f t="shared" si="62"/>
        <v>12559.094646474214</v>
      </c>
    </row>
    <row r="792" spans="10:12" x14ac:dyDescent="0.25">
      <c r="J792" s="80">
        <f t="shared" si="63"/>
        <v>10000</v>
      </c>
      <c r="K792" s="22">
        <f t="shared" si="64"/>
        <v>20</v>
      </c>
      <c r="L792" s="81">
        <f t="shared" si="62"/>
        <v>12710.617996147448</v>
      </c>
    </row>
    <row r="793" spans="10:12" x14ac:dyDescent="0.25">
      <c r="J793" s="80">
        <f t="shared" si="63"/>
        <v>10000</v>
      </c>
      <c r="K793" s="22">
        <f t="shared" si="64"/>
        <v>21</v>
      </c>
      <c r="L793" s="81">
        <f t="shared" si="62"/>
        <v>12863.969449369746</v>
      </c>
    </row>
    <row r="794" spans="10:12" x14ac:dyDescent="0.25">
      <c r="J794" s="80">
        <f t="shared" si="63"/>
        <v>10000</v>
      </c>
      <c r="K794" s="22">
        <f t="shared" si="64"/>
        <v>22</v>
      </c>
      <c r="L794" s="81">
        <f t="shared" si="62"/>
        <v>13019.171061900779</v>
      </c>
    </row>
    <row r="795" spans="10:12" x14ac:dyDescent="0.25">
      <c r="J795" s="80">
        <f t="shared" si="63"/>
        <v>10000</v>
      </c>
      <c r="K795" s="22">
        <f t="shared" si="64"/>
        <v>23</v>
      </c>
      <c r="L795" s="81">
        <f t="shared" si="62"/>
        <v>13176.245155599236</v>
      </c>
    </row>
    <row r="796" spans="10:12" x14ac:dyDescent="0.25">
      <c r="J796" s="80">
        <f t="shared" si="63"/>
        <v>10000</v>
      </c>
      <c r="K796" s="22">
        <f t="shared" si="64"/>
        <v>24</v>
      </c>
      <c r="L796" s="81">
        <f t="shared" si="62"/>
        <v>13335.214321633241</v>
      </c>
    </row>
    <row r="797" spans="10:12" x14ac:dyDescent="0.25">
      <c r="J797" s="80">
        <f t="shared" si="63"/>
        <v>10000</v>
      </c>
      <c r="K797" s="22">
        <f t="shared" si="64"/>
        <v>25</v>
      </c>
      <c r="L797" s="81">
        <f t="shared" si="62"/>
        <v>13496.10142372954</v>
      </c>
    </row>
    <row r="798" spans="10:12" x14ac:dyDescent="0.25">
      <c r="J798" s="80">
        <f t="shared" si="63"/>
        <v>10000</v>
      </c>
      <c r="K798" s="22">
        <f t="shared" si="64"/>
        <v>26</v>
      </c>
      <c r="L798" s="81">
        <f t="shared" si="62"/>
        <v>13658.929601461867</v>
      </c>
    </row>
    <row r="799" spans="10:12" x14ac:dyDescent="0.25">
      <c r="J799" s="80">
        <f t="shared" si="63"/>
        <v>10000</v>
      </c>
      <c r="K799" s="22">
        <f t="shared" si="64"/>
        <v>27</v>
      </c>
      <c r="L799" s="81">
        <f t="shared" si="62"/>
        <v>13823.722273578998</v>
      </c>
    </row>
    <row r="800" spans="10:12" x14ac:dyDescent="0.25">
      <c r="J800" s="80">
        <f t="shared" si="63"/>
        <v>10000</v>
      </c>
      <c r="K800" s="22">
        <f t="shared" si="64"/>
        <v>28</v>
      </c>
      <c r="L800" s="81">
        <f t="shared" si="62"/>
        <v>13990.503141372939</v>
      </c>
    </row>
    <row r="801" spans="10:12" x14ac:dyDescent="0.25">
      <c r="J801" s="80">
        <f t="shared" si="63"/>
        <v>10000</v>
      </c>
      <c r="K801" s="22">
        <f t="shared" si="64"/>
        <v>29</v>
      </c>
      <c r="L801" s="81">
        <f t="shared" si="62"/>
        <v>14159.296192087773</v>
      </c>
    </row>
    <row r="802" spans="10:12" x14ac:dyDescent="0.25">
      <c r="J802" s="80">
        <f t="shared" si="63"/>
        <v>10000</v>
      </c>
      <c r="K802" s="22">
        <f t="shared" si="64"/>
        <v>30</v>
      </c>
      <c r="L802" s="81">
        <f t="shared" si="62"/>
        <v>14330.125702369629</v>
      </c>
    </row>
    <row r="803" spans="10:12" x14ac:dyDescent="0.25">
      <c r="J803" s="80">
        <f t="shared" si="63"/>
        <v>10000</v>
      </c>
      <c r="K803" s="22">
        <f t="shared" si="64"/>
        <v>31</v>
      </c>
      <c r="L803" s="81">
        <f t="shared" si="62"/>
        <v>14503.016241758241</v>
      </c>
    </row>
    <row r="804" spans="10:12" x14ac:dyDescent="0.25">
      <c r="J804" s="80">
        <f t="shared" si="63"/>
        <v>10000</v>
      </c>
      <c r="K804" s="22">
        <f t="shared" si="64"/>
        <v>32</v>
      </c>
      <c r="L804" s="81">
        <f t="shared" si="62"/>
        <v>14677.992676220696</v>
      </c>
    </row>
    <row r="805" spans="10:12" x14ac:dyDescent="0.25">
      <c r="J805" s="80">
        <f t="shared" si="63"/>
        <v>10000</v>
      </c>
      <c r="K805" s="22">
        <f t="shared" si="64"/>
        <v>33</v>
      </c>
      <c r="L805" s="81">
        <f t="shared" si="62"/>
        <v>14855.08017172775</v>
      </c>
    </row>
    <row r="806" spans="10:12" x14ac:dyDescent="0.25">
      <c r="J806" s="80">
        <f t="shared" si="63"/>
        <v>10000</v>
      </c>
      <c r="K806" s="22">
        <f t="shared" si="64"/>
        <v>34</v>
      </c>
      <c r="L806" s="81">
        <f t="shared" si="62"/>
        <v>15034.304197873344</v>
      </c>
    </row>
    <row r="807" spans="10:12" x14ac:dyDescent="0.25">
      <c r="J807" s="80">
        <f t="shared" si="63"/>
        <v>10000</v>
      </c>
      <c r="K807" s="22">
        <f t="shared" si="64"/>
        <v>35</v>
      </c>
      <c r="L807" s="81">
        <f t="shared" si="62"/>
        <v>15215.690531537744</v>
      </c>
    </row>
    <row r="808" spans="10:12" x14ac:dyDescent="0.25">
      <c r="J808" s="80">
        <f t="shared" si="63"/>
        <v>10000</v>
      </c>
      <c r="K808" s="22">
        <f t="shared" si="64"/>
        <v>36</v>
      </c>
      <c r="L808" s="81">
        <f t="shared" si="62"/>
        <v>15399.265260594921</v>
      </c>
    </row>
    <row r="809" spans="10:12" x14ac:dyDescent="0.25">
      <c r="J809" s="80">
        <f t="shared" si="63"/>
        <v>10000</v>
      </c>
      <c r="K809" s="22">
        <f t="shared" si="64"/>
        <v>37</v>
      </c>
      <c r="L809" s="81">
        <f t="shared" si="62"/>
        <v>15585.054787664621</v>
      </c>
    </row>
    <row r="810" spans="10:12" x14ac:dyDescent="0.25">
      <c r="J810" s="80">
        <f t="shared" si="63"/>
        <v>10000</v>
      </c>
      <c r="K810" s="22">
        <f t="shared" si="64"/>
        <v>38</v>
      </c>
      <c r="L810" s="81">
        <f t="shared" si="62"/>
        <v>15773.085833909725</v>
      </c>
    </row>
    <row r="811" spans="10:12" x14ac:dyDescent="0.25">
      <c r="J811" s="80">
        <f t="shared" si="63"/>
        <v>10000</v>
      </c>
      <c r="K811" s="22">
        <f t="shared" si="64"/>
        <v>39</v>
      </c>
      <c r="L811" s="81">
        <f t="shared" si="62"/>
        <v>15963.385442879424</v>
      </c>
    </row>
    <row r="812" spans="10:12" x14ac:dyDescent="0.25">
      <c r="J812" s="80">
        <f t="shared" si="63"/>
        <v>10000</v>
      </c>
      <c r="K812" s="22">
        <f t="shared" si="64"/>
        <v>40</v>
      </c>
      <c r="L812" s="81">
        <f t="shared" si="62"/>
        <v>16155.98098439874</v>
      </c>
    </row>
    <row r="813" spans="10:12" x14ac:dyDescent="0.25">
      <c r="J813" s="80">
        <f t="shared" si="63"/>
        <v>10000</v>
      </c>
      <c r="K813" s="22">
        <f t="shared" si="64"/>
        <v>41</v>
      </c>
      <c r="L813" s="81">
        <f t="shared" si="62"/>
        <v>16350.900158505008</v>
      </c>
    </row>
    <row r="814" spans="10:12" x14ac:dyDescent="0.25">
      <c r="J814" s="80">
        <f t="shared" si="63"/>
        <v>10000</v>
      </c>
      <c r="K814" s="22">
        <f t="shared" si="64"/>
        <v>42</v>
      </c>
      <c r="L814" s="81">
        <f t="shared" si="62"/>
        <v>16548.170999431815</v>
      </c>
    </row>
    <row r="815" spans="10:12" x14ac:dyDescent="0.25">
      <c r="J815" s="80">
        <f t="shared" si="63"/>
        <v>10000</v>
      </c>
      <c r="K815" s="22">
        <f t="shared" si="64"/>
        <v>43</v>
      </c>
      <c r="L815" s="81">
        <f t="shared" si="62"/>
        <v>16747.821879641033</v>
      </c>
    </row>
    <row r="816" spans="10:12" x14ac:dyDescent="0.25">
      <c r="J816" s="80">
        <f t="shared" si="63"/>
        <v>10000</v>
      </c>
      <c r="K816" s="22">
        <f t="shared" si="64"/>
        <v>44</v>
      </c>
      <c r="L816" s="81">
        <f t="shared" si="62"/>
        <v>16949.881513903467</v>
      </c>
    </row>
    <row r="817" spans="10:12" x14ac:dyDescent="0.25">
      <c r="J817" s="80">
        <f t="shared" si="63"/>
        <v>10000</v>
      </c>
      <c r="K817" s="22">
        <f t="shared" si="64"/>
        <v>45</v>
      </c>
      <c r="L817" s="81">
        <f t="shared" si="62"/>
        <v>17154.37896342879</v>
      </c>
    </row>
    <row r="818" spans="10:12" x14ac:dyDescent="0.25">
      <c r="J818" s="80">
        <f t="shared" si="63"/>
        <v>10000</v>
      </c>
      <c r="K818" s="22">
        <f t="shared" si="64"/>
        <v>46</v>
      </c>
      <c r="L818" s="81">
        <f t="shared" si="62"/>
        <v>17361.343640045234</v>
      </c>
    </row>
    <row r="819" spans="10:12" x14ac:dyDescent="0.25">
      <c r="J819" s="80">
        <f t="shared" si="63"/>
        <v>10000</v>
      </c>
      <c r="K819" s="22">
        <f t="shared" si="64"/>
        <v>47</v>
      </c>
      <c r="L819" s="81">
        <f t="shared" si="62"/>
        <v>17570.805310429754</v>
      </c>
    </row>
    <row r="820" spans="10:12" x14ac:dyDescent="0.25">
      <c r="J820" s="80">
        <f t="shared" si="63"/>
        <v>10000</v>
      </c>
      <c r="K820" s="22">
        <f t="shared" si="64"/>
        <v>48</v>
      </c>
      <c r="L820" s="81">
        <f t="shared" si="62"/>
        <v>17782.79410038923</v>
      </c>
    </row>
    <row r="821" spans="10:12" x14ac:dyDescent="0.25">
      <c r="J821" s="80">
        <f t="shared" si="63"/>
        <v>10000</v>
      </c>
      <c r="K821" s="22">
        <f t="shared" si="64"/>
        <v>49</v>
      </c>
      <c r="L821" s="81">
        <f t="shared" si="62"/>
        <v>17997.340499193291</v>
      </c>
    </row>
    <row r="822" spans="10:12" x14ac:dyDescent="0.25">
      <c r="J822" s="80">
        <f t="shared" si="63"/>
        <v>10000</v>
      </c>
      <c r="K822" s="22">
        <f t="shared" si="64"/>
        <v>50</v>
      </c>
      <c r="L822" s="81">
        <f t="shared" si="62"/>
        <v>18214.475363959453</v>
      </c>
    </row>
    <row r="823" spans="10:12" x14ac:dyDescent="0.25">
      <c r="J823" s="80">
        <f t="shared" si="63"/>
        <v>10000</v>
      </c>
      <c r="K823" s="22">
        <f t="shared" si="64"/>
        <v>51</v>
      </c>
      <c r="L823" s="81">
        <f t="shared" si="62"/>
        <v>18434.229924091105</v>
      </c>
    </row>
    <row r="824" spans="10:12" x14ac:dyDescent="0.25">
      <c r="J824" s="80">
        <f t="shared" si="63"/>
        <v>10000</v>
      </c>
      <c r="K824" s="22">
        <f t="shared" si="64"/>
        <v>52</v>
      </c>
      <c r="L824" s="81">
        <f t="shared" si="62"/>
        <v>18656.635785769122</v>
      </c>
    </row>
    <row r="825" spans="10:12" x14ac:dyDescent="0.25">
      <c r="J825" s="80">
        <f t="shared" si="63"/>
        <v>10000</v>
      </c>
      <c r="K825" s="22">
        <f t="shared" si="64"/>
        <v>53</v>
      </c>
      <c r="L825" s="81">
        <f t="shared" si="62"/>
        <v>18881.724936497591</v>
      </c>
    </row>
    <row r="826" spans="10:12" x14ac:dyDescent="0.25">
      <c r="J826" s="80">
        <f t="shared" si="63"/>
        <v>10000</v>
      </c>
      <c r="K826" s="22">
        <f t="shared" si="64"/>
        <v>54</v>
      </c>
      <c r="L826" s="81">
        <f t="shared" si="62"/>
        <v>19109.529749704405</v>
      </c>
    </row>
    <row r="827" spans="10:12" x14ac:dyDescent="0.25">
      <c r="J827" s="80">
        <f t="shared" si="63"/>
        <v>10000</v>
      </c>
      <c r="K827" s="22">
        <f t="shared" si="64"/>
        <v>55</v>
      </c>
      <c r="L827" s="81">
        <f t="shared" si="62"/>
        <v>19340.082989397397</v>
      </c>
    </row>
    <row r="828" spans="10:12" x14ac:dyDescent="0.25">
      <c r="J828" s="80">
        <f t="shared" si="63"/>
        <v>10000</v>
      </c>
      <c r="K828" s="22">
        <f t="shared" si="64"/>
        <v>56</v>
      </c>
      <c r="L828" s="81">
        <f t="shared" si="62"/>
        <v>19573.417814876604</v>
      </c>
    </row>
    <row r="829" spans="10:12" x14ac:dyDescent="0.25">
      <c r="J829" s="80">
        <f t="shared" si="63"/>
        <v>10000</v>
      </c>
      <c r="K829" s="22">
        <f t="shared" si="64"/>
        <v>57</v>
      </c>
      <c r="L829" s="81">
        <f t="shared" si="62"/>
        <v>19809.567785503386</v>
      </c>
    </row>
    <row r="830" spans="10:12" x14ac:dyDescent="0.25">
      <c r="J830" s="80">
        <f t="shared" si="63"/>
        <v>10000</v>
      </c>
      <c r="K830" s="22">
        <f t="shared" si="64"/>
        <v>58</v>
      </c>
      <c r="L830" s="81">
        <f t="shared" si="62"/>
        <v>20048.566865527137</v>
      </c>
    </row>
    <row r="831" spans="10:12" x14ac:dyDescent="0.25">
      <c r="J831" s="80">
        <f t="shared" si="63"/>
        <v>10000</v>
      </c>
      <c r="K831" s="22">
        <f t="shared" si="64"/>
        <v>59</v>
      </c>
      <c r="L831" s="81">
        <f t="shared" si="62"/>
        <v>20290.449428970147</v>
      </c>
    </row>
    <row r="832" spans="10:12" x14ac:dyDescent="0.25">
      <c r="J832" s="80">
        <f t="shared" si="63"/>
        <v>10000</v>
      </c>
      <c r="K832" s="22">
        <f t="shared" si="64"/>
        <v>60</v>
      </c>
      <c r="L832" s="81">
        <f t="shared" si="62"/>
        <v>20535.250264571463</v>
      </c>
    </row>
    <row r="833" spans="10:12" x14ac:dyDescent="0.25">
      <c r="J833" s="80">
        <f t="shared" si="63"/>
        <v>10000</v>
      </c>
      <c r="K833" s="22">
        <f t="shared" si="64"/>
        <v>61</v>
      </c>
      <c r="L833" s="81">
        <f t="shared" si="62"/>
        <v>20783.004580790392</v>
      </c>
    </row>
    <row r="834" spans="10:12" x14ac:dyDescent="0.25">
      <c r="J834" s="80">
        <f t="shared" si="63"/>
        <v>10000</v>
      </c>
      <c r="K834" s="22">
        <f t="shared" si="64"/>
        <v>62</v>
      </c>
      <c r="L834" s="81">
        <f t="shared" si="62"/>
        <v>21033.748010870338</v>
      </c>
    </row>
    <row r="835" spans="10:12" x14ac:dyDescent="0.25">
      <c r="J835" s="80">
        <f t="shared" si="63"/>
        <v>10000</v>
      </c>
      <c r="K835" s="22">
        <f t="shared" si="64"/>
        <v>63</v>
      </c>
      <c r="L835" s="81">
        <f t="shared" si="62"/>
        <v>21287.516617963727</v>
      </c>
    </row>
    <row r="836" spans="10:12" x14ac:dyDescent="0.25">
      <c r="J836" s="80">
        <f t="shared" si="63"/>
        <v>10000</v>
      </c>
      <c r="K836" s="22">
        <f t="shared" si="64"/>
        <v>64</v>
      </c>
      <c r="L836" s="81">
        <f t="shared" si="62"/>
        <v>21544.346900318837</v>
      </c>
    </row>
    <row r="837" spans="10:12" x14ac:dyDescent="0.25">
      <c r="J837" s="80">
        <f t="shared" si="63"/>
        <v>10000</v>
      </c>
      <c r="K837" s="22">
        <f t="shared" si="64"/>
        <v>65</v>
      </c>
      <c r="L837" s="81">
        <f t="shared" ref="L837:L900" si="65">J837*10^(K837/192)</f>
        <v>21804.275796529124</v>
      </c>
    </row>
    <row r="838" spans="10:12" x14ac:dyDescent="0.25">
      <c r="J838" s="80">
        <f t="shared" ref="J838:J901" si="66">J646*10</f>
        <v>10000</v>
      </c>
      <c r="K838" s="22">
        <f t="shared" ref="K838:K901" si="67">K837+1</f>
        <v>66</v>
      </c>
      <c r="L838" s="81">
        <f t="shared" si="65"/>
        <v>22067.3406908459</v>
      </c>
    </row>
    <row r="839" spans="10:12" x14ac:dyDescent="0.25">
      <c r="J839" s="80">
        <f t="shared" si="66"/>
        <v>10000</v>
      </c>
      <c r="K839" s="22">
        <f t="shared" si="67"/>
        <v>67</v>
      </c>
      <c r="L839" s="81">
        <f t="shared" si="65"/>
        <v>22333.57941855516</v>
      </c>
    </row>
    <row r="840" spans="10:12" x14ac:dyDescent="0.25">
      <c r="J840" s="80">
        <f t="shared" si="66"/>
        <v>10000</v>
      </c>
      <c r="K840" s="22">
        <f t="shared" si="67"/>
        <v>68</v>
      </c>
      <c r="L840" s="81">
        <f t="shared" si="65"/>
        <v>22603.030271419204</v>
      </c>
    </row>
    <row r="841" spans="10:12" x14ac:dyDescent="0.25">
      <c r="J841" s="80">
        <f t="shared" si="66"/>
        <v>10000</v>
      </c>
      <c r="K841" s="22">
        <f t="shared" si="67"/>
        <v>69</v>
      </c>
      <c r="L841" s="81">
        <f t="shared" si="65"/>
        <v>22875.732003183963</v>
      </c>
    </row>
    <row r="842" spans="10:12" x14ac:dyDescent="0.25">
      <c r="J842" s="80">
        <f t="shared" si="66"/>
        <v>10000</v>
      </c>
      <c r="K842" s="22">
        <f t="shared" si="67"/>
        <v>70</v>
      </c>
      <c r="L842" s="81">
        <f t="shared" si="65"/>
        <v>23151.723835152734</v>
      </c>
    </row>
    <row r="843" spans="10:12" x14ac:dyDescent="0.25">
      <c r="J843" s="80">
        <f t="shared" si="66"/>
        <v>10000</v>
      </c>
      <c r="K843" s="22">
        <f t="shared" si="67"/>
        <v>71</v>
      </c>
      <c r="L843" s="81">
        <f t="shared" si="65"/>
        <v>23431.045461827223</v>
      </c>
    </row>
    <row r="844" spans="10:12" x14ac:dyDescent="0.25">
      <c r="J844" s="80">
        <f t="shared" si="66"/>
        <v>10000</v>
      </c>
      <c r="K844" s="22">
        <f t="shared" si="67"/>
        <v>72</v>
      </c>
      <c r="L844" s="81">
        <f t="shared" si="65"/>
        <v>23713.737056616555</v>
      </c>
    </row>
    <row r="845" spans="10:12" x14ac:dyDescent="0.25">
      <c r="J845" s="80">
        <f t="shared" si="66"/>
        <v>10000</v>
      </c>
      <c r="K845" s="22">
        <f t="shared" si="67"/>
        <v>73</v>
      </c>
      <c r="L845" s="81">
        <f t="shared" si="65"/>
        <v>23999.839277615232</v>
      </c>
    </row>
    <row r="846" spans="10:12" x14ac:dyDescent="0.25">
      <c r="J846" s="80">
        <f t="shared" si="66"/>
        <v>10000</v>
      </c>
      <c r="K846" s="22">
        <f t="shared" si="67"/>
        <v>74</v>
      </c>
      <c r="L846" s="81">
        <f t="shared" si="65"/>
        <v>24289.393273450791</v>
      </c>
    </row>
    <row r="847" spans="10:12" x14ac:dyDescent="0.25">
      <c r="J847" s="80">
        <f t="shared" si="66"/>
        <v>10000</v>
      </c>
      <c r="K847" s="22">
        <f t="shared" si="67"/>
        <v>75</v>
      </c>
      <c r="L847" s="81">
        <f t="shared" si="65"/>
        <v>24582.440689201976</v>
      </c>
    </row>
    <row r="848" spans="10:12" x14ac:dyDescent="0.25">
      <c r="J848" s="80">
        <f t="shared" si="66"/>
        <v>10000</v>
      </c>
      <c r="K848" s="22">
        <f t="shared" si="67"/>
        <v>76</v>
      </c>
      <c r="L848" s="81">
        <f t="shared" si="65"/>
        <v>24879.023672388365</v>
      </c>
    </row>
    <row r="849" spans="10:12" x14ac:dyDescent="0.25">
      <c r="J849" s="80">
        <f t="shared" si="66"/>
        <v>10000</v>
      </c>
      <c r="K849" s="22">
        <f t="shared" si="67"/>
        <v>77</v>
      </c>
      <c r="L849" s="81">
        <f t="shared" si="65"/>
        <v>25179.184879032218</v>
      </c>
    </row>
    <row r="850" spans="10:12" x14ac:dyDescent="0.25">
      <c r="J850" s="80">
        <f t="shared" si="66"/>
        <v>10000</v>
      </c>
      <c r="K850" s="22">
        <f t="shared" si="67"/>
        <v>78</v>
      </c>
      <c r="L850" s="81">
        <f t="shared" si="65"/>
        <v>25482.967479793471</v>
      </c>
    </row>
    <row r="851" spans="10:12" x14ac:dyDescent="0.25">
      <c r="J851" s="80">
        <f t="shared" si="66"/>
        <v>10000</v>
      </c>
      <c r="K851" s="22">
        <f t="shared" si="67"/>
        <v>79</v>
      </c>
      <c r="L851" s="81">
        <f t="shared" si="65"/>
        <v>25790.415166178762</v>
      </c>
    </row>
    <row r="852" spans="10:12" x14ac:dyDescent="0.25">
      <c r="J852" s="80">
        <f t="shared" si="66"/>
        <v>10000</v>
      </c>
      <c r="K852" s="22">
        <f t="shared" si="67"/>
        <v>80</v>
      </c>
      <c r="L852" s="81">
        <f t="shared" si="65"/>
        <v>26101.572156825372</v>
      </c>
    </row>
    <row r="853" spans="10:12" x14ac:dyDescent="0.25">
      <c r="J853" s="80">
        <f t="shared" si="66"/>
        <v>10000</v>
      </c>
      <c r="K853" s="22">
        <f t="shared" si="67"/>
        <v>81</v>
      </c>
      <c r="L853" s="81">
        <f t="shared" si="65"/>
        <v>26416.483203860927</v>
      </c>
    </row>
    <row r="854" spans="10:12" x14ac:dyDescent="0.25">
      <c r="J854" s="80">
        <f t="shared" si="66"/>
        <v>10000</v>
      </c>
      <c r="K854" s="22">
        <f t="shared" si="67"/>
        <v>82</v>
      </c>
      <c r="L854" s="81">
        <f t="shared" si="65"/>
        <v>26735.193599339909</v>
      </c>
    </row>
    <row r="855" spans="10:12" x14ac:dyDescent="0.25">
      <c r="J855" s="80">
        <f t="shared" si="66"/>
        <v>10000</v>
      </c>
      <c r="K855" s="22">
        <f t="shared" si="67"/>
        <v>83</v>
      </c>
      <c r="L855" s="81">
        <f t="shared" si="65"/>
        <v>27057.749181757765</v>
      </c>
    </row>
    <row r="856" spans="10:12" x14ac:dyDescent="0.25">
      <c r="J856" s="80">
        <f t="shared" si="66"/>
        <v>10000</v>
      </c>
      <c r="K856" s="22">
        <f t="shared" si="67"/>
        <v>84</v>
      </c>
      <c r="L856" s="81">
        <f t="shared" si="65"/>
        <v>27384.196342643616</v>
      </c>
    </row>
    <row r="857" spans="10:12" x14ac:dyDescent="0.25">
      <c r="J857" s="80">
        <f t="shared" si="66"/>
        <v>10000</v>
      </c>
      <c r="K857" s="22">
        <f t="shared" si="67"/>
        <v>85</v>
      </c>
      <c r="L857" s="81">
        <f t="shared" si="65"/>
        <v>27714.582033232535</v>
      </c>
    </row>
    <row r="858" spans="10:12" x14ac:dyDescent="0.25">
      <c r="J858" s="80">
        <f t="shared" si="66"/>
        <v>10000</v>
      </c>
      <c r="K858" s="22">
        <f t="shared" si="67"/>
        <v>86</v>
      </c>
      <c r="L858" s="81">
        <f t="shared" si="65"/>
        <v>28048.953771218283</v>
      </c>
    </row>
    <row r="859" spans="10:12" x14ac:dyDescent="0.25">
      <c r="J859" s="80">
        <f t="shared" si="66"/>
        <v>10000</v>
      </c>
      <c r="K859" s="22">
        <f t="shared" si="67"/>
        <v>87</v>
      </c>
      <c r="L859" s="81">
        <f t="shared" si="65"/>
        <v>28387.359647587549</v>
      </c>
    </row>
    <row r="860" spans="10:12" x14ac:dyDescent="0.25">
      <c r="J860" s="80">
        <f t="shared" si="66"/>
        <v>10000</v>
      </c>
      <c r="K860" s="22">
        <f t="shared" si="67"/>
        <v>88</v>
      </c>
      <c r="L860" s="81">
        <f t="shared" si="65"/>
        <v>28729.848333536644</v>
      </c>
    </row>
    <row r="861" spans="10:12" x14ac:dyDescent="0.25">
      <c r="J861" s="80">
        <f t="shared" si="66"/>
        <v>10000</v>
      </c>
      <c r="K861" s="22">
        <f t="shared" si="67"/>
        <v>89</v>
      </c>
      <c r="L861" s="81">
        <f t="shared" si="65"/>
        <v>29076.469087471618</v>
      </c>
    </row>
    <row r="862" spans="10:12" x14ac:dyDescent="0.25">
      <c r="J862" s="80">
        <f t="shared" si="66"/>
        <v>10000</v>
      </c>
      <c r="K862" s="22">
        <f t="shared" si="67"/>
        <v>90</v>
      </c>
      <c r="L862" s="81">
        <f t="shared" si="65"/>
        <v>29427.271762092823</v>
      </c>
    </row>
    <row r="863" spans="10:12" x14ac:dyDescent="0.25">
      <c r="J863" s="80">
        <f t="shared" si="66"/>
        <v>10000</v>
      </c>
      <c r="K863" s="22">
        <f t="shared" si="67"/>
        <v>91</v>
      </c>
      <c r="L863" s="81">
        <f t="shared" si="65"/>
        <v>29782.306811565013</v>
      </c>
    </row>
    <row r="864" spans="10:12" x14ac:dyDescent="0.25">
      <c r="J864" s="80">
        <f t="shared" si="66"/>
        <v>10000</v>
      </c>
      <c r="K864" s="22">
        <f t="shared" si="67"/>
        <v>92</v>
      </c>
      <c r="L864" s="81">
        <f t="shared" si="65"/>
        <v>30141.625298773906</v>
      </c>
    </row>
    <row r="865" spans="10:12" x14ac:dyDescent="0.25">
      <c r="J865" s="80">
        <f t="shared" si="66"/>
        <v>10000</v>
      </c>
      <c r="K865" s="22">
        <f t="shared" si="67"/>
        <v>93</v>
      </c>
      <c r="L865" s="81">
        <f t="shared" si="65"/>
        <v>30505.278902670256</v>
      </c>
    </row>
    <row r="866" spans="10:12" x14ac:dyDescent="0.25">
      <c r="J866" s="80">
        <f t="shared" si="66"/>
        <v>10000</v>
      </c>
      <c r="K866" s="22">
        <f t="shared" si="67"/>
        <v>94</v>
      </c>
      <c r="L866" s="81">
        <f t="shared" si="65"/>
        <v>30873.319925702639</v>
      </c>
    </row>
    <row r="867" spans="10:12" x14ac:dyDescent="0.25">
      <c r="J867" s="80">
        <f t="shared" si="66"/>
        <v>10000</v>
      </c>
      <c r="K867" s="22">
        <f t="shared" si="67"/>
        <v>95</v>
      </c>
      <c r="L867" s="81">
        <f t="shared" si="65"/>
        <v>31245.801301339801</v>
      </c>
    </row>
    <row r="868" spans="10:12" x14ac:dyDescent="0.25">
      <c r="J868" s="80">
        <f t="shared" si="66"/>
        <v>10000</v>
      </c>
      <c r="K868" s="22">
        <f t="shared" si="67"/>
        <v>96</v>
      </c>
      <c r="L868" s="81">
        <f t="shared" si="65"/>
        <v>31622.776601683796</v>
      </c>
    </row>
    <row r="869" spans="10:12" x14ac:dyDescent="0.25">
      <c r="J869" s="80">
        <f t="shared" si="66"/>
        <v>10000</v>
      </c>
      <c r="K869" s="22">
        <f t="shared" si="67"/>
        <v>97</v>
      </c>
      <c r="L869" s="81">
        <f t="shared" si="65"/>
        <v>32004.300045175067</v>
      </c>
    </row>
    <row r="870" spans="10:12" x14ac:dyDescent="0.25">
      <c r="J870" s="80">
        <f t="shared" si="66"/>
        <v>10000</v>
      </c>
      <c r="K870" s="22">
        <f t="shared" si="67"/>
        <v>98</v>
      </c>
      <c r="L870" s="81">
        <f t="shared" si="65"/>
        <v>32390.426504390307</v>
      </c>
    </row>
    <row r="871" spans="10:12" x14ac:dyDescent="0.25">
      <c r="J871" s="80">
        <f t="shared" si="66"/>
        <v>10000</v>
      </c>
      <c r="K871" s="22">
        <f t="shared" si="67"/>
        <v>99</v>
      </c>
      <c r="L871" s="81">
        <f t="shared" si="65"/>
        <v>32781.211513934591</v>
      </c>
    </row>
    <row r="872" spans="10:12" x14ac:dyDescent="0.25">
      <c r="J872" s="80">
        <f t="shared" si="66"/>
        <v>10000</v>
      </c>
      <c r="K872" s="22">
        <f t="shared" si="67"/>
        <v>100</v>
      </c>
      <c r="L872" s="81">
        <f t="shared" si="65"/>
        <v>33176.711278428578</v>
      </c>
    </row>
    <row r="873" spans="10:12" x14ac:dyDescent="0.25">
      <c r="J873" s="80">
        <f t="shared" si="66"/>
        <v>10000</v>
      </c>
      <c r="K873" s="22">
        <f t="shared" si="67"/>
        <v>101</v>
      </c>
      <c r="L873" s="81">
        <f t="shared" si="65"/>
        <v>33576.982680592148</v>
      </c>
    </row>
    <row r="874" spans="10:12" x14ac:dyDescent="0.25">
      <c r="J874" s="80">
        <f t="shared" si="66"/>
        <v>10000</v>
      </c>
      <c r="K874" s="22">
        <f t="shared" si="67"/>
        <v>102</v>
      </c>
      <c r="L874" s="81">
        <f t="shared" si="65"/>
        <v>33982.083289425595</v>
      </c>
    </row>
    <row r="875" spans="10:12" x14ac:dyDescent="0.25">
      <c r="J875" s="80">
        <f t="shared" si="66"/>
        <v>10000</v>
      </c>
      <c r="K875" s="22">
        <f t="shared" si="67"/>
        <v>103</v>
      </c>
      <c r="L875" s="81">
        <f t="shared" si="65"/>
        <v>34392.071368489414</v>
      </c>
    </row>
    <row r="876" spans="10:12" x14ac:dyDescent="0.25">
      <c r="J876" s="80">
        <f t="shared" si="66"/>
        <v>10000</v>
      </c>
      <c r="K876" s="22">
        <f t="shared" si="67"/>
        <v>104</v>
      </c>
      <c r="L876" s="81">
        <f t="shared" si="65"/>
        <v>34807.005884284103</v>
      </c>
    </row>
    <row r="877" spans="10:12" x14ac:dyDescent="0.25">
      <c r="J877" s="80">
        <f t="shared" si="66"/>
        <v>10000</v>
      </c>
      <c r="K877" s="22">
        <f t="shared" si="67"/>
        <v>105</v>
      </c>
      <c r="L877" s="81">
        <f t="shared" si="65"/>
        <v>35226.946514731018</v>
      </c>
    </row>
    <row r="878" spans="10:12" x14ac:dyDescent="0.25">
      <c r="J878" s="80">
        <f t="shared" si="66"/>
        <v>10000</v>
      </c>
      <c r="K878" s="22">
        <f t="shared" si="67"/>
        <v>106</v>
      </c>
      <c r="L878" s="81">
        <f t="shared" si="65"/>
        <v>35651.953657755497</v>
      </c>
    </row>
    <row r="879" spans="10:12" x14ac:dyDescent="0.25">
      <c r="J879" s="80">
        <f t="shared" si="66"/>
        <v>10000</v>
      </c>
      <c r="K879" s="22">
        <f t="shared" si="67"/>
        <v>107</v>
      </c>
      <c r="L879" s="81">
        <f t="shared" si="65"/>
        <v>36082.088439973624</v>
      </c>
    </row>
    <row r="880" spans="10:12" x14ac:dyDescent="0.25">
      <c r="J880" s="80">
        <f t="shared" si="66"/>
        <v>10000</v>
      </c>
      <c r="K880" s="22">
        <f t="shared" si="67"/>
        <v>108</v>
      </c>
      <c r="L880" s="81">
        <f t="shared" si="65"/>
        <v>36517.412725483773</v>
      </c>
    </row>
    <row r="881" spans="10:12" x14ac:dyDescent="0.25">
      <c r="J881" s="80">
        <f t="shared" si="66"/>
        <v>10000</v>
      </c>
      <c r="K881" s="22">
        <f t="shared" si="67"/>
        <v>109</v>
      </c>
      <c r="L881" s="81">
        <f t="shared" si="65"/>
        <v>36957.989124764179</v>
      </c>
    </row>
    <row r="882" spans="10:12" x14ac:dyDescent="0.25">
      <c r="J882" s="80">
        <f t="shared" si="66"/>
        <v>10000</v>
      </c>
      <c r="K882" s="22">
        <f t="shared" si="67"/>
        <v>110</v>
      </c>
      <c r="L882" s="81">
        <f t="shared" si="65"/>
        <v>37403.88100367786</v>
      </c>
    </row>
    <row r="883" spans="10:12" x14ac:dyDescent="0.25">
      <c r="J883" s="80">
        <f t="shared" si="66"/>
        <v>10000</v>
      </c>
      <c r="K883" s="22">
        <f t="shared" si="67"/>
        <v>111</v>
      </c>
      <c r="L883" s="81">
        <f t="shared" si="65"/>
        <v>37855.152492586298</v>
      </c>
    </row>
    <row r="884" spans="10:12" x14ac:dyDescent="0.25">
      <c r="J884" s="80">
        <f t="shared" si="66"/>
        <v>10000</v>
      </c>
      <c r="K884" s="22">
        <f t="shared" si="67"/>
        <v>112</v>
      </c>
      <c r="L884" s="81">
        <f t="shared" si="65"/>
        <v>38311.868495572882</v>
      </c>
    </row>
    <row r="885" spans="10:12" x14ac:dyDescent="0.25">
      <c r="J885" s="80">
        <f t="shared" si="66"/>
        <v>10000</v>
      </c>
      <c r="K885" s="22">
        <f t="shared" si="67"/>
        <v>113</v>
      </c>
      <c r="L885" s="81">
        <f t="shared" si="65"/>
        <v>38774.094699777765</v>
      </c>
    </row>
    <row r="886" spans="10:12" x14ac:dyDescent="0.25">
      <c r="J886" s="80">
        <f t="shared" si="66"/>
        <v>10000</v>
      </c>
      <c r="K886" s="22">
        <f t="shared" si="67"/>
        <v>114</v>
      </c>
      <c r="L886" s="81">
        <f t="shared" si="65"/>
        <v>39241.897584845363</v>
      </c>
    </row>
    <row r="887" spans="10:12" x14ac:dyDescent="0.25">
      <c r="J887" s="80">
        <f t="shared" si="66"/>
        <v>10000</v>
      </c>
      <c r="K887" s="22">
        <f t="shared" si="67"/>
        <v>115</v>
      </c>
      <c r="L887" s="81">
        <f t="shared" si="65"/>
        <v>39715.344432485705</v>
      </c>
    </row>
    <row r="888" spans="10:12" x14ac:dyDescent="0.25">
      <c r="J888" s="80">
        <f t="shared" si="66"/>
        <v>10000</v>
      </c>
      <c r="K888" s="22">
        <f t="shared" si="67"/>
        <v>116</v>
      </c>
      <c r="L888" s="81">
        <f t="shared" si="65"/>
        <v>40194.503336151254</v>
      </c>
    </row>
    <row r="889" spans="10:12" x14ac:dyDescent="0.25">
      <c r="J889" s="80">
        <f t="shared" si="66"/>
        <v>10000</v>
      </c>
      <c r="K889" s="22">
        <f t="shared" si="67"/>
        <v>117</v>
      </c>
      <c r="L889" s="81">
        <f t="shared" si="65"/>
        <v>40679.443210830483</v>
      </c>
    </row>
    <row r="890" spans="10:12" x14ac:dyDescent="0.25">
      <c r="J890" s="80">
        <f t="shared" si="66"/>
        <v>10000</v>
      </c>
      <c r="K890" s="22">
        <f t="shared" si="67"/>
        <v>118</v>
      </c>
      <c r="L890" s="81">
        <f t="shared" si="65"/>
        <v>41170.233802959483</v>
      </c>
    </row>
    <row r="891" spans="10:12" x14ac:dyDescent="0.25">
      <c r="J891" s="80">
        <f t="shared" si="66"/>
        <v>10000</v>
      </c>
      <c r="K891" s="22">
        <f t="shared" si="67"/>
        <v>119</v>
      </c>
      <c r="L891" s="81">
        <f t="shared" si="65"/>
        <v>41666.945700453296</v>
      </c>
    </row>
    <row r="892" spans="10:12" x14ac:dyDescent="0.25">
      <c r="J892" s="80">
        <f t="shared" si="66"/>
        <v>10000</v>
      </c>
      <c r="K892" s="22">
        <f t="shared" si="67"/>
        <v>120</v>
      </c>
      <c r="L892" s="81">
        <f t="shared" si="65"/>
        <v>42169.650342858229</v>
      </c>
    </row>
    <row r="893" spans="10:12" x14ac:dyDescent="0.25">
      <c r="J893" s="80">
        <f t="shared" si="66"/>
        <v>10000</v>
      </c>
      <c r="K893" s="22">
        <f t="shared" si="67"/>
        <v>121</v>
      </c>
      <c r="L893" s="81">
        <f t="shared" si="65"/>
        <v>42678.420031626585</v>
      </c>
    </row>
    <row r="894" spans="10:12" x14ac:dyDescent="0.25">
      <c r="J894" s="80">
        <f t="shared" si="66"/>
        <v>10000</v>
      </c>
      <c r="K894" s="22">
        <f t="shared" si="67"/>
        <v>122</v>
      </c>
      <c r="L894" s="81">
        <f t="shared" si="65"/>
        <v>43193.327940515446</v>
      </c>
    </row>
    <row r="895" spans="10:12" x14ac:dyDescent="0.25">
      <c r="J895" s="80">
        <f t="shared" si="66"/>
        <v>10000</v>
      </c>
      <c r="K895" s="22">
        <f t="shared" si="67"/>
        <v>123</v>
      </c>
      <c r="L895" s="81">
        <f t="shared" si="65"/>
        <v>43714.448126110896</v>
      </c>
    </row>
    <row r="896" spans="10:12" x14ac:dyDescent="0.25">
      <c r="J896" s="80">
        <f t="shared" si="66"/>
        <v>10000</v>
      </c>
      <c r="K896" s="22">
        <f t="shared" si="67"/>
        <v>124</v>
      </c>
      <c r="L896" s="81">
        <f t="shared" si="65"/>
        <v>44241.855538479183</v>
      </c>
    </row>
    <row r="897" spans="10:12" x14ac:dyDescent="0.25">
      <c r="J897" s="80">
        <f t="shared" si="66"/>
        <v>10000</v>
      </c>
      <c r="K897" s="22">
        <f t="shared" si="67"/>
        <v>125</v>
      </c>
      <c r="L897" s="81">
        <f t="shared" si="65"/>
        <v>44775.626031946369</v>
      </c>
    </row>
    <row r="898" spans="10:12" x14ac:dyDescent="0.25">
      <c r="J898" s="80">
        <f t="shared" si="66"/>
        <v>10000</v>
      </c>
      <c r="K898" s="22">
        <f t="shared" si="67"/>
        <v>126</v>
      </c>
      <c r="L898" s="81">
        <f t="shared" si="65"/>
        <v>45315.836376008185</v>
      </c>
    </row>
    <row r="899" spans="10:12" x14ac:dyDescent="0.25">
      <c r="J899" s="80">
        <f t="shared" si="66"/>
        <v>10000</v>
      </c>
      <c r="K899" s="22">
        <f t="shared" si="67"/>
        <v>127</v>
      </c>
      <c r="L899" s="81">
        <f t="shared" si="65"/>
        <v>45862.564266371264</v>
      </c>
    </row>
    <row r="900" spans="10:12" x14ac:dyDescent="0.25">
      <c r="J900" s="80">
        <f t="shared" si="66"/>
        <v>10000</v>
      </c>
      <c r="K900" s="22">
        <f t="shared" si="67"/>
        <v>128</v>
      </c>
      <c r="L900" s="81">
        <f t="shared" si="65"/>
        <v>46415.888336127791</v>
      </c>
    </row>
    <row r="901" spans="10:12" x14ac:dyDescent="0.25">
      <c r="J901" s="80">
        <f t="shared" si="66"/>
        <v>10000</v>
      </c>
      <c r="K901" s="22">
        <f t="shared" si="67"/>
        <v>129</v>
      </c>
      <c r="L901" s="81">
        <f t="shared" ref="L901:L964" si="68">J901*10^(K901/192)</f>
        <v>46975.888167064935</v>
      </c>
    </row>
    <row r="902" spans="10:12" x14ac:dyDescent="0.25">
      <c r="J902" s="80">
        <f t="shared" ref="J902:J965" si="69">J710*10</f>
        <v>10000</v>
      </c>
      <c r="K902" s="22">
        <f t="shared" ref="K902:K947" si="70">K901+1</f>
        <v>130</v>
      </c>
      <c r="L902" s="81">
        <f t="shared" si="68"/>
        <v>47542.644301110573</v>
      </c>
    </row>
    <row r="903" spans="10:12" x14ac:dyDescent="0.25">
      <c r="J903" s="80">
        <f t="shared" si="69"/>
        <v>10000</v>
      </c>
      <c r="K903" s="22">
        <f t="shared" si="70"/>
        <v>131</v>
      </c>
      <c r="L903" s="81">
        <f t="shared" si="68"/>
        <v>48116.238251917333</v>
      </c>
    </row>
    <row r="904" spans="10:12" x14ac:dyDescent="0.25">
      <c r="J904" s="80">
        <f t="shared" si="69"/>
        <v>10000</v>
      </c>
      <c r="K904" s="22">
        <f t="shared" si="70"/>
        <v>132</v>
      </c>
      <c r="L904" s="81">
        <f t="shared" si="68"/>
        <v>48696.752516586319</v>
      </c>
    </row>
    <row r="905" spans="10:12" x14ac:dyDescent="0.25">
      <c r="J905" s="80">
        <f t="shared" si="69"/>
        <v>10000</v>
      </c>
      <c r="K905" s="22">
        <f t="shared" si="70"/>
        <v>133</v>
      </c>
      <c r="L905" s="81">
        <f t="shared" si="68"/>
        <v>49284.270587532075</v>
      </c>
    </row>
    <row r="906" spans="10:12" x14ac:dyDescent="0.25">
      <c r="J906" s="80">
        <f t="shared" si="69"/>
        <v>10000</v>
      </c>
      <c r="K906" s="22">
        <f t="shared" si="70"/>
        <v>134</v>
      </c>
      <c r="L906" s="81">
        <f t="shared" si="68"/>
        <v>49878.876964491064</v>
      </c>
    </row>
    <row r="907" spans="10:12" x14ac:dyDescent="0.25">
      <c r="J907" s="80">
        <f t="shared" si="69"/>
        <v>10000</v>
      </c>
      <c r="K907" s="22">
        <f t="shared" si="70"/>
        <v>135</v>
      </c>
      <c r="L907" s="81">
        <f t="shared" si="68"/>
        <v>50480.657166674711</v>
      </c>
    </row>
    <row r="908" spans="10:12" x14ac:dyDescent="0.25">
      <c r="J908" s="80">
        <f t="shared" si="69"/>
        <v>10000</v>
      </c>
      <c r="K908" s="22">
        <f t="shared" si="70"/>
        <v>136</v>
      </c>
      <c r="L908" s="81">
        <f t="shared" si="68"/>
        <v>51089.697745069287</v>
      </c>
    </row>
    <row r="909" spans="10:12" x14ac:dyDescent="0.25">
      <c r="J909" s="80">
        <f t="shared" si="69"/>
        <v>10000</v>
      </c>
      <c r="K909" s="22">
        <f t="shared" si="70"/>
        <v>137</v>
      </c>
      <c r="L909" s="81">
        <f t="shared" si="68"/>
        <v>51706.086294884008</v>
      </c>
    </row>
    <row r="910" spans="10:12" x14ac:dyDescent="0.25">
      <c r="J910" s="80">
        <f t="shared" si="69"/>
        <v>10000</v>
      </c>
      <c r="K910" s="22">
        <f t="shared" si="70"/>
        <v>138</v>
      </c>
      <c r="L910" s="81">
        <f t="shared" si="68"/>
        <v>52329.911468149476</v>
      </c>
    </row>
    <row r="911" spans="10:12" x14ac:dyDescent="0.25">
      <c r="J911" s="80">
        <f t="shared" si="69"/>
        <v>10000</v>
      </c>
      <c r="K911" s="22">
        <f t="shared" si="70"/>
        <v>139</v>
      </c>
      <c r="L911" s="81">
        <f t="shared" si="68"/>
        <v>52961.262986468042</v>
      </c>
    </row>
    <row r="912" spans="10:12" x14ac:dyDescent="0.25">
      <c r="J912" s="80">
        <f t="shared" si="69"/>
        <v>10000</v>
      </c>
      <c r="K912" s="22">
        <f t="shared" si="70"/>
        <v>140</v>
      </c>
      <c r="L912" s="81">
        <f t="shared" si="68"/>
        <v>53600.231653917916</v>
      </c>
    </row>
    <row r="913" spans="10:12" x14ac:dyDescent="0.25">
      <c r="J913" s="80">
        <f t="shared" si="69"/>
        <v>10000</v>
      </c>
      <c r="K913" s="22">
        <f t="shared" si="70"/>
        <v>141</v>
      </c>
      <c r="L913" s="81">
        <f t="shared" si="68"/>
        <v>54246.909370113266</v>
      </c>
    </row>
    <row r="914" spans="10:12" x14ac:dyDescent="0.25">
      <c r="J914" s="80">
        <f t="shared" si="69"/>
        <v>10000</v>
      </c>
      <c r="K914" s="22">
        <f t="shared" si="70"/>
        <v>142</v>
      </c>
      <c r="L914" s="81">
        <f t="shared" si="68"/>
        <v>54901.389143421417</v>
      </c>
    </row>
    <row r="915" spans="10:12" x14ac:dyDescent="0.25">
      <c r="J915" s="80">
        <f t="shared" si="69"/>
        <v>10000</v>
      </c>
      <c r="K915" s="22">
        <f t="shared" si="70"/>
        <v>143</v>
      </c>
      <c r="L915" s="81">
        <f t="shared" si="68"/>
        <v>55563.765104339931</v>
      </c>
    </row>
    <row r="916" spans="10:12" x14ac:dyDescent="0.25">
      <c r="J916" s="80">
        <f t="shared" si="69"/>
        <v>10000</v>
      </c>
      <c r="K916" s="22">
        <f t="shared" si="70"/>
        <v>144</v>
      </c>
      <c r="L916" s="81">
        <f t="shared" si="68"/>
        <v>56234.132519034923</v>
      </c>
    </row>
    <row r="917" spans="10:12" x14ac:dyDescent="0.25">
      <c r="J917" s="80">
        <f t="shared" si="69"/>
        <v>10000</v>
      </c>
      <c r="K917" s="22">
        <f t="shared" si="70"/>
        <v>145</v>
      </c>
      <c r="L917" s="81">
        <f t="shared" si="68"/>
        <v>56912.587803042588</v>
      </c>
    </row>
    <row r="918" spans="10:12" x14ac:dyDescent="0.25">
      <c r="J918" s="80">
        <f t="shared" si="69"/>
        <v>10000</v>
      </c>
      <c r="K918" s="22">
        <f t="shared" si="70"/>
        <v>146</v>
      </c>
      <c r="L918" s="81">
        <f t="shared" si="68"/>
        <v>57599.228535136281</v>
      </c>
    </row>
    <row r="919" spans="10:12" x14ac:dyDescent="0.25">
      <c r="J919" s="80">
        <f t="shared" si="69"/>
        <v>10000</v>
      </c>
      <c r="K919" s="22">
        <f t="shared" si="70"/>
        <v>147</v>
      </c>
      <c r="L919" s="81">
        <f t="shared" si="68"/>
        <v>58294.153471360754</v>
      </c>
    </row>
    <row r="920" spans="10:12" x14ac:dyDescent="0.25">
      <c r="J920" s="80">
        <f t="shared" si="69"/>
        <v>10000</v>
      </c>
      <c r="K920" s="22">
        <f t="shared" si="70"/>
        <v>148</v>
      </c>
      <c r="L920" s="81">
        <f t="shared" si="68"/>
        <v>58997.462559235653</v>
      </c>
    </row>
    <row r="921" spans="10:12" x14ac:dyDescent="0.25">
      <c r="J921" s="80">
        <f t="shared" si="69"/>
        <v>10000</v>
      </c>
      <c r="K921" s="22">
        <f t="shared" si="70"/>
        <v>149</v>
      </c>
      <c r="L921" s="81">
        <f t="shared" si="68"/>
        <v>59709.256952130534</v>
      </c>
    </row>
    <row r="922" spans="10:12" x14ac:dyDescent="0.25">
      <c r="J922" s="80">
        <f t="shared" si="69"/>
        <v>10000</v>
      </c>
      <c r="K922" s="22">
        <f t="shared" si="70"/>
        <v>150</v>
      </c>
      <c r="L922" s="81">
        <f t="shared" si="68"/>
        <v>60429.639023813288</v>
      </c>
    </row>
    <row r="923" spans="10:12" x14ac:dyDescent="0.25">
      <c r="J923" s="80">
        <f t="shared" si="69"/>
        <v>10000</v>
      </c>
      <c r="K923" s="22">
        <f t="shared" si="70"/>
        <v>151</v>
      </c>
      <c r="L923" s="81">
        <f t="shared" si="68"/>
        <v>61158.712383173894</v>
      </c>
    </row>
    <row r="924" spans="10:12" x14ac:dyDescent="0.25">
      <c r="J924" s="80">
        <f t="shared" si="69"/>
        <v>10000</v>
      </c>
      <c r="K924" s="22">
        <f t="shared" si="70"/>
        <v>152</v>
      </c>
      <c r="L924" s="81">
        <f t="shared" si="68"/>
        <v>61896.581889126064</v>
      </c>
    </row>
    <row r="925" spans="10:12" x14ac:dyDescent="0.25">
      <c r="J925" s="80">
        <f t="shared" si="69"/>
        <v>10000</v>
      </c>
      <c r="K925" s="22">
        <f t="shared" si="70"/>
        <v>153</v>
      </c>
      <c r="L925" s="81">
        <f t="shared" si="68"/>
        <v>62643.35366568857</v>
      </c>
    </row>
    <row r="926" spans="10:12" x14ac:dyDescent="0.25">
      <c r="J926" s="80">
        <f t="shared" si="69"/>
        <v>10000</v>
      </c>
      <c r="K926" s="22">
        <f t="shared" si="70"/>
        <v>154</v>
      </c>
      <c r="L926" s="81">
        <f t="shared" si="68"/>
        <v>63399.135117248457</v>
      </c>
    </row>
    <row r="927" spans="10:12" x14ac:dyDescent="0.25">
      <c r="J927" s="80">
        <f t="shared" si="69"/>
        <v>10000</v>
      </c>
      <c r="K927" s="22">
        <f t="shared" si="70"/>
        <v>155</v>
      </c>
      <c r="L927" s="81">
        <f t="shared" si="68"/>
        <v>64164.034944008534</v>
      </c>
    </row>
    <row r="928" spans="10:12" x14ac:dyDescent="0.25">
      <c r="J928" s="80">
        <f t="shared" si="69"/>
        <v>10000</v>
      </c>
      <c r="K928" s="22">
        <f t="shared" si="70"/>
        <v>156</v>
      </c>
      <c r="L928" s="81">
        <f t="shared" si="68"/>
        <v>64938.163157621151</v>
      </c>
    </row>
    <row r="929" spans="10:12" x14ac:dyDescent="0.25">
      <c r="J929" s="80">
        <f t="shared" si="69"/>
        <v>10000</v>
      </c>
      <c r="K929" s="22">
        <f t="shared" si="70"/>
        <v>157</v>
      </c>
      <c r="L929" s="81">
        <f t="shared" si="68"/>
        <v>65721.631097010584</v>
      </c>
    </row>
    <row r="930" spans="10:12" x14ac:dyDescent="0.25">
      <c r="J930" s="80">
        <f t="shared" si="69"/>
        <v>10000</v>
      </c>
      <c r="K930" s="22">
        <f t="shared" si="70"/>
        <v>158</v>
      </c>
      <c r="L930" s="81">
        <f t="shared" si="68"/>
        <v>66514.551444386336</v>
      </c>
    </row>
    <row r="931" spans="10:12" x14ac:dyDescent="0.25">
      <c r="J931" s="80">
        <f t="shared" si="69"/>
        <v>10000</v>
      </c>
      <c r="K931" s="22">
        <f t="shared" si="70"/>
        <v>159</v>
      </c>
      <c r="L931" s="81">
        <f t="shared" si="68"/>
        <v>67317.038241449831</v>
      </c>
    </row>
    <row r="932" spans="10:12" x14ac:dyDescent="0.25">
      <c r="J932" s="80">
        <f t="shared" si="69"/>
        <v>10000</v>
      </c>
      <c r="K932" s="22">
        <f t="shared" si="70"/>
        <v>160</v>
      </c>
      <c r="L932" s="81">
        <f t="shared" si="68"/>
        <v>68129.206905796134</v>
      </c>
    </row>
    <row r="933" spans="10:12" x14ac:dyDescent="0.25">
      <c r="J933" s="80">
        <f t="shared" si="69"/>
        <v>10000</v>
      </c>
      <c r="K933" s="22">
        <f t="shared" si="70"/>
        <v>161</v>
      </c>
      <c r="L933" s="81">
        <f t="shared" si="68"/>
        <v>68951.174247514136</v>
      </c>
    </row>
    <row r="934" spans="10:12" x14ac:dyDescent="0.25">
      <c r="J934" s="80">
        <f t="shared" si="69"/>
        <v>10000</v>
      </c>
      <c r="K934" s="22">
        <f t="shared" si="70"/>
        <v>162</v>
      </c>
      <c r="L934" s="81">
        <f t="shared" si="68"/>
        <v>69783.05848598665</v>
      </c>
    </row>
    <row r="935" spans="10:12" x14ac:dyDescent="0.25">
      <c r="J935" s="80">
        <f t="shared" si="69"/>
        <v>10000</v>
      </c>
      <c r="K935" s="22">
        <f t="shared" si="70"/>
        <v>163</v>
      </c>
      <c r="L935" s="81">
        <f t="shared" si="68"/>
        <v>70624.979266893293</v>
      </c>
    </row>
    <row r="936" spans="10:12" x14ac:dyDescent="0.25">
      <c r="J936" s="80">
        <f t="shared" si="69"/>
        <v>10000</v>
      </c>
      <c r="K936" s="22">
        <f t="shared" si="70"/>
        <v>164</v>
      </c>
      <c r="L936" s="81">
        <f t="shared" si="68"/>
        <v>71477.057679418576</v>
      </c>
    </row>
    <row r="937" spans="10:12" x14ac:dyDescent="0.25">
      <c r="J937" s="80">
        <f t="shared" si="69"/>
        <v>10000</v>
      </c>
      <c r="K937" s="22">
        <f t="shared" si="70"/>
        <v>165</v>
      </c>
      <c r="L937" s="81">
        <f t="shared" si="68"/>
        <v>72339.416273667492</v>
      </c>
    </row>
    <row r="938" spans="10:12" x14ac:dyDescent="0.25">
      <c r="J938" s="80">
        <f t="shared" si="69"/>
        <v>10000</v>
      </c>
      <c r="K938" s="22">
        <f t="shared" si="70"/>
        <v>166</v>
      </c>
      <c r="L938" s="81">
        <f t="shared" si="68"/>
        <v>73212.179078291301</v>
      </c>
    </row>
    <row r="939" spans="10:12" x14ac:dyDescent="0.25">
      <c r="J939" s="80">
        <f t="shared" si="69"/>
        <v>10000</v>
      </c>
      <c r="K939" s="22">
        <f t="shared" si="70"/>
        <v>167</v>
      </c>
      <c r="L939" s="81">
        <f t="shared" si="68"/>
        <v>74095.471618325901</v>
      </c>
    </row>
    <row r="940" spans="10:12" x14ac:dyDescent="0.25">
      <c r="J940" s="80">
        <f t="shared" si="69"/>
        <v>10000</v>
      </c>
      <c r="K940" s="22">
        <f t="shared" si="70"/>
        <v>168</v>
      </c>
      <c r="L940" s="81">
        <f t="shared" si="68"/>
        <v>74989.420933245594</v>
      </c>
    </row>
    <row r="941" spans="10:12" x14ac:dyDescent="0.25">
      <c r="J941" s="80">
        <f t="shared" si="69"/>
        <v>10000</v>
      </c>
      <c r="K941" s="22">
        <f t="shared" si="70"/>
        <v>169</v>
      </c>
      <c r="L941" s="81">
        <f t="shared" si="68"/>
        <v>75894.155595234275</v>
      </c>
    </row>
    <row r="942" spans="10:12" x14ac:dyDescent="0.25">
      <c r="J942" s="80">
        <f t="shared" si="69"/>
        <v>10000</v>
      </c>
      <c r="K942" s="22">
        <f t="shared" si="70"/>
        <v>170</v>
      </c>
      <c r="L942" s="81">
        <f t="shared" si="68"/>
        <v>76809.805727677551</v>
      </c>
    </row>
    <row r="943" spans="10:12" x14ac:dyDescent="0.25">
      <c r="J943" s="80">
        <f t="shared" si="69"/>
        <v>10000</v>
      </c>
      <c r="K943" s="22">
        <f t="shared" si="70"/>
        <v>171</v>
      </c>
      <c r="L943" s="81">
        <f t="shared" si="68"/>
        <v>77736.503023877609</v>
      </c>
    </row>
    <row r="944" spans="10:12" x14ac:dyDescent="0.25">
      <c r="J944" s="80">
        <f t="shared" si="69"/>
        <v>10000</v>
      </c>
      <c r="K944" s="22">
        <f t="shared" si="70"/>
        <v>172</v>
      </c>
      <c r="L944" s="81">
        <f t="shared" si="68"/>
        <v>78674.380765994036</v>
      </c>
    </row>
    <row r="945" spans="10:12" x14ac:dyDescent="0.25">
      <c r="J945" s="80">
        <f t="shared" si="69"/>
        <v>10000</v>
      </c>
      <c r="K945" s="22">
        <f t="shared" si="70"/>
        <v>173</v>
      </c>
      <c r="L945" s="81">
        <f t="shared" si="68"/>
        <v>79623.573844213039</v>
      </c>
    </row>
    <row r="946" spans="10:12" x14ac:dyDescent="0.25">
      <c r="J946" s="80">
        <f t="shared" si="69"/>
        <v>10000</v>
      </c>
      <c r="K946" s="22">
        <f t="shared" si="70"/>
        <v>174</v>
      </c>
      <c r="L946" s="81">
        <f t="shared" si="68"/>
        <v>80584.218776148191</v>
      </c>
    </row>
    <row r="947" spans="10:12" x14ac:dyDescent="0.25">
      <c r="J947" s="80">
        <f t="shared" si="69"/>
        <v>10000</v>
      </c>
      <c r="K947" s="22">
        <f t="shared" si="70"/>
        <v>175</v>
      </c>
      <c r="L947" s="81">
        <f t="shared" si="68"/>
        <v>81556.45372647488</v>
      </c>
    </row>
    <row r="948" spans="10:12" x14ac:dyDescent="0.25">
      <c r="J948" s="80">
        <f t="shared" si="69"/>
        <v>10000</v>
      </c>
      <c r="K948" s="22">
        <f>K947+1</f>
        <v>176</v>
      </c>
      <c r="L948" s="81">
        <f t="shared" si="68"/>
        <v>82540.418526801834</v>
      </c>
    </row>
    <row r="949" spans="10:12" x14ac:dyDescent="0.25">
      <c r="J949" s="80">
        <f t="shared" si="69"/>
        <v>10000</v>
      </c>
      <c r="K949" s="22">
        <f t="shared" ref="K949:K964" si="71">K948+1</f>
        <v>177</v>
      </c>
      <c r="L949" s="81">
        <f t="shared" si="68"/>
        <v>83536.254695782613</v>
      </c>
    </row>
    <row r="950" spans="10:12" x14ac:dyDescent="0.25">
      <c r="J950" s="80">
        <f t="shared" si="69"/>
        <v>10000</v>
      </c>
      <c r="K950" s="22">
        <f t="shared" si="71"/>
        <v>178</v>
      </c>
      <c r="L950" s="81">
        <f t="shared" si="68"/>
        <v>84544.10545946924</v>
      </c>
    </row>
    <row r="951" spans="10:12" x14ac:dyDescent="0.25">
      <c r="J951" s="80">
        <f t="shared" si="69"/>
        <v>10000</v>
      </c>
      <c r="K951" s="22">
        <f t="shared" si="71"/>
        <v>179</v>
      </c>
      <c r="L951" s="81">
        <f t="shared" si="68"/>
        <v>85564.115771911849</v>
      </c>
    </row>
    <row r="952" spans="10:12" x14ac:dyDescent="0.25">
      <c r="J952" s="80">
        <f t="shared" si="69"/>
        <v>10000</v>
      </c>
      <c r="K952" s="22">
        <f t="shared" si="71"/>
        <v>180</v>
      </c>
      <c r="L952" s="81">
        <f t="shared" si="68"/>
        <v>86596.432336006561</v>
      </c>
    </row>
    <row r="953" spans="10:12" x14ac:dyDescent="0.25">
      <c r="J953" s="80">
        <f t="shared" si="69"/>
        <v>10000</v>
      </c>
      <c r="K953" s="22">
        <f t="shared" si="71"/>
        <v>181</v>
      </c>
      <c r="L953" s="81">
        <f t="shared" si="68"/>
        <v>87641.203624595204</v>
      </c>
    </row>
    <row r="954" spans="10:12" x14ac:dyDescent="0.25">
      <c r="J954" s="80">
        <f t="shared" si="69"/>
        <v>10000</v>
      </c>
      <c r="K954" s="22">
        <f t="shared" si="71"/>
        <v>182</v>
      </c>
      <c r="L954" s="81">
        <f t="shared" si="68"/>
        <v>88698.57990181919</v>
      </c>
    </row>
    <row r="955" spans="10:12" x14ac:dyDescent="0.25">
      <c r="J955" s="80">
        <f t="shared" si="69"/>
        <v>10000</v>
      </c>
      <c r="K955" s="22">
        <f t="shared" si="71"/>
        <v>183</v>
      </c>
      <c r="L955" s="81">
        <f t="shared" si="68"/>
        <v>89768.713244731451</v>
      </c>
    </row>
    <row r="956" spans="10:12" x14ac:dyDescent="0.25">
      <c r="J956" s="80">
        <f t="shared" si="69"/>
        <v>10000</v>
      </c>
      <c r="K956" s="22">
        <f t="shared" si="71"/>
        <v>184</v>
      </c>
      <c r="L956" s="81">
        <f t="shared" si="68"/>
        <v>90851.757565168708</v>
      </c>
    </row>
    <row r="957" spans="10:12" x14ac:dyDescent="0.25">
      <c r="J957" s="80">
        <f t="shared" si="69"/>
        <v>10000</v>
      </c>
      <c r="K957" s="22">
        <f t="shared" si="71"/>
        <v>185</v>
      </c>
      <c r="L957" s="81">
        <f t="shared" si="68"/>
        <v>91947.868631887934</v>
      </c>
    </row>
    <row r="958" spans="10:12" x14ac:dyDescent="0.25">
      <c r="J958" s="80">
        <f t="shared" si="69"/>
        <v>10000</v>
      </c>
      <c r="K958" s="22">
        <f t="shared" si="71"/>
        <v>186</v>
      </c>
      <c r="L958" s="81">
        <f t="shared" si="68"/>
        <v>93057.2040929699</v>
      </c>
    </row>
    <row r="959" spans="10:12" x14ac:dyDescent="0.25">
      <c r="J959" s="80">
        <f t="shared" si="69"/>
        <v>10000</v>
      </c>
      <c r="K959" s="22">
        <f t="shared" si="71"/>
        <v>187</v>
      </c>
      <c r="L959" s="81">
        <f t="shared" si="68"/>
        <v>94179.923498492601</v>
      </c>
    </row>
    <row r="960" spans="10:12" x14ac:dyDescent="0.25">
      <c r="J960" s="80">
        <f t="shared" si="69"/>
        <v>10000</v>
      </c>
      <c r="K960" s="22">
        <f t="shared" si="71"/>
        <v>188</v>
      </c>
      <c r="L960" s="81">
        <f t="shared" si="68"/>
        <v>95316.188323478782</v>
      </c>
    </row>
    <row r="961" spans="10:12" x14ac:dyDescent="0.25">
      <c r="J961" s="80">
        <f t="shared" si="69"/>
        <v>10000</v>
      </c>
      <c r="K961" s="22">
        <f t="shared" si="71"/>
        <v>189</v>
      </c>
      <c r="L961" s="81">
        <f t="shared" si="68"/>
        <v>96466.161991119967</v>
      </c>
    </row>
    <row r="962" spans="10:12" x14ac:dyDescent="0.25">
      <c r="J962" s="80">
        <f t="shared" si="69"/>
        <v>10000</v>
      </c>
      <c r="K962" s="22">
        <f t="shared" si="71"/>
        <v>190</v>
      </c>
      <c r="L962" s="81">
        <f t="shared" si="68"/>
        <v>97630.009896280782</v>
      </c>
    </row>
    <row r="963" spans="10:12" x14ac:dyDescent="0.25">
      <c r="J963" s="80">
        <f t="shared" si="69"/>
        <v>10000</v>
      </c>
      <c r="K963" s="22">
        <f t="shared" si="71"/>
        <v>191</v>
      </c>
      <c r="L963" s="81">
        <f t="shared" si="68"/>
        <v>98807.899429286917</v>
      </c>
    </row>
    <row r="964" spans="10:12" x14ac:dyDescent="0.25">
      <c r="J964" s="80">
        <f t="shared" si="69"/>
        <v>10000</v>
      </c>
      <c r="K964" s="22">
        <f t="shared" si="71"/>
        <v>192</v>
      </c>
      <c r="L964" s="81">
        <f t="shared" si="68"/>
        <v>100000</v>
      </c>
    </row>
    <row r="965" spans="10:12" x14ac:dyDescent="0.25">
      <c r="J965" s="80">
        <f t="shared" si="69"/>
        <v>100000</v>
      </c>
      <c r="K965" s="22">
        <v>1</v>
      </c>
      <c r="L965" s="81">
        <f t="shared" ref="L965:L1028" si="72">J965*10^(K965/192)</f>
        <v>101206.48306218295</v>
      </c>
    </row>
    <row r="966" spans="10:12" x14ac:dyDescent="0.25">
      <c r="J966" s="80">
        <f t="shared" ref="J966:J1029" si="73">J774*10</f>
        <v>100000</v>
      </c>
      <c r="K966" s="22">
        <f t="shared" ref="K966:K1029" si="74">K965+1</f>
        <v>2</v>
      </c>
      <c r="L966" s="81">
        <f t="shared" si="72"/>
        <v>102427.52213815923</v>
      </c>
    </row>
    <row r="967" spans="10:12" x14ac:dyDescent="0.25">
      <c r="J967" s="80">
        <f t="shared" si="73"/>
        <v>100000</v>
      </c>
      <c r="K967" s="22">
        <f t="shared" si="74"/>
        <v>3</v>
      </c>
      <c r="L967" s="81">
        <f t="shared" si="72"/>
        <v>103663.2928437698</v>
      </c>
    </row>
    <row r="968" spans="10:12" x14ac:dyDescent="0.25">
      <c r="J968" s="80">
        <f t="shared" si="73"/>
        <v>100000</v>
      </c>
      <c r="K968" s="22">
        <f t="shared" si="74"/>
        <v>4</v>
      </c>
      <c r="L968" s="81">
        <f t="shared" si="72"/>
        <v>104913.97291363098</v>
      </c>
    </row>
    <row r="969" spans="10:12" x14ac:dyDescent="0.25">
      <c r="J969" s="80">
        <f t="shared" si="73"/>
        <v>100000</v>
      </c>
      <c r="K969" s="22">
        <f t="shared" si="74"/>
        <v>5</v>
      </c>
      <c r="L969" s="81">
        <f t="shared" si="72"/>
        <v>106179.74222669716</v>
      </c>
    </row>
    <row r="970" spans="10:12" x14ac:dyDescent="0.25">
      <c r="J970" s="80">
        <f t="shared" si="73"/>
        <v>100000</v>
      </c>
      <c r="K970" s="22">
        <f t="shared" si="74"/>
        <v>6</v>
      </c>
      <c r="L970" s="81">
        <f t="shared" si="72"/>
        <v>107460.78283213174</v>
      </c>
    </row>
    <row r="971" spans="10:12" x14ac:dyDescent="0.25">
      <c r="J971" s="80">
        <f t="shared" si="73"/>
        <v>100000</v>
      </c>
      <c r="K971" s="22">
        <f t="shared" si="74"/>
        <v>7</v>
      </c>
      <c r="L971" s="81">
        <f t="shared" si="72"/>
        <v>108757.27897549061</v>
      </c>
    </row>
    <row r="972" spans="10:12" x14ac:dyDescent="0.25">
      <c r="J972" s="80">
        <f t="shared" si="73"/>
        <v>100000</v>
      </c>
      <c r="K972" s="22">
        <f t="shared" si="74"/>
        <v>8</v>
      </c>
      <c r="L972" s="81">
        <f t="shared" si="72"/>
        <v>110069.41712522096</v>
      </c>
    </row>
    <row r="973" spans="10:12" x14ac:dyDescent="0.25">
      <c r="J973" s="80">
        <f t="shared" si="73"/>
        <v>100000</v>
      </c>
      <c r="K973" s="22">
        <f t="shared" si="74"/>
        <v>9</v>
      </c>
      <c r="L973" s="81">
        <f t="shared" si="72"/>
        <v>111397.38599948023</v>
      </c>
    </row>
    <row r="974" spans="10:12" x14ac:dyDescent="0.25">
      <c r="J974" s="80">
        <f t="shared" si="73"/>
        <v>100000</v>
      </c>
      <c r="K974" s="22">
        <f t="shared" si="74"/>
        <v>10</v>
      </c>
      <c r="L974" s="81">
        <f t="shared" si="72"/>
        <v>112741.37659327852</v>
      </c>
    </row>
    <row r="975" spans="10:12" x14ac:dyDescent="0.25">
      <c r="J975" s="80">
        <f t="shared" si="73"/>
        <v>100000</v>
      </c>
      <c r="K975" s="22">
        <f t="shared" si="74"/>
        <v>11</v>
      </c>
      <c r="L975" s="81">
        <f t="shared" si="72"/>
        <v>114101.5822059483</v>
      </c>
    </row>
    <row r="976" spans="10:12" x14ac:dyDescent="0.25">
      <c r="J976" s="80">
        <f t="shared" si="73"/>
        <v>100000</v>
      </c>
      <c r="K976" s="22">
        <f t="shared" si="74"/>
        <v>12</v>
      </c>
      <c r="L976" s="81">
        <f t="shared" si="72"/>
        <v>115478.19846894582</v>
      </c>
    </row>
    <row r="977" spans="10:12" x14ac:dyDescent="0.25">
      <c r="J977" s="80">
        <f t="shared" si="73"/>
        <v>100000</v>
      </c>
      <c r="K977" s="22">
        <f t="shared" si="74"/>
        <v>13</v>
      </c>
      <c r="L977" s="81">
        <f t="shared" si="72"/>
        <v>116871.42337398767</v>
      </c>
    </row>
    <row r="978" spans="10:12" x14ac:dyDescent="0.25">
      <c r="J978" s="80">
        <f t="shared" si="73"/>
        <v>100000</v>
      </c>
      <c r="K978" s="22">
        <f t="shared" si="74"/>
        <v>14</v>
      </c>
      <c r="L978" s="81">
        <f t="shared" si="72"/>
        <v>118281.45730152693</v>
      </c>
    </row>
    <row r="979" spans="10:12" x14ac:dyDescent="0.25">
      <c r="J979" s="80">
        <f t="shared" si="73"/>
        <v>100000</v>
      </c>
      <c r="K979" s="22">
        <f t="shared" si="74"/>
        <v>15</v>
      </c>
      <c r="L979" s="81">
        <f t="shared" si="72"/>
        <v>119708.50304957299</v>
      </c>
    </row>
    <row r="980" spans="10:12" x14ac:dyDescent="0.25">
      <c r="J980" s="80">
        <f t="shared" si="73"/>
        <v>100000</v>
      </c>
      <c r="K980" s="22">
        <f t="shared" si="74"/>
        <v>16</v>
      </c>
      <c r="L980" s="81">
        <f t="shared" si="72"/>
        <v>121152.76586285885</v>
      </c>
    </row>
    <row r="981" spans="10:12" x14ac:dyDescent="0.25">
      <c r="J981" s="80">
        <f t="shared" si="73"/>
        <v>100000</v>
      </c>
      <c r="K981" s="22">
        <f t="shared" si="74"/>
        <v>17</v>
      </c>
      <c r="L981" s="81">
        <f t="shared" si="72"/>
        <v>122614.4534623604</v>
      </c>
    </row>
    <row r="982" spans="10:12" x14ac:dyDescent="0.25">
      <c r="J982" s="80">
        <f t="shared" si="73"/>
        <v>100000</v>
      </c>
      <c r="K982" s="22">
        <f t="shared" si="74"/>
        <v>18</v>
      </c>
      <c r="L982" s="81">
        <f t="shared" si="72"/>
        <v>124093.77607517196</v>
      </c>
    </row>
    <row r="983" spans="10:12" x14ac:dyDescent="0.25">
      <c r="J983" s="80">
        <f t="shared" si="73"/>
        <v>100000</v>
      </c>
      <c r="K983" s="22">
        <f t="shared" si="74"/>
        <v>19</v>
      </c>
      <c r="L983" s="81">
        <f t="shared" si="72"/>
        <v>125590.94646474214</v>
      </c>
    </row>
    <row r="984" spans="10:12" x14ac:dyDescent="0.25">
      <c r="J984" s="80">
        <f t="shared" si="73"/>
        <v>100000</v>
      </c>
      <c r="K984" s="22">
        <f t="shared" si="74"/>
        <v>20</v>
      </c>
      <c r="L984" s="81">
        <f t="shared" si="72"/>
        <v>127106.17996147448</v>
      </c>
    </row>
    <row r="985" spans="10:12" x14ac:dyDescent="0.25">
      <c r="J985" s="80">
        <f t="shared" si="73"/>
        <v>100000</v>
      </c>
      <c r="K985" s="22">
        <f t="shared" si="74"/>
        <v>21</v>
      </c>
      <c r="L985" s="81">
        <f t="shared" si="72"/>
        <v>128639.69449369745</v>
      </c>
    </row>
    <row r="986" spans="10:12" x14ac:dyDescent="0.25">
      <c r="J986" s="80">
        <f t="shared" si="73"/>
        <v>100000</v>
      </c>
      <c r="K986" s="22">
        <f t="shared" si="74"/>
        <v>22</v>
      </c>
      <c r="L986" s="81">
        <f t="shared" si="72"/>
        <v>130191.71061900779</v>
      </c>
    </row>
    <row r="987" spans="10:12" x14ac:dyDescent="0.25">
      <c r="J987" s="80">
        <f t="shared" si="73"/>
        <v>100000</v>
      </c>
      <c r="K987" s="22">
        <f t="shared" si="74"/>
        <v>23</v>
      </c>
      <c r="L987" s="81">
        <f t="shared" si="72"/>
        <v>131762.45155599236</v>
      </c>
    </row>
    <row r="988" spans="10:12" x14ac:dyDescent="0.25">
      <c r="J988" s="80">
        <f t="shared" si="73"/>
        <v>100000</v>
      </c>
      <c r="K988" s="22">
        <f t="shared" si="74"/>
        <v>24</v>
      </c>
      <c r="L988" s="81">
        <f t="shared" si="72"/>
        <v>133352.14321633239</v>
      </c>
    </row>
    <row r="989" spans="10:12" x14ac:dyDescent="0.25">
      <c r="J989" s="80">
        <f t="shared" si="73"/>
        <v>100000</v>
      </c>
      <c r="K989" s="22">
        <f t="shared" si="74"/>
        <v>25</v>
      </c>
      <c r="L989" s="81">
        <f t="shared" si="72"/>
        <v>134961.0142372954</v>
      </c>
    </row>
    <row r="990" spans="10:12" x14ac:dyDescent="0.25">
      <c r="J990" s="80">
        <f t="shared" si="73"/>
        <v>100000</v>
      </c>
      <c r="K990" s="22">
        <f t="shared" si="74"/>
        <v>26</v>
      </c>
      <c r="L990" s="81">
        <f t="shared" si="72"/>
        <v>136589.29601461865</v>
      </c>
    </row>
    <row r="991" spans="10:12" x14ac:dyDescent="0.25">
      <c r="J991" s="80">
        <f t="shared" si="73"/>
        <v>100000</v>
      </c>
      <c r="K991" s="22">
        <f t="shared" si="74"/>
        <v>27</v>
      </c>
      <c r="L991" s="81">
        <f t="shared" si="72"/>
        <v>138237.22273578998</v>
      </c>
    </row>
    <row r="992" spans="10:12" x14ac:dyDescent="0.25">
      <c r="J992" s="80">
        <f t="shared" si="73"/>
        <v>100000</v>
      </c>
      <c r="K992" s="22">
        <f t="shared" si="74"/>
        <v>28</v>
      </c>
      <c r="L992" s="81">
        <f t="shared" si="72"/>
        <v>139905.03141372939</v>
      </c>
    </row>
    <row r="993" spans="10:12" x14ac:dyDescent="0.25">
      <c r="J993" s="80">
        <f t="shared" si="73"/>
        <v>100000</v>
      </c>
      <c r="K993" s="22">
        <f t="shared" si="74"/>
        <v>29</v>
      </c>
      <c r="L993" s="81">
        <f t="shared" si="72"/>
        <v>141592.96192087774</v>
      </c>
    </row>
    <row r="994" spans="10:12" x14ac:dyDescent="0.25">
      <c r="J994" s="80">
        <f t="shared" si="73"/>
        <v>100000</v>
      </c>
      <c r="K994" s="22">
        <f t="shared" si="74"/>
        <v>30</v>
      </c>
      <c r="L994" s="81">
        <f t="shared" si="72"/>
        <v>143301.25702369629</v>
      </c>
    </row>
    <row r="995" spans="10:12" x14ac:dyDescent="0.25">
      <c r="J995" s="80">
        <f t="shared" si="73"/>
        <v>100000</v>
      </c>
      <c r="K995" s="22">
        <f t="shared" si="74"/>
        <v>31</v>
      </c>
      <c r="L995" s="81">
        <f t="shared" si="72"/>
        <v>145030.16241758241</v>
      </c>
    </row>
    <row r="996" spans="10:12" x14ac:dyDescent="0.25">
      <c r="J996" s="80">
        <f t="shared" si="73"/>
        <v>100000</v>
      </c>
      <c r="K996" s="22">
        <f t="shared" si="74"/>
        <v>32</v>
      </c>
      <c r="L996" s="81">
        <f t="shared" si="72"/>
        <v>146779.92676220697</v>
      </c>
    </row>
    <row r="997" spans="10:12" x14ac:dyDescent="0.25">
      <c r="J997" s="80">
        <f t="shared" si="73"/>
        <v>100000</v>
      </c>
      <c r="K997" s="22">
        <f t="shared" si="74"/>
        <v>33</v>
      </c>
      <c r="L997" s="81">
        <f t="shared" si="72"/>
        <v>148550.8017172775</v>
      </c>
    </row>
    <row r="998" spans="10:12" x14ac:dyDescent="0.25">
      <c r="J998" s="80">
        <f t="shared" si="73"/>
        <v>100000</v>
      </c>
      <c r="K998" s="22">
        <f t="shared" si="74"/>
        <v>34</v>
      </c>
      <c r="L998" s="81">
        <f t="shared" si="72"/>
        <v>150343.04197873344</v>
      </c>
    </row>
    <row r="999" spans="10:12" x14ac:dyDescent="0.25">
      <c r="J999" s="80">
        <f t="shared" si="73"/>
        <v>100000</v>
      </c>
      <c r="K999" s="22">
        <f t="shared" si="74"/>
        <v>35</v>
      </c>
      <c r="L999" s="81">
        <f t="shared" si="72"/>
        <v>152156.90531537746</v>
      </c>
    </row>
    <row r="1000" spans="10:12" x14ac:dyDescent="0.25">
      <c r="J1000" s="80">
        <f t="shared" si="73"/>
        <v>100000</v>
      </c>
      <c r="K1000" s="22">
        <f t="shared" si="74"/>
        <v>36</v>
      </c>
      <c r="L1000" s="81">
        <f t="shared" si="72"/>
        <v>153992.6526059492</v>
      </c>
    </row>
    <row r="1001" spans="10:12" x14ac:dyDescent="0.25">
      <c r="J1001" s="80">
        <f t="shared" si="73"/>
        <v>100000</v>
      </c>
      <c r="K1001" s="22">
        <f t="shared" si="74"/>
        <v>37</v>
      </c>
      <c r="L1001" s="81">
        <f t="shared" si="72"/>
        <v>155850.54787664622</v>
      </c>
    </row>
    <row r="1002" spans="10:12" x14ac:dyDescent="0.25">
      <c r="J1002" s="80">
        <f t="shared" si="73"/>
        <v>100000</v>
      </c>
      <c r="K1002" s="22">
        <f t="shared" si="74"/>
        <v>38</v>
      </c>
      <c r="L1002" s="81">
        <f t="shared" si="72"/>
        <v>157730.85833909726</v>
      </c>
    </row>
    <row r="1003" spans="10:12" x14ac:dyDescent="0.25">
      <c r="J1003" s="80">
        <f t="shared" si="73"/>
        <v>100000</v>
      </c>
      <c r="K1003" s="22">
        <f t="shared" si="74"/>
        <v>39</v>
      </c>
      <c r="L1003" s="81">
        <f t="shared" si="72"/>
        <v>159633.85442879423</v>
      </c>
    </row>
    <row r="1004" spans="10:12" x14ac:dyDescent="0.25">
      <c r="J1004" s="80">
        <f t="shared" si="73"/>
        <v>100000</v>
      </c>
      <c r="K1004" s="22">
        <f t="shared" si="74"/>
        <v>40</v>
      </c>
      <c r="L1004" s="81">
        <f t="shared" si="72"/>
        <v>161559.8098439874</v>
      </c>
    </row>
    <row r="1005" spans="10:12" x14ac:dyDescent="0.25">
      <c r="J1005" s="80">
        <f t="shared" si="73"/>
        <v>100000</v>
      </c>
      <c r="K1005" s="22">
        <f t="shared" si="74"/>
        <v>41</v>
      </c>
      <c r="L1005" s="81">
        <f t="shared" si="72"/>
        <v>163509.00158505008</v>
      </c>
    </row>
    <row r="1006" spans="10:12" x14ac:dyDescent="0.25">
      <c r="J1006" s="80">
        <f t="shared" si="73"/>
        <v>100000</v>
      </c>
      <c r="K1006" s="22">
        <f t="shared" si="74"/>
        <v>42</v>
      </c>
      <c r="L1006" s="81">
        <f t="shared" si="72"/>
        <v>165481.70999431814</v>
      </c>
    </row>
    <row r="1007" spans="10:12" x14ac:dyDescent="0.25">
      <c r="J1007" s="80">
        <f t="shared" si="73"/>
        <v>100000</v>
      </c>
      <c r="K1007" s="22">
        <f t="shared" si="74"/>
        <v>43</v>
      </c>
      <c r="L1007" s="81">
        <f t="shared" si="72"/>
        <v>167478.21879641031</v>
      </c>
    </row>
    <row r="1008" spans="10:12" x14ac:dyDescent="0.25">
      <c r="J1008" s="80">
        <f t="shared" si="73"/>
        <v>100000</v>
      </c>
      <c r="K1008" s="22">
        <f t="shared" si="74"/>
        <v>44</v>
      </c>
      <c r="L1008" s="81">
        <f t="shared" si="72"/>
        <v>169498.81513903468</v>
      </c>
    </row>
    <row r="1009" spans="10:12" x14ac:dyDescent="0.25">
      <c r="J1009" s="80">
        <f t="shared" si="73"/>
        <v>100000</v>
      </c>
      <c r="K1009" s="22">
        <f t="shared" si="74"/>
        <v>45</v>
      </c>
      <c r="L1009" s="81">
        <f t="shared" si="72"/>
        <v>171543.78963428791</v>
      </c>
    </row>
    <row r="1010" spans="10:12" x14ac:dyDescent="0.25">
      <c r="J1010" s="80">
        <f t="shared" si="73"/>
        <v>100000</v>
      </c>
      <c r="K1010" s="22">
        <f t="shared" si="74"/>
        <v>46</v>
      </c>
      <c r="L1010" s="81">
        <f t="shared" si="72"/>
        <v>173613.43640045234</v>
      </c>
    </row>
    <row r="1011" spans="10:12" x14ac:dyDescent="0.25">
      <c r="J1011" s="80">
        <f t="shared" si="73"/>
        <v>100000</v>
      </c>
      <c r="K1011" s="22">
        <f t="shared" si="74"/>
        <v>47</v>
      </c>
      <c r="L1011" s="81">
        <f t="shared" si="72"/>
        <v>175708.05310429755</v>
      </c>
    </row>
    <row r="1012" spans="10:12" x14ac:dyDescent="0.25">
      <c r="J1012" s="80">
        <f t="shared" si="73"/>
        <v>100000</v>
      </c>
      <c r="K1012" s="22">
        <f t="shared" si="74"/>
        <v>48</v>
      </c>
      <c r="L1012" s="81">
        <f t="shared" si="72"/>
        <v>177827.94100389231</v>
      </c>
    </row>
    <row r="1013" spans="10:12" x14ac:dyDescent="0.25">
      <c r="J1013" s="80">
        <f t="shared" si="73"/>
        <v>100000</v>
      </c>
      <c r="K1013" s="22">
        <f t="shared" si="74"/>
        <v>49</v>
      </c>
      <c r="L1013" s="81">
        <f t="shared" si="72"/>
        <v>179973.40499193294</v>
      </c>
    </row>
    <row r="1014" spans="10:12" x14ac:dyDescent="0.25">
      <c r="J1014" s="80">
        <f t="shared" si="73"/>
        <v>100000</v>
      </c>
      <c r="K1014" s="22">
        <f t="shared" si="74"/>
        <v>50</v>
      </c>
      <c r="L1014" s="81">
        <f t="shared" si="72"/>
        <v>182144.75363959454</v>
      </c>
    </row>
    <row r="1015" spans="10:12" x14ac:dyDescent="0.25">
      <c r="J1015" s="80">
        <f t="shared" si="73"/>
        <v>100000</v>
      </c>
      <c r="K1015" s="22">
        <f t="shared" si="74"/>
        <v>51</v>
      </c>
      <c r="L1015" s="81">
        <f t="shared" si="72"/>
        <v>184342.29924091106</v>
      </c>
    </row>
    <row r="1016" spans="10:12" x14ac:dyDescent="0.25">
      <c r="J1016" s="80">
        <f t="shared" si="73"/>
        <v>100000</v>
      </c>
      <c r="K1016" s="22">
        <f t="shared" si="74"/>
        <v>52</v>
      </c>
      <c r="L1016" s="81">
        <f t="shared" si="72"/>
        <v>186566.35785769121</v>
      </c>
    </row>
    <row r="1017" spans="10:12" x14ac:dyDescent="0.25">
      <c r="J1017" s="80">
        <f t="shared" si="73"/>
        <v>100000</v>
      </c>
      <c r="K1017" s="22">
        <f t="shared" si="74"/>
        <v>53</v>
      </c>
      <c r="L1017" s="81">
        <f t="shared" si="72"/>
        <v>188817.2493649759</v>
      </c>
    </row>
    <row r="1018" spans="10:12" x14ac:dyDescent="0.25">
      <c r="J1018" s="80">
        <f t="shared" si="73"/>
        <v>100000</v>
      </c>
      <c r="K1018" s="22">
        <f t="shared" si="74"/>
        <v>54</v>
      </c>
      <c r="L1018" s="81">
        <f t="shared" si="72"/>
        <v>191095.29749704406</v>
      </c>
    </row>
    <row r="1019" spans="10:12" x14ac:dyDescent="0.25">
      <c r="J1019" s="80">
        <f t="shared" si="73"/>
        <v>100000</v>
      </c>
      <c r="K1019" s="22">
        <f t="shared" si="74"/>
        <v>55</v>
      </c>
      <c r="L1019" s="81">
        <f t="shared" si="72"/>
        <v>193400.82989397398</v>
      </c>
    </row>
    <row r="1020" spans="10:12" x14ac:dyDescent="0.25">
      <c r="J1020" s="80">
        <f t="shared" si="73"/>
        <v>100000</v>
      </c>
      <c r="K1020" s="22">
        <f t="shared" si="74"/>
        <v>56</v>
      </c>
      <c r="L1020" s="81">
        <f t="shared" si="72"/>
        <v>195734.17814876605</v>
      </c>
    </row>
    <row r="1021" spans="10:12" x14ac:dyDescent="0.25">
      <c r="J1021" s="80">
        <f t="shared" si="73"/>
        <v>100000</v>
      </c>
      <c r="K1021" s="22">
        <f t="shared" si="74"/>
        <v>57</v>
      </c>
      <c r="L1021" s="81">
        <f t="shared" si="72"/>
        <v>198095.67785503389</v>
      </c>
    </row>
    <row r="1022" spans="10:12" x14ac:dyDescent="0.25">
      <c r="J1022" s="80">
        <f t="shared" si="73"/>
        <v>100000</v>
      </c>
      <c r="K1022" s="22">
        <f t="shared" si="74"/>
        <v>58</v>
      </c>
      <c r="L1022" s="81">
        <f t="shared" si="72"/>
        <v>200485.66865527135</v>
      </c>
    </row>
    <row r="1023" spans="10:12" x14ac:dyDescent="0.25">
      <c r="J1023" s="80">
        <f t="shared" si="73"/>
        <v>100000</v>
      </c>
      <c r="K1023" s="22">
        <f t="shared" si="74"/>
        <v>59</v>
      </c>
      <c r="L1023" s="81">
        <f t="shared" si="72"/>
        <v>202904.49428970146</v>
      </c>
    </row>
    <row r="1024" spans="10:12" x14ac:dyDescent="0.25">
      <c r="J1024" s="80">
        <f t="shared" si="73"/>
        <v>100000</v>
      </c>
      <c r="K1024" s="22">
        <f t="shared" si="74"/>
        <v>60</v>
      </c>
      <c r="L1024" s="81">
        <f t="shared" si="72"/>
        <v>205352.50264571462</v>
      </c>
    </row>
    <row r="1025" spans="10:12" x14ac:dyDescent="0.25">
      <c r="J1025" s="80">
        <f t="shared" si="73"/>
        <v>100000</v>
      </c>
      <c r="K1025" s="22">
        <f t="shared" si="74"/>
        <v>61</v>
      </c>
      <c r="L1025" s="81">
        <f t="shared" si="72"/>
        <v>207830.04580790392</v>
      </c>
    </row>
    <row r="1026" spans="10:12" x14ac:dyDescent="0.25">
      <c r="J1026" s="80">
        <f t="shared" si="73"/>
        <v>100000</v>
      </c>
      <c r="K1026" s="22">
        <f t="shared" si="74"/>
        <v>62</v>
      </c>
      <c r="L1026" s="81">
        <f t="shared" si="72"/>
        <v>210337.48010870337</v>
      </c>
    </row>
    <row r="1027" spans="10:12" x14ac:dyDescent="0.25">
      <c r="J1027" s="80">
        <f t="shared" si="73"/>
        <v>100000</v>
      </c>
      <c r="K1027" s="22">
        <f t="shared" si="74"/>
        <v>63</v>
      </c>
      <c r="L1027" s="81">
        <f t="shared" si="72"/>
        <v>212875.16617963728</v>
      </c>
    </row>
    <row r="1028" spans="10:12" x14ac:dyDescent="0.25">
      <c r="J1028" s="80">
        <f t="shared" si="73"/>
        <v>100000</v>
      </c>
      <c r="K1028" s="22">
        <f t="shared" si="74"/>
        <v>64</v>
      </c>
      <c r="L1028" s="81">
        <f t="shared" si="72"/>
        <v>215443.46900318839</v>
      </c>
    </row>
    <row r="1029" spans="10:12" x14ac:dyDescent="0.25">
      <c r="J1029" s="80">
        <f t="shared" si="73"/>
        <v>100000</v>
      </c>
      <c r="K1029" s="22">
        <f t="shared" si="74"/>
        <v>65</v>
      </c>
      <c r="L1029" s="81">
        <f t="shared" ref="L1029:L1092" si="75">J1029*10^(K1029/192)</f>
        <v>218042.75796529121</v>
      </c>
    </row>
    <row r="1030" spans="10:12" x14ac:dyDescent="0.25">
      <c r="J1030" s="80">
        <f t="shared" ref="J1030:J1093" si="76">J838*10</f>
        <v>100000</v>
      </c>
      <c r="K1030" s="22">
        <f t="shared" ref="K1030:K1093" si="77">K1029+1</f>
        <v>66</v>
      </c>
      <c r="L1030" s="81">
        <f t="shared" si="75"/>
        <v>220673.406908459</v>
      </c>
    </row>
    <row r="1031" spans="10:12" x14ac:dyDescent="0.25">
      <c r="J1031" s="80">
        <f t="shared" si="76"/>
        <v>100000</v>
      </c>
      <c r="K1031" s="22">
        <f t="shared" si="77"/>
        <v>67</v>
      </c>
      <c r="L1031" s="81">
        <f t="shared" si="75"/>
        <v>223335.79418555161</v>
      </c>
    </row>
    <row r="1032" spans="10:12" x14ac:dyDescent="0.25">
      <c r="J1032" s="80">
        <f t="shared" si="76"/>
        <v>100000</v>
      </c>
      <c r="K1032" s="22">
        <f t="shared" si="77"/>
        <v>68</v>
      </c>
      <c r="L1032" s="81">
        <f t="shared" si="75"/>
        <v>226030.30271419202</v>
      </c>
    </row>
    <row r="1033" spans="10:12" x14ac:dyDescent="0.25">
      <c r="J1033" s="80">
        <f t="shared" si="76"/>
        <v>100000</v>
      </c>
      <c r="K1033" s="22">
        <f t="shared" si="77"/>
        <v>69</v>
      </c>
      <c r="L1033" s="81">
        <f t="shared" si="75"/>
        <v>228757.32003183963</v>
      </c>
    </row>
    <row r="1034" spans="10:12" x14ac:dyDescent="0.25">
      <c r="J1034" s="80">
        <f t="shared" si="76"/>
        <v>100000</v>
      </c>
      <c r="K1034" s="22">
        <f t="shared" si="77"/>
        <v>70</v>
      </c>
      <c r="L1034" s="81">
        <f t="shared" si="75"/>
        <v>231517.23835152734</v>
      </c>
    </row>
    <row r="1035" spans="10:12" x14ac:dyDescent="0.25">
      <c r="J1035" s="80">
        <f t="shared" si="76"/>
        <v>100000</v>
      </c>
      <c r="K1035" s="22">
        <f t="shared" si="77"/>
        <v>71</v>
      </c>
      <c r="L1035" s="81">
        <f t="shared" si="75"/>
        <v>234310.45461827226</v>
      </c>
    </row>
    <row r="1036" spans="10:12" x14ac:dyDescent="0.25">
      <c r="J1036" s="80">
        <f t="shared" si="76"/>
        <v>100000</v>
      </c>
      <c r="K1036" s="22">
        <f t="shared" si="77"/>
        <v>72</v>
      </c>
      <c r="L1036" s="81">
        <f t="shared" si="75"/>
        <v>237137.37056616554</v>
      </c>
    </row>
    <row r="1037" spans="10:12" x14ac:dyDescent="0.25">
      <c r="J1037" s="80">
        <f t="shared" si="76"/>
        <v>100000</v>
      </c>
      <c r="K1037" s="22">
        <f t="shared" si="77"/>
        <v>73</v>
      </c>
      <c r="L1037" s="81">
        <f t="shared" si="75"/>
        <v>239998.39277615232</v>
      </c>
    </row>
    <row r="1038" spans="10:12" x14ac:dyDescent="0.25">
      <c r="J1038" s="80">
        <f t="shared" si="76"/>
        <v>100000</v>
      </c>
      <c r="K1038" s="22">
        <f t="shared" si="77"/>
        <v>74</v>
      </c>
      <c r="L1038" s="81">
        <f t="shared" si="75"/>
        <v>242893.93273450792</v>
      </c>
    </row>
    <row r="1039" spans="10:12" x14ac:dyDescent="0.25">
      <c r="J1039" s="80">
        <f t="shared" si="76"/>
        <v>100000</v>
      </c>
      <c r="K1039" s="22">
        <f t="shared" si="77"/>
        <v>75</v>
      </c>
      <c r="L1039" s="81">
        <f t="shared" si="75"/>
        <v>245824.40689201976</v>
      </c>
    </row>
    <row r="1040" spans="10:12" x14ac:dyDescent="0.25">
      <c r="J1040" s="80">
        <f t="shared" si="76"/>
        <v>100000</v>
      </c>
      <c r="K1040" s="22">
        <f t="shared" si="77"/>
        <v>76</v>
      </c>
      <c r="L1040" s="81">
        <f t="shared" si="75"/>
        <v>248790.23672388363</v>
      </c>
    </row>
    <row r="1041" spans="10:12" x14ac:dyDescent="0.25">
      <c r="J1041" s="80">
        <f t="shared" si="76"/>
        <v>100000</v>
      </c>
      <c r="K1041" s="22">
        <f t="shared" si="77"/>
        <v>77</v>
      </c>
      <c r="L1041" s="81">
        <f t="shared" si="75"/>
        <v>251791.84879032217</v>
      </c>
    </row>
    <row r="1042" spans="10:12" x14ac:dyDescent="0.25">
      <c r="J1042" s="80">
        <f t="shared" si="76"/>
        <v>100000</v>
      </c>
      <c r="K1042" s="22">
        <f t="shared" si="77"/>
        <v>78</v>
      </c>
      <c r="L1042" s="81">
        <f t="shared" si="75"/>
        <v>254829.67479793471</v>
      </c>
    </row>
    <row r="1043" spans="10:12" x14ac:dyDescent="0.25">
      <c r="J1043" s="80">
        <f t="shared" si="76"/>
        <v>100000</v>
      </c>
      <c r="K1043" s="22">
        <f t="shared" si="77"/>
        <v>79</v>
      </c>
      <c r="L1043" s="81">
        <f t="shared" si="75"/>
        <v>257904.15166178762</v>
      </c>
    </row>
    <row r="1044" spans="10:12" x14ac:dyDescent="0.25">
      <c r="J1044" s="80">
        <f t="shared" si="76"/>
        <v>100000</v>
      </c>
      <c r="K1044" s="22">
        <f t="shared" si="77"/>
        <v>80</v>
      </c>
      <c r="L1044" s="81">
        <f t="shared" si="75"/>
        <v>261015.72156825374</v>
      </c>
    </row>
    <row r="1045" spans="10:12" x14ac:dyDescent="0.25">
      <c r="J1045" s="80">
        <f t="shared" si="76"/>
        <v>100000</v>
      </c>
      <c r="K1045" s="22">
        <f t="shared" si="77"/>
        <v>81</v>
      </c>
      <c r="L1045" s="81">
        <f t="shared" si="75"/>
        <v>264164.83203860925</v>
      </c>
    </row>
    <row r="1046" spans="10:12" x14ac:dyDescent="0.25">
      <c r="J1046" s="80">
        <f t="shared" si="76"/>
        <v>100000</v>
      </c>
      <c r="K1046" s="22">
        <f t="shared" si="77"/>
        <v>82</v>
      </c>
      <c r="L1046" s="81">
        <f t="shared" si="75"/>
        <v>267351.93599339906</v>
      </c>
    </row>
    <row r="1047" spans="10:12" x14ac:dyDescent="0.25">
      <c r="J1047" s="80">
        <f t="shared" si="76"/>
        <v>100000</v>
      </c>
      <c r="K1047" s="22">
        <f t="shared" si="77"/>
        <v>83</v>
      </c>
      <c r="L1047" s="81">
        <f t="shared" si="75"/>
        <v>270577.49181757768</v>
      </c>
    </row>
    <row r="1048" spans="10:12" x14ac:dyDescent="0.25">
      <c r="J1048" s="80">
        <f t="shared" si="76"/>
        <v>100000</v>
      </c>
      <c r="K1048" s="22">
        <f t="shared" si="77"/>
        <v>84</v>
      </c>
      <c r="L1048" s="81">
        <f t="shared" si="75"/>
        <v>273841.96342643612</v>
      </c>
    </row>
    <row r="1049" spans="10:12" x14ac:dyDescent="0.25">
      <c r="J1049" s="80">
        <f t="shared" si="76"/>
        <v>100000</v>
      </c>
      <c r="K1049" s="22">
        <f t="shared" si="77"/>
        <v>85</v>
      </c>
      <c r="L1049" s="81">
        <f t="shared" si="75"/>
        <v>277145.82033232535</v>
      </c>
    </row>
    <row r="1050" spans="10:12" x14ac:dyDescent="0.25">
      <c r="J1050" s="80">
        <f t="shared" si="76"/>
        <v>100000</v>
      </c>
      <c r="K1050" s="22">
        <f t="shared" si="77"/>
        <v>86</v>
      </c>
      <c r="L1050" s="81">
        <f t="shared" si="75"/>
        <v>280489.53771218279</v>
      </c>
    </row>
    <row r="1051" spans="10:12" x14ac:dyDescent="0.25">
      <c r="J1051" s="80">
        <f t="shared" si="76"/>
        <v>100000</v>
      </c>
      <c r="K1051" s="22">
        <f t="shared" si="77"/>
        <v>87</v>
      </c>
      <c r="L1051" s="81">
        <f t="shared" si="75"/>
        <v>283873.59647587547</v>
      </c>
    </row>
    <row r="1052" spans="10:12" x14ac:dyDescent="0.25">
      <c r="J1052" s="80">
        <f t="shared" si="76"/>
        <v>100000</v>
      </c>
      <c r="K1052" s="22">
        <f t="shared" si="77"/>
        <v>88</v>
      </c>
      <c r="L1052" s="81">
        <f t="shared" si="75"/>
        <v>287298.48333536647</v>
      </c>
    </row>
    <row r="1053" spans="10:12" x14ac:dyDescent="0.25">
      <c r="J1053" s="80">
        <f t="shared" si="76"/>
        <v>100000</v>
      </c>
      <c r="K1053" s="22">
        <f t="shared" si="77"/>
        <v>89</v>
      </c>
      <c r="L1053" s="81">
        <f t="shared" si="75"/>
        <v>290764.69087471615</v>
      </c>
    </row>
    <row r="1054" spans="10:12" x14ac:dyDescent="0.25">
      <c r="J1054" s="80">
        <f t="shared" si="76"/>
        <v>100000</v>
      </c>
      <c r="K1054" s="22">
        <f t="shared" si="77"/>
        <v>90</v>
      </c>
      <c r="L1054" s="81">
        <f t="shared" si="75"/>
        <v>294272.71762092825</v>
      </c>
    </row>
    <row r="1055" spans="10:12" x14ac:dyDescent="0.25">
      <c r="J1055" s="80">
        <f t="shared" si="76"/>
        <v>100000</v>
      </c>
      <c r="K1055" s="22">
        <f t="shared" si="77"/>
        <v>91</v>
      </c>
      <c r="L1055" s="81">
        <f t="shared" si="75"/>
        <v>297823.06811565015</v>
      </c>
    </row>
    <row r="1056" spans="10:12" x14ac:dyDescent="0.25">
      <c r="J1056" s="80">
        <f t="shared" si="76"/>
        <v>100000</v>
      </c>
      <c r="K1056" s="22">
        <f t="shared" si="77"/>
        <v>92</v>
      </c>
      <c r="L1056" s="81">
        <f t="shared" si="75"/>
        <v>301416.25298773905</v>
      </c>
    </row>
    <row r="1057" spans="10:12" x14ac:dyDescent="0.25">
      <c r="J1057" s="80">
        <f t="shared" si="76"/>
        <v>100000</v>
      </c>
      <c r="K1057" s="22">
        <f t="shared" si="77"/>
        <v>93</v>
      </c>
      <c r="L1057" s="81">
        <f t="shared" si="75"/>
        <v>305052.78902670258</v>
      </c>
    </row>
    <row r="1058" spans="10:12" x14ac:dyDescent="0.25">
      <c r="J1058" s="80">
        <f t="shared" si="76"/>
        <v>100000</v>
      </c>
      <c r="K1058" s="22">
        <f t="shared" si="77"/>
        <v>94</v>
      </c>
      <c r="L1058" s="81">
        <f t="shared" si="75"/>
        <v>308733.19925702643</v>
      </c>
    </row>
    <row r="1059" spans="10:12" x14ac:dyDescent="0.25">
      <c r="J1059" s="80">
        <f t="shared" si="76"/>
        <v>100000</v>
      </c>
      <c r="K1059" s="22">
        <f t="shared" si="77"/>
        <v>95</v>
      </c>
      <c r="L1059" s="81">
        <f t="shared" si="75"/>
        <v>312458.01301339798</v>
      </c>
    </row>
    <row r="1060" spans="10:12" x14ac:dyDescent="0.25">
      <c r="J1060" s="80">
        <f t="shared" si="76"/>
        <v>100000</v>
      </c>
      <c r="K1060" s="22">
        <f t="shared" si="77"/>
        <v>96</v>
      </c>
      <c r="L1060" s="81">
        <f t="shared" si="75"/>
        <v>316227.76601683797</v>
      </c>
    </row>
    <row r="1061" spans="10:12" x14ac:dyDescent="0.25">
      <c r="J1061" s="80">
        <f t="shared" si="76"/>
        <v>100000</v>
      </c>
      <c r="K1061" s="22">
        <f t="shared" si="77"/>
        <v>97</v>
      </c>
      <c r="L1061" s="81">
        <f t="shared" si="75"/>
        <v>320043.00045175065</v>
      </c>
    </row>
    <row r="1062" spans="10:12" x14ac:dyDescent="0.25">
      <c r="J1062" s="80">
        <f t="shared" si="76"/>
        <v>100000</v>
      </c>
      <c r="K1062" s="22">
        <f t="shared" si="77"/>
        <v>98</v>
      </c>
      <c r="L1062" s="81">
        <f t="shared" si="75"/>
        <v>323904.26504390308</v>
      </c>
    </row>
    <row r="1063" spans="10:12" x14ac:dyDescent="0.25">
      <c r="J1063" s="80">
        <f t="shared" si="76"/>
        <v>100000</v>
      </c>
      <c r="K1063" s="22">
        <f t="shared" si="77"/>
        <v>99</v>
      </c>
      <c r="L1063" s="81">
        <f t="shared" si="75"/>
        <v>327812.11513934593</v>
      </c>
    </row>
    <row r="1064" spans="10:12" x14ac:dyDescent="0.25">
      <c r="J1064" s="80">
        <f t="shared" si="76"/>
        <v>100000</v>
      </c>
      <c r="K1064" s="22">
        <f t="shared" si="77"/>
        <v>100</v>
      </c>
      <c r="L1064" s="81">
        <f t="shared" si="75"/>
        <v>331767.1127842858</v>
      </c>
    </row>
    <row r="1065" spans="10:12" x14ac:dyDescent="0.25">
      <c r="J1065" s="80">
        <f t="shared" si="76"/>
        <v>100000</v>
      </c>
      <c r="K1065" s="22">
        <f t="shared" si="77"/>
        <v>101</v>
      </c>
      <c r="L1065" s="81">
        <f t="shared" si="75"/>
        <v>335769.8268059215</v>
      </c>
    </row>
    <row r="1066" spans="10:12" x14ac:dyDescent="0.25">
      <c r="J1066" s="80">
        <f t="shared" si="76"/>
        <v>100000</v>
      </c>
      <c r="K1066" s="22">
        <f t="shared" si="77"/>
        <v>102</v>
      </c>
      <c r="L1066" s="81">
        <f t="shared" si="75"/>
        <v>339820.83289425593</v>
      </c>
    </row>
    <row r="1067" spans="10:12" x14ac:dyDescent="0.25">
      <c r="J1067" s="80">
        <f t="shared" si="76"/>
        <v>100000</v>
      </c>
      <c r="K1067" s="22">
        <f t="shared" si="77"/>
        <v>103</v>
      </c>
      <c r="L1067" s="81">
        <f t="shared" si="75"/>
        <v>343920.71368489414</v>
      </c>
    </row>
    <row r="1068" spans="10:12" x14ac:dyDescent="0.25">
      <c r="J1068" s="80">
        <f t="shared" si="76"/>
        <v>100000</v>
      </c>
      <c r="K1068" s="22">
        <f t="shared" si="77"/>
        <v>104</v>
      </c>
      <c r="L1068" s="81">
        <f t="shared" si="75"/>
        <v>348070.05884284107</v>
      </c>
    </row>
    <row r="1069" spans="10:12" x14ac:dyDescent="0.25">
      <c r="J1069" s="80">
        <f t="shared" si="76"/>
        <v>100000</v>
      </c>
      <c r="K1069" s="22">
        <f t="shared" si="77"/>
        <v>105</v>
      </c>
      <c r="L1069" s="81">
        <f t="shared" si="75"/>
        <v>352269.46514731017</v>
      </c>
    </row>
    <row r="1070" spans="10:12" x14ac:dyDescent="0.25">
      <c r="J1070" s="80">
        <f t="shared" si="76"/>
        <v>100000</v>
      </c>
      <c r="K1070" s="22">
        <f t="shared" si="77"/>
        <v>106</v>
      </c>
      <c r="L1070" s="81">
        <f t="shared" si="75"/>
        <v>356519.53657755494</v>
      </c>
    </row>
    <row r="1071" spans="10:12" x14ac:dyDescent="0.25">
      <c r="J1071" s="80">
        <f t="shared" si="76"/>
        <v>100000</v>
      </c>
      <c r="K1071" s="22">
        <f t="shared" si="77"/>
        <v>107</v>
      </c>
      <c r="L1071" s="81">
        <f t="shared" si="75"/>
        <v>360820.88439973618</v>
      </c>
    </row>
    <row r="1072" spans="10:12" x14ac:dyDescent="0.25">
      <c r="J1072" s="80">
        <f t="shared" si="76"/>
        <v>100000</v>
      </c>
      <c r="K1072" s="22">
        <f t="shared" si="77"/>
        <v>108</v>
      </c>
      <c r="L1072" s="81">
        <f t="shared" si="75"/>
        <v>365174.12725483777</v>
      </c>
    </row>
    <row r="1073" spans="10:12" x14ac:dyDescent="0.25">
      <c r="J1073" s="80">
        <f t="shared" si="76"/>
        <v>100000</v>
      </c>
      <c r="K1073" s="22">
        <f t="shared" si="77"/>
        <v>109</v>
      </c>
      <c r="L1073" s="81">
        <f t="shared" si="75"/>
        <v>369579.89124764176</v>
      </c>
    </row>
    <row r="1074" spans="10:12" x14ac:dyDescent="0.25">
      <c r="J1074" s="80">
        <f t="shared" si="76"/>
        <v>100000</v>
      </c>
      <c r="K1074" s="22">
        <f t="shared" si="77"/>
        <v>110</v>
      </c>
      <c r="L1074" s="81">
        <f t="shared" si="75"/>
        <v>374038.81003677857</v>
      </c>
    </row>
    <row r="1075" spans="10:12" x14ac:dyDescent="0.25">
      <c r="J1075" s="80">
        <f t="shared" si="76"/>
        <v>100000</v>
      </c>
      <c r="K1075" s="22">
        <f t="shared" si="77"/>
        <v>111</v>
      </c>
      <c r="L1075" s="81">
        <f t="shared" si="75"/>
        <v>378551.52492586302</v>
      </c>
    </row>
    <row r="1076" spans="10:12" x14ac:dyDescent="0.25">
      <c r="J1076" s="80">
        <f t="shared" si="76"/>
        <v>100000</v>
      </c>
      <c r="K1076" s="22">
        <f t="shared" si="77"/>
        <v>112</v>
      </c>
      <c r="L1076" s="81">
        <f t="shared" si="75"/>
        <v>383118.68495572882</v>
      </c>
    </row>
    <row r="1077" spans="10:12" x14ac:dyDescent="0.25">
      <c r="J1077" s="80">
        <f t="shared" si="76"/>
        <v>100000</v>
      </c>
      <c r="K1077" s="22">
        <f t="shared" si="77"/>
        <v>113</v>
      </c>
      <c r="L1077" s="81">
        <f t="shared" si="75"/>
        <v>387740.94699777768</v>
      </c>
    </row>
    <row r="1078" spans="10:12" x14ac:dyDescent="0.25">
      <c r="J1078" s="80">
        <f t="shared" si="76"/>
        <v>100000</v>
      </c>
      <c r="K1078" s="22">
        <f t="shared" si="77"/>
        <v>114</v>
      </c>
      <c r="L1078" s="81">
        <f t="shared" si="75"/>
        <v>392418.97584845364</v>
      </c>
    </row>
    <row r="1079" spans="10:12" x14ac:dyDescent="0.25">
      <c r="J1079" s="80">
        <f t="shared" si="76"/>
        <v>100000</v>
      </c>
      <c r="K1079" s="22">
        <f t="shared" si="77"/>
        <v>115</v>
      </c>
      <c r="L1079" s="81">
        <f t="shared" si="75"/>
        <v>397153.44432485703</v>
      </c>
    </row>
    <row r="1080" spans="10:12" x14ac:dyDescent="0.25">
      <c r="J1080" s="80">
        <f t="shared" si="76"/>
        <v>100000</v>
      </c>
      <c r="K1080" s="22">
        <f t="shared" si="77"/>
        <v>116</v>
      </c>
      <c r="L1080" s="81">
        <f t="shared" si="75"/>
        <v>401945.03336151259</v>
      </c>
    </row>
    <row r="1081" spans="10:12" x14ac:dyDescent="0.25">
      <c r="J1081" s="80">
        <f t="shared" si="76"/>
        <v>100000</v>
      </c>
      <c r="K1081" s="22">
        <f t="shared" si="77"/>
        <v>117</v>
      </c>
      <c r="L1081" s="81">
        <f t="shared" si="75"/>
        <v>406794.43210830481</v>
      </c>
    </row>
    <row r="1082" spans="10:12" x14ac:dyDescent="0.25">
      <c r="J1082" s="80">
        <f t="shared" si="76"/>
        <v>100000</v>
      </c>
      <c r="K1082" s="22">
        <f t="shared" si="77"/>
        <v>118</v>
      </c>
      <c r="L1082" s="81">
        <f t="shared" si="75"/>
        <v>411702.3380295948</v>
      </c>
    </row>
    <row r="1083" spans="10:12" x14ac:dyDescent="0.25">
      <c r="J1083" s="80">
        <f t="shared" si="76"/>
        <v>100000</v>
      </c>
      <c r="K1083" s="22">
        <f t="shared" si="77"/>
        <v>119</v>
      </c>
      <c r="L1083" s="81">
        <f t="shared" si="75"/>
        <v>416669.45700453297</v>
      </c>
    </row>
    <row r="1084" spans="10:12" x14ac:dyDescent="0.25">
      <c r="J1084" s="80">
        <f t="shared" si="76"/>
        <v>100000</v>
      </c>
      <c r="K1084" s="22">
        <f t="shared" si="77"/>
        <v>120</v>
      </c>
      <c r="L1084" s="81">
        <f t="shared" si="75"/>
        <v>421696.50342858233</v>
      </c>
    </row>
    <row r="1085" spans="10:12" x14ac:dyDescent="0.25">
      <c r="J1085" s="80">
        <f t="shared" si="76"/>
        <v>100000</v>
      </c>
      <c r="K1085" s="22">
        <f t="shared" si="77"/>
        <v>121</v>
      </c>
      <c r="L1085" s="81">
        <f t="shared" si="75"/>
        <v>426784.20031626587</v>
      </c>
    </row>
    <row r="1086" spans="10:12" x14ac:dyDescent="0.25">
      <c r="J1086" s="80">
        <f t="shared" si="76"/>
        <v>100000</v>
      </c>
      <c r="K1086" s="22">
        <f t="shared" si="77"/>
        <v>122</v>
      </c>
      <c r="L1086" s="81">
        <f t="shared" si="75"/>
        <v>431933.27940515446</v>
      </c>
    </row>
    <row r="1087" spans="10:12" x14ac:dyDescent="0.25">
      <c r="J1087" s="80">
        <f t="shared" si="76"/>
        <v>100000</v>
      </c>
      <c r="K1087" s="22">
        <f t="shared" si="77"/>
        <v>123</v>
      </c>
      <c r="L1087" s="81">
        <f t="shared" si="75"/>
        <v>437144.481261109</v>
      </c>
    </row>
    <row r="1088" spans="10:12" x14ac:dyDescent="0.25">
      <c r="J1088" s="80">
        <f t="shared" si="76"/>
        <v>100000</v>
      </c>
      <c r="K1088" s="22">
        <f t="shared" si="77"/>
        <v>124</v>
      </c>
      <c r="L1088" s="81">
        <f t="shared" si="75"/>
        <v>442418.55538479181</v>
      </c>
    </row>
    <row r="1089" spans="10:12" x14ac:dyDescent="0.25">
      <c r="J1089" s="80">
        <f t="shared" si="76"/>
        <v>100000</v>
      </c>
      <c r="K1089" s="22">
        <f t="shared" si="77"/>
        <v>125</v>
      </c>
      <c r="L1089" s="81">
        <f t="shared" si="75"/>
        <v>447756.26031946373</v>
      </c>
    </row>
    <row r="1090" spans="10:12" x14ac:dyDescent="0.25">
      <c r="J1090" s="80">
        <f t="shared" si="76"/>
        <v>100000</v>
      </c>
      <c r="K1090" s="22">
        <f t="shared" si="77"/>
        <v>126</v>
      </c>
      <c r="L1090" s="81">
        <f t="shared" si="75"/>
        <v>453158.36376008188</v>
      </c>
    </row>
    <row r="1091" spans="10:12" x14ac:dyDescent="0.25">
      <c r="J1091" s="80">
        <f t="shared" si="76"/>
        <v>100000</v>
      </c>
      <c r="K1091" s="22">
        <f t="shared" si="77"/>
        <v>127</v>
      </c>
      <c r="L1091" s="81">
        <f t="shared" si="75"/>
        <v>458625.64266371261</v>
      </c>
    </row>
    <row r="1092" spans="10:12" x14ac:dyDescent="0.25">
      <c r="J1092" s="80">
        <f t="shared" si="76"/>
        <v>100000</v>
      </c>
      <c r="K1092" s="22">
        <f t="shared" si="77"/>
        <v>128</v>
      </c>
      <c r="L1092" s="81">
        <f t="shared" si="75"/>
        <v>464158.88336127793</v>
      </c>
    </row>
    <row r="1093" spans="10:12" x14ac:dyDescent="0.25">
      <c r="J1093" s="80">
        <f t="shared" si="76"/>
        <v>100000</v>
      </c>
      <c r="K1093" s="22">
        <f t="shared" si="77"/>
        <v>129</v>
      </c>
      <c r="L1093" s="81">
        <f t="shared" ref="L1093:L1156" si="78">J1093*10^(K1093/192)</f>
        <v>469758.88167064934</v>
      </c>
    </row>
    <row r="1094" spans="10:12" x14ac:dyDescent="0.25">
      <c r="J1094" s="80">
        <f t="shared" ref="J1094:J1157" si="79">J902*10</f>
        <v>100000</v>
      </c>
      <c r="K1094" s="22">
        <f t="shared" ref="K1094:K1139" si="80">K1093+1</f>
        <v>130</v>
      </c>
      <c r="L1094" s="81">
        <f t="shared" si="78"/>
        <v>475426.4430111057</v>
      </c>
    </row>
    <row r="1095" spans="10:12" x14ac:dyDescent="0.25">
      <c r="J1095" s="80">
        <f t="shared" si="79"/>
        <v>100000</v>
      </c>
      <c r="K1095" s="22">
        <f t="shared" si="80"/>
        <v>131</v>
      </c>
      <c r="L1095" s="81">
        <f t="shared" si="78"/>
        <v>481162.38251917338</v>
      </c>
    </row>
    <row r="1096" spans="10:12" x14ac:dyDescent="0.25">
      <c r="J1096" s="80">
        <f t="shared" si="79"/>
        <v>100000</v>
      </c>
      <c r="K1096" s="22">
        <f t="shared" si="80"/>
        <v>132</v>
      </c>
      <c r="L1096" s="81">
        <f t="shared" si="78"/>
        <v>486967.52516586316</v>
      </c>
    </row>
    <row r="1097" spans="10:12" x14ac:dyDescent="0.25">
      <c r="J1097" s="80">
        <f t="shared" si="79"/>
        <v>100000</v>
      </c>
      <c r="K1097" s="22">
        <f t="shared" si="80"/>
        <v>133</v>
      </c>
      <c r="L1097" s="81">
        <f t="shared" si="78"/>
        <v>492842.70587532077</v>
      </c>
    </row>
    <row r="1098" spans="10:12" x14ac:dyDescent="0.25">
      <c r="J1098" s="80">
        <f t="shared" si="79"/>
        <v>100000</v>
      </c>
      <c r="K1098" s="22">
        <f t="shared" si="80"/>
        <v>134</v>
      </c>
      <c r="L1098" s="81">
        <f t="shared" si="78"/>
        <v>498788.76964491059</v>
      </c>
    </row>
    <row r="1099" spans="10:12" x14ac:dyDescent="0.25">
      <c r="J1099" s="80">
        <f t="shared" si="79"/>
        <v>100000</v>
      </c>
      <c r="K1099" s="22">
        <f t="shared" si="80"/>
        <v>135</v>
      </c>
      <c r="L1099" s="81">
        <f t="shared" si="78"/>
        <v>504806.57166674716</v>
      </c>
    </row>
    <row r="1100" spans="10:12" x14ac:dyDescent="0.25">
      <c r="J1100" s="80">
        <f t="shared" si="79"/>
        <v>100000</v>
      </c>
      <c r="K1100" s="22">
        <f t="shared" si="80"/>
        <v>136</v>
      </c>
      <c r="L1100" s="81">
        <f t="shared" si="78"/>
        <v>510896.97745069291</v>
      </c>
    </row>
    <row r="1101" spans="10:12" x14ac:dyDescent="0.25">
      <c r="J1101" s="80">
        <f t="shared" si="79"/>
        <v>100000</v>
      </c>
      <c r="K1101" s="22">
        <f t="shared" si="80"/>
        <v>137</v>
      </c>
      <c r="L1101" s="81">
        <f t="shared" si="78"/>
        <v>517060.86294884008</v>
      </c>
    </row>
    <row r="1102" spans="10:12" x14ac:dyDescent="0.25">
      <c r="J1102" s="80">
        <f t="shared" si="79"/>
        <v>100000</v>
      </c>
      <c r="K1102" s="22">
        <f t="shared" si="80"/>
        <v>138</v>
      </c>
      <c r="L1102" s="81">
        <f t="shared" si="78"/>
        <v>523299.11468149477</v>
      </c>
    </row>
    <row r="1103" spans="10:12" x14ac:dyDescent="0.25">
      <c r="J1103" s="80">
        <f t="shared" si="79"/>
        <v>100000</v>
      </c>
      <c r="K1103" s="22">
        <f t="shared" si="80"/>
        <v>139</v>
      </c>
      <c r="L1103" s="81">
        <f t="shared" si="78"/>
        <v>529612.62986468046</v>
      </c>
    </row>
    <row r="1104" spans="10:12" x14ac:dyDescent="0.25">
      <c r="J1104" s="80">
        <f t="shared" si="79"/>
        <v>100000</v>
      </c>
      <c r="K1104" s="22">
        <f t="shared" si="80"/>
        <v>140</v>
      </c>
      <c r="L1104" s="81">
        <f t="shared" si="78"/>
        <v>536002.31653917918</v>
      </c>
    </row>
    <row r="1105" spans="10:12" x14ac:dyDescent="0.25">
      <c r="J1105" s="80">
        <f t="shared" si="79"/>
        <v>100000</v>
      </c>
      <c r="K1105" s="22">
        <f t="shared" si="80"/>
        <v>141</v>
      </c>
      <c r="L1105" s="81">
        <f t="shared" si="78"/>
        <v>542469.09370113269</v>
      </c>
    </row>
    <row r="1106" spans="10:12" x14ac:dyDescent="0.25">
      <c r="J1106" s="80">
        <f t="shared" si="79"/>
        <v>100000</v>
      </c>
      <c r="K1106" s="22">
        <f t="shared" si="80"/>
        <v>142</v>
      </c>
      <c r="L1106" s="81">
        <f t="shared" si="78"/>
        <v>549013.89143421419</v>
      </c>
    </row>
    <row r="1107" spans="10:12" x14ac:dyDescent="0.25">
      <c r="J1107" s="80">
        <f t="shared" si="79"/>
        <v>100000</v>
      </c>
      <c r="K1107" s="22">
        <f t="shared" si="80"/>
        <v>143</v>
      </c>
      <c r="L1107" s="81">
        <f t="shared" si="78"/>
        <v>555637.65104339935</v>
      </c>
    </row>
    <row r="1108" spans="10:12" x14ac:dyDescent="0.25">
      <c r="J1108" s="80">
        <f t="shared" si="79"/>
        <v>100000</v>
      </c>
      <c r="K1108" s="22">
        <f t="shared" si="80"/>
        <v>144</v>
      </c>
      <c r="L1108" s="81">
        <f t="shared" si="78"/>
        <v>562341.32519034925</v>
      </c>
    </row>
    <row r="1109" spans="10:12" x14ac:dyDescent="0.25">
      <c r="J1109" s="80">
        <f t="shared" si="79"/>
        <v>100000</v>
      </c>
      <c r="K1109" s="22">
        <f t="shared" si="80"/>
        <v>145</v>
      </c>
      <c r="L1109" s="81">
        <f t="shared" si="78"/>
        <v>569125.87803042587</v>
      </c>
    </row>
    <row r="1110" spans="10:12" x14ac:dyDescent="0.25">
      <c r="J1110" s="80">
        <f t="shared" si="79"/>
        <v>100000</v>
      </c>
      <c r="K1110" s="22">
        <f t="shared" si="80"/>
        <v>146</v>
      </c>
      <c r="L1110" s="81">
        <f t="shared" si="78"/>
        <v>575992.28535136278</v>
      </c>
    </row>
    <row r="1111" spans="10:12" x14ac:dyDescent="0.25">
      <c r="J1111" s="80">
        <f t="shared" si="79"/>
        <v>100000</v>
      </c>
      <c r="K1111" s="22">
        <f t="shared" si="80"/>
        <v>147</v>
      </c>
      <c r="L1111" s="81">
        <f t="shared" si="78"/>
        <v>582941.53471360751</v>
      </c>
    </row>
    <row r="1112" spans="10:12" x14ac:dyDescent="0.25">
      <c r="J1112" s="80">
        <f t="shared" si="79"/>
        <v>100000</v>
      </c>
      <c r="K1112" s="22">
        <f t="shared" si="80"/>
        <v>148</v>
      </c>
      <c r="L1112" s="81">
        <f t="shared" si="78"/>
        <v>589974.62559235655</v>
      </c>
    </row>
    <row r="1113" spans="10:12" x14ac:dyDescent="0.25">
      <c r="J1113" s="80">
        <f t="shared" si="79"/>
        <v>100000</v>
      </c>
      <c r="K1113" s="22">
        <f t="shared" si="80"/>
        <v>149</v>
      </c>
      <c r="L1113" s="81">
        <f t="shared" si="78"/>
        <v>597092.56952130538</v>
      </c>
    </row>
    <row r="1114" spans="10:12" x14ac:dyDescent="0.25">
      <c r="J1114" s="80">
        <f t="shared" si="79"/>
        <v>100000</v>
      </c>
      <c r="K1114" s="22">
        <f t="shared" si="80"/>
        <v>150</v>
      </c>
      <c r="L1114" s="81">
        <f t="shared" si="78"/>
        <v>604296.39023813291</v>
      </c>
    </row>
    <row r="1115" spans="10:12" x14ac:dyDescent="0.25">
      <c r="J1115" s="80">
        <f t="shared" si="79"/>
        <v>100000</v>
      </c>
      <c r="K1115" s="22">
        <f t="shared" si="80"/>
        <v>151</v>
      </c>
      <c r="L1115" s="81">
        <f t="shared" si="78"/>
        <v>611587.12383173895</v>
      </c>
    </row>
    <row r="1116" spans="10:12" x14ac:dyDescent="0.25">
      <c r="J1116" s="80">
        <f t="shared" si="79"/>
        <v>100000</v>
      </c>
      <c r="K1116" s="22">
        <f t="shared" si="80"/>
        <v>152</v>
      </c>
      <c r="L1116" s="81">
        <f t="shared" si="78"/>
        <v>618965.81889126066</v>
      </c>
    </row>
    <row r="1117" spans="10:12" x14ac:dyDescent="0.25">
      <c r="J1117" s="80">
        <f t="shared" si="79"/>
        <v>100000</v>
      </c>
      <c r="K1117" s="22">
        <f t="shared" si="80"/>
        <v>153</v>
      </c>
      <c r="L1117" s="81">
        <f t="shared" si="78"/>
        <v>626433.53665688576</v>
      </c>
    </row>
    <row r="1118" spans="10:12" x14ac:dyDescent="0.25">
      <c r="J1118" s="80">
        <f t="shared" si="79"/>
        <v>100000</v>
      </c>
      <c r="K1118" s="22">
        <f t="shared" si="80"/>
        <v>154</v>
      </c>
      <c r="L1118" s="81">
        <f t="shared" si="78"/>
        <v>633991.35117248457</v>
      </c>
    </row>
    <row r="1119" spans="10:12" x14ac:dyDescent="0.25">
      <c r="J1119" s="80">
        <f t="shared" si="79"/>
        <v>100000</v>
      </c>
      <c r="K1119" s="22">
        <f t="shared" si="80"/>
        <v>155</v>
      </c>
      <c r="L1119" s="81">
        <f t="shared" si="78"/>
        <v>641640.34944008535</v>
      </c>
    </row>
    <row r="1120" spans="10:12" x14ac:dyDescent="0.25">
      <c r="J1120" s="80">
        <f t="shared" si="79"/>
        <v>100000</v>
      </c>
      <c r="K1120" s="22">
        <f t="shared" si="80"/>
        <v>156</v>
      </c>
      <c r="L1120" s="81">
        <f t="shared" si="78"/>
        <v>649381.63157621154</v>
      </c>
    </row>
    <row r="1121" spans="10:12" x14ac:dyDescent="0.25">
      <c r="J1121" s="80">
        <f t="shared" si="79"/>
        <v>100000</v>
      </c>
      <c r="K1121" s="22">
        <f t="shared" si="80"/>
        <v>157</v>
      </c>
      <c r="L1121" s="81">
        <f t="shared" si="78"/>
        <v>657216.31097010581</v>
      </c>
    </row>
    <row r="1122" spans="10:12" x14ac:dyDescent="0.25">
      <c r="J1122" s="80">
        <f t="shared" si="79"/>
        <v>100000</v>
      </c>
      <c r="K1122" s="22">
        <f t="shared" si="80"/>
        <v>158</v>
      </c>
      <c r="L1122" s="81">
        <f t="shared" si="78"/>
        <v>665145.51444386342</v>
      </c>
    </row>
    <row r="1123" spans="10:12" x14ac:dyDescent="0.25">
      <c r="J1123" s="80">
        <f t="shared" si="79"/>
        <v>100000</v>
      </c>
      <c r="K1123" s="22">
        <f t="shared" si="80"/>
        <v>159</v>
      </c>
      <c r="L1123" s="81">
        <f t="shared" si="78"/>
        <v>673170.38241449825</v>
      </c>
    </row>
    <row r="1124" spans="10:12" x14ac:dyDescent="0.25">
      <c r="J1124" s="80">
        <f t="shared" si="79"/>
        <v>100000</v>
      </c>
      <c r="K1124" s="22">
        <f t="shared" si="80"/>
        <v>160</v>
      </c>
      <c r="L1124" s="81">
        <f t="shared" si="78"/>
        <v>681292.06905796146</v>
      </c>
    </row>
    <row r="1125" spans="10:12" x14ac:dyDescent="0.25">
      <c r="J1125" s="80">
        <f t="shared" si="79"/>
        <v>100000</v>
      </c>
      <c r="K1125" s="22">
        <f t="shared" si="80"/>
        <v>161</v>
      </c>
      <c r="L1125" s="81">
        <f t="shared" si="78"/>
        <v>689511.74247514131</v>
      </c>
    </row>
    <row r="1126" spans="10:12" x14ac:dyDescent="0.25">
      <c r="J1126" s="80">
        <f t="shared" si="79"/>
        <v>100000</v>
      </c>
      <c r="K1126" s="22">
        <f t="shared" si="80"/>
        <v>162</v>
      </c>
      <c r="L1126" s="81">
        <f t="shared" si="78"/>
        <v>697830.58485986653</v>
      </c>
    </row>
    <row r="1127" spans="10:12" x14ac:dyDescent="0.25">
      <c r="J1127" s="80">
        <f t="shared" si="79"/>
        <v>100000</v>
      </c>
      <c r="K1127" s="22">
        <f t="shared" si="80"/>
        <v>163</v>
      </c>
      <c r="L1127" s="81">
        <f t="shared" si="78"/>
        <v>706249.79266893293</v>
      </c>
    </row>
    <row r="1128" spans="10:12" x14ac:dyDescent="0.25">
      <c r="J1128" s="80">
        <f t="shared" si="79"/>
        <v>100000</v>
      </c>
      <c r="K1128" s="22">
        <f t="shared" si="80"/>
        <v>164</v>
      </c>
      <c r="L1128" s="81">
        <f t="shared" si="78"/>
        <v>714770.57679418568</v>
      </c>
    </row>
    <row r="1129" spans="10:12" x14ac:dyDescent="0.25">
      <c r="J1129" s="80">
        <f t="shared" si="79"/>
        <v>100000</v>
      </c>
      <c r="K1129" s="22">
        <f t="shared" si="80"/>
        <v>165</v>
      </c>
      <c r="L1129" s="81">
        <f t="shared" si="78"/>
        <v>723394.16273667489</v>
      </c>
    </row>
    <row r="1130" spans="10:12" x14ac:dyDescent="0.25">
      <c r="J1130" s="80">
        <f t="shared" si="79"/>
        <v>100000</v>
      </c>
      <c r="K1130" s="22">
        <f t="shared" si="80"/>
        <v>166</v>
      </c>
      <c r="L1130" s="81">
        <f t="shared" si="78"/>
        <v>732121.7907829131</v>
      </c>
    </row>
    <row r="1131" spans="10:12" x14ac:dyDescent="0.25">
      <c r="J1131" s="80">
        <f t="shared" si="79"/>
        <v>100000</v>
      </c>
      <c r="K1131" s="22">
        <f t="shared" si="80"/>
        <v>167</v>
      </c>
      <c r="L1131" s="81">
        <f t="shared" si="78"/>
        <v>740954.71618325904</v>
      </c>
    </row>
    <row r="1132" spans="10:12" x14ac:dyDescent="0.25">
      <c r="J1132" s="80">
        <f t="shared" si="79"/>
        <v>100000</v>
      </c>
      <c r="K1132" s="22">
        <f t="shared" si="80"/>
        <v>168</v>
      </c>
      <c r="L1132" s="81">
        <f t="shared" si="78"/>
        <v>749894.20933245588</v>
      </c>
    </row>
    <row r="1133" spans="10:12" x14ac:dyDescent="0.25">
      <c r="J1133" s="80">
        <f t="shared" si="79"/>
        <v>100000</v>
      </c>
      <c r="K1133" s="22">
        <f t="shared" si="80"/>
        <v>169</v>
      </c>
      <c r="L1133" s="81">
        <f t="shared" si="78"/>
        <v>758941.55595234269</v>
      </c>
    </row>
    <row r="1134" spans="10:12" x14ac:dyDescent="0.25">
      <c r="J1134" s="80">
        <f t="shared" si="79"/>
        <v>100000</v>
      </c>
      <c r="K1134" s="22">
        <f t="shared" si="80"/>
        <v>170</v>
      </c>
      <c r="L1134" s="81">
        <f t="shared" si="78"/>
        <v>768098.05727677548</v>
      </c>
    </row>
    <row r="1135" spans="10:12" x14ac:dyDescent="0.25">
      <c r="J1135" s="80">
        <f t="shared" si="79"/>
        <v>100000</v>
      </c>
      <c r="K1135" s="22">
        <f t="shared" si="80"/>
        <v>171</v>
      </c>
      <c r="L1135" s="81">
        <f t="shared" si="78"/>
        <v>777365.03023877612</v>
      </c>
    </row>
    <row r="1136" spans="10:12" x14ac:dyDescent="0.25">
      <c r="J1136" s="80">
        <f t="shared" si="79"/>
        <v>100000</v>
      </c>
      <c r="K1136" s="22">
        <f t="shared" si="80"/>
        <v>172</v>
      </c>
      <c r="L1136" s="81">
        <f t="shared" si="78"/>
        <v>786743.80765994033</v>
      </c>
    </row>
    <row r="1137" spans="10:12" x14ac:dyDescent="0.25">
      <c r="J1137" s="80">
        <f t="shared" si="79"/>
        <v>100000</v>
      </c>
      <c r="K1137" s="22">
        <f t="shared" si="80"/>
        <v>173</v>
      </c>
      <c r="L1137" s="81">
        <f t="shared" si="78"/>
        <v>796235.73844213039</v>
      </c>
    </row>
    <row r="1138" spans="10:12" x14ac:dyDescent="0.25">
      <c r="J1138" s="80">
        <f t="shared" si="79"/>
        <v>100000</v>
      </c>
      <c r="K1138" s="22">
        <f t="shared" si="80"/>
        <v>174</v>
      </c>
      <c r="L1138" s="81">
        <f t="shared" si="78"/>
        <v>805842.18776148185</v>
      </c>
    </row>
    <row r="1139" spans="10:12" x14ac:dyDescent="0.25">
      <c r="J1139" s="80">
        <f t="shared" si="79"/>
        <v>100000</v>
      </c>
      <c r="K1139" s="22">
        <f t="shared" si="80"/>
        <v>175</v>
      </c>
      <c r="L1139" s="81">
        <f t="shared" si="78"/>
        <v>815564.53726474883</v>
      </c>
    </row>
    <row r="1140" spans="10:12" x14ac:dyDescent="0.25">
      <c r="J1140" s="80">
        <f t="shared" si="79"/>
        <v>100000</v>
      </c>
      <c r="K1140" s="22">
        <f>K1139+1</f>
        <v>176</v>
      </c>
      <c r="L1140" s="81">
        <f t="shared" si="78"/>
        <v>825404.18526801828</v>
      </c>
    </row>
    <row r="1141" spans="10:12" x14ac:dyDescent="0.25">
      <c r="J1141" s="80">
        <f t="shared" si="79"/>
        <v>100000</v>
      </c>
      <c r="K1141" s="22">
        <f t="shared" ref="K1141:K1156" si="81">K1140+1</f>
        <v>177</v>
      </c>
      <c r="L1141" s="81">
        <f t="shared" si="78"/>
        <v>835362.54695782613</v>
      </c>
    </row>
    <row r="1142" spans="10:12" x14ac:dyDescent="0.25">
      <c r="J1142" s="80">
        <f t="shared" si="79"/>
        <v>100000</v>
      </c>
      <c r="K1142" s="22">
        <f t="shared" si="81"/>
        <v>178</v>
      </c>
      <c r="L1142" s="81">
        <f t="shared" si="78"/>
        <v>845441.05459469242</v>
      </c>
    </row>
    <row r="1143" spans="10:12" x14ac:dyDescent="0.25">
      <c r="J1143" s="80">
        <f t="shared" si="79"/>
        <v>100000</v>
      </c>
      <c r="K1143" s="22">
        <f t="shared" si="81"/>
        <v>179</v>
      </c>
      <c r="L1143" s="81">
        <f t="shared" si="78"/>
        <v>855641.1577191184</v>
      </c>
    </row>
    <row r="1144" spans="10:12" x14ac:dyDescent="0.25">
      <c r="J1144" s="80">
        <f t="shared" si="79"/>
        <v>100000</v>
      </c>
      <c r="K1144" s="22">
        <f t="shared" si="81"/>
        <v>180</v>
      </c>
      <c r="L1144" s="81">
        <f t="shared" si="78"/>
        <v>865964.32336006558</v>
      </c>
    </row>
    <row r="1145" spans="10:12" x14ac:dyDescent="0.25">
      <c r="J1145" s="80">
        <f t="shared" si="79"/>
        <v>100000</v>
      </c>
      <c r="K1145" s="22">
        <f t="shared" si="81"/>
        <v>181</v>
      </c>
      <c r="L1145" s="81">
        <f t="shared" si="78"/>
        <v>876412.03624595201</v>
      </c>
    </row>
    <row r="1146" spans="10:12" x14ac:dyDescent="0.25">
      <c r="J1146" s="80">
        <f t="shared" si="79"/>
        <v>100000</v>
      </c>
      <c r="K1146" s="22">
        <f t="shared" si="81"/>
        <v>182</v>
      </c>
      <c r="L1146" s="81">
        <f t="shared" si="78"/>
        <v>886985.79901819187</v>
      </c>
    </row>
    <row r="1147" spans="10:12" x14ac:dyDescent="0.25">
      <c r="J1147" s="80">
        <f t="shared" si="79"/>
        <v>100000</v>
      </c>
      <c r="K1147" s="22">
        <f t="shared" si="81"/>
        <v>183</v>
      </c>
      <c r="L1147" s="81">
        <f t="shared" si="78"/>
        <v>897687.13244731445</v>
      </c>
    </row>
    <row r="1148" spans="10:12" x14ac:dyDescent="0.25">
      <c r="J1148" s="80">
        <f t="shared" si="79"/>
        <v>100000</v>
      </c>
      <c r="K1148" s="22">
        <f t="shared" si="81"/>
        <v>184</v>
      </c>
      <c r="L1148" s="81">
        <f t="shared" si="78"/>
        <v>908517.57565168699</v>
      </c>
    </row>
    <row r="1149" spans="10:12" x14ac:dyDescent="0.25">
      <c r="J1149" s="80">
        <f t="shared" si="79"/>
        <v>100000</v>
      </c>
      <c r="K1149" s="22">
        <f t="shared" si="81"/>
        <v>185</v>
      </c>
      <c r="L1149" s="81">
        <f t="shared" si="78"/>
        <v>919478.68631887936</v>
      </c>
    </row>
    <row r="1150" spans="10:12" x14ac:dyDescent="0.25">
      <c r="J1150" s="80">
        <f t="shared" si="79"/>
        <v>100000</v>
      </c>
      <c r="K1150" s="22">
        <f t="shared" si="81"/>
        <v>186</v>
      </c>
      <c r="L1150" s="81">
        <f t="shared" si="78"/>
        <v>930572.04092969897</v>
      </c>
    </row>
    <row r="1151" spans="10:12" x14ac:dyDescent="0.25">
      <c r="J1151" s="80">
        <f t="shared" si="79"/>
        <v>100000</v>
      </c>
      <c r="K1151" s="22">
        <f t="shared" si="81"/>
        <v>187</v>
      </c>
      <c r="L1151" s="81">
        <f t="shared" si="78"/>
        <v>941799.23498492606</v>
      </c>
    </row>
    <row r="1152" spans="10:12" x14ac:dyDescent="0.25">
      <c r="J1152" s="80">
        <f t="shared" si="79"/>
        <v>100000</v>
      </c>
      <c r="K1152" s="22">
        <f t="shared" si="81"/>
        <v>188</v>
      </c>
      <c r="L1152" s="81">
        <f t="shared" si="78"/>
        <v>953161.88323478773</v>
      </c>
    </row>
    <row r="1153" spans="10:12" x14ac:dyDescent="0.25">
      <c r="J1153" s="80">
        <f t="shared" si="79"/>
        <v>100000</v>
      </c>
      <c r="K1153" s="22">
        <f t="shared" si="81"/>
        <v>189</v>
      </c>
      <c r="L1153" s="81">
        <f t="shared" si="78"/>
        <v>964661.61991119955</v>
      </c>
    </row>
    <row r="1154" spans="10:12" x14ac:dyDescent="0.25">
      <c r="J1154" s="80">
        <f t="shared" si="79"/>
        <v>100000</v>
      </c>
      <c r="K1154" s="22">
        <f t="shared" si="81"/>
        <v>190</v>
      </c>
      <c r="L1154" s="81">
        <f t="shared" si="78"/>
        <v>976300.09896280791</v>
      </c>
    </row>
    <row r="1155" spans="10:12" x14ac:dyDescent="0.25">
      <c r="J1155" s="80">
        <f t="shared" si="79"/>
        <v>100000</v>
      </c>
      <c r="K1155" s="22">
        <f t="shared" si="81"/>
        <v>191</v>
      </c>
      <c r="L1155" s="81">
        <f t="shared" si="78"/>
        <v>988078.99429286912</v>
      </c>
    </row>
    <row r="1156" spans="10:12" x14ac:dyDescent="0.25">
      <c r="J1156" s="80">
        <f t="shared" si="79"/>
        <v>100000</v>
      </c>
      <c r="K1156" s="22">
        <f t="shared" si="81"/>
        <v>192</v>
      </c>
      <c r="L1156" s="81">
        <f t="shared" si="78"/>
        <v>1000000</v>
      </c>
    </row>
    <row r="1157" spans="10:12" x14ac:dyDescent="0.25">
      <c r="J1157" s="80">
        <f t="shared" si="79"/>
        <v>1000000</v>
      </c>
      <c r="K1157" s="22">
        <v>1</v>
      </c>
      <c r="L1157" s="81">
        <f t="shared" ref="L1157:L1220" si="82">J1157*10^(K1157/192)</f>
        <v>1012064.8306218294</v>
      </c>
    </row>
    <row r="1158" spans="10:12" x14ac:dyDescent="0.25">
      <c r="J1158" s="80">
        <f t="shared" ref="J1158:J1221" si="83">J966*10</f>
        <v>1000000</v>
      </c>
      <c r="K1158" s="22">
        <f t="shared" ref="K1158:K1221" si="84">K1157+1</f>
        <v>2</v>
      </c>
      <c r="L1158" s="81">
        <f t="shared" si="82"/>
        <v>1024275.2213815922</v>
      </c>
    </row>
    <row r="1159" spans="10:12" x14ac:dyDescent="0.25">
      <c r="J1159" s="80">
        <f t="shared" si="83"/>
        <v>1000000</v>
      </c>
      <c r="K1159" s="22">
        <f t="shared" si="84"/>
        <v>3</v>
      </c>
      <c r="L1159" s="81">
        <f t="shared" si="82"/>
        <v>1036632.9284376981</v>
      </c>
    </row>
    <row r="1160" spans="10:12" x14ac:dyDescent="0.25">
      <c r="J1160" s="80">
        <f t="shared" si="83"/>
        <v>1000000</v>
      </c>
      <c r="K1160" s="22">
        <f t="shared" si="84"/>
        <v>4</v>
      </c>
      <c r="L1160" s="81">
        <f t="shared" si="82"/>
        <v>1049139.7291363098</v>
      </c>
    </row>
    <row r="1161" spans="10:12" x14ac:dyDescent="0.25">
      <c r="J1161" s="80">
        <f t="shared" si="83"/>
        <v>1000000</v>
      </c>
      <c r="K1161" s="22">
        <f t="shared" si="84"/>
        <v>5</v>
      </c>
      <c r="L1161" s="81">
        <f t="shared" si="82"/>
        <v>1061797.4222669716</v>
      </c>
    </row>
    <row r="1162" spans="10:12" x14ac:dyDescent="0.25">
      <c r="J1162" s="80">
        <f t="shared" si="83"/>
        <v>1000000</v>
      </c>
      <c r="K1162" s="22">
        <f t="shared" si="84"/>
        <v>6</v>
      </c>
      <c r="L1162" s="81">
        <f t="shared" si="82"/>
        <v>1074607.8283213174</v>
      </c>
    </row>
    <row r="1163" spans="10:12" x14ac:dyDescent="0.25">
      <c r="J1163" s="80">
        <f t="shared" si="83"/>
        <v>1000000</v>
      </c>
      <c r="K1163" s="22">
        <f t="shared" si="84"/>
        <v>7</v>
      </c>
      <c r="L1163" s="81">
        <f t="shared" si="82"/>
        <v>1087572.7897549062</v>
      </c>
    </row>
    <row r="1164" spans="10:12" x14ac:dyDescent="0.25">
      <c r="J1164" s="80">
        <f t="shared" si="83"/>
        <v>1000000</v>
      </c>
      <c r="K1164" s="22">
        <f t="shared" si="84"/>
        <v>8</v>
      </c>
      <c r="L1164" s="81">
        <f t="shared" si="82"/>
        <v>1100694.1712522097</v>
      </c>
    </row>
    <row r="1165" spans="10:12" x14ac:dyDescent="0.25">
      <c r="J1165" s="80">
        <f t="shared" si="83"/>
        <v>1000000</v>
      </c>
      <c r="K1165" s="22">
        <f t="shared" si="84"/>
        <v>9</v>
      </c>
      <c r="L1165" s="81">
        <f t="shared" si="82"/>
        <v>1113973.8599948024</v>
      </c>
    </row>
    <row r="1166" spans="10:12" x14ac:dyDescent="0.25">
      <c r="J1166" s="80">
        <f t="shared" si="83"/>
        <v>1000000</v>
      </c>
      <c r="K1166" s="22">
        <f t="shared" si="84"/>
        <v>10</v>
      </c>
      <c r="L1166" s="81">
        <f t="shared" si="82"/>
        <v>1127413.7659327851</v>
      </c>
    </row>
    <row r="1167" spans="10:12" x14ac:dyDescent="0.25">
      <c r="J1167" s="80">
        <f t="shared" si="83"/>
        <v>1000000</v>
      </c>
      <c r="K1167" s="22">
        <f t="shared" si="84"/>
        <v>11</v>
      </c>
      <c r="L1167" s="81">
        <f t="shared" si="82"/>
        <v>1141015.822059483</v>
      </c>
    </row>
    <row r="1168" spans="10:12" x14ac:dyDescent="0.25">
      <c r="J1168" s="80">
        <f t="shared" si="83"/>
        <v>1000000</v>
      </c>
      <c r="K1168" s="22">
        <f t="shared" si="84"/>
        <v>12</v>
      </c>
      <c r="L1168" s="81">
        <f t="shared" si="82"/>
        <v>1154781.9846894583</v>
      </c>
    </row>
    <row r="1169" spans="10:12" x14ac:dyDescent="0.25">
      <c r="J1169" s="80">
        <f t="shared" si="83"/>
        <v>1000000</v>
      </c>
      <c r="K1169" s="22">
        <f t="shared" si="84"/>
        <v>13</v>
      </c>
      <c r="L1169" s="81">
        <f t="shared" si="82"/>
        <v>1168714.2337398767</v>
      </c>
    </row>
    <row r="1170" spans="10:12" x14ac:dyDescent="0.25">
      <c r="J1170" s="80">
        <f t="shared" si="83"/>
        <v>1000000</v>
      </c>
      <c r="K1170" s="22">
        <f t="shared" si="84"/>
        <v>14</v>
      </c>
      <c r="L1170" s="81">
        <f t="shared" si="82"/>
        <v>1182814.5730152694</v>
      </c>
    </row>
    <row r="1171" spans="10:12" x14ac:dyDescent="0.25">
      <c r="J1171" s="80">
        <f t="shared" si="83"/>
        <v>1000000</v>
      </c>
      <c r="K1171" s="22">
        <f t="shared" si="84"/>
        <v>15</v>
      </c>
      <c r="L1171" s="81">
        <f t="shared" si="82"/>
        <v>1197085.03049573</v>
      </c>
    </row>
    <row r="1172" spans="10:12" x14ac:dyDescent="0.25">
      <c r="J1172" s="80">
        <f t="shared" si="83"/>
        <v>1000000</v>
      </c>
      <c r="K1172" s="22">
        <f t="shared" si="84"/>
        <v>16</v>
      </c>
      <c r="L1172" s="81">
        <f t="shared" si="82"/>
        <v>1211527.6586285885</v>
      </c>
    </row>
    <row r="1173" spans="10:12" x14ac:dyDescent="0.25">
      <c r="J1173" s="80">
        <f t="shared" si="83"/>
        <v>1000000</v>
      </c>
      <c r="K1173" s="22">
        <f t="shared" si="84"/>
        <v>17</v>
      </c>
      <c r="L1173" s="81">
        <f t="shared" si="82"/>
        <v>1226144.534623604</v>
      </c>
    </row>
    <row r="1174" spans="10:12" x14ac:dyDescent="0.25">
      <c r="J1174" s="80">
        <f t="shared" si="83"/>
        <v>1000000</v>
      </c>
      <c r="K1174" s="22">
        <f t="shared" si="84"/>
        <v>18</v>
      </c>
      <c r="L1174" s="81">
        <f t="shared" si="82"/>
        <v>1240937.7607517196</v>
      </c>
    </row>
    <row r="1175" spans="10:12" x14ac:dyDescent="0.25">
      <c r="J1175" s="80">
        <f t="shared" si="83"/>
        <v>1000000</v>
      </c>
      <c r="K1175" s="22">
        <f t="shared" si="84"/>
        <v>19</v>
      </c>
      <c r="L1175" s="81">
        <f t="shared" si="82"/>
        <v>1255909.4646474214</v>
      </c>
    </row>
    <row r="1176" spans="10:12" x14ac:dyDescent="0.25">
      <c r="J1176" s="80">
        <f t="shared" si="83"/>
        <v>1000000</v>
      </c>
      <c r="K1176" s="22">
        <f t="shared" si="84"/>
        <v>20</v>
      </c>
      <c r="L1176" s="81">
        <f t="shared" si="82"/>
        <v>1271061.799614745</v>
      </c>
    </row>
    <row r="1177" spans="10:12" x14ac:dyDescent="0.25">
      <c r="J1177" s="80">
        <f t="shared" si="83"/>
        <v>1000000</v>
      </c>
      <c r="K1177" s="22">
        <f t="shared" si="84"/>
        <v>21</v>
      </c>
      <c r="L1177" s="81">
        <f t="shared" si="82"/>
        <v>1286396.9449369744</v>
      </c>
    </row>
    <row r="1178" spans="10:12" x14ac:dyDescent="0.25">
      <c r="J1178" s="80">
        <f t="shared" si="83"/>
        <v>1000000</v>
      </c>
      <c r="K1178" s="22">
        <f t="shared" si="84"/>
        <v>22</v>
      </c>
      <c r="L1178" s="81">
        <f t="shared" si="82"/>
        <v>1301917.1061900777</v>
      </c>
    </row>
    <row r="1179" spans="10:12" x14ac:dyDescent="0.25">
      <c r="J1179" s="80">
        <f t="shared" si="83"/>
        <v>1000000</v>
      </c>
      <c r="K1179" s="22">
        <f t="shared" si="84"/>
        <v>23</v>
      </c>
      <c r="L1179" s="81">
        <f t="shared" si="82"/>
        <v>1317624.5155599236</v>
      </c>
    </row>
    <row r="1180" spans="10:12" x14ac:dyDescent="0.25">
      <c r="J1180" s="80">
        <f t="shared" si="83"/>
        <v>1000000</v>
      </c>
      <c r="K1180" s="22">
        <f t="shared" si="84"/>
        <v>24</v>
      </c>
      <c r="L1180" s="81">
        <f t="shared" si="82"/>
        <v>1333521.432163324</v>
      </c>
    </row>
    <row r="1181" spans="10:12" x14ac:dyDescent="0.25">
      <c r="J1181" s="80">
        <f t="shared" si="83"/>
        <v>1000000</v>
      </c>
      <c r="K1181" s="22">
        <f t="shared" si="84"/>
        <v>25</v>
      </c>
      <c r="L1181" s="81">
        <f t="shared" si="82"/>
        <v>1349610.1423729542</v>
      </c>
    </row>
    <row r="1182" spans="10:12" x14ac:dyDescent="0.25">
      <c r="J1182" s="80">
        <f t="shared" si="83"/>
        <v>1000000</v>
      </c>
      <c r="K1182" s="22">
        <f t="shared" si="84"/>
        <v>26</v>
      </c>
      <c r="L1182" s="81">
        <f t="shared" si="82"/>
        <v>1365892.9601461866</v>
      </c>
    </row>
    <row r="1183" spans="10:12" x14ac:dyDescent="0.25">
      <c r="J1183" s="80">
        <f t="shared" si="83"/>
        <v>1000000</v>
      </c>
      <c r="K1183" s="22">
        <f t="shared" si="84"/>
        <v>27</v>
      </c>
      <c r="L1183" s="81">
        <f t="shared" si="82"/>
        <v>1382372.2273578998</v>
      </c>
    </row>
    <row r="1184" spans="10:12" x14ac:dyDescent="0.25">
      <c r="J1184" s="80">
        <f t="shared" si="83"/>
        <v>1000000</v>
      </c>
      <c r="K1184" s="22">
        <f t="shared" si="84"/>
        <v>28</v>
      </c>
      <c r="L1184" s="81">
        <f t="shared" si="82"/>
        <v>1399050.314137294</v>
      </c>
    </row>
    <row r="1185" spans="10:12" x14ac:dyDescent="0.25">
      <c r="J1185" s="80">
        <f t="shared" si="83"/>
        <v>1000000</v>
      </c>
      <c r="K1185" s="22">
        <f t="shared" si="84"/>
        <v>29</v>
      </c>
      <c r="L1185" s="81">
        <f t="shared" si="82"/>
        <v>1415929.6192087773</v>
      </c>
    </row>
    <row r="1186" spans="10:12" x14ac:dyDescent="0.25">
      <c r="J1186" s="80">
        <f t="shared" si="83"/>
        <v>1000000</v>
      </c>
      <c r="K1186" s="22">
        <f t="shared" si="84"/>
        <v>30</v>
      </c>
      <c r="L1186" s="81">
        <f t="shared" si="82"/>
        <v>1433012.570236963</v>
      </c>
    </row>
    <row r="1187" spans="10:12" x14ac:dyDescent="0.25">
      <c r="J1187" s="80">
        <f t="shared" si="83"/>
        <v>1000000</v>
      </c>
      <c r="K1187" s="22">
        <f t="shared" si="84"/>
        <v>31</v>
      </c>
      <c r="L1187" s="81">
        <f t="shared" si="82"/>
        <v>1450301.6241758242</v>
      </c>
    </row>
    <row r="1188" spans="10:12" x14ac:dyDescent="0.25">
      <c r="J1188" s="80">
        <f t="shared" si="83"/>
        <v>1000000</v>
      </c>
      <c r="K1188" s="22">
        <f t="shared" si="84"/>
        <v>32</v>
      </c>
      <c r="L1188" s="81">
        <f t="shared" si="82"/>
        <v>1467799.2676220697</v>
      </c>
    </row>
    <row r="1189" spans="10:12" x14ac:dyDescent="0.25">
      <c r="J1189" s="80">
        <f t="shared" si="83"/>
        <v>1000000</v>
      </c>
      <c r="K1189" s="22">
        <f t="shared" si="84"/>
        <v>33</v>
      </c>
      <c r="L1189" s="81">
        <f t="shared" si="82"/>
        <v>1485508.017172775</v>
      </c>
    </row>
    <row r="1190" spans="10:12" x14ac:dyDescent="0.25">
      <c r="J1190" s="80">
        <f t="shared" si="83"/>
        <v>1000000</v>
      </c>
      <c r="K1190" s="22">
        <f t="shared" si="84"/>
        <v>34</v>
      </c>
      <c r="L1190" s="81">
        <f t="shared" si="82"/>
        <v>1503430.4197873343</v>
      </c>
    </row>
    <row r="1191" spans="10:12" x14ac:dyDescent="0.25">
      <c r="J1191" s="80">
        <f t="shared" si="83"/>
        <v>1000000</v>
      </c>
      <c r="K1191" s="22">
        <f t="shared" si="84"/>
        <v>35</v>
      </c>
      <c r="L1191" s="81">
        <f t="shared" si="82"/>
        <v>1521569.0531537745</v>
      </c>
    </row>
    <row r="1192" spans="10:12" x14ac:dyDescent="0.25">
      <c r="J1192" s="80">
        <f t="shared" si="83"/>
        <v>1000000</v>
      </c>
      <c r="K1192" s="22">
        <f t="shared" si="84"/>
        <v>36</v>
      </c>
      <c r="L1192" s="81">
        <f t="shared" si="82"/>
        <v>1539926.526059492</v>
      </c>
    </row>
    <row r="1193" spans="10:12" x14ac:dyDescent="0.25">
      <c r="J1193" s="80">
        <f t="shared" si="83"/>
        <v>1000000</v>
      </c>
      <c r="K1193" s="22">
        <f t="shared" si="84"/>
        <v>37</v>
      </c>
      <c r="L1193" s="81">
        <f t="shared" si="82"/>
        <v>1558505.4787664621</v>
      </c>
    </row>
    <row r="1194" spans="10:12" x14ac:dyDescent="0.25">
      <c r="J1194" s="80">
        <f t="shared" si="83"/>
        <v>1000000</v>
      </c>
      <c r="K1194" s="22">
        <f t="shared" si="84"/>
        <v>38</v>
      </c>
      <c r="L1194" s="81">
        <f t="shared" si="82"/>
        <v>1577308.5833909726</v>
      </c>
    </row>
    <row r="1195" spans="10:12" x14ac:dyDescent="0.25">
      <c r="J1195" s="80">
        <f t="shared" si="83"/>
        <v>1000000</v>
      </c>
      <c r="K1195" s="22">
        <f t="shared" si="84"/>
        <v>39</v>
      </c>
      <c r="L1195" s="81">
        <f t="shared" si="82"/>
        <v>1596338.5442879423</v>
      </c>
    </row>
    <row r="1196" spans="10:12" x14ac:dyDescent="0.25">
      <c r="J1196" s="80">
        <f t="shared" si="83"/>
        <v>1000000</v>
      </c>
      <c r="K1196" s="22">
        <f t="shared" si="84"/>
        <v>40</v>
      </c>
      <c r="L1196" s="81">
        <f t="shared" si="82"/>
        <v>1615598.0984398741</v>
      </c>
    </row>
    <row r="1197" spans="10:12" x14ac:dyDescent="0.25">
      <c r="J1197" s="80">
        <f t="shared" si="83"/>
        <v>1000000</v>
      </c>
      <c r="K1197" s="22">
        <f t="shared" si="84"/>
        <v>41</v>
      </c>
      <c r="L1197" s="81">
        <f t="shared" si="82"/>
        <v>1635090.0158505009</v>
      </c>
    </row>
    <row r="1198" spans="10:12" x14ac:dyDescent="0.25">
      <c r="J1198" s="80">
        <f t="shared" si="83"/>
        <v>1000000</v>
      </c>
      <c r="K1198" s="22">
        <f t="shared" si="84"/>
        <v>42</v>
      </c>
      <c r="L1198" s="81">
        <f t="shared" si="82"/>
        <v>1654817.0999431815</v>
      </c>
    </row>
    <row r="1199" spans="10:12" x14ac:dyDescent="0.25">
      <c r="J1199" s="80">
        <f t="shared" si="83"/>
        <v>1000000</v>
      </c>
      <c r="K1199" s="22">
        <f t="shared" si="84"/>
        <v>43</v>
      </c>
      <c r="L1199" s="81">
        <f t="shared" si="82"/>
        <v>1674782.1879641032</v>
      </c>
    </row>
    <row r="1200" spans="10:12" x14ac:dyDescent="0.25">
      <c r="J1200" s="80">
        <f t="shared" si="83"/>
        <v>1000000</v>
      </c>
      <c r="K1200" s="22">
        <f t="shared" si="84"/>
        <v>44</v>
      </c>
      <c r="L1200" s="81">
        <f t="shared" si="82"/>
        <v>1694988.1513903467</v>
      </c>
    </row>
    <row r="1201" spans="10:12" x14ac:dyDescent="0.25">
      <c r="J1201" s="80">
        <f t="shared" si="83"/>
        <v>1000000</v>
      </c>
      <c r="K1201" s="22">
        <f t="shared" si="84"/>
        <v>45</v>
      </c>
      <c r="L1201" s="81">
        <f t="shared" si="82"/>
        <v>1715437.8963428792</v>
      </c>
    </row>
    <row r="1202" spans="10:12" x14ac:dyDescent="0.25">
      <c r="J1202" s="80">
        <f t="shared" si="83"/>
        <v>1000000</v>
      </c>
      <c r="K1202" s="22">
        <f t="shared" si="84"/>
        <v>46</v>
      </c>
      <c r="L1202" s="81">
        <f t="shared" si="82"/>
        <v>1736134.3640045233</v>
      </c>
    </row>
    <row r="1203" spans="10:12" x14ac:dyDescent="0.25">
      <c r="J1203" s="80">
        <f t="shared" si="83"/>
        <v>1000000</v>
      </c>
      <c r="K1203" s="22">
        <f t="shared" si="84"/>
        <v>47</v>
      </c>
      <c r="L1203" s="81">
        <f t="shared" si="82"/>
        <v>1757080.5310429754</v>
      </c>
    </row>
    <row r="1204" spans="10:12" x14ac:dyDescent="0.25">
      <c r="J1204" s="80">
        <f t="shared" si="83"/>
        <v>1000000</v>
      </c>
      <c r="K1204" s="22">
        <f t="shared" si="84"/>
        <v>48</v>
      </c>
      <c r="L1204" s="81">
        <f t="shared" si="82"/>
        <v>1778279.4100389229</v>
      </c>
    </row>
    <row r="1205" spans="10:12" x14ac:dyDescent="0.25">
      <c r="J1205" s="80">
        <f t="shared" si="83"/>
        <v>1000000</v>
      </c>
      <c r="K1205" s="22">
        <f t="shared" si="84"/>
        <v>49</v>
      </c>
      <c r="L1205" s="81">
        <f t="shared" si="82"/>
        <v>1799734.0499193294</v>
      </c>
    </row>
    <row r="1206" spans="10:12" x14ac:dyDescent="0.25">
      <c r="J1206" s="80">
        <f t="shared" si="83"/>
        <v>1000000</v>
      </c>
      <c r="K1206" s="22">
        <f t="shared" si="84"/>
        <v>50</v>
      </c>
      <c r="L1206" s="81">
        <f t="shared" si="82"/>
        <v>1821447.5363959454</v>
      </c>
    </row>
    <row r="1207" spans="10:12" x14ac:dyDescent="0.25">
      <c r="J1207" s="80">
        <f t="shared" si="83"/>
        <v>1000000</v>
      </c>
      <c r="K1207" s="22">
        <f t="shared" si="84"/>
        <v>51</v>
      </c>
      <c r="L1207" s="81">
        <f t="shared" si="82"/>
        <v>1843422.9924091105</v>
      </c>
    </row>
    <row r="1208" spans="10:12" x14ac:dyDescent="0.25">
      <c r="J1208" s="80">
        <f t="shared" si="83"/>
        <v>1000000</v>
      </c>
      <c r="K1208" s="22">
        <f t="shared" si="84"/>
        <v>52</v>
      </c>
      <c r="L1208" s="81">
        <f t="shared" si="82"/>
        <v>1865663.5785769122</v>
      </c>
    </row>
    <row r="1209" spans="10:12" x14ac:dyDescent="0.25">
      <c r="J1209" s="80">
        <f t="shared" si="83"/>
        <v>1000000</v>
      </c>
      <c r="K1209" s="22">
        <f t="shared" si="84"/>
        <v>53</v>
      </c>
      <c r="L1209" s="81">
        <f t="shared" si="82"/>
        <v>1888172.4936497591</v>
      </c>
    </row>
    <row r="1210" spans="10:12" x14ac:dyDescent="0.25">
      <c r="J1210" s="80">
        <f t="shared" si="83"/>
        <v>1000000</v>
      </c>
      <c r="K1210" s="22">
        <f t="shared" si="84"/>
        <v>54</v>
      </c>
      <c r="L1210" s="81">
        <f t="shared" si="82"/>
        <v>1910952.9749704406</v>
      </c>
    </row>
    <row r="1211" spans="10:12" x14ac:dyDescent="0.25">
      <c r="J1211" s="80">
        <f t="shared" si="83"/>
        <v>1000000</v>
      </c>
      <c r="K1211" s="22">
        <f t="shared" si="84"/>
        <v>55</v>
      </c>
      <c r="L1211" s="81">
        <f t="shared" si="82"/>
        <v>1934008.2989397398</v>
      </c>
    </row>
    <row r="1212" spans="10:12" x14ac:dyDescent="0.25">
      <c r="J1212" s="80">
        <f t="shared" si="83"/>
        <v>1000000</v>
      </c>
      <c r="K1212" s="22">
        <f t="shared" si="84"/>
        <v>56</v>
      </c>
      <c r="L1212" s="81">
        <f t="shared" si="82"/>
        <v>1957341.7814876602</v>
      </c>
    </row>
    <row r="1213" spans="10:12" x14ac:dyDescent="0.25">
      <c r="J1213" s="80">
        <f t="shared" si="83"/>
        <v>1000000</v>
      </c>
      <c r="K1213" s="22">
        <f t="shared" si="84"/>
        <v>57</v>
      </c>
      <c r="L1213" s="81">
        <f t="shared" si="82"/>
        <v>1980956.7785503387</v>
      </c>
    </row>
    <row r="1214" spans="10:12" x14ac:dyDescent="0.25">
      <c r="J1214" s="80">
        <f t="shared" si="83"/>
        <v>1000000</v>
      </c>
      <c r="K1214" s="22">
        <f t="shared" si="84"/>
        <v>58</v>
      </c>
      <c r="L1214" s="81">
        <f t="shared" si="82"/>
        <v>2004856.6865527136</v>
      </c>
    </row>
    <row r="1215" spans="10:12" x14ac:dyDescent="0.25">
      <c r="J1215" s="80">
        <f t="shared" si="83"/>
        <v>1000000</v>
      </c>
      <c r="K1215" s="22">
        <f t="shared" si="84"/>
        <v>59</v>
      </c>
      <c r="L1215" s="81">
        <f t="shared" si="82"/>
        <v>2029044.9428970146</v>
      </c>
    </row>
    <row r="1216" spans="10:12" x14ac:dyDescent="0.25">
      <c r="J1216" s="80">
        <f t="shared" si="83"/>
        <v>1000000</v>
      </c>
      <c r="K1216" s="22">
        <f t="shared" si="84"/>
        <v>60</v>
      </c>
      <c r="L1216" s="81">
        <f t="shared" si="82"/>
        <v>2053525.0264571463</v>
      </c>
    </row>
    <row r="1217" spans="10:12" x14ac:dyDescent="0.25">
      <c r="J1217" s="80">
        <f t="shared" si="83"/>
        <v>1000000</v>
      </c>
      <c r="K1217" s="22">
        <f t="shared" si="84"/>
        <v>61</v>
      </c>
      <c r="L1217" s="81">
        <f t="shared" si="82"/>
        <v>2078300.4580790391</v>
      </c>
    </row>
    <row r="1218" spans="10:12" x14ac:dyDescent="0.25">
      <c r="J1218" s="80">
        <f t="shared" si="83"/>
        <v>1000000</v>
      </c>
      <c r="K1218" s="22">
        <f t="shared" si="84"/>
        <v>62</v>
      </c>
      <c r="L1218" s="81">
        <f t="shared" si="82"/>
        <v>2103374.8010870335</v>
      </c>
    </row>
    <row r="1219" spans="10:12" x14ac:dyDescent="0.25">
      <c r="J1219" s="80">
        <f t="shared" si="83"/>
        <v>1000000</v>
      </c>
      <c r="K1219" s="22">
        <f t="shared" si="84"/>
        <v>63</v>
      </c>
      <c r="L1219" s="81">
        <f t="shared" si="82"/>
        <v>2128751.6617963728</v>
      </c>
    </row>
    <row r="1220" spans="10:12" x14ac:dyDescent="0.25">
      <c r="J1220" s="80">
        <f t="shared" si="83"/>
        <v>1000000</v>
      </c>
      <c r="K1220" s="22">
        <f t="shared" si="84"/>
        <v>64</v>
      </c>
      <c r="L1220" s="81">
        <f t="shared" si="82"/>
        <v>2154434.6900318838</v>
      </c>
    </row>
    <row r="1221" spans="10:12" x14ac:dyDescent="0.25">
      <c r="J1221" s="80">
        <f t="shared" si="83"/>
        <v>1000000</v>
      </c>
      <c r="K1221" s="22">
        <f t="shared" si="84"/>
        <v>65</v>
      </c>
      <c r="L1221" s="81">
        <f t="shared" ref="L1221:L1284" si="85">J1221*10^(K1221/192)</f>
        <v>2180427.5796529124</v>
      </c>
    </row>
    <row r="1222" spans="10:12" x14ac:dyDescent="0.25">
      <c r="J1222" s="80">
        <f t="shared" ref="J1222:J1285" si="86">J1030*10</f>
        <v>1000000</v>
      </c>
      <c r="K1222" s="22">
        <f t="shared" ref="K1222:K1285" si="87">K1221+1</f>
        <v>66</v>
      </c>
      <c r="L1222" s="81">
        <f t="shared" si="85"/>
        <v>2206734.0690845898</v>
      </c>
    </row>
    <row r="1223" spans="10:12" x14ac:dyDescent="0.25">
      <c r="J1223" s="80">
        <f t="shared" si="86"/>
        <v>1000000</v>
      </c>
      <c r="K1223" s="22">
        <f t="shared" si="87"/>
        <v>67</v>
      </c>
      <c r="L1223" s="81">
        <f t="shared" si="85"/>
        <v>2233357.9418555163</v>
      </c>
    </row>
    <row r="1224" spans="10:12" x14ac:dyDescent="0.25">
      <c r="J1224" s="80">
        <f t="shared" si="86"/>
        <v>1000000</v>
      </c>
      <c r="K1224" s="22">
        <f t="shared" si="87"/>
        <v>68</v>
      </c>
      <c r="L1224" s="81">
        <f t="shared" si="85"/>
        <v>2260303.0271419203</v>
      </c>
    </row>
    <row r="1225" spans="10:12" x14ac:dyDescent="0.25">
      <c r="J1225" s="80">
        <f t="shared" si="86"/>
        <v>1000000</v>
      </c>
      <c r="K1225" s="22">
        <f t="shared" si="87"/>
        <v>69</v>
      </c>
      <c r="L1225" s="81">
        <f t="shared" si="85"/>
        <v>2287573.2003183961</v>
      </c>
    </row>
    <row r="1226" spans="10:12" x14ac:dyDescent="0.25">
      <c r="J1226" s="80">
        <f t="shared" si="86"/>
        <v>1000000</v>
      </c>
      <c r="K1226" s="22">
        <f t="shared" si="87"/>
        <v>70</v>
      </c>
      <c r="L1226" s="81">
        <f t="shared" si="85"/>
        <v>2315172.3835152732</v>
      </c>
    </row>
    <row r="1227" spans="10:12" x14ac:dyDescent="0.25">
      <c r="J1227" s="80">
        <f t="shared" si="86"/>
        <v>1000000</v>
      </c>
      <c r="K1227" s="22">
        <f t="shared" si="87"/>
        <v>71</v>
      </c>
      <c r="L1227" s="81">
        <f t="shared" si="85"/>
        <v>2343104.5461827223</v>
      </c>
    </row>
    <row r="1228" spans="10:12" x14ac:dyDescent="0.25">
      <c r="J1228" s="80">
        <f t="shared" si="86"/>
        <v>1000000</v>
      </c>
      <c r="K1228" s="22">
        <f t="shared" si="87"/>
        <v>72</v>
      </c>
      <c r="L1228" s="81">
        <f t="shared" si="85"/>
        <v>2371373.7056616554</v>
      </c>
    </row>
    <row r="1229" spans="10:12" x14ac:dyDescent="0.25">
      <c r="J1229" s="80">
        <f t="shared" si="86"/>
        <v>1000000</v>
      </c>
      <c r="K1229" s="22">
        <f t="shared" si="87"/>
        <v>73</v>
      </c>
      <c r="L1229" s="81">
        <f t="shared" si="85"/>
        <v>2399983.9277615235</v>
      </c>
    </row>
    <row r="1230" spans="10:12" x14ac:dyDescent="0.25">
      <c r="J1230" s="80">
        <f t="shared" si="86"/>
        <v>1000000</v>
      </c>
      <c r="K1230" s="22">
        <f t="shared" si="87"/>
        <v>74</v>
      </c>
      <c r="L1230" s="81">
        <f t="shared" si="85"/>
        <v>2428939.3273450793</v>
      </c>
    </row>
    <row r="1231" spans="10:12" x14ac:dyDescent="0.25">
      <c r="J1231" s="80">
        <f t="shared" si="86"/>
        <v>1000000</v>
      </c>
      <c r="K1231" s="22">
        <f t="shared" si="87"/>
        <v>75</v>
      </c>
      <c r="L1231" s="81">
        <f t="shared" si="85"/>
        <v>2458244.0689201974</v>
      </c>
    </row>
    <row r="1232" spans="10:12" x14ac:dyDescent="0.25">
      <c r="J1232" s="80">
        <f t="shared" si="86"/>
        <v>1000000</v>
      </c>
      <c r="K1232" s="22">
        <f t="shared" si="87"/>
        <v>76</v>
      </c>
      <c r="L1232" s="81">
        <f t="shared" si="85"/>
        <v>2487902.3672388364</v>
      </c>
    </row>
    <row r="1233" spans="10:12" x14ac:dyDescent="0.25">
      <c r="J1233" s="80">
        <f t="shared" si="86"/>
        <v>1000000</v>
      </c>
      <c r="K1233" s="22">
        <f t="shared" si="87"/>
        <v>77</v>
      </c>
      <c r="L1233" s="81">
        <f t="shared" si="85"/>
        <v>2517918.4879032215</v>
      </c>
    </row>
    <row r="1234" spans="10:12" x14ac:dyDescent="0.25">
      <c r="J1234" s="80">
        <f t="shared" si="86"/>
        <v>1000000</v>
      </c>
      <c r="K1234" s="22">
        <f t="shared" si="87"/>
        <v>78</v>
      </c>
      <c r="L1234" s="81">
        <f t="shared" si="85"/>
        <v>2548296.7479793471</v>
      </c>
    </row>
    <row r="1235" spans="10:12" x14ac:dyDescent="0.25">
      <c r="J1235" s="80">
        <f t="shared" si="86"/>
        <v>1000000</v>
      </c>
      <c r="K1235" s="22">
        <f t="shared" si="87"/>
        <v>79</v>
      </c>
      <c r="L1235" s="81">
        <f t="shared" si="85"/>
        <v>2579041.516617876</v>
      </c>
    </row>
    <row r="1236" spans="10:12" x14ac:dyDescent="0.25">
      <c r="J1236" s="80">
        <f t="shared" si="86"/>
        <v>1000000</v>
      </c>
      <c r="K1236" s="22">
        <f t="shared" si="87"/>
        <v>80</v>
      </c>
      <c r="L1236" s="81">
        <f t="shared" si="85"/>
        <v>2610157.2156825373</v>
      </c>
    </row>
    <row r="1237" spans="10:12" x14ac:dyDescent="0.25">
      <c r="J1237" s="80">
        <f t="shared" si="86"/>
        <v>1000000</v>
      </c>
      <c r="K1237" s="22">
        <f t="shared" si="87"/>
        <v>81</v>
      </c>
      <c r="L1237" s="81">
        <f t="shared" si="85"/>
        <v>2641648.3203860926</v>
      </c>
    </row>
    <row r="1238" spans="10:12" x14ac:dyDescent="0.25">
      <c r="J1238" s="80">
        <f t="shared" si="86"/>
        <v>1000000</v>
      </c>
      <c r="K1238" s="22">
        <f t="shared" si="87"/>
        <v>82</v>
      </c>
      <c r="L1238" s="81">
        <f t="shared" si="85"/>
        <v>2673519.359933991</v>
      </c>
    </row>
    <row r="1239" spans="10:12" x14ac:dyDescent="0.25">
      <c r="J1239" s="80">
        <f t="shared" si="86"/>
        <v>1000000</v>
      </c>
      <c r="K1239" s="22">
        <f t="shared" si="87"/>
        <v>83</v>
      </c>
      <c r="L1239" s="81">
        <f t="shared" si="85"/>
        <v>2705774.9181757765</v>
      </c>
    </row>
    <row r="1240" spans="10:12" x14ac:dyDescent="0.25">
      <c r="J1240" s="80">
        <f t="shared" si="86"/>
        <v>1000000</v>
      </c>
      <c r="K1240" s="22">
        <f t="shared" si="87"/>
        <v>84</v>
      </c>
      <c r="L1240" s="81">
        <f t="shared" si="85"/>
        <v>2738419.6342643616</v>
      </c>
    </row>
    <row r="1241" spans="10:12" x14ac:dyDescent="0.25">
      <c r="J1241" s="80">
        <f t="shared" si="86"/>
        <v>1000000</v>
      </c>
      <c r="K1241" s="22">
        <f t="shared" si="87"/>
        <v>85</v>
      </c>
      <c r="L1241" s="81">
        <f t="shared" si="85"/>
        <v>2771458.2033232534</v>
      </c>
    </row>
    <row r="1242" spans="10:12" x14ac:dyDescent="0.25">
      <c r="J1242" s="80">
        <f t="shared" si="86"/>
        <v>1000000</v>
      </c>
      <c r="K1242" s="22">
        <f t="shared" si="87"/>
        <v>86</v>
      </c>
      <c r="L1242" s="81">
        <f t="shared" si="85"/>
        <v>2804895.377121828</v>
      </c>
    </row>
    <row r="1243" spans="10:12" x14ac:dyDescent="0.25">
      <c r="J1243" s="80">
        <f t="shared" si="86"/>
        <v>1000000</v>
      </c>
      <c r="K1243" s="22">
        <f t="shared" si="87"/>
        <v>87</v>
      </c>
      <c r="L1243" s="81">
        <f t="shared" si="85"/>
        <v>2838735.9647587547</v>
      </c>
    </row>
    <row r="1244" spans="10:12" x14ac:dyDescent="0.25">
      <c r="J1244" s="80">
        <f t="shared" si="86"/>
        <v>1000000</v>
      </c>
      <c r="K1244" s="22">
        <f t="shared" si="87"/>
        <v>88</v>
      </c>
      <c r="L1244" s="81">
        <f t="shared" si="85"/>
        <v>2872984.8333536647</v>
      </c>
    </row>
    <row r="1245" spans="10:12" x14ac:dyDescent="0.25">
      <c r="J1245" s="80">
        <f t="shared" si="86"/>
        <v>1000000</v>
      </c>
      <c r="K1245" s="22">
        <f t="shared" si="87"/>
        <v>89</v>
      </c>
      <c r="L1245" s="81">
        <f t="shared" si="85"/>
        <v>2907646.9087471617</v>
      </c>
    </row>
    <row r="1246" spans="10:12" x14ac:dyDescent="0.25">
      <c r="J1246" s="80">
        <f t="shared" si="86"/>
        <v>1000000</v>
      </c>
      <c r="K1246" s="22">
        <f t="shared" si="87"/>
        <v>90</v>
      </c>
      <c r="L1246" s="81">
        <f t="shared" si="85"/>
        <v>2942727.1762092826</v>
      </c>
    </row>
    <row r="1247" spans="10:12" x14ac:dyDescent="0.25">
      <c r="J1247" s="80">
        <f t="shared" si="86"/>
        <v>1000000</v>
      </c>
      <c r="K1247" s="22">
        <f t="shared" si="87"/>
        <v>91</v>
      </c>
      <c r="L1247" s="81">
        <f t="shared" si="85"/>
        <v>2978230.6811565012</v>
      </c>
    </row>
    <row r="1248" spans="10:12" x14ac:dyDescent="0.25">
      <c r="J1248" s="80">
        <f t="shared" si="86"/>
        <v>1000000</v>
      </c>
      <c r="K1248" s="22">
        <f t="shared" si="87"/>
        <v>92</v>
      </c>
      <c r="L1248" s="81">
        <f t="shared" si="85"/>
        <v>3014162.5298773907</v>
      </c>
    </row>
    <row r="1249" spans="10:12" x14ac:dyDescent="0.25">
      <c r="J1249" s="80">
        <f t="shared" si="86"/>
        <v>1000000</v>
      </c>
      <c r="K1249" s="22">
        <f t="shared" si="87"/>
        <v>93</v>
      </c>
      <c r="L1249" s="81">
        <f t="shared" si="85"/>
        <v>3050527.8902670257</v>
      </c>
    </row>
    <row r="1250" spans="10:12" x14ac:dyDescent="0.25">
      <c r="J1250" s="80">
        <f t="shared" si="86"/>
        <v>1000000</v>
      </c>
      <c r="K1250" s="22">
        <f t="shared" si="87"/>
        <v>94</v>
      </c>
      <c r="L1250" s="81">
        <f t="shared" si="85"/>
        <v>3087331.9925702638</v>
      </c>
    </row>
    <row r="1251" spans="10:12" x14ac:dyDescent="0.25">
      <c r="J1251" s="80">
        <f t="shared" si="86"/>
        <v>1000000</v>
      </c>
      <c r="K1251" s="22">
        <f t="shared" si="87"/>
        <v>95</v>
      </c>
      <c r="L1251" s="81">
        <f t="shared" si="85"/>
        <v>3124580.13013398</v>
      </c>
    </row>
    <row r="1252" spans="10:12" x14ac:dyDescent="0.25">
      <c r="J1252" s="80">
        <f t="shared" si="86"/>
        <v>1000000</v>
      </c>
      <c r="K1252" s="22">
        <f t="shared" si="87"/>
        <v>96</v>
      </c>
      <c r="L1252" s="81">
        <f t="shared" si="85"/>
        <v>3162277.6601683795</v>
      </c>
    </row>
    <row r="1253" spans="10:12" x14ac:dyDescent="0.25">
      <c r="J1253" s="80">
        <f t="shared" si="86"/>
        <v>1000000</v>
      </c>
      <c r="K1253" s="22">
        <f t="shared" si="87"/>
        <v>97</v>
      </c>
      <c r="L1253" s="81">
        <f t="shared" si="85"/>
        <v>3200430.0045175068</v>
      </c>
    </row>
    <row r="1254" spans="10:12" x14ac:dyDescent="0.25">
      <c r="J1254" s="80">
        <f t="shared" si="86"/>
        <v>1000000</v>
      </c>
      <c r="K1254" s="22">
        <f t="shared" si="87"/>
        <v>98</v>
      </c>
      <c r="L1254" s="81">
        <f t="shared" si="85"/>
        <v>3239042.6504390305</v>
      </c>
    </row>
    <row r="1255" spans="10:12" x14ac:dyDescent="0.25">
      <c r="J1255" s="80">
        <f t="shared" si="86"/>
        <v>1000000</v>
      </c>
      <c r="K1255" s="22">
        <f t="shared" si="87"/>
        <v>99</v>
      </c>
      <c r="L1255" s="81">
        <f t="shared" si="85"/>
        <v>3278121.1513934592</v>
      </c>
    </row>
    <row r="1256" spans="10:12" x14ac:dyDescent="0.25">
      <c r="J1256" s="80">
        <f t="shared" si="86"/>
        <v>1000000</v>
      </c>
      <c r="K1256" s="22">
        <f t="shared" si="87"/>
        <v>100</v>
      </c>
      <c r="L1256" s="81">
        <f t="shared" si="85"/>
        <v>3317671.127842858</v>
      </c>
    </row>
    <row r="1257" spans="10:12" x14ac:dyDescent="0.25">
      <c r="J1257" s="80">
        <f t="shared" si="86"/>
        <v>1000000</v>
      </c>
      <c r="K1257" s="22">
        <f t="shared" si="87"/>
        <v>101</v>
      </c>
      <c r="L1257" s="81">
        <f t="shared" si="85"/>
        <v>3357698.268059215</v>
      </c>
    </row>
    <row r="1258" spans="10:12" x14ac:dyDescent="0.25">
      <c r="J1258" s="80">
        <f t="shared" si="86"/>
        <v>1000000</v>
      </c>
      <c r="K1258" s="22">
        <f t="shared" si="87"/>
        <v>102</v>
      </c>
      <c r="L1258" s="81">
        <f t="shared" si="85"/>
        <v>3398208.3289425592</v>
      </c>
    </row>
    <row r="1259" spans="10:12" x14ac:dyDescent="0.25">
      <c r="J1259" s="80">
        <f t="shared" si="86"/>
        <v>1000000</v>
      </c>
      <c r="K1259" s="22">
        <f t="shared" si="87"/>
        <v>103</v>
      </c>
      <c r="L1259" s="81">
        <f t="shared" si="85"/>
        <v>3439207.1368489414</v>
      </c>
    </row>
    <row r="1260" spans="10:12" x14ac:dyDescent="0.25">
      <c r="J1260" s="80">
        <f t="shared" si="86"/>
        <v>1000000</v>
      </c>
      <c r="K1260" s="22">
        <f t="shared" si="87"/>
        <v>104</v>
      </c>
      <c r="L1260" s="81">
        <f t="shared" si="85"/>
        <v>3480700.5884284107</v>
      </c>
    </row>
    <row r="1261" spans="10:12" x14ac:dyDescent="0.25">
      <c r="J1261" s="80">
        <f t="shared" si="86"/>
        <v>1000000</v>
      </c>
      <c r="K1261" s="22">
        <f t="shared" si="87"/>
        <v>105</v>
      </c>
      <c r="L1261" s="81">
        <f t="shared" si="85"/>
        <v>3522694.6514731017</v>
      </c>
    </row>
    <row r="1262" spans="10:12" x14ac:dyDescent="0.25">
      <c r="J1262" s="80">
        <f t="shared" si="86"/>
        <v>1000000</v>
      </c>
      <c r="K1262" s="22">
        <f t="shared" si="87"/>
        <v>106</v>
      </c>
      <c r="L1262" s="81">
        <f t="shared" si="85"/>
        <v>3565195.3657755493</v>
      </c>
    </row>
    <row r="1263" spans="10:12" x14ac:dyDescent="0.25">
      <c r="J1263" s="80">
        <f t="shared" si="86"/>
        <v>1000000</v>
      </c>
      <c r="K1263" s="22">
        <f t="shared" si="87"/>
        <v>107</v>
      </c>
      <c r="L1263" s="81">
        <f t="shared" si="85"/>
        <v>3608208.8439973621</v>
      </c>
    </row>
    <row r="1264" spans="10:12" x14ac:dyDescent="0.25">
      <c r="J1264" s="80">
        <f t="shared" si="86"/>
        <v>1000000</v>
      </c>
      <c r="K1264" s="22">
        <f t="shared" si="87"/>
        <v>108</v>
      </c>
      <c r="L1264" s="81">
        <f t="shared" si="85"/>
        <v>3651741.2725483775</v>
      </c>
    </row>
    <row r="1265" spans="10:12" x14ac:dyDescent="0.25">
      <c r="J1265" s="80">
        <f t="shared" si="86"/>
        <v>1000000</v>
      </c>
      <c r="K1265" s="22">
        <f t="shared" si="87"/>
        <v>109</v>
      </c>
      <c r="L1265" s="81">
        <f t="shared" si="85"/>
        <v>3695798.9124764181</v>
      </c>
    </row>
    <row r="1266" spans="10:12" x14ac:dyDescent="0.25">
      <c r="J1266" s="80">
        <f t="shared" si="86"/>
        <v>1000000</v>
      </c>
      <c r="K1266" s="22">
        <f t="shared" si="87"/>
        <v>110</v>
      </c>
      <c r="L1266" s="81">
        <f t="shared" si="85"/>
        <v>3740388.1003677859</v>
      </c>
    </row>
    <row r="1267" spans="10:12" x14ac:dyDescent="0.25">
      <c r="J1267" s="80">
        <f t="shared" si="86"/>
        <v>1000000</v>
      </c>
      <c r="K1267" s="22">
        <f t="shared" si="87"/>
        <v>111</v>
      </c>
      <c r="L1267" s="81">
        <f t="shared" si="85"/>
        <v>3785515.24925863</v>
      </c>
    </row>
    <row r="1268" spans="10:12" x14ac:dyDescent="0.25">
      <c r="J1268" s="80">
        <f t="shared" si="86"/>
        <v>1000000</v>
      </c>
      <c r="K1268" s="22">
        <f t="shared" si="87"/>
        <v>112</v>
      </c>
      <c r="L1268" s="81">
        <f t="shared" si="85"/>
        <v>3831186.8495572885</v>
      </c>
    </row>
    <row r="1269" spans="10:12" x14ac:dyDescent="0.25">
      <c r="J1269" s="80">
        <f t="shared" si="86"/>
        <v>1000000</v>
      </c>
      <c r="K1269" s="22">
        <f t="shared" si="87"/>
        <v>113</v>
      </c>
      <c r="L1269" s="81">
        <f t="shared" si="85"/>
        <v>3877409.469977777</v>
      </c>
    </row>
    <row r="1270" spans="10:12" x14ac:dyDescent="0.25">
      <c r="J1270" s="80">
        <f t="shared" si="86"/>
        <v>1000000</v>
      </c>
      <c r="K1270" s="22">
        <f t="shared" si="87"/>
        <v>114</v>
      </c>
      <c r="L1270" s="81">
        <f t="shared" si="85"/>
        <v>3924189.7584845363</v>
      </c>
    </row>
    <row r="1271" spans="10:12" x14ac:dyDescent="0.25">
      <c r="J1271" s="80">
        <f t="shared" si="86"/>
        <v>1000000</v>
      </c>
      <c r="K1271" s="22">
        <f t="shared" si="87"/>
        <v>115</v>
      </c>
      <c r="L1271" s="81">
        <f t="shared" si="85"/>
        <v>3971534.4432485704</v>
      </c>
    </row>
    <row r="1272" spans="10:12" x14ac:dyDescent="0.25">
      <c r="J1272" s="80">
        <f t="shared" si="86"/>
        <v>1000000</v>
      </c>
      <c r="K1272" s="22">
        <f t="shared" si="87"/>
        <v>116</v>
      </c>
      <c r="L1272" s="81">
        <f t="shared" si="85"/>
        <v>4019450.3336151256</v>
      </c>
    </row>
    <row r="1273" spans="10:12" x14ac:dyDescent="0.25">
      <c r="J1273" s="80">
        <f t="shared" si="86"/>
        <v>1000000</v>
      </c>
      <c r="K1273" s="22">
        <f t="shared" si="87"/>
        <v>117</v>
      </c>
      <c r="L1273" s="81">
        <f t="shared" si="85"/>
        <v>4067944.3210830479</v>
      </c>
    </row>
    <row r="1274" spans="10:12" x14ac:dyDescent="0.25">
      <c r="J1274" s="80">
        <f t="shared" si="86"/>
        <v>1000000</v>
      </c>
      <c r="K1274" s="22">
        <f t="shared" si="87"/>
        <v>118</v>
      </c>
      <c r="L1274" s="81">
        <f t="shared" si="85"/>
        <v>4117023.3802959481</v>
      </c>
    </row>
    <row r="1275" spans="10:12" x14ac:dyDescent="0.25">
      <c r="J1275" s="80">
        <f t="shared" si="86"/>
        <v>1000000</v>
      </c>
      <c r="K1275" s="22">
        <f t="shared" si="87"/>
        <v>119</v>
      </c>
      <c r="L1275" s="81">
        <f t="shared" si="85"/>
        <v>4166694.5700453296</v>
      </c>
    </row>
    <row r="1276" spans="10:12" x14ac:dyDescent="0.25">
      <c r="J1276" s="80">
        <f t="shared" si="86"/>
        <v>1000000</v>
      </c>
      <c r="K1276" s="22">
        <f t="shared" si="87"/>
        <v>120</v>
      </c>
      <c r="L1276" s="81">
        <f t="shared" si="85"/>
        <v>4216965.0342858229</v>
      </c>
    </row>
    <row r="1277" spans="10:12" x14ac:dyDescent="0.25">
      <c r="J1277" s="80">
        <f t="shared" si="86"/>
        <v>1000000</v>
      </c>
      <c r="K1277" s="22">
        <f t="shared" si="87"/>
        <v>121</v>
      </c>
      <c r="L1277" s="81">
        <f t="shared" si="85"/>
        <v>4267842.0031626588</v>
      </c>
    </row>
    <row r="1278" spans="10:12" x14ac:dyDescent="0.25">
      <c r="J1278" s="80">
        <f t="shared" si="86"/>
        <v>1000000</v>
      </c>
      <c r="K1278" s="22">
        <f t="shared" si="87"/>
        <v>122</v>
      </c>
      <c r="L1278" s="81">
        <f t="shared" si="85"/>
        <v>4319332.7940515447</v>
      </c>
    </row>
    <row r="1279" spans="10:12" x14ac:dyDescent="0.25">
      <c r="J1279" s="80">
        <f t="shared" si="86"/>
        <v>1000000</v>
      </c>
      <c r="K1279" s="22">
        <f t="shared" si="87"/>
        <v>123</v>
      </c>
      <c r="L1279" s="81">
        <f t="shared" si="85"/>
        <v>4371444.81261109</v>
      </c>
    </row>
    <row r="1280" spans="10:12" x14ac:dyDescent="0.25">
      <c r="J1280" s="80">
        <f t="shared" si="86"/>
        <v>1000000</v>
      </c>
      <c r="K1280" s="22">
        <f t="shared" si="87"/>
        <v>124</v>
      </c>
      <c r="L1280" s="81">
        <f t="shared" si="85"/>
        <v>4424185.5538479183</v>
      </c>
    </row>
    <row r="1281" spans="10:12" x14ac:dyDescent="0.25">
      <c r="J1281" s="80">
        <f t="shared" si="86"/>
        <v>1000000</v>
      </c>
      <c r="K1281" s="22">
        <f t="shared" si="87"/>
        <v>125</v>
      </c>
      <c r="L1281" s="81">
        <f t="shared" si="85"/>
        <v>4477562.6031946372</v>
      </c>
    </row>
    <row r="1282" spans="10:12" x14ac:dyDescent="0.25">
      <c r="J1282" s="80">
        <f t="shared" si="86"/>
        <v>1000000</v>
      </c>
      <c r="K1282" s="22">
        <f t="shared" si="87"/>
        <v>126</v>
      </c>
      <c r="L1282" s="81">
        <f t="shared" si="85"/>
        <v>4531583.6376008186</v>
      </c>
    </row>
    <row r="1283" spans="10:12" x14ac:dyDescent="0.25">
      <c r="J1283" s="80">
        <f t="shared" si="86"/>
        <v>1000000</v>
      </c>
      <c r="K1283" s="22">
        <f t="shared" si="87"/>
        <v>127</v>
      </c>
      <c r="L1283" s="81">
        <f t="shared" si="85"/>
        <v>4586256.4266371261</v>
      </c>
    </row>
    <row r="1284" spans="10:12" x14ac:dyDescent="0.25">
      <c r="J1284" s="80">
        <f t="shared" si="86"/>
        <v>1000000</v>
      </c>
      <c r="K1284" s="22">
        <f t="shared" si="87"/>
        <v>128</v>
      </c>
      <c r="L1284" s="81">
        <f t="shared" si="85"/>
        <v>4641588.8336127792</v>
      </c>
    </row>
    <row r="1285" spans="10:12" x14ac:dyDescent="0.25">
      <c r="J1285" s="80">
        <f t="shared" si="86"/>
        <v>1000000</v>
      </c>
      <c r="K1285" s="22">
        <f t="shared" si="87"/>
        <v>129</v>
      </c>
      <c r="L1285" s="81">
        <f t="shared" ref="L1285:L1348" si="88">J1285*10^(K1285/192)</f>
        <v>4697588.8167064935</v>
      </c>
    </row>
    <row r="1286" spans="10:12" x14ac:dyDescent="0.25">
      <c r="J1286" s="80">
        <f t="shared" ref="J1286:J1348" si="89">J1094*10</f>
        <v>1000000</v>
      </c>
      <c r="K1286" s="22">
        <f t="shared" ref="K1286:K1331" si="90">K1285+1</f>
        <v>130</v>
      </c>
      <c r="L1286" s="81">
        <f t="shared" si="88"/>
        <v>4754264.4301110571</v>
      </c>
    </row>
    <row r="1287" spans="10:12" x14ac:dyDescent="0.25">
      <c r="J1287" s="80">
        <f t="shared" si="89"/>
        <v>1000000</v>
      </c>
      <c r="K1287" s="22">
        <f t="shared" si="90"/>
        <v>131</v>
      </c>
      <c r="L1287" s="81">
        <f t="shared" si="88"/>
        <v>4811623.8251917334</v>
      </c>
    </row>
    <row r="1288" spans="10:12" x14ac:dyDescent="0.25">
      <c r="J1288" s="80">
        <f t="shared" si="89"/>
        <v>1000000</v>
      </c>
      <c r="K1288" s="22">
        <f t="shared" si="90"/>
        <v>132</v>
      </c>
      <c r="L1288" s="81">
        <f t="shared" si="88"/>
        <v>4869675.2516586315</v>
      </c>
    </row>
    <row r="1289" spans="10:12" x14ac:dyDescent="0.25">
      <c r="J1289" s="80">
        <f t="shared" si="89"/>
        <v>1000000</v>
      </c>
      <c r="K1289" s="22">
        <f t="shared" si="90"/>
        <v>133</v>
      </c>
      <c r="L1289" s="81">
        <f t="shared" si="88"/>
        <v>4928427.0587532073</v>
      </c>
    </row>
    <row r="1290" spans="10:12" x14ac:dyDescent="0.25">
      <c r="J1290" s="80">
        <f t="shared" si="89"/>
        <v>1000000</v>
      </c>
      <c r="K1290" s="22">
        <f t="shared" si="90"/>
        <v>134</v>
      </c>
      <c r="L1290" s="81">
        <f t="shared" si="88"/>
        <v>4987887.6964491066</v>
      </c>
    </row>
    <row r="1291" spans="10:12" x14ac:dyDescent="0.25">
      <c r="J1291" s="80">
        <f t="shared" si="89"/>
        <v>1000000</v>
      </c>
      <c r="K1291" s="22">
        <f t="shared" si="90"/>
        <v>135</v>
      </c>
      <c r="L1291" s="81">
        <f t="shared" si="88"/>
        <v>5048065.7166674715</v>
      </c>
    </row>
    <row r="1292" spans="10:12" x14ac:dyDescent="0.25">
      <c r="J1292" s="80">
        <f t="shared" si="89"/>
        <v>1000000</v>
      </c>
      <c r="K1292" s="22">
        <f t="shared" si="90"/>
        <v>136</v>
      </c>
      <c r="L1292" s="81">
        <f t="shared" si="88"/>
        <v>5108969.7745069293</v>
      </c>
    </row>
    <row r="1293" spans="10:12" x14ac:dyDescent="0.25">
      <c r="J1293" s="80">
        <f t="shared" si="89"/>
        <v>1000000</v>
      </c>
      <c r="K1293" s="22">
        <f t="shared" si="90"/>
        <v>137</v>
      </c>
      <c r="L1293" s="81">
        <f t="shared" si="88"/>
        <v>5170608.6294884002</v>
      </c>
    </row>
    <row r="1294" spans="10:12" x14ac:dyDescent="0.25">
      <c r="J1294" s="80">
        <f t="shared" si="89"/>
        <v>1000000</v>
      </c>
      <c r="K1294" s="22">
        <f t="shared" si="90"/>
        <v>138</v>
      </c>
      <c r="L1294" s="81">
        <f t="shared" si="88"/>
        <v>5232991.1468149479</v>
      </c>
    </row>
    <row r="1295" spans="10:12" x14ac:dyDescent="0.25">
      <c r="J1295" s="80">
        <f t="shared" si="89"/>
        <v>1000000</v>
      </c>
      <c r="K1295" s="22">
        <f t="shared" si="90"/>
        <v>139</v>
      </c>
      <c r="L1295" s="81">
        <f t="shared" si="88"/>
        <v>5296126.2986468039</v>
      </c>
    </row>
    <row r="1296" spans="10:12" x14ac:dyDescent="0.25">
      <c r="J1296" s="80">
        <f t="shared" si="89"/>
        <v>1000000</v>
      </c>
      <c r="K1296" s="22">
        <f t="shared" si="90"/>
        <v>140</v>
      </c>
      <c r="L1296" s="81">
        <f t="shared" si="88"/>
        <v>5360023.1653917916</v>
      </c>
    </row>
    <row r="1297" spans="10:12" x14ac:dyDescent="0.25">
      <c r="J1297" s="80">
        <f t="shared" si="89"/>
        <v>1000000</v>
      </c>
      <c r="K1297" s="22">
        <f t="shared" si="90"/>
        <v>141</v>
      </c>
      <c r="L1297" s="81">
        <f t="shared" si="88"/>
        <v>5424690.9370113267</v>
      </c>
    </row>
    <row r="1298" spans="10:12" x14ac:dyDescent="0.25">
      <c r="J1298" s="80">
        <f t="shared" si="89"/>
        <v>1000000</v>
      </c>
      <c r="K1298" s="22">
        <f t="shared" si="90"/>
        <v>142</v>
      </c>
      <c r="L1298" s="81">
        <f t="shared" si="88"/>
        <v>5490138.9143421417</v>
      </c>
    </row>
    <row r="1299" spans="10:12" x14ac:dyDescent="0.25">
      <c r="J1299" s="80">
        <f t="shared" si="89"/>
        <v>1000000</v>
      </c>
      <c r="K1299" s="22">
        <f t="shared" si="90"/>
        <v>143</v>
      </c>
      <c r="L1299" s="81">
        <f t="shared" si="88"/>
        <v>5556376.5104339933</v>
      </c>
    </row>
    <row r="1300" spans="10:12" x14ac:dyDescent="0.25">
      <c r="J1300" s="80">
        <f t="shared" si="89"/>
        <v>1000000</v>
      </c>
      <c r="K1300" s="22">
        <f t="shared" si="90"/>
        <v>144</v>
      </c>
      <c r="L1300" s="81">
        <f t="shared" si="88"/>
        <v>5623413.251903492</v>
      </c>
    </row>
    <row r="1301" spans="10:12" x14ac:dyDescent="0.25">
      <c r="J1301" s="80">
        <f t="shared" si="89"/>
        <v>1000000</v>
      </c>
      <c r="K1301" s="22">
        <f t="shared" si="90"/>
        <v>145</v>
      </c>
      <c r="L1301" s="81">
        <f t="shared" si="88"/>
        <v>5691258.7803042587</v>
      </c>
    </row>
    <row r="1302" spans="10:12" x14ac:dyDescent="0.25">
      <c r="J1302" s="80">
        <f t="shared" si="89"/>
        <v>1000000</v>
      </c>
      <c r="K1302" s="22">
        <f t="shared" si="90"/>
        <v>146</v>
      </c>
      <c r="L1302" s="81">
        <f t="shared" si="88"/>
        <v>5759922.8535136282</v>
      </c>
    </row>
    <row r="1303" spans="10:12" x14ac:dyDescent="0.25">
      <c r="J1303" s="80">
        <f t="shared" si="89"/>
        <v>1000000</v>
      </c>
      <c r="K1303" s="22">
        <f t="shared" si="90"/>
        <v>147</v>
      </c>
      <c r="L1303" s="81">
        <f t="shared" si="88"/>
        <v>5829415.3471360756</v>
      </c>
    </row>
    <row r="1304" spans="10:12" x14ac:dyDescent="0.25">
      <c r="J1304" s="80">
        <f t="shared" si="89"/>
        <v>1000000</v>
      </c>
      <c r="K1304" s="22">
        <f t="shared" si="90"/>
        <v>148</v>
      </c>
      <c r="L1304" s="81">
        <f t="shared" si="88"/>
        <v>5899746.2559235655</v>
      </c>
    </row>
    <row r="1305" spans="10:12" x14ac:dyDescent="0.25">
      <c r="J1305" s="80">
        <f t="shared" si="89"/>
        <v>1000000</v>
      </c>
      <c r="K1305" s="22">
        <f t="shared" si="90"/>
        <v>149</v>
      </c>
      <c r="L1305" s="81">
        <f t="shared" si="88"/>
        <v>5970925.6952130534</v>
      </c>
    </row>
    <row r="1306" spans="10:12" x14ac:dyDescent="0.25">
      <c r="J1306" s="80">
        <f t="shared" si="89"/>
        <v>1000000</v>
      </c>
      <c r="K1306" s="22">
        <f t="shared" si="90"/>
        <v>150</v>
      </c>
      <c r="L1306" s="81">
        <f t="shared" si="88"/>
        <v>6042963.9023813289</v>
      </c>
    </row>
    <row r="1307" spans="10:12" x14ac:dyDescent="0.25">
      <c r="J1307" s="80">
        <f t="shared" si="89"/>
        <v>1000000</v>
      </c>
      <c r="K1307" s="22">
        <f t="shared" si="90"/>
        <v>151</v>
      </c>
      <c r="L1307" s="81">
        <f t="shared" si="88"/>
        <v>6115871.238317389</v>
      </c>
    </row>
    <row r="1308" spans="10:12" x14ac:dyDescent="0.25">
      <c r="J1308" s="80">
        <f t="shared" si="89"/>
        <v>1000000</v>
      </c>
      <c r="K1308" s="22">
        <f t="shared" si="90"/>
        <v>152</v>
      </c>
      <c r="L1308" s="81">
        <f t="shared" si="88"/>
        <v>6189658.1889126059</v>
      </c>
    </row>
    <row r="1309" spans="10:12" x14ac:dyDescent="0.25">
      <c r="J1309" s="80">
        <f t="shared" si="89"/>
        <v>1000000</v>
      </c>
      <c r="K1309" s="22">
        <f t="shared" si="90"/>
        <v>153</v>
      </c>
      <c r="L1309" s="81">
        <f t="shared" si="88"/>
        <v>6264335.3665688569</v>
      </c>
    </row>
    <row r="1310" spans="10:12" x14ac:dyDescent="0.25">
      <c r="J1310" s="80">
        <f t="shared" si="89"/>
        <v>1000000</v>
      </c>
      <c r="K1310" s="22">
        <f t="shared" si="90"/>
        <v>154</v>
      </c>
      <c r="L1310" s="81">
        <f t="shared" si="88"/>
        <v>6339913.5117248455</v>
      </c>
    </row>
    <row r="1311" spans="10:12" x14ac:dyDescent="0.25">
      <c r="J1311" s="80">
        <f t="shared" si="89"/>
        <v>1000000</v>
      </c>
      <c r="K1311" s="22">
        <f t="shared" si="90"/>
        <v>155</v>
      </c>
      <c r="L1311" s="81">
        <f t="shared" si="88"/>
        <v>6416403.4944008533</v>
      </c>
    </row>
    <row r="1312" spans="10:12" x14ac:dyDescent="0.25">
      <c r="J1312" s="80">
        <f t="shared" si="89"/>
        <v>1000000</v>
      </c>
      <c r="K1312" s="22">
        <f t="shared" si="90"/>
        <v>156</v>
      </c>
      <c r="L1312" s="81">
        <f t="shared" si="88"/>
        <v>6493816.3157621147</v>
      </c>
    </row>
    <row r="1313" spans="10:12" x14ac:dyDescent="0.25">
      <c r="J1313" s="80">
        <f t="shared" si="89"/>
        <v>1000000</v>
      </c>
      <c r="K1313" s="22">
        <f t="shared" si="90"/>
        <v>157</v>
      </c>
      <c r="L1313" s="81">
        <f t="shared" si="88"/>
        <v>6572163.1097010579</v>
      </c>
    </row>
    <row r="1314" spans="10:12" x14ac:dyDescent="0.25">
      <c r="J1314" s="80">
        <f t="shared" si="89"/>
        <v>1000000</v>
      </c>
      <c r="K1314" s="22">
        <f t="shared" si="90"/>
        <v>158</v>
      </c>
      <c r="L1314" s="81">
        <f t="shared" si="88"/>
        <v>6651455.1444386337</v>
      </c>
    </row>
    <row r="1315" spans="10:12" x14ac:dyDescent="0.25">
      <c r="J1315" s="80">
        <f t="shared" si="89"/>
        <v>1000000</v>
      </c>
      <c r="K1315" s="22">
        <f t="shared" si="90"/>
        <v>159</v>
      </c>
      <c r="L1315" s="81">
        <f t="shared" si="88"/>
        <v>6731703.8241449827</v>
      </c>
    </row>
    <row r="1316" spans="10:12" x14ac:dyDescent="0.25">
      <c r="J1316" s="80">
        <f t="shared" si="89"/>
        <v>1000000</v>
      </c>
      <c r="K1316" s="22">
        <f t="shared" si="90"/>
        <v>160</v>
      </c>
      <c r="L1316" s="81">
        <f t="shared" si="88"/>
        <v>6812920.6905796137</v>
      </c>
    </row>
    <row r="1317" spans="10:12" x14ac:dyDescent="0.25">
      <c r="J1317" s="80">
        <f t="shared" si="89"/>
        <v>1000000</v>
      </c>
      <c r="K1317" s="22">
        <f t="shared" si="90"/>
        <v>161</v>
      </c>
      <c r="L1317" s="81">
        <f t="shared" si="88"/>
        <v>6895117.424751414</v>
      </c>
    </row>
    <row r="1318" spans="10:12" x14ac:dyDescent="0.25">
      <c r="J1318" s="80">
        <f t="shared" si="89"/>
        <v>1000000</v>
      </c>
      <c r="K1318" s="22">
        <f t="shared" si="90"/>
        <v>162</v>
      </c>
      <c r="L1318" s="81">
        <f t="shared" si="88"/>
        <v>6978305.8485986646</v>
      </c>
    </row>
    <row r="1319" spans="10:12" x14ac:dyDescent="0.25">
      <c r="J1319" s="80">
        <f t="shared" si="89"/>
        <v>1000000</v>
      </c>
      <c r="K1319" s="22">
        <f t="shared" si="90"/>
        <v>163</v>
      </c>
      <c r="L1319" s="81">
        <f t="shared" si="88"/>
        <v>7062497.9266893296</v>
      </c>
    </row>
    <row r="1320" spans="10:12" x14ac:dyDescent="0.25">
      <c r="J1320" s="80">
        <f t="shared" si="89"/>
        <v>1000000</v>
      </c>
      <c r="K1320" s="22">
        <f t="shared" si="90"/>
        <v>164</v>
      </c>
      <c r="L1320" s="81">
        <f t="shared" si="88"/>
        <v>7147705.7679418568</v>
      </c>
    </row>
    <row r="1321" spans="10:12" x14ac:dyDescent="0.25">
      <c r="J1321" s="80">
        <f t="shared" si="89"/>
        <v>1000000</v>
      </c>
      <c r="K1321" s="22">
        <f t="shared" si="90"/>
        <v>165</v>
      </c>
      <c r="L1321" s="81">
        <f t="shared" si="88"/>
        <v>7233941.6273667496</v>
      </c>
    </row>
    <row r="1322" spans="10:12" x14ac:dyDescent="0.25">
      <c r="J1322" s="80">
        <f t="shared" si="89"/>
        <v>1000000</v>
      </c>
      <c r="K1322" s="22">
        <f t="shared" si="90"/>
        <v>166</v>
      </c>
      <c r="L1322" s="81">
        <f t="shared" si="88"/>
        <v>7321217.907829131</v>
      </c>
    </row>
    <row r="1323" spans="10:12" x14ac:dyDescent="0.25">
      <c r="J1323" s="80">
        <f t="shared" si="89"/>
        <v>1000000</v>
      </c>
      <c r="K1323" s="22">
        <f t="shared" si="90"/>
        <v>167</v>
      </c>
      <c r="L1323" s="81">
        <f t="shared" si="88"/>
        <v>7409547.1618325906</v>
      </c>
    </row>
    <row r="1324" spans="10:12" x14ac:dyDescent="0.25">
      <c r="J1324" s="80">
        <f t="shared" si="89"/>
        <v>1000000</v>
      </c>
      <c r="K1324" s="22">
        <f t="shared" si="90"/>
        <v>168</v>
      </c>
      <c r="L1324" s="81">
        <f t="shared" si="88"/>
        <v>7498942.0933245588</v>
      </c>
    </row>
    <row r="1325" spans="10:12" x14ac:dyDescent="0.25">
      <c r="J1325" s="80">
        <f t="shared" si="89"/>
        <v>1000000</v>
      </c>
      <c r="K1325" s="22">
        <f t="shared" si="90"/>
        <v>169</v>
      </c>
      <c r="L1325" s="81">
        <f t="shared" si="88"/>
        <v>7589415.5595234269</v>
      </c>
    </row>
    <row r="1326" spans="10:12" x14ac:dyDescent="0.25">
      <c r="J1326" s="80">
        <f t="shared" si="89"/>
        <v>1000000</v>
      </c>
      <c r="K1326" s="22">
        <f t="shared" si="90"/>
        <v>170</v>
      </c>
      <c r="L1326" s="81">
        <f t="shared" si="88"/>
        <v>7680980.572767755</v>
      </c>
    </row>
    <row r="1327" spans="10:12" x14ac:dyDescent="0.25">
      <c r="J1327" s="80">
        <f t="shared" si="89"/>
        <v>1000000</v>
      </c>
      <c r="K1327" s="22">
        <f t="shared" si="90"/>
        <v>171</v>
      </c>
      <c r="L1327" s="81">
        <f t="shared" si="88"/>
        <v>7773650.302387761</v>
      </c>
    </row>
    <row r="1328" spans="10:12" x14ac:dyDescent="0.25">
      <c r="J1328" s="80">
        <f t="shared" si="89"/>
        <v>1000000</v>
      </c>
      <c r="K1328" s="22">
        <f t="shared" si="90"/>
        <v>172</v>
      </c>
      <c r="L1328" s="81">
        <f t="shared" si="88"/>
        <v>7867438.0765994033</v>
      </c>
    </row>
    <row r="1329" spans="10:12" x14ac:dyDescent="0.25">
      <c r="J1329" s="80">
        <f t="shared" si="89"/>
        <v>1000000</v>
      </c>
      <c r="K1329" s="22">
        <f t="shared" si="90"/>
        <v>173</v>
      </c>
      <c r="L1329" s="81">
        <f t="shared" si="88"/>
        <v>7962357.3844213039</v>
      </c>
    </row>
    <row r="1330" spans="10:12" x14ac:dyDescent="0.25">
      <c r="J1330" s="80">
        <f t="shared" si="89"/>
        <v>1000000</v>
      </c>
      <c r="K1330" s="22">
        <f t="shared" si="90"/>
        <v>174</v>
      </c>
      <c r="L1330" s="81">
        <f t="shared" si="88"/>
        <v>8058421.8776148194</v>
      </c>
    </row>
    <row r="1331" spans="10:12" x14ac:dyDescent="0.25">
      <c r="J1331" s="80">
        <f t="shared" si="89"/>
        <v>1000000</v>
      </c>
      <c r="K1331" s="22">
        <f t="shared" si="90"/>
        <v>175</v>
      </c>
      <c r="L1331" s="81">
        <f t="shared" si="88"/>
        <v>8155645.3726474876</v>
      </c>
    </row>
    <row r="1332" spans="10:12" x14ac:dyDescent="0.25">
      <c r="J1332" s="80">
        <f t="shared" si="89"/>
        <v>1000000</v>
      </c>
      <c r="K1332" s="22">
        <f>K1331+1</f>
        <v>176</v>
      </c>
      <c r="L1332" s="81">
        <f t="shared" si="88"/>
        <v>8254041.852680183</v>
      </c>
    </row>
    <row r="1333" spans="10:12" x14ac:dyDescent="0.25">
      <c r="J1333" s="80">
        <f t="shared" si="89"/>
        <v>1000000</v>
      </c>
      <c r="K1333" s="22">
        <f t="shared" ref="K1333:K1348" si="91">K1332+1</f>
        <v>177</v>
      </c>
      <c r="L1333" s="81">
        <f t="shared" si="88"/>
        <v>8353625.4695782615</v>
      </c>
    </row>
    <row r="1334" spans="10:12" x14ac:dyDescent="0.25">
      <c r="J1334" s="80">
        <f t="shared" si="89"/>
        <v>1000000</v>
      </c>
      <c r="K1334" s="22">
        <f t="shared" si="91"/>
        <v>178</v>
      </c>
      <c r="L1334" s="81">
        <f t="shared" si="88"/>
        <v>8454410.545946924</v>
      </c>
    </row>
    <row r="1335" spans="10:12" x14ac:dyDescent="0.25">
      <c r="J1335" s="80">
        <f t="shared" si="89"/>
        <v>1000000</v>
      </c>
      <c r="K1335" s="22">
        <f t="shared" si="91"/>
        <v>179</v>
      </c>
      <c r="L1335" s="81">
        <f t="shared" si="88"/>
        <v>8556411.5771911852</v>
      </c>
    </row>
    <row r="1336" spans="10:12" x14ac:dyDescent="0.25">
      <c r="J1336" s="80">
        <f t="shared" si="89"/>
        <v>1000000</v>
      </c>
      <c r="K1336" s="22">
        <f t="shared" si="91"/>
        <v>180</v>
      </c>
      <c r="L1336" s="81">
        <f t="shared" si="88"/>
        <v>8659643.2336006556</v>
      </c>
    </row>
    <row r="1337" spans="10:12" x14ac:dyDescent="0.25">
      <c r="J1337" s="80">
        <f t="shared" si="89"/>
        <v>1000000</v>
      </c>
      <c r="K1337" s="22">
        <f t="shared" si="91"/>
        <v>181</v>
      </c>
      <c r="L1337" s="81">
        <f t="shared" si="88"/>
        <v>8764120.3624595199</v>
      </c>
    </row>
    <row r="1338" spans="10:12" x14ac:dyDescent="0.25">
      <c r="J1338" s="80">
        <f t="shared" si="89"/>
        <v>1000000</v>
      </c>
      <c r="K1338" s="22">
        <f t="shared" si="91"/>
        <v>182</v>
      </c>
      <c r="L1338" s="81">
        <f t="shared" si="88"/>
        <v>8869857.9901819192</v>
      </c>
    </row>
    <row r="1339" spans="10:12" x14ac:dyDescent="0.25">
      <c r="J1339" s="80">
        <f t="shared" si="89"/>
        <v>1000000</v>
      </c>
      <c r="K1339" s="22">
        <f t="shared" si="91"/>
        <v>183</v>
      </c>
      <c r="L1339" s="81">
        <f t="shared" si="88"/>
        <v>8976871.3244731445</v>
      </c>
    </row>
    <row r="1340" spans="10:12" x14ac:dyDescent="0.25">
      <c r="J1340" s="80">
        <f t="shared" si="89"/>
        <v>1000000</v>
      </c>
      <c r="K1340" s="22">
        <f t="shared" si="91"/>
        <v>184</v>
      </c>
      <c r="L1340" s="81">
        <f t="shared" si="88"/>
        <v>9085175.7565168701</v>
      </c>
    </row>
    <row r="1341" spans="10:12" x14ac:dyDescent="0.25">
      <c r="J1341" s="80">
        <f t="shared" si="89"/>
        <v>1000000</v>
      </c>
      <c r="K1341" s="22">
        <f t="shared" si="91"/>
        <v>185</v>
      </c>
      <c r="L1341" s="81">
        <f t="shared" si="88"/>
        <v>9194786.8631887939</v>
      </c>
    </row>
    <row r="1342" spans="10:12" x14ac:dyDescent="0.25">
      <c r="J1342" s="80">
        <f t="shared" si="89"/>
        <v>1000000</v>
      </c>
      <c r="K1342" s="22">
        <f t="shared" si="91"/>
        <v>186</v>
      </c>
      <c r="L1342" s="81">
        <f t="shared" si="88"/>
        <v>9305720.4092969894</v>
      </c>
    </row>
    <row r="1343" spans="10:12" x14ac:dyDescent="0.25">
      <c r="J1343" s="80">
        <f t="shared" si="89"/>
        <v>1000000</v>
      </c>
      <c r="K1343" s="22">
        <f t="shared" si="91"/>
        <v>187</v>
      </c>
      <c r="L1343" s="81">
        <f t="shared" si="88"/>
        <v>9417992.3498492613</v>
      </c>
    </row>
    <row r="1344" spans="10:12" x14ac:dyDescent="0.25">
      <c r="J1344" s="80">
        <f t="shared" si="89"/>
        <v>1000000</v>
      </c>
      <c r="K1344" s="22">
        <f t="shared" si="91"/>
        <v>188</v>
      </c>
      <c r="L1344" s="81">
        <f t="shared" si="88"/>
        <v>9531618.8323478773</v>
      </c>
    </row>
    <row r="1345" spans="10:12" x14ac:dyDescent="0.25">
      <c r="J1345" s="80">
        <f t="shared" si="89"/>
        <v>1000000</v>
      </c>
      <c r="K1345" s="22">
        <f t="shared" si="91"/>
        <v>189</v>
      </c>
      <c r="L1345" s="81">
        <f t="shared" si="88"/>
        <v>9646616.1991119962</v>
      </c>
    </row>
    <row r="1346" spans="10:12" x14ac:dyDescent="0.25">
      <c r="J1346" s="80">
        <f t="shared" si="89"/>
        <v>1000000</v>
      </c>
      <c r="K1346" s="22">
        <f t="shared" si="91"/>
        <v>190</v>
      </c>
      <c r="L1346" s="81">
        <f t="shared" si="88"/>
        <v>9763000.9896280784</v>
      </c>
    </row>
    <row r="1347" spans="10:12" x14ac:dyDescent="0.25">
      <c r="J1347" s="80">
        <f t="shared" si="89"/>
        <v>1000000</v>
      </c>
      <c r="K1347" s="22">
        <f t="shared" si="91"/>
        <v>191</v>
      </c>
      <c r="L1347" s="81">
        <f t="shared" si="88"/>
        <v>9880789.9429286923</v>
      </c>
    </row>
    <row r="1348" spans="10:12" x14ac:dyDescent="0.25">
      <c r="J1348" s="80">
        <f t="shared" si="89"/>
        <v>1000000</v>
      </c>
      <c r="K1348" s="22">
        <f t="shared" si="91"/>
        <v>192</v>
      </c>
      <c r="L1348" s="86">
        <f t="shared" si="88"/>
        <v>10000000</v>
      </c>
    </row>
  </sheetData>
  <sheetProtection selectLockedCells="1"/>
  <mergeCells count="3">
    <mergeCell ref="B2:D2"/>
    <mergeCell ref="F2:H2"/>
    <mergeCell ref="J2:L2"/>
  </mergeCells>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4BDB0366CFF449BFF6BB5BED1ACE66" ma:contentTypeVersion="" ma:contentTypeDescription="Create a new document." ma:contentTypeScope="" ma:versionID="d6deed8e886971231d8a52858db1230f">
  <xsd:schema xmlns:xsd="http://www.w3.org/2001/XMLSchema" xmlns:xs="http://www.w3.org/2001/XMLSchema" xmlns:p="http://schemas.microsoft.com/office/2006/metadata/properties" xmlns:ns2="http://schemas.microsoft.com/sharepoint/v3/fields" xmlns:ns3="81cbb912-a41f-478e-bff8-56a8cfd8785b" targetNamespace="http://schemas.microsoft.com/office/2006/metadata/properties" ma:root="true" ma:fieldsID="35711bc7b8ec5538d72420f9697b25d9" ns2:_="" ns3:_="">
    <xsd:import namespace="http://schemas.microsoft.com/sharepoint/v3/fields"/>
    <xsd:import namespace="81cbb912-a41f-478e-bff8-56a8cfd8785b"/>
    <xsd:element name="properties">
      <xsd:complexType>
        <xsd:sequence>
          <xsd:element name="documentManagement">
            <xsd:complexType>
              <xsd:all>
                <xsd:element ref="ns2:_Version" minOccurs="0"/>
                <xsd:element ref="ns2:_Revision" minOccurs="0"/>
                <xsd:element ref="ns2:_DCDateModifie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element name="_Revision" ma:index="3" nillable="true" ma:displayName="Revision" ma:internalName="_Revision">
      <xsd:simpleType>
        <xsd:restriction base="dms:Text"/>
      </xsd:simpleType>
    </xsd:element>
    <xsd:element name="_DCDateModified" ma:index="4"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1cbb912-a41f-478e-bff8-56a8cfd8785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Revision xmlns="http://schemas.microsoft.com/sharepoint/v3/fields" xsi:nil="true"/>
  </documentManagement>
</p:properties>
</file>

<file path=customXml/itemProps1.xml><?xml version="1.0" encoding="utf-8"?>
<ds:datastoreItem xmlns:ds="http://schemas.openxmlformats.org/officeDocument/2006/customXml" ds:itemID="{68FB7965-ECC4-40BA-A9B4-25C37263A7B9}"/>
</file>

<file path=customXml/itemProps2.xml><?xml version="1.0" encoding="utf-8"?>
<ds:datastoreItem xmlns:ds="http://schemas.openxmlformats.org/officeDocument/2006/customXml" ds:itemID="{53A97B69-E84A-425E-BFBB-CF0AE5890264}"/>
</file>

<file path=customXml/itemProps3.xml><?xml version="1.0" encoding="utf-8"?>
<ds:datastoreItem xmlns:ds="http://schemas.openxmlformats.org/officeDocument/2006/customXml" ds:itemID="{E2CC7B43-647D-4A74-9DF7-FAFE925EC2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260</vt:i4>
      </vt:variant>
    </vt:vector>
  </HeadingPairs>
  <TitlesOfParts>
    <vt:vector size="263" baseType="lpstr">
      <vt:lpstr>BQ2575X Design Calculator</vt:lpstr>
      <vt:lpstr>Thermistor Qualification</vt:lpstr>
      <vt:lpstr>StdResVals</vt:lpstr>
      <vt:lpstr>ACOV_D</vt:lpstr>
      <vt:lpstr>ACUV_D</vt:lpstr>
      <vt:lpstr>Buck_Boost</vt:lpstr>
      <vt:lpstr>Buck_Only</vt:lpstr>
      <vt:lpstr>C_MOSFET_S_gFS_H_BO</vt:lpstr>
      <vt:lpstr>C_MOSFET_S_gFS_H_BU</vt:lpstr>
      <vt:lpstr>C_MOSFET_S_gFS_L_BO</vt:lpstr>
      <vt:lpstr>C_MOSFET_S_gFS_L_BU</vt:lpstr>
      <vt:lpstr>C_MOSFET_S_QG_H_BO</vt:lpstr>
      <vt:lpstr>C_MOSFET_S_QG_H_BU</vt:lpstr>
      <vt:lpstr>C_MOSFET_S_QG_L_BO</vt:lpstr>
      <vt:lpstr>C_MOSFET_S_QG_L_BU</vt:lpstr>
      <vt:lpstr>C_MOSFET_S_QGD_H_BO</vt:lpstr>
      <vt:lpstr>C_MOSFET_S_QGD_H_BU</vt:lpstr>
      <vt:lpstr>C_MOSFET_S_QGD_L_BO</vt:lpstr>
      <vt:lpstr>C_MOSFET_S_QGD_L_BU</vt:lpstr>
      <vt:lpstr>C_MOSFET_S_QGS_H_BO</vt:lpstr>
      <vt:lpstr>C_MOSFET_S_QGS_H_BU</vt:lpstr>
      <vt:lpstr>C_MOSFET_S_QGS_L_BO</vt:lpstr>
      <vt:lpstr>C_MOSFET_S_QGS_L_BU</vt:lpstr>
      <vt:lpstr>C_MOSFET_S_QOSS_H_BO</vt:lpstr>
      <vt:lpstr>C_MOSFET_S_QOSS_H_BU</vt:lpstr>
      <vt:lpstr>C_MOSFET_S_QOSS_L_BO</vt:lpstr>
      <vt:lpstr>C_MOSFET_S_QOSS_L_BU</vt:lpstr>
      <vt:lpstr>C_MOSFET_S_QRR_H_BO</vt:lpstr>
      <vt:lpstr>C_MOSFET_S_QRR_L_BU</vt:lpstr>
      <vt:lpstr>C_MOSFET_S_RDSON_H_BO</vt:lpstr>
      <vt:lpstr>C_MOSFET_S_RDSON_H_BU</vt:lpstr>
      <vt:lpstr>C_MOSFET_S_RDSON_L_BO</vt:lpstr>
      <vt:lpstr>C_MOSFET_S_RDSON_L_BU</vt:lpstr>
      <vt:lpstr>C_MOSFET_S_VSD_H_BO</vt:lpstr>
      <vt:lpstr>C_MOSFET_S_VSD_H_BU</vt:lpstr>
      <vt:lpstr>C_MOSFET_S_VSD_L_BO</vt:lpstr>
      <vt:lpstr>C_MOSFET_S_VSD_L_BU</vt:lpstr>
      <vt:lpstr>C_MOSFET_S_VTH_H_BO</vt:lpstr>
      <vt:lpstr>C_MOSFET_S_VTH_H_BU</vt:lpstr>
      <vt:lpstr>C_MOSFET_S_VTH_L_BO</vt:lpstr>
      <vt:lpstr>C_MOSFET_S_VTH_L_BU</vt:lpstr>
      <vt:lpstr>C_OUT</vt:lpstr>
      <vt:lpstr>C_QG_10_H_BO</vt:lpstr>
      <vt:lpstr>C_QG_10_H_BU</vt:lpstr>
      <vt:lpstr>C_QG_10_L_BO</vt:lpstr>
      <vt:lpstr>C_QG_10_L_BU</vt:lpstr>
      <vt:lpstr>C_QG_4P5_H_BO</vt:lpstr>
      <vt:lpstr>C_QG_4P5_H_BU</vt:lpstr>
      <vt:lpstr>C_QG_4P5_L_BO</vt:lpstr>
      <vt:lpstr>C_QG_4P5_L_BU</vt:lpstr>
      <vt:lpstr>C_QG_C_H_BO</vt:lpstr>
      <vt:lpstr>C_QG_C_H_BU</vt:lpstr>
      <vt:lpstr>C_QG_C_L_BO</vt:lpstr>
      <vt:lpstr>C_QG_C_L_BU</vt:lpstr>
      <vt:lpstr>C_QGD_H_BO</vt:lpstr>
      <vt:lpstr>C_QGD_H_BU</vt:lpstr>
      <vt:lpstr>C_QGD_L_BO</vt:lpstr>
      <vt:lpstr>C_QGD_L_BU</vt:lpstr>
      <vt:lpstr>C_RDS_10_H_BO</vt:lpstr>
      <vt:lpstr>C_RDS_10_H_BU</vt:lpstr>
      <vt:lpstr>C_RDS_10_L_BO</vt:lpstr>
      <vt:lpstr>C_RDS_10_L_BU</vt:lpstr>
      <vt:lpstr>C_RDS_4P5_H_BO</vt:lpstr>
      <vt:lpstr>C_RDS_4P5_H_BU</vt:lpstr>
      <vt:lpstr>C_RDS_4P5_L_BO</vt:lpstr>
      <vt:lpstr>C_RDS_4P5_L_BU</vt:lpstr>
      <vt:lpstr>C_RDS_C_H_BO</vt:lpstr>
      <vt:lpstr>C_RDS_C_H_BU</vt:lpstr>
      <vt:lpstr>C_RDS_C_L_BO</vt:lpstr>
      <vt:lpstr>C_RDS_C_L_BU</vt:lpstr>
      <vt:lpstr>CLR_Save</vt:lpstr>
      <vt:lpstr>Compare_MOSFET</vt:lpstr>
      <vt:lpstr>COUT_ESR</vt:lpstr>
      <vt:lpstr>Custom_MOSFET</vt:lpstr>
      <vt:lpstr>Desired_Fsw</vt:lpstr>
      <vt:lpstr>Desired_Operation</vt:lpstr>
      <vt:lpstr>Fsw</vt:lpstr>
      <vt:lpstr>ILmax</vt:lpstr>
      <vt:lpstr>Ioutmax</vt:lpstr>
      <vt:lpstr>Ipkpk_VACnom</vt:lpstr>
      <vt:lpstr>Isat</vt:lpstr>
      <vt:lpstr>L</vt:lpstr>
      <vt:lpstr>L_DRC</vt:lpstr>
      <vt:lpstr>MOSFET_S</vt:lpstr>
      <vt:lpstr>R_FB_BOT</vt:lpstr>
      <vt:lpstr>R_FB_BOT_Ideal</vt:lpstr>
      <vt:lpstr>R_FB_TOP</vt:lpstr>
      <vt:lpstr>R_FBG</vt:lpstr>
      <vt:lpstr>RAC_SNS</vt:lpstr>
      <vt:lpstr>RAC1_R</vt:lpstr>
      <vt:lpstr>RAC1_S</vt:lpstr>
      <vt:lpstr>RAC2_R</vt:lpstr>
      <vt:lpstr>RAC2_S</vt:lpstr>
      <vt:lpstr>RAC3_R</vt:lpstr>
      <vt:lpstr>RAC3_S</vt:lpstr>
      <vt:lpstr>RBAT_SNS</vt:lpstr>
      <vt:lpstr>RFB_BOT_R</vt:lpstr>
      <vt:lpstr>RFB_TOP_R</vt:lpstr>
      <vt:lpstr>RIIN</vt:lpstr>
      <vt:lpstr>RIOUT</vt:lpstr>
      <vt:lpstr>RT1_Ideal_TH</vt:lpstr>
      <vt:lpstr>RT1_R</vt:lpstr>
      <vt:lpstr>RT1_TH_S</vt:lpstr>
      <vt:lpstr>RT1_TH_S_MAX</vt:lpstr>
      <vt:lpstr>RT1_TH_S_MIN</vt:lpstr>
      <vt:lpstr>RT2_Ideal_TH</vt:lpstr>
      <vt:lpstr>RT2_R</vt:lpstr>
      <vt:lpstr>RT2_TH_MIN</vt:lpstr>
      <vt:lpstr>RT2_TH_S</vt:lpstr>
      <vt:lpstr>RT2_TH_S_MAX</vt:lpstr>
      <vt:lpstr>RTHCOLD</vt:lpstr>
      <vt:lpstr>RTHCOLD_TH</vt:lpstr>
      <vt:lpstr>RTHHOT</vt:lpstr>
      <vt:lpstr>RTHHOT_TH</vt:lpstr>
      <vt:lpstr>Save</vt:lpstr>
      <vt:lpstr>Save_Sel</vt:lpstr>
      <vt:lpstr>T_50_P</vt:lpstr>
      <vt:lpstr>T_60</vt:lpstr>
      <vt:lpstr>T_600</vt:lpstr>
      <vt:lpstr>T_65</vt:lpstr>
      <vt:lpstr>T1_0</vt:lpstr>
      <vt:lpstr>T1_0_P</vt:lpstr>
      <vt:lpstr>T1_0_PERCENT</vt:lpstr>
      <vt:lpstr>T1_0_TEMP</vt:lpstr>
      <vt:lpstr>T1_5</vt:lpstr>
      <vt:lpstr>T1_5_P</vt:lpstr>
      <vt:lpstr>T1_5_PERCENT</vt:lpstr>
      <vt:lpstr>T1_5_TEMP</vt:lpstr>
      <vt:lpstr>T1_N_TEMP</vt:lpstr>
      <vt:lpstr>T1_N10</vt:lpstr>
      <vt:lpstr>T1_N10_P</vt:lpstr>
      <vt:lpstr>T1_N10_PERCENT</vt:lpstr>
      <vt:lpstr>T1_N10_TEMP</vt:lpstr>
      <vt:lpstr>T1_N5</vt:lpstr>
      <vt:lpstr>T1_N5_P</vt:lpstr>
      <vt:lpstr>T1_N5_PERCENT</vt:lpstr>
      <vt:lpstr>T1_P_Select</vt:lpstr>
      <vt:lpstr>T1_S</vt:lpstr>
      <vt:lpstr>T1_T_N10</vt:lpstr>
      <vt:lpstr>T1_TE</vt:lpstr>
      <vt:lpstr>T1_TEMP</vt:lpstr>
      <vt:lpstr>T1_TEMP__10</vt:lpstr>
      <vt:lpstr>T1_TEMP_0</vt:lpstr>
      <vt:lpstr>T1_TEMP_N10</vt:lpstr>
      <vt:lpstr>T1_TEMP_Neg_5</vt:lpstr>
      <vt:lpstr>T2_10_PERCENT</vt:lpstr>
      <vt:lpstr>T2_10_TEMP</vt:lpstr>
      <vt:lpstr>T2_15_PERCENT</vt:lpstr>
      <vt:lpstr>T2_15_TEMP</vt:lpstr>
      <vt:lpstr>T2_20_PERCENT</vt:lpstr>
      <vt:lpstr>T2_20_TEMP</vt:lpstr>
      <vt:lpstr>T2_5_PERCENT</vt:lpstr>
      <vt:lpstr>T2_5_TEMP</vt:lpstr>
      <vt:lpstr>T2_S</vt:lpstr>
      <vt:lpstr>T3_40_PERCENT</vt:lpstr>
      <vt:lpstr>T3_40_TEMP</vt:lpstr>
      <vt:lpstr>T3_45_PERCENT</vt:lpstr>
      <vt:lpstr>T3_45_TEMP</vt:lpstr>
      <vt:lpstr>T3_50_PERCENT</vt:lpstr>
      <vt:lpstr>T3_50_TEMP</vt:lpstr>
      <vt:lpstr>T3_55_PERCENT</vt:lpstr>
      <vt:lpstr>T3_55_TEMP</vt:lpstr>
      <vt:lpstr>T3_S</vt:lpstr>
      <vt:lpstr>T5_50</vt:lpstr>
      <vt:lpstr>T5_50_PERCENT</vt:lpstr>
      <vt:lpstr>T5_50_TEMP</vt:lpstr>
      <vt:lpstr>T5_55</vt:lpstr>
      <vt:lpstr>T5_55_P</vt:lpstr>
      <vt:lpstr>T5_55_PERCENT</vt:lpstr>
      <vt:lpstr>T5_55_TEMP</vt:lpstr>
      <vt:lpstr>T5_60</vt:lpstr>
      <vt:lpstr>T5_60_P</vt:lpstr>
      <vt:lpstr>T5_60_PERCENT</vt:lpstr>
      <vt:lpstr>T5_60_TEMP</vt:lpstr>
      <vt:lpstr>T5_65</vt:lpstr>
      <vt:lpstr>T5_65_P</vt:lpstr>
      <vt:lpstr>T5_65_PERCENT</vt:lpstr>
      <vt:lpstr>T5_65_TEMP</vt:lpstr>
      <vt:lpstr>T5_P_Select</vt:lpstr>
      <vt:lpstr>T5_S</vt:lpstr>
      <vt:lpstr>TCOLD</vt:lpstr>
      <vt:lpstr>THOT</vt:lpstr>
      <vt:lpstr>TI_MOSFET</vt:lpstr>
      <vt:lpstr>TI_MOSFET_S_gFS_H_BO</vt:lpstr>
      <vt:lpstr>TI_MOSFET_S_gFS_H_BU</vt:lpstr>
      <vt:lpstr>TI_MOSFET_S_gFS_L_BO</vt:lpstr>
      <vt:lpstr>TI_MOSFET_S_gFS_L_BU</vt:lpstr>
      <vt:lpstr>TI_MOSFET_S_QG_H_BO</vt:lpstr>
      <vt:lpstr>TI_MOSFET_S_QG_H_BU</vt:lpstr>
      <vt:lpstr>TI_MOSFET_S_QG_L_BO</vt:lpstr>
      <vt:lpstr>TI_MOSFET_S_QG_L_BU</vt:lpstr>
      <vt:lpstr>TI_MOSFET_S_QGD_H_BO</vt:lpstr>
      <vt:lpstr>TI_MOSFET_S_QGD_H_BU</vt:lpstr>
      <vt:lpstr>TI_MOSFET_S_QGD_L_BO</vt:lpstr>
      <vt:lpstr>TI_MOSFET_S_QGD_L_BU</vt:lpstr>
      <vt:lpstr>TI_MOSFET_S_QGS_H_BO</vt:lpstr>
      <vt:lpstr>TI_MOSFET_S_QGS_H_BU</vt:lpstr>
      <vt:lpstr>TI_MOSFET_S_QGS_L_BO</vt:lpstr>
      <vt:lpstr>TI_MOSFET_S_QGS_L_BU</vt:lpstr>
      <vt:lpstr>TI_MOSFET_S_QOSS_H_BO</vt:lpstr>
      <vt:lpstr>TI_MOSFET_S_QOSS_H_BU</vt:lpstr>
      <vt:lpstr>TI_MOSFET_S_QOSS_L_BO</vt:lpstr>
      <vt:lpstr>TI_MOSFET_S_QOSS_L_BU</vt:lpstr>
      <vt:lpstr>TI_MOSFET_S_QRR_H_BO</vt:lpstr>
      <vt:lpstr>TI_MOSFET_S_QRR_L_BU</vt:lpstr>
      <vt:lpstr>TI_MOSFET_S_RDSON_H_BO</vt:lpstr>
      <vt:lpstr>TI_MOSFET_S_RDSON_H_BU</vt:lpstr>
      <vt:lpstr>TI_MOSFET_S_RDSON_L_BO</vt:lpstr>
      <vt:lpstr>TI_MOSFET_S_RDSON_L_BU</vt:lpstr>
      <vt:lpstr>TI_MOSFET_S_VSD_H_BO</vt:lpstr>
      <vt:lpstr>TI_MOSFET_S_VSD_H_BU</vt:lpstr>
      <vt:lpstr>TI_MOSFET_S_VSD_L_BO</vt:lpstr>
      <vt:lpstr>TI_MOSFET_S_VSD_L_BU</vt:lpstr>
      <vt:lpstr>TI_MOSFET_S_VTH_H_BO</vt:lpstr>
      <vt:lpstr>TI_MOSFET_S_VTH_H_BU</vt:lpstr>
      <vt:lpstr>TI_MOSFET_S_VTH_L_BO</vt:lpstr>
      <vt:lpstr>TI_MOSFET_S_VTH_L_BU</vt:lpstr>
      <vt:lpstr>TI_QG_10_H_BO</vt:lpstr>
      <vt:lpstr>TI_QG_10_H_BU</vt:lpstr>
      <vt:lpstr>TI_QG_10_L_BO</vt:lpstr>
      <vt:lpstr>TI_QG_10_L_BU</vt:lpstr>
      <vt:lpstr>TI_QG_4P5_H_BO</vt:lpstr>
      <vt:lpstr>TI_QG_4P5_H_BU</vt:lpstr>
      <vt:lpstr>TI_QG_4P5_L_BO</vt:lpstr>
      <vt:lpstr>TI_QG_4P5_L_BU</vt:lpstr>
      <vt:lpstr>TI_QG_C_H_BO</vt:lpstr>
      <vt:lpstr>TI_QG_C_H_BU</vt:lpstr>
      <vt:lpstr>TI_QG_C_L_BO</vt:lpstr>
      <vt:lpstr>TI_QG_C_L_BU</vt:lpstr>
      <vt:lpstr>TI_QGD_H_BO</vt:lpstr>
      <vt:lpstr>TI_QGD_H_BU</vt:lpstr>
      <vt:lpstr>TI_QGD_L_BO</vt:lpstr>
      <vt:lpstr>TI_QGD_L_BU</vt:lpstr>
      <vt:lpstr>TI_RDS_10_H_BO</vt:lpstr>
      <vt:lpstr>TI_RDS_10_H_BU</vt:lpstr>
      <vt:lpstr>TI_RDS_10_L_BO</vt:lpstr>
      <vt:lpstr>TI_RDS_10_L_BU</vt:lpstr>
      <vt:lpstr>TI_RDS_4P5_H_BO</vt:lpstr>
      <vt:lpstr>TI_RDS_4P5_H_BU</vt:lpstr>
      <vt:lpstr>TI_RDS_4P5_L_BO</vt:lpstr>
      <vt:lpstr>TI_RDS_4P5_L_BU</vt:lpstr>
      <vt:lpstr>TI_RDS_C_H_BO</vt:lpstr>
      <vt:lpstr>TI_RDS_C_H_BU</vt:lpstr>
      <vt:lpstr>TI_RDS_C_L_BO</vt:lpstr>
      <vt:lpstr>TI_RDS_C_L_BU</vt:lpstr>
      <vt:lpstr>V_FB_CEILING</vt:lpstr>
      <vt:lpstr>V_FB_FLOOR</vt:lpstr>
      <vt:lpstr>V_FB_Ideal</vt:lpstr>
      <vt:lpstr>V_FB_Step</vt:lpstr>
      <vt:lpstr>VACmax</vt:lpstr>
      <vt:lpstr>VACmin</vt:lpstr>
      <vt:lpstr>VACnom</vt:lpstr>
      <vt:lpstr>Vbat</vt:lpstr>
      <vt:lpstr>VBATREG</vt:lpstr>
      <vt:lpstr>VBATREG_CEILING</vt:lpstr>
      <vt:lpstr>VBATREG_D</vt:lpstr>
      <vt:lpstr>VBATREG_FLOOR</vt:lpstr>
      <vt:lpstr>VFB_Default</vt:lpstr>
      <vt:lpstr>VFB_S</vt:lpstr>
      <vt:lpstr>Vgs_10</vt:lpstr>
      <vt:lpstr>Vgs_4P5</vt:lpstr>
      <vt:lpstr>Vgs_C</vt:lpstr>
      <vt:lpstr>VGS_S</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Rook, Jacob</dc:creator>
  <cp:lastModifiedBy>Rook, Jacob</cp:lastModifiedBy>
  <dcterms:created xsi:type="dcterms:W3CDTF">2023-06-07T12:11:18Z</dcterms:created>
  <dcterms:modified xsi:type="dcterms:W3CDTF">2023-10-25T19:04:19Z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