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theoh/Documents/EPFL/Xplore/ERC-Elec/ERC_AV_HW/Power/ElonMux/Computations/"/>
    </mc:Choice>
  </mc:AlternateContent>
  <xr:revisionPtr revIDLastSave="0" documentId="13_ncr:1_{D617FB12-9D59-CE4C-8C11-D97D5D0AE09A}" xr6:coauthVersionLast="47" xr6:coauthVersionMax="47" xr10:uidLastSave="{00000000-0000-0000-0000-000000000000}"/>
  <workbookProtection workbookAlgorithmName="SHA-512" workbookHashValue="w2S5iRXMMqD9vJd9+34T3i/umRPNGN9G/rPRdtaHEYhDYF8D0pKCxgrk8IGOb7KH9Nx+bUgu0v8+5lqoIXDUAw==" workbookSaltValue="cJPsas6qmueoUqcltnl3gQ==" workbookSpinCount="100000" lockStructure="1"/>
  <bookViews>
    <workbookView xWindow="0" yWindow="760" windowWidth="30240" windowHeight="18880" xr2:uid="{6E72E8D2-090D-40D8-BCD3-EF302D03C35C}"/>
  </bookViews>
  <sheets>
    <sheet name="BQ2575X Design Calculator" sheetId="1" r:id="rId1"/>
    <sheet name="Thermistor Qualification" sheetId="3" r:id="rId2"/>
    <sheet name="StdResVals" sheetId="2" state="hidden" r:id="rId3"/>
  </sheets>
  <externalReferences>
    <externalReference r:id="rId4"/>
  </externalReferences>
  <definedNames>
    <definedName name="ACOV_D">'BQ2575X Design Calculator'!$E$58</definedName>
    <definedName name="ACUV_D">'BQ2575X Design Calculator'!$E$59</definedName>
    <definedName name="Buck_Boost">'BQ2575X Design Calculator'!$H$88</definedName>
    <definedName name="Buck_Only">'BQ2575X Design Calculator'!$I$88</definedName>
    <definedName name="C_MOSFET_S_gFS_H_BO">'BQ2575X Design Calculator'!$N$184</definedName>
    <definedName name="C_MOSFET_S_gFS_H_BU">'BQ2575X Design Calculator'!$N$170</definedName>
    <definedName name="C_MOSFET_S_gFS_L_BO">'BQ2575X Design Calculator'!$O$184</definedName>
    <definedName name="C_MOSFET_S_gFS_L_BU">'BQ2575X Design Calculator'!$O$170</definedName>
    <definedName name="C_MOSFET_S_QG_H_BO">'BQ2575X Design Calculator'!$N$179</definedName>
    <definedName name="C_MOSFET_S_QG_H_BU">'BQ2575X Design Calculator'!$N$165</definedName>
    <definedName name="C_MOSFET_S_QG_L_BO">'BQ2575X Design Calculator'!$O$179</definedName>
    <definedName name="C_MOSFET_S_QG_L_BU">'BQ2575X Design Calculator'!$O$165</definedName>
    <definedName name="C_MOSFET_S_QGD_H_BO">'BQ2575X Design Calculator'!$N$180</definedName>
    <definedName name="C_MOSFET_S_QGD_H_BU">'BQ2575X Design Calculator'!$N$166</definedName>
    <definedName name="C_MOSFET_S_QGD_L_BO">'BQ2575X Design Calculator'!$O$180</definedName>
    <definedName name="C_MOSFET_S_QGD_L_BU">'BQ2575X Design Calculator'!$O$166</definedName>
    <definedName name="C_MOSFET_S_QGS_H_BO">'BQ2575X Design Calculator'!$N$181</definedName>
    <definedName name="C_MOSFET_S_QGS_H_BU">'BQ2575X Design Calculator'!$N$167</definedName>
    <definedName name="C_MOSFET_S_QGS_L_BO">'BQ2575X Design Calculator'!$O$181</definedName>
    <definedName name="C_MOSFET_S_QGS_L_BU">'BQ2575X Design Calculator'!$O$167</definedName>
    <definedName name="C_MOSFET_S_QOSS_H_BO">'BQ2575X Design Calculator'!$N$182</definedName>
    <definedName name="C_MOSFET_S_QOSS_H_BU">'BQ2575X Design Calculator'!$N$168</definedName>
    <definedName name="C_MOSFET_S_QOSS_L_BO">'BQ2575X Design Calculator'!$O$182</definedName>
    <definedName name="C_MOSFET_S_QOSS_L_BU">'BQ2575X Design Calculator'!$O$168</definedName>
    <definedName name="C_MOSFET_S_QRR_H_BO">'BQ2575X Design Calculator'!$N$187</definedName>
    <definedName name="C_MOSFET_S_QRR_L_BU">'BQ2575X Design Calculator'!$O$173</definedName>
    <definedName name="C_MOSFET_S_RDSON_H_BO">'BQ2575X Design Calculator'!$N$178</definedName>
    <definedName name="C_MOSFET_S_RDSON_H_BU">'BQ2575X Design Calculator'!$N$164</definedName>
    <definedName name="C_MOSFET_S_RDSON_L_BO">'BQ2575X Design Calculator'!$O$178</definedName>
    <definedName name="C_MOSFET_S_RDSON_L_BU">'BQ2575X Design Calculator'!$O$164</definedName>
    <definedName name="C_MOSFET_S_VSD_H_BO">'BQ2575X Design Calculator'!$N$186</definedName>
    <definedName name="C_MOSFET_S_VSD_H_BU">'BQ2575X Design Calculator'!$N$172</definedName>
    <definedName name="C_MOSFET_S_VSD_L_BO">'BQ2575X Design Calculator'!$O$186</definedName>
    <definedName name="C_MOSFET_S_VSD_L_BU">'BQ2575X Design Calculator'!$O$172</definedName>
    <definedName name="C_MOSFET_S_VTH_H_BO">'BQ2575X Design Calculator'!$N$185</definedName>
    <definedName name="C_MOSFET_S_VTH_H_BU">'BQ2575X Design Calculator'!$N$171</definedName>
    <definedName name="C_MOSFET_S_VTH_L_BO">'BQ2575X Design Calculator'!$O$185</definedName>
    <definedName name="C_MOSFET_S_VTH_L_BU">'BQ2575X Design Calculator'!$O$171</definedName>
    <definedName name="C_OUT">'BQ2575X Design Calculator'!$E$106</definedName>
    <definedName name="C_QG_10_H_BO">'BQ2575X Design Calculator'!$E$139</definedName>
    <definedName name="C_QG_10_H_BU">'BQ2575X Design Calculator'!$E$121</definedName>
    <definedName name="C_QG_10_L_BO">'BQ2575X Design Calculator'!$F$139</definedName>
    <definedName name="C_QG_10_L_BU">'BQ2575X Design Calculator'!$F$121</definedName>
    <definedName name="C_QG_4P5_H_BO">'BQ2575X Design Calculator'!$E$138</definedName>
    <definedName name="C_QG_4P5_H_BU">'BQ2575X Design Calculator'!$E$120</definedName>
    <definedName name="C_QG_4P5_L_BO">'BQ2575X Design Calculator'!$F$138</definedName>
    <definedName name="C_QG_4P5_L_BU">'BQ2575X Design Calculator'!$F$120</definedName>
    <definedName name="C_QG_C_H_BO">'BQ2575X Design Calculator'!$E$140</definedName>
    <definedName name="C_QG_C_H_BU">'BQ2575X Design Calculator'!$E$122</definedName>
    <definedName name="C_QG_C_L_BO">'BQ2575X Design Calculator'!$F$140</definedName>
    <definedName name="C_QG_C_L_BU">'BQ2575X Design Calculator'!$F$122</definedName>
    <definedName name="C_QGD_H_BO">'BQ2575X Design Calculator'!$E$141</definedName>
    <definedName name="C_QGD_H_BU">'BQ2575X Design Calculator'!$E$123</definedName>
    <definedName name="C_QGD_L_BO">'BQ2575X Design Calculator'!$F$141</definedName>
    <definedName name="C_QGD_L_BU">'BQ2575X Design Calculator'!$F$123</definedName>
    <definedName name="C_RDS_10_H_BO">'BQ2575X Design Calculator'!$E$136</definedName>
    <definedName name="C_RDS_10_H_BU">'BQ2575X Design Calculator'!$E$118</definedName>
    <definedName name="C_RDS_10_L_BO">'BQ2575X Design Calculator'!$F$136</definedName>
    <definedName name="C_RDS_10_L_BU">'BQ2575X Design Calculator'!$F$118</definedName>
    <definedName name="C_RDS_4P5_H_BO">'BQ2575X Design Calculator'!$E$135</definedName>
    <definedName name="C_RDS_4P5_H_BU">'BQ2575X Design Calculator'!$E$117</definedName>
    <definedName name="C_RDS_4P5_L_BO">'BQ2575X Design Calculator'!$F$135</definedName>
    <definedName name="C_RDS_4P5_L_BU">'BQ2575X Design Calculator'!$F$117</definedName>
    <definedName name="C_RDS_C_H_BO">'BQ2575X Design Calculator'!$E$137</definedName>
    <definedName name="C_RDS_C_H_BU">'BQ2575X Design Calculator'!$E$119</definedName>
    <definedName name="C_RDS_C_L_BO">'BQ2575X Design Calculator'!$F$137</definedName>
    <definedName name="C_RDS_C_L_BU">'BQ2575X Design Calculator'!$F$119</definedName>
    <definedName name="CLR_Save">'BQ2575X Design Calculator'!$J$159</definedName>
    <definedName name="Compare_MOSFET">'BQ2575X Design Calculator'!$K$157</definedName>
    <definedName name="COUT_ESR">'BQ2575X Design Calculator'!$E$107</definedName>
    <definedName name="Custom_MOSFET">'BQ2575X Design Calculator'!$J$157</definedName>
    <definedName name="Desired_Fsw">'BQ2575X Design Calculator'!$E$13</definedName>
    <definedName name="Desired_Operation">'BQ2575X Design Calculator'!$E$88</definedName>
    <definedName name="DITHER">'[1]Variable Management'!$O$10</definedName>
    <definedName name="Fsw">'BQ2575X Design Calculator'!$E$16</definedName>
    <definedName name="ILmax">'BQ2575X Design Calculator'!$E$23</definedName>
    <definedName name="Ioutmax">'BQ2575X Design Calculator'!$E$10</definedName>
    <definedName name="Ipkpk_VACnom">'BQ2575X Design Calculator'!$E$31</definedName>
    <definedName name="Isat">'BQ2575X Design Calculator'!$E$24</definedName>
    <definedName name="L_DRC">'BQ2575X Design Calculator'!$E$29</definedName>
    <definedName name="MOSFET_S">'BQ2575X Design Calculator'!$E$157</definedName>
    <definedName name="R_FB_BOT">'BQ2575X Design Calculator'!$E$75</definedName>
    <definedName name="R_FB_BOT_Ideal">'BQ2575X Design Calculator'!$H$72</definedName>
    <definedName name="R_FB_TOP">'BQ2575X Design Calculator'!$E$74</definedName>
    <definedName name="R_FBG">'BQ2575X Design Calculator'!$H$71</definedName>
    <definedName name="RAC_SNS">'BQ2575X Design Calculator'!$E$40</definedName>
    <definedName name="RAC1_R">'BQ2575X Design Calculator'!$E$60</definedName>
    <definedName name="RAC1_S">'BQ2575X Design Calculator'!$E$63</definedName>
    <definedName name="RAC2_R">'BQ2575X Design Calculator'!$E$61</definedName>
    <definedName name="RAC2_S">'BQ2575X Design Calculator'!$E$64</definedName>
    <definedName name="RAC3_R">'BQ2575X Design Calculator'!$E$62</definedName>
    <definedName name="RAC3_S">'BQ2575X Design Calculator'!$E$65</definedName>
    <definedName name="RBAT_SNS">'BQ2575X Design Calculator'!$E$49</definedName>
    <definedName name="RFB_BOT_R">'BQ2575X Design Calculator'!$E$72</definedName>
    <definedName name="RFB_TOP_R">'BQ2575X Design Calculator'!$E$71</definedName>
    <definedName name="RIIN">'BQ2575X Design Calculator'!$E$45</definedName>
    <definedName name="RIOUT">'BQ2575X Design Calculator'!$E$54</definedName>
    <definedName name="RT1_Ideal_TH">'Thermistor Qualification'!$E$12</definedName>
    <definedName name="RT1_R">'BQ2575X Design Calculator'!$E$84</definedName>
    <definedName name="RT1_TH_S">'Thermistor Qualification'!$F$16</definedName>
    <definedName name="RT1_TH_S_MAX">'Thermistor Qualification'!$G$16</definedName>
    <definedName name="RT1_TH_S_MIN">'Thermistor Qualification'!$E$16</definedName>
    <definedName name="RT2_Ideal_TH">'Thermistor Qualification'!$E$13</definedName>
    <definedName name="RT2_R">'BQ2575X Design Calculator'!$E$85</definedName>
    <definedName name="RT2_TH_MIN">'Thermistor Qualification'!$E$17</definedName>
    <definedName name="RT2_TH_S">'Thermistor Qualification'!$F$17</definedName>
    <definedName name="RT2_TH_S_MAX">'Thermistor Qualification'!$G$17</definedName>
    <definedName name="RTHCOLD">'BQ2575X Design Calculator'!$E$82</definedName>
    <definedName name="RTHCOLD_TH">'Thermistor Qualification'!$E$10</definedName>
    <definedName name="RTHHOT">'BQ2575X Design Calculator'!$E$83</definedName>
    <definedName name="RTHHOT_TH">'Thermistor Qualification'!$E$11</definedName>
    <definedName name="Save">'BQ2575X Design Calculator'!$I$159</definedName>
    <definedName name="Save_Sel">'BQ2575X Design Calculator'!$E$159</definedName>
    <definedName name="T_50_P">'BQ2575X Design Calculator'!$L$81</definedName>
    <definedName name="T_60">'BQ2575X Design Calculator'!$J$81</definedName>
    <definedName name="T_600">'BQ2575X Design Calculator'!$J$81</definedName>
    <definedName name="T_65">'BQ2575X Design Calculator'!$K$81</definedName>
    <definedName name="T1_0">'BQ2575X Design Calculator'!$J$80</definedName>
    <definedName name="T1_0_P">'BQ2575X Design Calculator'!$N$80</definedName>
    <definedName name="T1_0_PERCENT">'Thermistor Qualification'!$N$6</definedName>
    <definedName name="T1_0_TEMP">'Thermistor Qualification'!$J$6</definedName>
    <definedName name="T1_5">'BQ2575X Design Calculator'!$K$80</definedName>
    <definedName name="T1_5_P">'BQ2575X Design Calculator'!$O$80</definedName>
    <definedName name="T1_5_PERCENT">'Thermistor Qualification'!$O$6</definedName>
    <definedName name="T1_5_TEMP">'Thermistor Qualification'!$K$6</definedName>
    <definedName name="T1_N_TEMP">'Thermistor Qualification'!$I$6</definedName>
    <definedName name="T1_N10">'BQ2575X Design Calculator'!$H$80</definedName>
    <definedName name="T1_N10_P">'BQ2575X Design Calculator'!$L$80</definedName>
    <definedName name="T1_N10_PERCENT">'Thermistor Qualification'!$L$6</definedName>
    <definedName name="T1_N10_TEMP">'Thermistor Qualification'!$H$6</definedName>
    <definedName name="T1_N5">'BQ2575X Design Calculator'!$I$80</definedName>
    <definedName name="T1_N5_P">'BQ2575X Design Calculator'!$M$80</definedName>
    <definedName name="T1_N5_PERCENT">'Thermistor Qualification'!$M$6</definedName>
    <definedName name="T1_P_Select">'BQ2575X Design Calculator'!$P$80</definedName>
    <definedName name="T1_S">'Thermistor Qualification'!$E$6</definedName>
    <definedName name="T1_T_N10">'BQ2575X Design Calculator'!$H$80</definedName>
    <definedName name="T1_TE">'BQ2575X Design Calculator'!$H$80</definedName>
    <definedName name="T1_TEMP">'BQ2575X Design Calculator'!$H$80</definedName>
    <definedName name="T1_TEMP__10">'BQ2575X Design Calculator'!$H$80</definedName>
    <definedName name="T1_TEMP_0">'BQ2575X Design Calculator'!$I$80</definedName>
    <definedName name="T1_TEMP_N10">'BQ2575X Design Calculator'!$H$80</definedName>
    <definedName name="T1_TEMP_Neg_5">'BQ2575X Design Calculator'!$I$80</definedName>
    <definedName name="T2_10_PERCENT">'Thermistor Qualification'!$M$7</definedName>
    <definedName name="T2_10_TEMP">'Thermistor Qualification'!$I$7</definedName>
    <definedName name="T2_15_PERCENT">'Thermistor Qualification'!$N$7</definedName>
    <definedName name="T2_15_TEMP">'Thermistor Qualification'!$J$7</definedName>
    <definedName name="T2_20_PERCENT">'Thermistor Qualification'!$O$7</definedName>
    <definedName name="T2_20_TEMP">'Thermistor Qualification'!$K$7</definedName>
    <definedName name="T2_5_PERCENT">'Thermistor Qualification'!$L$7</definedName>
    <definedName name="T2_5_TEMP">'Thermistor Qualification'!$H$7</definedName>
    <definedName name="T2_S">'Thermistor Qualification'!$E$7</definedName>
    <definedName name="T3_40_PERCENT">'Thermistor Qualification'!$L$8</definedName>
    <definedName name="T3_40_TEMP">'Thermistor Qualification'!$H$8</definedName>
    <definedName name="T3_45_PERCENT">'Thermistor Qualification'!$M$8</definedName>
    <definedName name="T3_45_TEMP">'Thermistor Qualification'!$I$8</definedName>
    <definedName name="T3_50_PERCENT">'Thermistor Qualification'!$N$8</definedName>
    <definedName name="T3_50_TEMP">'Thermistor Qualification'!$J$8</definedName>
    <definedName name="T3_55_PERCENT">'Thermistor Qualification'!$O$8</definedName>
    <definedName name="T3_55_TEMP">'Thermistor Qualification'!$K$8</definedName>
    <definedName name="T3_S">'Thermistor Qualification'!$E$8</definedName>
    <definedName name="T5_50">'BQ2575X Design Calculator'!$H$81</definedName>
    <definedName name="T5_50_PERCENT">'Thermistor Qualification'!$L$9</definedName>
    <definedName name="T5_50_TEMP">'Thermistor Qualification'!$H$9</definedName>
    <definedName name="T5_55">'BQ2575X Design Calculator'!$I$81</definedName>
    <definedName name="T5_55_P">'BQ2575X Design Calculator'!$M$81</definedName>
    <definedName name="T5_55_PERCENT">'Thermistor Qualification'!$M$9</definedName>
    <definedName name="T5_55_TEMP">'Thermistor Qualification'!$I$9</definedName>
    <definedName name="T5_60">'BQ2575X Design Calculator'!$J$81</definedName>
    <definedName name="T5_60_P">'BQ2575X Design Calculator'!$N$81</definedName>
    <definedName name="T5_60_PERCENT">'Thermistor Qualification'!$N$9</definedName>
    <definedName name="T5_60_TEMP">'Thermistor Qualification'!$J$9</definedName>
    <definedName name="T5_65">'BQ2575X Design Calculator'!$K$81</definedName>
    <definedName name="T5_65_P">'BQ2575X Design Calculator'!$O$81</definedName>
    <definedName name="T5_65_PERCENT">'Thermistor Qualification'!$O$9</definedName>
    <definedName name="T5_65_TEMP">'Thermistor Qualification'!$K$9</definedName>
    <definedName name="T5_P_Select">'BQ2575X Design Calculator'!$P$81</definedName>
    <definedName name="T5_S">'Thermistor Qualification'!$E$9</definedName>
    <definedName name="TCOLD">'BQ2575X Design Calculator'!$E$80</definedName>
    <definedName name="THOT">'BQ2575X Design Calculator'!$E$81</definedName>
    <definedName name="TI_MOSFET">'BQ2575X Design Calculator'!$I$157</definedName>
    <definedName name="TI_MOSFET_S_gFS_H_BO">'BQ2575X Design Calculator'!$E$184</definedName>
    <definedName name="TI_MOSFET_S_gFS_H_BU">'BQ2575X Design Calculator'!$E$170</definedName>
    <definedName name="TI_MOSFET_S_gFS_L_BO">'BQ2575X Design Calculator'!$F$184</definedName>
    <definedName name="TI_MOSFET_S_gFS_L_BU">'BQ2575X Design Calculator'!$F$170</definedName>
    <definedName name="TI_MOSFET_S_QG_H_BO">'BQ2575X Design Calculator'!$E$179</definedName>
    <definedName name="TI_MOSFET_S_QG_H_BU">'BQ2575X Design Calculator'!$E$165</definedName>
    <definedName name="TI_MOSFET_S_QG_L_BO">'BQ2575X Design Calculator'!$F$179</definedName>
    <definedName name="TI_MOSFET_S_QG_L_BU">'BQ2575X Design Calculator'!$F$165</definedName>
    <definedName name="TI_MOSFET_S_QGD_H_BO">'BQ2575X Design Calculator'!$E$180</definedName>
    <definedName name="TI_MOSFET_S_QGD_H_BU">'BQ2575X Design Calculator'!$E$166</definedName>
    <definedName name="TI_MOSFET_S_QGD_L_BO">'BQ2575X Design Calculator'!$F$180</definedName>
    <definedName name="TI_MOSFET_S_QGD_L_BU">'BQ2575X Design Calculator'!$F$166</definedName>
    <definedName name="TI_MOSFET_S_QGS_H_BO">'BQ2575X Design Calculator'!$E$181</definedName>
    <definedName name="TI_MOSFET_S_QGS_H_BU">'BQ2575X Design Calculator'!$E$167</definedName>
    <definedName name="TI_MOSFET_S_QGS_L_BO">'BQ2575X Design Calculator'!$F$181</definedName>
    <definedName name="TI_MOSFET_S_QGS_L_BU">'BQ2575X Design Calculator'!$F$167</definedName>
    <definedName name="TI_MOSFET_S_QOSS_H_BO">'BQ2575X Design Calculator'!$E$182</definedName>
    <definedName name="TI_MOSFET_S_QOSS_H_BU">'BQ2575X Design Calculator'!$E$168</definedName>
    <definedName name="TI_MOSFET_S_QOSS_L_BO">'BQ2575X Design Calculator'!$F$182</definedName>
    <definedName name="TI_MOSFET_S_QOSS_L_BU">'BQ2575X Design Calculator'!$F$168</definedName>
    <definedName name="TI_MOSFET_S_QRR_H_BO">'BQ2575X Design Calculator'!$E$187</definedName>
    <definedName name="TI_MOSFET_S_QRR_L_BU">'BQ2575X Design Calculator'!$F$173</definedName>
    <definedName name="TI_MOSFET_S_RDSON_H_BO">'BQ2575X Design Calculator'!$E$178</definedName>
    <definedName name="TI_MOSFET_S_RDSON_H_BU">'BQ2575X Design Calculator'!$E$164</definedName>
    <definedName name="TI_MOSFET_S_RDSON_L_BO">'BQ2575X Design Calculator'!$F$178</definedName>
    <definedName name="TI_MOSFET_S_RDSON_L_BU">'BQ2575X Design Calculator'!$F$164</definedName>
    <definedName name="TI_MOSFET_S_VSD_H_BO">'BQ2575X Design Calculator'!$E$186</definedName>
    <definedName name="TI_MOSFET_S_VSD_H_BU">'BQ2575X Design Calculator'!$E$172</definedName>
    <definedName name="TI_MOSFET_S_VSD_L_BO">'BQ2575X Design Calculator'!$F$186</definedName>
    <definedName name="TI_MOSFET_S_VSD_L_BU">'BQ2575X Design Calculator'!$F$172</definedName>
    <definedName name="TI_MOSFET_S_VTH_H_BO">'BQ2575X Design Calculator'!$E$185</definedName>
    <definedName name="TI_MOSFET_S_VTH_H_BU">'BQ2575X Design Calculator'!$E$171</definedName>
    <definedName name="TI_MOSFET_S_VTH_L_BO">'BQ2575X Design Calculator'!$F$185</definedName>
    <definedName name="TI_MOSFET_S_VTH_L_BU">'BQ2575X Design Calculator'!$F$171</definedName>
    <definedName name="TI_QG_10_H_BO">'BQ2575X Design Calculator'!$N$139</definedName>
    <definedName name="TI_QG_10_H_BU">'BQ2575X Design Calculator'!$N$121</definedName>
    <definedName name="TI_QG_10_L_BO">'BQ2575X Design Calculator'!$O$139</definedName>
    <definedName name="TI_QG_10_L_BU">'BQ2575X Design Calculator'!$O$121</definedName>
    <definedName name="TI_QG_4P5_H_BO">'BQ2575X Design Calculator'!$N$138</definedName>
    <definedName name="TI_QG_4P5_H_BU">'BQ2575X Design Calculator'!$N$120</definedName>
    <definedName name="TI_QG_4P5_L_BO">'BQ2575X Design Calculator'!$O$138</definedName>
    <definedName name="TI_QG_4P5_L_BU">'BQ2575X Design Calculator'!$O$120</definedName>
    <definedName name="TI_QG_C_H_BO">'BQ2575X Design Calculator'!$N$140</definedName>
    <definedName name="TI_QG_C_H_BU">'BQ2575X Design Calculator'!$N$122</definedName>
    <definedName name="TI_QG_C_L_BO">'BQ2575X Design Calculator'!$O$140</definedName>
    <definedName name="TI_QG_C_L_BU">'BQ2575X Design Calculator'!$O$122</definedName>
    <definedName name="TI_QGD_H_BO">'BQ2575X Design Calculator'!$N$141</definedName>
    <definedName name="TI_QGD_H_BU">'BQ2575X Design Calculator'!$N$123</definedName>
    <definedName name="TI_QGD_L_BO">'BQ2575X Design Calculator'!$O$141</definedName>
    <definedName name="TI_QGD_L_BU">'BQ2575X Design Calculator'!$O$123</definedName>
    <definedName name="TI_RDS_10_H_BO">'BQ2575X Design Calculator'!$N$136</definedName>
    <definedName name="TI_RDS_10_H_BU">'BQ2575X Design Calculator'!$N$118</definedName>
    <definedName name="TI_RDS_10_L_BO">'BQ2575X Design Calculator'!$O$136</definedName>
    <definedName name="TI_RDS_10_L_BU">'BQ2575X Design Calculator'!$O$118</definedName>
    <definedName name="TI_RDS_4P5_H_BO">'BQ2575X Design Calculator'!$N$135</definedName>
    <definedName name="TI_RDS_4P5_H_BU">'BQ2575X Design Calculator'!$N$117</definedName>
    <definedName name="TI_RDS_4P5_L_BO">'BQ2575X Design Calculator'!$O$135</definedName>
    <definedName name="TI_RDS_4P5_L_BU">'BQ2575X Design Calculator'!$O$117</definedName>
    <definedName name="TI_RDS_C_H_BO">'BQ2575X Design Calculator'!$N$137</definedName>
    <definedName name="TI_RDS_C_H_BU">'BQ2575X Design Calculator'!$N$119</definedName>
    <definedName name="TI_RDS_C_L_BO">'BQ2575X Design Calculator'!$O$137</definedName>
    <definedName name="TI_RDS_C_L_BU">'BQ2575X Design Calculator'!$O$119</definedName>
    <definedName name="V_FB_CEILING">'BQ2575X Design Calculator'!$K$73</definedName>
    <definedName name="V_FB_FLOOR">'BQ2575X Design Calculator'!$J$73</definedName>
    <definedName name="V_FB_Ideal">'BQ2575X Design Calculator'!$H$73</definedName>
    <definedName name="V_FB_Step">'BQ2575X Design Calculator'!$I$73</definedName>
    <definedName name="VACmax">'BQ2575X Design Calculator'!$E$8</definedName>
    <definedName name="VACmin">'BQ2575X Design Calculator'!$E$6</definedName>
    <definedName name="VACnom">'BQ2575X Design Calculator'!$E$7</definedName>
    <definedName name="Vbat">'BQ2575X Design Calculator'!$E$9</definedName>
    <definedName name="VBATREG">'BQ2575X Design Calculator'!$E$77</definedName>
    <definedName name="VBATREG_CEILING">'BQ2575X Design Calculator'!$M$73</definedName>
    <definedName name="VBATREG_D">'BQ2575X Design Calculator'!$E$70</definedName>
    <definedName name="VBATREG_FLOOR">'BQ2575X Design Calculator'!$L$73</definedName>
    <definedName name="VFB_Default">'BQ2575X Design Calculator'!$I$71</definedName>
    <definedName name="VFB_S">'BQ2575X Design Calculator'!$E$76</definedName>
    <definedName name="Vgs_10">'BQ2575X Design Calculator'!$J$158</definedName>
    <definedName name="Vgs_4P5">'BQ2575X Design Calculator'!$I$158</definedName>
    <definedName name="Vgs_C">'BQ2575X Design Calculator'!$K$158</definedName>
    <definedName name="VGS_S">'BQ2575X Design Calculator'!$E$158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55" i="1"/>
  <c r="E53" i="1"/>
  <c r="E51" i="1" l="1"/>
  <c r="E41" i="1"/>
  <c r="E50" i="1"/>
  <c r="E89" i="1" l="1"/>
  <c r="E90" i="1"/>
  <c r="E91" i="1"/>
  <c r="I16" i="1" l="1"/>
  <c r="H16" i="1"/>
  <c r="H100" i="1" l="1"/>
  <c r="H106" i="1"/>
  <c r="D22" i="3"/>
  <c r="D26" i="3"/>
  <c r="A161" i="1"/>
  <c r="BB13" i="3"/>
  <c r="AQ13" i="3" s="1"/>
  <c r="AZ13" i="3"/>
  <c r="AC13" i="3" s="1"/>
  <c r="BA13" i="3"/>
  <c r="AJ13" i="3" s="1"/>
  <c r="AZ14" i="3"/>
  <c r="AC14" i="3" s="1"/>
  <c r="BB14" i="3"/>
  <c r="AQ14" i="3" s="1"/>
  <c r="BA14" i="3"/>
  <c r="AJ14" i="3" s="1"/>
  <c r="BA11" i="3"/>
  <c r="AJ11" i="3" s="1"/>
  <c r="AZ11" i="3"/>
  <c r="AC11" i="3" s="1"/>
  <c r="BB11" i="3"/>
  <c r="AQ11" i="3" s="1"/>
  <c r="BB12" i="3"/>
  <c r="AQ12" i="3" s="1"/>
  <c r="AZ12" i="3"/>
  <c r="AC12" i="3" s="1"/>
  <c r="BA12" i="3"/>
  <c r="AJ12" i="3" s="1"/>
  <c r="AZ10" i="3"/>
  <c r="AC10" i="3" s="1"/>
  <c r="BB10" i="3"/>
  <c r="AQ10" i="3" s="1"/>
  <c r="BA10" i="3"/>
  <c r="AJ10" i="3" s="1"/>
  <c r="BA9" i="3"/>
  <c r="AJ9" i="3" s="1"/>
  <c r="AZ9" i="3"/>
  <c r="AC9" i="3" s="1"/>
  <c r="BB9" i="3"/>
  <c r="AQ9" i="3" s="1"/>
  <c r="BB8" i="3"/>
  <c r="AQ8" i="3" s="1"/>
  <c r="AZ8" i="3"/>
  <c r="AC8" i="3" s="1"/>
  <c r="BA8" i="3"/>
  <c r="AJ8" i="3" s="1"/>
  <c r="BB7" i="3"/>
  <c r="AQ7" i="3" s="1"/>
  <c r="AZ7" i="3"/>
  <c r="AC7" i="3" s="1"/>
  <c r="BA7" i="3"/>
  <c r="AJ7" i="3" s="1"/>
  <c r="BD9" i="3" l="1"/>
  <c r="D21" i="3" l="1"/>
  <c r="E11" i="3"/>
  <c r="R117" i="1" l="1"/>
  <c r="E10" i="3"/>
  <c r="Q9" i="3" l="1"/>
  <c r="Q6" i="3"/>
  <c r="E13" i="3" s="1"/>
  <c r="AC20"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F20" i="3"/>
  <c r="AF105" i="3"/>
  <c r="AF180" i="3"/>
  <c r="AD105" i="3"/>
  <c r="AD180" i="3"/>
  <c r="AD20"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06" i="3"/>
  <c r="D23" i="3"/>
  <c r="D24" i="3"/>
  <c r="D25"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C20" i="3"/>
  <c r="A21" i="3"/>
  <c r="AC21" i="3" s="1"/>
  <c r="G11" i="3"/>
  <c r="G10" i="3"/>
  <c r="C21" i="3" l="1"/>
  <c r="E12" i="3"/>
  <c r="AF110" i="3"/>
  <c r="AF39" i="3"/>
  <c r="AD39" i="3"/>
  <c r="AD174" i="3"/>
  <c r="AF174" i="3"/>
  <c r="AD142" i="3"/>
  <c r="AF142" i="3"/>
  <c r="AD118" i="3"/>
  <c r="AF118" i="3"/>
  <c r="AD102" i="3"/>
  <c r="AF102" i="3"/>
  <c r="AD94" i="3"/>
  <c r="AF94" i="3"/>
  <c r="AD86" i="3"/>
  <c r="AF86" i="3"/>
  <c r="AF78" i="3"/>
  <c r="AD70" i="3"/>
  <c r="AF70" i="3"/>
  <c r="AD62" i="3"/>
  <c r="AF62" i="3"/>
  <c r="AD54" i="3"/>
  <c r="AF54" i="3"/>
  <c r="AD46" i="3"/>
  <c r="AF46" i="3"/>
  <c r="AD38" i="3"/>
  <c r="AF38" i="3"/>
  <c r="AD30" i="3"/>
  <c r="AF30" i="3"/>
  <c r="AD22" i="3"/>
  <c r="AF22" i="3"/>
  <c r="AD173" i="3"/>
  <c r="AF173" i="3"/>
  <c r="AD165" i="3"/>
  <c r="AF165" i="3"/>
  <c r="AD157" i="3"/>
  <c r="AF157" i="3"/>
  <c r="AD149" i="3"/>
  <c r="AF149" i="3"/>
  <c r="AD141" i="3"/>
  <c r="AF141" i="3"/>
  <c r="AD133" i="3"/>
  <c r="AF133" i="3"/>
  <c r="AD125" i="3"/>
  <c r="AF125" i="3"/>
  <c r="AD117" i="3"/>
  <c r="AF117" i="3"/>
  <c r="AD109" i="3"/>
  <c r="AF109" i="3"/>
  <c r="AD21" i="3"/>
  <c r="AF21" i="3"/>
  <c r="AD97" i="3"/>
  <c r="AF97" i="3"/>
  <c r="AD81" i="3"/>
  <c r="AF81" i="3"/>
  <c r="AD65" i="3"/>
  <c r="AF65" i="3"/>
  <c r="AD49" i="3"/>
  <c r="AF49" i="3"/>
  <c r="AD33" i="3"/>
  <c r="AF33" i="3"/>
  <c r="AD176" i="3"/>
  <c r="AF176" i="3"/>
  <c r="AD160" i="3"/>
  <c r="AF160" i="3"/>
  <c r="AD144" i="3"/>
  <c r="AF144" i="3"/>
  <c r="AD136" i="3"/>
  <c r="AF136" i="3"/>
  <c r="AD120" i="3"/>
  <c r="AF120" i="3"/>
  <c r="AD104" i="3"/>
  <c r="AF104" i="3"/>
  <c r="AD88" i="3"/>
  <c r="AF88" i="3"/>
  <c r="AD72" i="3"/>
  <c r="AF72" i="3"/>
  <c r="AD64" i="3"/>
  <c r="AF64" i="3"/>
  <c r="AD48" i="3"/>
  <c r="AF48" i="3"/>
  <c r="AD32" i="3"/>
  <c r="AF32" i="3"/>
  <c r="AF175" i="3"/>
  <c r="AD175" i="3"/>
  <c r="AF167" i="3"/>
  <c r="AD167" i="3"/>
  <c r="AD151" i="3"/>
  <c r="AF151" i="3"/>
  <c r="AF135" i="3"/>
  <c r="AD135" i="3"/>
  <c r="AF119" i="3"/>
  <c r="AD119" i="3"/>
  <c r="AF95" i="3"/>
  <c r="AF79" i="3"/>
  <c r="AD79" i="3"/>
  <c r="AD63" i="3"/>
  <c r="AF63" i="3"/>
  <c r="AF47" i="3"/>
  <c r="AD47" i="3"/>
  <c r="AF23" i="3"/>
  <c r="AD23" i="3"/>
  <c r="AD158" i="3"/>
  <c r="AF158" i="3"/>
  <c r="AD134" i="3"/>
  <c r="AF134" i="3"/>
  <c r="AD101" i="3"/>
  <c r="AF101" i="3"/>
  <c r="AD93" i="3"/>
  <c r="AF93" i="3"/>
  <c r="AD85" i="3"/>
  <c r="AF85" i="3"/>
  <c r="AD77" i="3"/>
  <c r="AF77" i="3"/>
  <c r="AD69" i="3"/>
  <c r="AF69" i="3"/>
  <c r="AD61" i="3"/>
  <c r="AF61" i="3"/>
  <c r="AD53" i="3"/>
  <c r="AF53" i="3"/>
  <c r="AD45" i="3"/>
  <c r="AF45" i="3"/>
  <c r="AD37" i="3"/>
  <c r="AF37" i="3"/>
  <c r="AD29" i="3"/>
  <c r="AF29" i="3"/>
  <c r="AD106" i="3"/>
  <c r="AF106" i="3"/>
  <c r="AD172" i="3"/>
  <c r="AF172" i="3"/>
  <c r="AD164" i="3"/>
  <c r="AF164" i="3"/>
  <c r="AD156" i="3"/>
  <c r="AF156" i="3"/>
  <c r="AD148" i="3"/>
  <c r="AF148" i="3"/>
  <c r="AD140" i="3"/>
  <c r="AF140" i="3"/>
  <c r="AD132" i="3"/>
  <c r="AF132" i="3"/>
  <c r="AD124" i="3"/>
  <c r="AF124" i="3"/>
  <c r="AD116" i="3"/>
  <c r="AF116" i="3"/>
  <c r="AD108" i="3"/>
  <c r="AF108" i="3"/>
  <c r="AD89" i="3"/>
  <c r="AF89" i="3"/>
  <c r="AD73" i="3"/>
  <c r="AF73" i="3"/>
  <c r="AD57" i="3"/>
  <c r="AF57" i="3"/>
  <c r="AD41" i="3"/>
  <c r="AF41" i="3"/>
  <c r="AD25" i="3"/>
  <c r="AF25" i="3"/>
  <c r="AD168" i="3"/>
  <c r="AF168" i="3"/>
  <c r="AD152" i="3"/>
  <c r="AF152" i="3"/>
  <c r="AD128" i="3"/>
  <c r="AF128" i="3"/>
  <c r="AD96" i="3"/>
  <c r="AF96" i="3"/>
  <c r="AD80" i="3"/>
  <c r="AF80" i="3"/>
  <c r="AD56" i="3"/>
  <c r="AF56" i="3"/>
  <c r="AD40" i="3"/>
  <c r="AF40" i="3"/>
  <c r="AD24" i="3"/>
  <c r="AF24" i="3"/>
  <c r="AF159" i="3"/>
  <c r="AF143" i="3"/>
  <c r="AD143" i="3"/>
  <c r="AF127" i="3"/>
  <c r="AD127" i="3"/>
  <c r="AF103" i="3"/>
  <c r="AD103" i="3"/>
  <c r="AD87" i="3"/>
  <c r="AF87" i="3"/>
  <c r="AF71" i="3"/>
  <c r="AD71" i="3"/>
  <c r="AF55" i="3"/>
  <c r="AD55" i="3"/>
  <c r="AD31" i="3"/>
  <c r="AF31" i="3"/>
  <c r="AD166" i="3"/>
  <c r="AF166" i="3"/>
  <c r="AD150" i="3"/>
  <c r="AF150" i="3"/>
  <c r="AD126" i="3"/>
  <c r="AF126" i="3"/>
  <c r="AD100" i="3"/>
  <c r="AF100" i="3"/>
  <c r="AD92" i="3"/>
  <c r="AF92" i="3"/>
  <c r="AD84" i="3"/>
  <c r="AF84" i="3"/>
  <c r="AD76" i="3"/>
  <c r="AF76" i="3"/>
  <c r="AD68" i="3"/>
  <c r="AF68" i="3"/>
  <c r="AD60" i="3"/>
  <c r="AF60" i="3"/>
  <c r="AD52" i="3"/>
  <c r="AF52" i="3"/>
  <c r="AD44" i="3"/>
  <c r="AF44" i="3"/>
  <c r="AD36" i="3"/>
  <c r="AF36" i="3"/>
  <c r="AD28" i="3"/>
  <c r="AF28" i="3"/>
  <c r="AD179" i="3"/>
  <c r="AF179" i="3"/>
  <c r="AF171" i="3"/>
  <c r="AD171" i="3"/>
  <c r="AF163" i="3"/>
  <c r="AD163" i="3"/>
  <c r="AF155" i="3"/>
  <c r="AD155" i="3"/>
  <c r="AF147" i="3"/>
  <c r="AD147" i="3"/>
  <c r="AF139" i="3"/>
  <c r="AD139" i="3"/>
  <c r="AD131" i="3"/>
  <c r="AF131" i="3"/>
  <c r="AF123" i="3"/>
  <c r="AD123" i="3"/>
  <c r="AF115" i="3"/>
  <c r="AD115" i="3"/>
  <c r="AD107" i="3"/>
  <c r="AD114" i="3"/>
  <c r="AF114" i="3"/>
  <c r="AF99" i="3"/>
  <c r="AD99" i="3"/>
  <c r="AF91" i="3"/>
  <c r="AD91" i="3"/>
  <c r="AF83" i="3"/>
  <c r="AD83" i="3"/>
  <c r="AF75" i="3"/>
  <c r="AD75" i="3"/>
  <c r="AF67" i="3"/>
  <c r="AD67" i="3"/>
  <c r="AF59" i="3"/>
  <c r="AD59" i="3"/>
  <c r="AF51" i="3"/>
  <c r="AD51" i="3"/>
  <c r="AF43" i="3"/>
  <c r="AD43" i="3"/>
  <c r="AF35" i="3"/>
  <c r="AD35" i="3"/>
  <c r="AF27" i="3"/>
  <c r="AD27" i="3"/>
  <c r="AD178" i="3"/>
  <c r="AF178" i="3"/>
  <c r="AD170" i="3"/>
  <c r="AF170" i="3"/>
  <c r="AD162" i="3"/>
  <c r="AF162" i="3"/>
  <c r="AD154" i="3"/>
  <c r="AF154" i="3"/>
  <c r="AD146" i="3"/>
  <c r="AF146" i="3"/>
  <c r="AD138" i="3"/>
  <c r="AF138" i="3"/>
  <c r="AD130" i="3"/>
  <c r="AF130" i="3"/>
  <c r="AD122" i="3"/>
  <c r="AF122" i="3"/>
  <c r="AD98" i="3"/>
  <c r="AF98" i="3"/>
  <c r="AD90" i="3"/>
  <c r="AF90" i="3"/>
  <c r="AD82" i="3"/>
  <c r="AF82" i="3"/>
  <c r="AD74" i="3"/>
  <c r="AF74" i="3"/>
  <c r="AD66" i="3"/>
  <c r="AF66" i="3"/>
  <c r="AD58" i="3"/>
  <c r="AF58" i="3"/>
  <c r="AD50" i="3"/>
  <c r="AF50" i="3"/>
  <c r="AD42" i="3"/>
  <c r="AF42" i="3"/>
  <c r="AD34" i="3"/>
  <c r="AF34" i="3"/>
  <c r="AD26" i="3"/>
  <c r="AF26" i="3"/>
  <c r="AD177" i="3"/>
  <c r="AF177" i="3"/>
  <c r="AD169" i="3"/>
  <c r="AF169" i="3"/>
  <c r="AD161" i="3"/>
  <c r="AF161" i="3"/>
  <c r="AD153" i="3"/>
  <c r="AF153" i="3"/>
  <c r="AD145" i="3"/>
  <c r="AF145" i="3"/>
  <c r="AD137" i="3"/>
  <c r="AF137" i="3"/>
  <c r="AD129" i="3"/>
  <c r="AF129" i="3"/>
  <c r="AD121" i="3"/>
  <c r="AF121" i="3"/>
  <c r="AD113" i="3"/>
  <c r="AF113" i="3"/>
  <c r="AD112" i="3"/>
  <c r="AF112" i="3"/>
  <c r="AF111" i="3"/>
  <c r="AD111" i="3"/>
  <c r="AF107" i="3"/>
  <c r="AD110" i="3"/>
  <c r="A22" i="3"/>
  <c r="AD159" i="3"/>
  <c r="AD95" i="3"/>
  <c r="AD78" i="3"/>
  <c r="A23" i="3" l="1"/>
  <c r="AC22" i="3"/>
  <c r="C22" i="3"/>
  <c r="C23" i="3"/>
  <c r="A24" i="3" l="1"/>
  <c r="AC23" i="3"/>
  <c r="A25" i="3" l="1"/>
  <c r="AC24" i="3"/>
  <c r="C24" i="3"/>
  <c r="A26" i="3" l="1"/>
  <c r="AC25" i="3"/>
  <c r="C25" i="3"/>
  <c r="AC26" i="3" l="1"/>
  <c r="A27" i="3"/>
  <c r="C26" i="3"/>
  <c r="AC27" i="3" l="1"/>
  <c r="A28" i="3"/>
  <c r="C27" i="3"/>
  <c r="AC28" i="3" l="1"/>
  <c r="C28" i="3"/>
  <c r="A29" i="3"/>
  <c r="AC29" i="3" l="1"/>
  <c r="A30" i="3"/>
  <c r="C29" i="3"/>
  <c r="AC30" i="3" l="1"/>
  <c r="C30" i="3"/>
  <c r="A31" i="3"/>
  <c r="AC31" i="3" l="1"/>
  <c r="C31" i="3"/>
  <c r="A32" i="3"/>
  <c r="AC32" i="3" l="1"/>
  <c r="C32" i="3"/>
  <c r="A33" i="3"/>
  <c r="AC33" i="3" l="1"/>
  <c r="C33" i="3"/>
  <c r="A34" i="3"/>
  <c r="AC34" i="3" l="1"/>
  <c r="A35" i="3"/>
  <c r="C34" i="3"/>
  <c r="AC35" i="3" l="1"/>
  <c r="A36" i="3"/>
  <c r="C35" i="3"/>
  <c r="AC36" i="3" l="1"/>
  <c r="A37" i="3"/>
  <c r="C36" i="3"/>
  <c r="AC37" i="3" l="1"/>
  <c r="A38" i="3"/>
  <c r="C37" i="3"/>
  <c r="AC38" i="3" l="1"/>
  <c r="A39" i="3"/>
  <c r="C38" i="3"/>
  <c r="AC39" i="3" l="1"/>
  <c r="A40" i="3"/>
  <c r="C39" i="3"/>
  <c r="AC40" i="3" l="1"/>
  <c r="A41" i="3"/>
  <c r="C40" i="3"/>
  <c r="AC41" i="3" l="1"/>
  <c r="C41" i="3"/>
  <c r="A42" i="3"/>
  <c r="AC42" i="3" l="1"/>
  <c r="C42" i="3"/>
  <c r="A43" i="3"/>
  <c r="AC43" i="3" l="1"/>
  <c r="A44" i="3"/>
  <c r="C43" i="3"/>
  <c r="AC44" i="3" l="1"/>
  <c r="A45" i="3"/>
  <c r="C44" i="3"/>
  <c r="AC45" i="3" l="1"/>
  <c r="A46" i="3"/>
  <c r="C45" i="3"/>
  <c r="AC46" i="3" l="1"/>
  <c r="A47" i="3"/>
  <c r="C46" i="3"/>
  <c r="AC47" i="3" l="1"/>
  <c r="A48" i="3"/>
  <c r="C47" i="3"/>
  <c r="AC48" i="3" l="1"/>
  <c r="A49" i="3"/>
  <c r="C48" i="3"/>
  <c r="AC49" i="3" l="1"/>
  <c r="A50" i="3"/>
  <c r="C49" i="3"/>
  <c r="AC50" i="3" l="1"/>
  <c r="A51" i="3"/>
  <c r="C50" i="3"/>
  <c r="AC51" i="3" l="1"/>
  <c r="C51" i="3"/>
  <c r="A52" i="3"/>
  <c r="AC52" i="3" l="1"/>
  <c r="A53" i="3"/>
  <c r="C52" i="3"/>
  <c r="AC53" i="3" l="1"/>
  <c r="A54" i="3"/>
  <c r="C53" i="3"/>
  <c r="AC54" i="3" l="1"/>
  <c r="A55" i="3"/>
  <c r="C54" i="3"/>
  <c r="AC55" i="3" l="1"/>
  <c r="A56" i="3"/>
  <c r="C55" i="3"/>
  <c r="AC56" i="3" l="1"/>
  <c r="C56" i="3"/>
  <c r="A57" i="3"/>
  <c r="AC57" i="3" l="1"/>
  <c r="C57" i="3"/>
  <c r="A58" i="3"/>
  <c r="AC58" i="3" l="1"/>
  <c r="A59" i="3"/>
  <c r="C58" i="3"/>
  <c r="AC59" i="3" l="1"/>
  <c r="C59" i="3"/>
  <c r="A60" i="3"/>
  <c r="AC60" i="3" l="1"/>
  <c r="C60" i="3"/>
  <c r="A61" i="3"/>
  <c r="AC61" i="3" l="1"/>
  <c r="C61" i="3"/>
  <c r="A62" i="3"/>
  <c r="AC62" i="3" l="1"/>
  <c r="A63" i="3"/>
  <c r="C62" i="3"/>
  <c r="AC63" i="3" l="1"/>
  <c r="A64" i="3"/>
  <c r="C63" i="3"/>
  <c r="AC64" i="3" l="1"/>
  <c r="A65" i="3"/>
  <c r="C64" i="3"/>
  <c r="AC65" i="3" l="1"/>
  <c r="C65" i="3"/>
  <c r="A66" i="3"/>
  <c r="AC66" i="3" l="1"/>
  <c r="A67" i="3"/>
  <c r="C66" i="3"/>
  <c r="AC67" i="3" l="1"/>
  <c r="A68" i="3"/>
  <c r="C67" i="3"/>
  <c r="AC68" i="3" l="1"/>
  <c r="A69" i="3"/>
  <c r="C68" i="3"/>
  <c r="AC69" i="3" l="1"/>
  <c r="A70" i="3"/>
  <c r="C69" i="3"/>
  <c r="AC70" i="3" l="1"/>
  <c r="A71" i="3"/>
  <c r="C70" i="3"/>
  <c r="AC71" i="3" l="1"/>
  <c r="C71" i="3"/>
  <c r="A72" i="3"/>
  <c r="AC72" i="3" l="1"/>
  <c r="C72" i="3"/>
  <c r="A73" i="3"/>
  <c r="AC73" i="3" l="1"/>
  <c r="A74" i="3"/>
  <c r="C73" i="3"/>
  <c r="AC74" i="3" l="1"/>
  <c r="C74" i="3"/>
  <c r="A75" i="3"/>
  <c r="AC75" i="3" l="1"/>
  <c r="A76" i="3"/>
  <c r="C75" i="3"/>
  <c r="AC76" i="3" l="1"/>
  <c r="C76" i="3"/>
  <c r="A77" i="3"/>
  <c r="AC77" i="3" l="1"/>
  <c r="A78" i="3"/>
  <c r="C77" i="3"/>
  <c r="AC78" i="3" l="1"/>
  <c r="A79" i="3"/>
  <c r="C78" i="3"/>
  <c r="AC79" i="3" l="1"/>
  <c r="A80" i="3"/>
  <c r="C79" i="3"/>
  <c r="AC80" i="3" l="1"/>
  <c r="A81" i="3"/>
  <c r="C80" i="3"/>
  <c r="AC81" i="3" l="1"/>
  <c r="A82" i="3"/>
  <c r="C81" i="3"/>
  <c r="AC82" i="3" l="1"/>
  <c r="A83" i="3"/>
  <c r="C82" i="3"/>
  <c r="AC83" i="3" l="1"/>
  <c r="A84" i="3"/>
  <c r="C83" i="3"/>
  <c r="AC84" i="3" l="1"/>
  <c r="A85" i="3"/>
  <c r="C84" i="3"/>
  <c r="AC85" i="3" l="1"/>
  <c r="C85" i="3"/>
  <c r="A86" i="3"/>
  <c r="AC86" i="3" l="1"/>
  <c r="A87" i="3"/>
  <c r="C86" i="3"/>
  <c r="AC87" i="3" l="1"/>
  <c r="A88" i="3"/>
  <c r="C87" i="3"/>
  <c r="AC88" i="3" l="1"/>
  <c r="A89" i="3"/>
  <c r="C88" i="3"/>
  <c r="AC89" i="3" l="1"/>
  <c r="A90" i="3"/>
  <c r="C89" i="3"/>
  <c r="AC90" i="3" l="1"/>
  <c r="A91" i="3"/>
  <c r="C90" i="3"/>
  <c r="AC91" i="3" l="1"/>
  <c r="A92" i="3"/>
  <c r="C91" i="3"/>
  <c r="AC92" i="3" l="1"/>
  <c r="A93" i="3"/>
  <c r="C92" i="3"/>
  <c r="AC93" i="3" l="1"/>
  <c r="A94" i="3"/>
  <c r="C93" i="3"/>
  <c r="AC94" i="3" l="1"/>
  <c r="A95" i="3"/>
  <c r="C94" i="3"/>
  <c r="AC95" i="3" l="1"/>
  <c r="A96" i="3"/>
  <c r="C95" i="3"/>
  <c r="AC96" i="3" l="1"/>
  <c r="A97" i="3"/>
  <c r="C96" i="3"/>
  <c r="AC97" i="3" l="1"/>
  <c r="A98" i="3"/>
  <c r="C97" i="3"/>
  <c r="AC98" i="3" l="1"/>
  <c r="A99" i="3"/>
  <c r="C98" i="3"/>
  <c r="AC99" i="3" l="1"/>
  <c r="A100" i="3"/>
  <c r="C99" i="3"/>
  <c r="AC100" i="3" l="1"/>
  <c r="A101" i="3"/>
  <c r="C100" i="3"/>
  <c r="AC101" i="3" l="1"/>
  <c r="A102" i="3"/>
  <c r="C101" i="3"/>
  <c r="AC102" i="3" l="1"/>
  <c r="A103" i="3"/>
  <c r="C102" i="3"/>
  <c r="AC103" i="3" l="1"/>
  <c r="A104" i="3"/>
  <c r="C103" i="3"/>
  <c r="AC104" i="3" l="1"/>
  <c r="A105" i="3"/>
  <c r="C104" i="3"/>
  <c r="AC105" i="3" l="1"/>
  <c r="A106" i="3"/>
  <c r="C105" i="3"/>
  <c r="AC106" i="3" l="1"/>
  <c r="A107" i="3"/>
  <c r="C106" i="3"/>
  <c r="AC107" i="3" l="1"/>
  <c r="A108" i="3"/>
  <c r="C107" i="3"/>
  <c r="AC108" i="3" l="1"/>
  <c r="A109" i="3"/>
  <c r="C108" i="3"/>
  <c r="AC109" i="3" l="1"/>
  <c r="A110" i="3"/>
  <c r="C109" i="3"/>
  <c r="AC110" i="3" l="1"/>
  <c r="A111" i="3"/>
  <c r="C110" i="3"/>
  <c r="AC111" i="3" l="1"/>
  <c r="A112" i="3"/>
  <c r="C111" i="3"/>
  <c r="AC112" i="3" l="1"/>
  <c r="A113" i="3"/>
  <c r="C112" i="3"/>
  <c r="AC113" i="3" l="1"/>
  <c r="A114" i="3"/>
  <c r="C113" i="3"/>
  <c r="AC114" i="3" l="1"/>
  <c r="A115" i="3"/>
  <c r="C114" i="3"/>
  <c r="AC115" i="3" l="1"/>
  <c r="A116" i="3"/>
  <c r="C115" i="3"/>
  <c r="AC116" i="3" l="1"/>
  <c r="A117" i="3"/>
  <c r="C116" i="3"/>
  <c r="AC117" i="3" l="1"/>
  <c r="A118" i="3"/>
  <c r="C117" i="3"/>
  <c r="AC118" i="3" l="1"/>
  <c r="A119" i="3"/>
  <c r="C118" i="3"/>
  <c r="AC119" i="3" l="1"/>
  <c r="A120" i="3"/>
  <c r="C119" i="3"/>
  <c r="AC120" i="3" l="1"/>
  <c r="A121" i="3"/>
  <c r="C120" i="3"/>
  <c r="AC121" i="3" l="1"/>
  <c r="A122" i="3"/>
  <c r="C121" i="3"/>
  <c r="AC122" i="3" l="1"/>
  <c r="A123" i="3"/>
  <c r="C122" i="3"/>
  <c r="AC123" i="3" l="1"/>
  <c r="A124" i="3"/>
  <c r="C123" i="3"/>
  <c r="AC124" i="3" l="1"/>
  <c r="A125" i="3"/>
  <c r="C124" i="3"/>
  <c r="AC125" i="3" l="1"/>
  <c r="A126" i="3"/>
  <c r="C125" i="3"/>
  <c r="AC126" i="3" l="1"/>
  <c r="A127" i="3"/>
  <c r="C126" i="3"/>
  <c r="AC127" i="3" l="1"/>
  <c r="A128" i="3"/>
  <c r="C127" i="3"/>
  <c r="AC128" i="3" l="1"/>
  <c r="A129" i="3"/>
  <c r="C128" i="3"/>
  <c r="AC129" i="3" l="1"/>
  <c r="A130" i="3"/>
  <c r="C129" i="3"/>
  <c r="AC130" i="3" l="1"/>
  <c r="C130" i="3"/>
  <c r="A131" i="3"/>
  <c r="AC131" i="3" l="1"/>
  <c r="A132" i="3"/>
  <c r="C131" i="3"/>
  <c r="AC132" i="3" l="1"/>
  <c r="A133" i="3"/>
  <c r="C132" i="3"/>
  <c r="AC133" i="3" l="1"/>
  <c r="A134" i="3"/>
  <c r="C133" i="3"/>
  <c r="AC134" i="3" l="1"/>
  <c r="A135" i="3"/>
  <c r="C134" i="3"/>
  <c r="AC135" i="3" l="1"/>
  <c r="A136" i="3"/>
  <c r="C135" i="3"/>
  <c r="AC136" i="3" l="1"/>
  <c r="C136" i="3"/>
  <c r="A137" i="3"/>
  <c r="AC137" i="3" l="1"/>
  <c r="A138" i="3"/>
  <c r="C137" i="3"/>
  <c r="AC138" i="3" l="1"/>
  <c r="A139" i="3"/>
  <c r="C138" i="3"/>
  <c r="AC139" i="3" l="1"/>
  <c r="A140" i="3"/>
  <c r="C139" i="3"/>
  <c r="AC140" i="3" l="1"/>
  <c r="A141" i="3"/>
  <c r="C140" i="3"/>
  <c r="AC141" i="3" l="1"/>
  <c r="A142" i="3"/>
  <c r="C141" i="3"/>
  <c r="AC142" i="3" l="1"/>
  <c r="A143" i="3"/>
  <c r="C142" i="3"/>
  <c r="AC143" i="3" l="1"/>
  <c r="A144" i="3"/>
  <c r="C143" i="3"/>
  <c r="AC144" i="3" l="1"/>
  <c r="A145" i="3"/>
  <c r="C144" i="3"/>
  <c r="AC145" i="3" l="1"/>
  <c r="C145" i="3"/>
  <c r="A146" i="3"/>
  <c r="AC146" i="3" l="1"/>
  <c r="A147" i="3"/>
  <c r="C146" i="3"/>
  <c r="AC147" i="3" l="1"/>
  <c r="A148" i="3"/>
  <c r="C147" i="3"/>
  <c r="AC148" i="3" l="1"/>
  <c r="A149" i="3"/>
  <c r="C148" i="3"/>
  <c r="AC149" i="3" l="1"/>
  <c r="A150" i="3"/>
  <c r="C149" i="3"/>
  <c r="AC150" i="3" l="1"/>
  <c r="A151" i="3"/>
  <c r="C150" i="3"/>
  <c r="AC151" i="3" l="1"/>
  <c r="A152" i="3"/>
  <c r="C151" i="3"/>
  <c r="AC152" i="3" l="1"/>
  <c r="A153" i="3"/>
  <c r="C152" i="3"/>
  <c r="AC153" i="3" l="1"/>
  <c r="A154" i="3"/>
  <c r="C153" i="3"/>
  <c r="AC154" i="3" l="1"/>
  <c r="A155" i="3"/>
  <c r="C154" i="3"/>
  <c r="AC155" i="3" l="1"/>
  <c r="A156" i="3"/>
  <c r="C155" i="3"/>
  <c r="AC156" i="3" l="1"/>
  <c r="A157" i="3"/>
  <c r="C156" i="3"/>
  <c r="AC157" i="3" l="1"/>
  <c r="A158" i="3"/>
  <c r="C157" i="3"/>
  <c r="AC158" i="3" l="1"/>
  <c r="A159" i="3"/>
  <c r="C158" i="3"/>
  <c r="AC159" i="3" l="1"/>
  <c r="A160" i="3"/>
  <c r="C159" i="3"/>
  <c r="AC160" i="3" l="1"/>
  <c r="A161" i="3"/>
  <c r="C160" i="3"/>
  <c r="AC161" i="3" l="1"/>
  <c r="A162" i="3"/>
  <c r="C161" i="3"/>
  <c r="AC162" i="3" l="1"/>
  <c r="A163" i="3"/>
  <c r="C162" i="3"/>
  <c r="AC163" i="3" l="1"/>
  <c r="A164" i="3"/>
  <c r="C163" i="3"/>
  <c r="AC164" i="3" l="1"/>
  <c r="A165" i="3"/>
  <c r="C164" i="3"/>
  <c r="AC165" i="3" l="1"/>
  <c r="A166" i="3"/>
  <c r="C165" i="3"/>
  <c r="AC166" i="3" l="1"/>
  <c r="A167" i="3"/>
  <c r="C166" i="3"/>
  <c r="AC167" i="3" l="1"/>
  <c r="A168" i="3"/>
  <c r="C167" i="3"/>
  <c r="AC168" i="3" l="1"/>
  <c r="A169" i="3"/>
  <c r="C168" i="3"/>
  <c r="AC169" i="3" l="1"/>
  <c r="A170" i="3"/>
  <c r="C169" i="3"/>
  <c r="AC170" i="3" l="1"/>
  <c r="A171" i="3"/>
  <c r="C170" i="3"/>
  <c r="AC171" i="3" l="1"/>
  <c r="A172" i="3"/>
  <c r="C171" i="3"/>
  <c r="AC172" i="3" l="1"/>
  <c r="A173" i="3"/>
  <c r="C172" i="3"/>
  <c r="AC173" i="3" l="1"/>
  <c r="A174" i="3"/>
  <c r="C173" i="3"/>
  <c r="AC174" i="3" l="1"/>
  <c r="A175" i="3"/>
  <c r="C174" i="3"/>
  <c r="AC175" i="3" l="1"/>
  <c r="A176" i="3"/>
  <c r="C175" i="3"/>
  <c r="AC176" i="3" l="1"/>
  <c r="A177" i="3"/>
  <c r="C176" i="3"/>
  <c r="AC177" i="3" l="1"/>
  <c r="A178" i="3"/>
  <c r="C177" i="3"/>
  <c r="AC178" i="3" l="1"/>
  <c r="A179" i="3"/>
  <c r="C178" i="3"/>
  <c r="AC179" i="3" l="1"/>
  <c r="A180" i="3"/>
  <c r="C179" i="3"/>
  <c r="C180" i="3" l="1"/>
  <c r="AC180" i="3"/>
  <c r="E102" i="1" l="1"/>
  <c r="E109" i="1"/>
  <c r="E108" i="1"/>
  <c r="G74" i="1"/>
  <c r="G75" i="1"/>
  <c r="G82" i="1"/>
  <c r="G83" i="1"/>
  <c r="G65" i="1" l="1"/>
  <c r="G64" i="1"/>
  <c r="G63" i="1"/>
  <c r="G54" i="1"/>
  <c r="G45" i="1"/>
  <c r="G15" i="1"/>
  <c r="G49" i="1"/>
  <c r="G40" i="1"/>
  <c r="H95" i="1"/>
  <c r="H72" i="1"/>
  <c r="E77" i="1"/>
  <c r="H29" i="1" l="1"/>
  <c r="I29" i="1"/>
  <c r="E23" i="1"/>
  <c r="E39" i="1" l="1"/>
  <c r="I161" i="1" l="1"/>
  <c r="O188" i="1" l="1"/>
  <c r="O181" i="1"/>
  <c r="O182" i="1"/>
  <c r="O183" i="1"/>
  <c r="O184" i="1"/>
  <c r="O185" i="1"/>
  <c r="O186" i="1"/>
  <c r="O180" i="1"/>
  <c r="N181" i="1"/>
  <c r="N182" i="1"/>
  <c r="N183" i="1"/>
  <c r="N184" i="1"/>
  <c r="N185" i="1"/>
  <c r="N186" i="1"/>
  <c r="N187" i="1"/>
  <c r="N188" i="1"/>
  <c r="N180" i="1"/>
  <c r="O167" i="1"/>
  <c r="O168" i="1"/>
  <c r="O169" i="1"/>
  <c r="O170" i="1"/>
  <c r="O171" i="1"/>
  <c r="O172" i="1"/>
  <c r="O173" i="1"/>
  <c r="O174" i="1"/>
  <c r="O166" i="1"/>
  <c r="N174" i="1"/>
  <c r="N167" i="1"/>
  <c r="N168" i="1"/>
  <c r="N169" i="1"/>
  <c r="N170" i="1"/>
  <c r="N171" i="1"/>
  <c r="N172" i="1"/>
  <c r="N166" i="1"/>
  <c r="O165" i="1"/>
  <c r="O164" i="1"/>
  <c r="N165" i="1"/>
  <c r="N164" i="1"/>
  <c r="K158" i="1"/>
  <c r="I20" i="1" l="1"/>
  <c r="I18" i="1"/>
  <c r="E20" i="1"/>
  <c r="I19" i="1"/>
  <c r="K1158" i="2" l="1"/>
  <c r="K1159" i="2" s="1"/>
  <c r="K1160" i="2" s="1"/>
  <c r="K1161" i="2" s="1"/>
  <c r="K1162" i="2" s="1"/>
  <c r="K1163" i="2" s="1"/>
  <c r="K1164" i="2" s="1"/>
  <c r="K1165" i="2" s="1"/>
  <c r="K1166" i="2" s="1"/>
  <c r="K1167" i="2" s="1"/>
  <c r="K1168" i="2" s="1"/>
  <c r="K1169" i="2" s="1"/>
  <c r="K1170" i="2" s="1"/>
  <c r="K1171" i="2" s="1"/>
  <c r="K1172" i="2" s="1"/>
  <c r="K1173" i="2" s="1"/>
  <c r="K1174" i="2" s="1"/>
  <c r="K1175" i="2" s="1"/>
  <c r="K1176" i="2" s="1"/>
  <c r="K1177" i="2" s="1"/>
  <c r="K1178" i="2" s="1"/>
  <c r="K1179" i="2" s="1"/>
  <c r="K1180" i="2" s="1"/>
  <c r="K1181" i="2" s="1"/>
  <c r="K1182" i="2" s="1"/>
  <c r="K1183" i="2" s="1"/>
  <c r="K1184" i="2" s="1"/>
  <c r="K1185" i="2" s="1"/>
  <c r="K1186" i="2" s="1"/>
  <c r="K1187" i="2" s="1"/>
  <c r="K1188" i="2" s="1"/>
  <c r="K1189" i="2" s="1"/>
  <c r="K1190" i="2" s="1"/>
  <c r="K1191" i="2" s="1"/>
  <c r="K1192" i="2" s="1"/>
  <c r="K1193" i="2" s="1"/>
  <c r="K1194" i="2" s="1"/>
  <c r="K1195" i="2" s="1"/>
  <c r="K1196" i="2" s="1"/>
  <c r="K1197" i="2" s="1"/>
  <c r="K1198" i="2" s="1"/>
  <c r="K1199" i="2" s="1"/>
  <c r="K1200" i="2" s="1"/>
  <c r="K1201" i="2" s="1"/>
  <c r="K1202" i="2" s="1"/>
  <c r="K1203" i="2" s="1"/>
  <c r="K1204" i="2" s="1"/>
  <c r="K1205" i="2" s="1"/>
  <c r="K1206" i="2" s="1"/>
  <c r="K1207" i="2" s="1"/>
  <c r="K1208" i="2" s="1"/>
  <c r="K1209" i="2" s="1"/>
  <c r="K1210" i="2" s="1"/>
  <c r="K1211" i="2" s="1"/>
  <c r="K1212" i="2" s="1"/>
  <c r="K1213" i="2" s="1"/>
  <c r="K1214" i="2" s="1"/>
  <c r="K1215" i="2" s="1"/>
  <c r="K1216" i="2" s="1"/>
  <c r="K1217" i="2" s="1"/>
  <c r="K1218" i="2" s="1"/>
  <c r="K1219" i="2" s="1"/>
  <c r="K1220" i="2" s="1"/>
  <c r="K1221" i="2" s="1"/>
  <c r="K1222" i="2" s="1"/>
  <c r="K1223" i="2" s="1"/>
  <c r="K1224" i="2" s="1"/>
  <c r="K1225" i="2" s="1"/>
  <c r="K1226" i="2" s="1"/>
  <c r="K1227" i="2" s="1"/>
  <c r="K1228" i="2" s="1"/>
  <c r="K1229" i="2" s="1"/>
  <c r="K1230" i="2" s="1"/>
  <c r="K1231" i="2" s="1"/>
  <c r="K1232" i="2" s="1"/>
  <c r="K1233" i="2" s="1"/>
  <c r="K1234" i="2" s="1"/>
  <c r="K1235" i="2" s="1"/>
  <c r="K1236" i="2" s="1"/>
  <c r="K1237" i="2" s="1"/>
  <c r="K1238" i="2" s="1"/>
  <c r="K1239" i="2" s="1"/>
  <c r="K1240" i="2" s="1"/>
  <c r="K1241" i="2" s="1"/>
  <c r="K1242" i="2" s="1"/>
  <c r="K1243" i="2" s="1"/>
  <c r="K1244" i="2" s="1"/>
  <c r="K1245" i="2" s="1"/>
  <c r="K1246" i="2" s="1"/>
  <c r="K1247" i="2" s="1"/>
  <c r="K1248" i="2" s="1"/>
  <c r="K1249" i="2" s="1"/>
  <c r="K1250" i="2" s="1"/>
  <c r="K1251" i="2" s="1"/>
  <c r="K1252" i="2" s="1"/>
  <c r="K1253" i="2" s="1"/>
  <c r="K1254" i="2" s="1"/>
  <c r="K1255" i="2" s="1"/>
  <c r="K1256" i="2" s="1"/>
  <c r="K1257" i="2" s="1"/>
  <c r="K1258" i="2" s="1"/>
  <c r="K1259" i="2" s="1"/>
  <c r="K1260" i="2" s="1"/>
  <c r="K1261" i="2" s="1"/>
  <c r="K1262" i="2" s="1"/>
  <c r="K1263" i="2" s="1"/>
  <c r="K1264" i="2" s="1"/>
  <c r="K1265" i="2" s="1"/>
  <c r="K1266" i="2" s="1"/>
  <c r="K1267" i="2" s="1"/>
  <c r="K1268" i="2" s="1"/>
  <c r="K1269" i="2" s="1"/>
  <c r="K1270" i="2" s="1"/>
  <c r="K1271" i="2" s="1"/>
  <c r="K1272" i="2" s="1"/>
  <c r="K1273" i="2" s="1"/>
  <c r="K1274" i="2" s="1"/>
  <c r="K1275" i="2" s="1"/>
  <c r="K1276" i="2" s="1"/>
  <c r="K1277" i="2" s="1"/>
  <c r="K1278" i="2" s="1"/>
  <c r="K1279" i="2" s="1"/>
  <c r="K1280" i="2" s="1"/>
  <c r="K1281" i="2" s="1"/>
  <c r="K1282" i="2" s="1"/>
  <c r="K1283" i="2" s="1"/>
  <c r="K1284" i="2" s="1"/>
  <c r="K1285" i="2" s="1"/>
  <c r="K1286" i="2" s="1"/>
  <c r="K1287" i="2" s="1"/>
  <c r="K1288" i="2" s="1"/>
  <c r="K1289" i="2" s="1"/>
  <c r="K1290" i="2" s="1"/>
  <c r="K1291" i="2" s="1"/>
  <c r="K1292" i="2" s="1"/>
  <c r="K1293" i="2" s="1"/>
  <c r="K1294" i="2" s="1"/>
  <c r="K1295" i="2" s="1"/>
  <c r="K1296" i="2" s="1"/>
  <c r="K1297" i="2" s="1"/>
  <c r="K1298" i="2" s="1"/>
  <c r="K1299" i="2" s="1"/>
  <c r="K1300" i="2" s="1"/>
  <c r="K1301" i="2" s="1"/>
  <c r="K1302" i="2" s="1"/>
  <c r="K1303" i="2" s="1"/>
  <c r="K1304" i="2" s="1"/>
  <c r="K1305" i="2" s="1"/>
  <c r="K1306" i="2" s="1"/>
  <c r="K1307" i="2" s="1"/>
  <c r="K1308" i="2" s="1"/>
  <c r="K1309" i="2" s="1"/>
  <c r="K1310" i="2" s="1"/>
  <c r="K1311" i="2" s="1"/>
  <c r="K1312" i="2" s="1"/>
  <c r="K1313" i="2" s="1"/>
  <c r="K1314" i="2" s="1"/>
  <c r="K1315" i="2" s="1"/>
  <c r="K1316" i="2" s="1"/>
  <c r="K1317" i="2" s="1"/>
  <c r="K1318" i="2" s="1"/>
  <c r="K1319" i="2" s="1"/>
  <c r="K1320" i="2" s="1"/>
  <c r="K1321" i="2" s="1"/>
  <c r="K1322" i="2" s="1"/>
  <c r="K1323" i="2" s="1"/>
  <c r="K1324" i="2" s="1"/>
  <c r="K1325" i="2" s="1"/>
  <c r="K1326" i="2" s="1"/>
  <c r="K1327" i="2" s="1"/>
  <c r="K1328" i="2" s="1"/>
  <c r="K1329" i="2" s="1"/>
  <c r="K1330" i="2" s="1"/>
  <c r="K1331" i="2" s="1"/>
  <c r="K1332" i="2" s="1"/>
  <c r="K1333" i="2" s="1"/>
  <c r="K1334" i="2" s="1"/>
  <c r="K1335" i="2" s="1"/>
  <c r="K1336" i="2" s="1"/>
  <c r="K1337" i="2" s="1"/>
  <c r="K1338" i="2" s="1"/>
  <c r="K1339" i="2" s="1"/>
  <c r="K1340" i="2" s="1"/>
  <c r="K1341" i="2" s="1"/>
  <c r="K1342" i="2" s="1"/>
  <c r="K1343" i="2" s="1"/>
  <c r="K1344" i="2" s="1"/>
  <c r="K1345" i="2" s="1"/>
  <c r="K1346" i="2" s="1"/>
  <c r="K1347" i="2" s="1"/>
  <c r="K1348" i="2" s="1"/>
  <c r="K966" i="2"/>
  <c r="K967" i="2" s="1"/>
  <c r="K968" i="2" s="1"/>
  <c r="K969" i="2" s="1"/>
  <c r="K970" i="2" s="1"/>
  <c r="K971" i="2" s="1"/>
  <c r="K972" i="2" s="1"/>
  <c r="K973" i="2" s="1"/>
  <c r="K974" i="2" s="1"/>
  <c r="K975" i="2" s="1"/>
  <c r="K976" i="2" s="1"/>
  <c r="K977" i="2" s="1"/>
  <c r="K978" i="2" s="1"/>
  <c r="K979" i="2" s="1"/>
  <c r="K980" i="2" s="1"/>
  <c r="K981" i="2" s="1"/>
  <c r="K982" i="2" s="1"/>
  <c r="K983" i="2" s="1"/>
  <c r="K984" i="2" s="1"/>
  <c r="K985" i="2" s="1"/>
  <c r="K986" i="2" s="1"/>
  <c r="K987" i="2" s="1"/>
  <c r="K988" i="2" s="1"/>
  <c r="K989" i="2" s="1"/>
  <c r="K990" i="2" s="1"/>
  <c r="K991" i="2" s="1"/>
  <c r="K992" i="2" s="1"/>
  <c r="K993" i="2" s="1"/>
  <c r="K994" i="2" s="1"/>
  <c r="K995" i="2" s="1"/>
  <c r="K996" i="2" s="1"/>
  <c r="K997" i="2" s="1"/>
  <c r="K998" i="2" s="1"/>
  <c r="K999" i="2" s="1"/>
  <c r="K1000" i="2" s="1"/>
  <c r="K1001" i="2" s="1"/>
  <c r="K1002" i="2" s="1"/>
  <c r="K1003" i="2" s="1"/>
  <c r="K1004" i="2" s="1"/>
  <c r="K1005" i="2" s="1"/>
  <c r="K1006" i="2" s="1"/>
  <c r="K1007" i="2" s="1"/>
  <c r="K1008" i="2" s="1"/>
  <c r="K1009" i="2" s="1"/>
  <c r="K1010" i="2" s="1"/>
  <c r="K1011" i="2" s="1"/>
  <c r="K1012" i="2" s="1"/>
  <c r="K1013" i="2" s="1"/>
  <c r="K1014" i="2" s="1"/>
  <c r="K1015" i="2" s="1"/>
  <c r="K1016" i="2" s="1"/>
  <c r="K1017" i="2" s="1"/>
  <c r="K1018" i="2" s="1"/>
  <c r="K1019" i="2" s="1"/>
  <c r="K1020" i="2" s="1"/>
  <c r="K1021" i="2" s="1"/>
  <c r="K1022" i="2" s="1"/>
  <c r="K1023" i="2" s="1"/>
  <c r="K1024" i="2" s="1"/>
  <c r="K1025" i="2" s="1"/>
  <c r="K1026" i="2" s="1"/>
  <c r="K1027" i="2" s="1"/>
  <c r="K1028" i="2" s="1"/>
  <c r="K1029" i="2" s="1"/>
  <c r="K1030" i="2" s="1"/>
  <c r="K1031" i="2" s="1"/>
  <c r="K1032" i="2" s="1"/>
  <c r="K1033" i="2" s="1"/>
  <c r="K1034" i="2" s="1"/>
  <c r="K1035" i="2" s="1"/>
  <c r="K1036" i="2" s="1"/>
  <c r="K1037" i="2" s="1"/>
  <c r="K1038" i="2" s="1"/>
  <c r="K1039" i="2" s="1"/>
  <c r="K1040" i="2" s="1"/>
  <c r="K1041" i="2" s="1"/>
  <c r="K1042" i="2" s="1"/>
  <c r="K1043" i="2" s="1"/>
  <c r="K1044" i="2" s="1"/>
  <c r="K1045" i="2" s="1"/>
  <c r="K1046" i="2" s="1"/>
  <c r="K1047" i="2" s="1"/>
  <c r="K1048" i="2" s="1"/>
  <c r="K1049" i="2" s="1"/>
  <c r="K1050" i="2" s="1"/>
  <c r="K1051" i="2" s="1"/>
  <c r="K1052" i="2" s="1"/>
  <c r="K1053" i="2" s="1"/>
  <c r="K1054" i="2" s="1"/>
  <c r="K1055" i="2" s="1"/>
  <c r="K1056" i="2" s="1"/>
  <c r="K1057" i="2" s="1"/>
  <c r="K1058" i="2" s="1"/>
  <c r="K1059" i="2" s="1"/>
  <c r="K1060" i="2" s="1"/>
  <c r="K1061" i="2" s="1"/>
  <c r="K1062" i="2" s="1"/>
  <c r="K1063" i="2" s="1"/>
  <c r="K1064" i="2" s="1"/>
  <c r="K1065" i="2" s="1"/>
  <c r="K1066" i="2" s="1"/>
  <c r="K1067" i="2" s="1"/>
  <c r="K1068" i="2" s="1"/>
  <c r="K1069" i="2" s="1"/>
  <c r="K1070" i="2" s="1"/>
  <c r="K1071" i="2" s="1"/>
  <c r="K1072" i="2" s="1"/>
  <c r="K1073" i="2" s="1"/>
  <c r="K1074" i="2" s="1"/>
  <c r="K1075" i="2" s="1"/>
  <c r="K1076" i="2" s="1"/>
  <c r="K1077" i="2" s="1"/>
  <c r="K1078" i="2" s="1"/>
  <c r="K1079" i="2" s="1"/>
  <c r="K1080" i="2" s="1"/>
  <c r="K1081" i="2" s="1"/>
  <c r="K1082" i="2" s="1"/>
  <c r="K1083" i="2" s="1"/>
  <c r="K1084" i="2" s="1"/>
  <c r="K1085" i="2" s="1"/>
  <c r="K1086" i="2" s="1"/>
  <c r="K1087" i="2" s="1"/>
  <c r="K1088" i="2" s="1"/>
  <c r="K1089" i="2" s="1"/>
  <c r="K1090" i="2" s="1"/>
  <c r="K1091" i="2" s="1"/>
  <c r="K1092" i="2" s="1"/>
  <c r="K1093" i="2" s="1"/>
  <c r="K1094" i="2" s="1"/>
  <c r="K1095" i="2" s="1"/>
  <c r="K1096" i="2" s="1"/>
  <c r="K1097" i="2" s="1"/>
  <c r="K1098" i="2" s="1"/>
  <c r="K1099" i="2" s="1"/>
  <c r="K1100" i="2" s="1"/>
  <c r="K1101" i="2" s="1"/>
  <c r="K1102" i="2" s="1"/>
  <c r="K1103" i="2" s="1"/>
  <c r="K1104" i="2" s="1"/>
  <c r="K1105" i="2" s="1"/>
  <c r="K1106" i="2" s="1"/>
  <c r="K1107" i="2" s="1"/>
  <c r="K1108" i="2" s="1"/>
  <c r="K1109" i="2" s="1"/>
  <c r="K1110" i="2" s="1"/>
  <c r="K1111" i="2" s="1"/>
  <c r="K1112" i="2" s="1"/>
  <c r="K1113" i="2" s="1"/>
  <c r="K1114" i="2" s="1"/>
  <c r="K1115" i="2" s="1"/>
  <c r="K1116" i="2" s="1"/>
  <c r="K1117" i="2" s="1"/>
  <c r="K1118" i="2" s="1"/>
  <c r="K1119" i="2" s="1"/>
  <c r="K1120" i="2" s="1"/>
  <c r="K1121" i="2" s="1"/>
  <c r="K1122" i="2" s="1"/>
  <c r="K1123" i="2" s="1"/>
  <c r="K1124" i="2" s="1"/>
  <c r="K1125" i="2" s="1"/>
  <c r="K1126" i="2" s="1"/>
  <c r="K1127" i="2" s="1"/>
  <c r="K1128" i="2" s="1"/>
  <c r="K1129" i="2" s="1"/>
  <c r="K1130" i="2" s="1"/>
  <c r="K1131" i="2" s="1"/>
  <c r="K1132" i="2" s="1"/>
  <c r="K1133" i="2" s="1"/>
  <c r="K1134" i="2" s="1"/>
  <c r="K1135" i="2" s="1"/>
  <c r="K1136" i="2" s="1"/>
  <c r="K1137" i="2" s="1"/>
  <c r="K1138" i="2" s="1"/>
  <c r="K1139" i="2" s="1"/>
  <c r="K1140" i="2" s="1"/>
  <c r="K1141" i="2" s="1"/>
  <c r="K1142" i="2" s="1"/>
  <c r="K1143" i="2" s="1"/>
  <c r="K1144" i="2" s="1"/>
  <c r="K1145" i="2" s="1"/>
  <c r="K1146" i="2" s="1"/>
  <c r="K1147" i="2" s="1"/>
  <c r="K1148" i="2" s="1"/>
  <c r="K1149" i="2" s="1"/>
  <c r="K1150" i="2" s="1"/>
  <c r="K1151" i="2" s="1"/>
  <c r="K1152" i="2" s="1"/>
  <c r="K1153" i="2" s="1"/>
  <c r="K1154" i="2" s="1"/>
  <c r="K1155" i="2" s="1"/>
  <c r="K1156" i="2" s="1"/>
  <c r="K779" i="2"/>
  <c r="K780" i="2" s="1"/>
  <c r="K781" i="2" s="1"/>
  <c r="K782" i="2" s="1"/>
  <c r="K783" i="2" s="1"/>
  <c r="K784" i="2" s="1"/>
  <c r="K785" i="2" s="1"/>
  <c r="K786" i="2" s="1"/>
  <c r="K787" i="2" s="1"/>
  <c r="K788" i="2" s="1"/>
  <c r="K789" i="2" s="1"/>
  <c r="K790" i="2" s="1"/>
  <c r="K791" i="2" s="1"/>
  <c r="K792" i="2" s="1"/>
  <c r="K793" i="2" s="1"/>
  <c r="K794" i="2" s="1"/>
  <c r="K795" i="2" s="1"/>
  <c r="K796" i="2" s="1"/>
  <c r="K797" i="2" s="1"/>
  <c r="K798" i="2" s="1"/>
  <c r="K799" i="2" s="1"/>
  <c r="K800" i="2" s="1"/>
  <c r="K801" i="2" s="1"/>
  <c r="K802" i="2" s="1"/>
  <c r="K803" i="2" s="1"/>
  <c r="K804" i="2" s="1"/>
  <c r="K805" i="2" s="1"/>
  <c r="K806" i="2" s="1"/>
  <c r="K807" i="2" s="1"/>
  <c r="K808" i="2" s="1"/>
  <c r="K809" i="2" s="1"/>
  <c r="K810" i="2" s="1"/>
  <c r="K811" i="2" s="1"/>
  <c r="K812" i="2" s="1"/>
  <c r="K813" i="2" s="1"/>
  <c r="K814" i="2" s="1"/>
  <c r="K815" i="2" s="1"/>
  <c r="K816" i="2" s="1"/>
  <c r="K817" i="2" s="1"/>
  <c r="K818" i="2" s="1"/>
  <c r="K819" i="2" s="1"/>
  <c r="K820" i="2" s="1"/>
  <c r="K821" i="2" s="1"/>
  <c r="K822" i="2" s="1"/>
  <c r="K823" i="2" s="1"/>
  <c r="K824" i="2" s="1"/>
  <c r="K825" i="2" s="1"/>
  <c r="K826" i="2" s="1"/>
  <c r="K827" i="2" s="1"/>
  <c r="K828" i="2" s="1"/>
  <c r="K829" i="2" s="1"/>
  <c r="K830" i="2" s="1"/>
  <c r="K831" i="2" s="1"/>
  <c r="K832" i="2" s="1"/>
  <c r="K833" i="2" s="1"/>
  <c r="K834" i="2" s="1"/>
  <c r="K835" i="2" s="1"/>
  <c r="K836" i="2" s="1"/>
  <c r="K837" i="2" s="1"/>
  <c r="K838" i="2" s="1"/>
  <c r="K839" i="2" s="1"/>
  <c r="K840" i="2" s="1"/>
  <c r="K841" i="2" s="1"/>
  <c r="K842" i="2" s="1"/>
  <c r="K843" i="2" s="1"/>
  <c r="K844" i="2" s="1"/>
  <c r="K845" i="2" s="1"/>
  <c r="K846" i="2" s="1"/>
  <c r="K847" i="2" s="1"/>
  <c r="K848" i="2" s="1"/>
  <c r="K849" i="2" s="1"/>
  <c r="K850" i="2" s="1"/>
  <c r="K851" i="2" s="1"/>
  <c r="K852" i="2" s="1"/>
  <c r="K853" i="2" s="1"/>
  <c r="K854" i="2" s="1"/>
  <c r="K855" i="2" s="1"/>
  <c r="K856" i="2" s="1"/>
  <c r="K857" i="2" s="1"/>
  <c r="K858" i="2" s="1"/>
  <c r="K859" i="2" s="1"/>
  <c r="K860" i="2" s="1"/>
  <c r="K861" i="2" s="1"/>
  <c r="K862" i="2" s="1"/>
  <c r="K863" i="2" s="1"/>
  <c r="K864" i="2" s="1"/>
  <c r="K865" i="2" s="1"/>
  <c r="K866" i="2" s="1"/>
  <c r="K867" i="2" s="1"/>
  <c r="K868" i="2" s="1"/>
  <c r="K869" i="2" s="1"/>
  <c r="K870" i="2" s="1"/>
  <c r="K871" i="2" s="1"/>
  <c r="K872" i="2" s="1"/>
  <c r="K873" i="2" s="1"/>
  <c r="K874" i="2" s="1"/>
  <c r="K875" i="2" s="1"/>
  <c r="K876" i="2" s="1"/>
  <c r="K877" i="2" s="1"/>
  <c r="K878" i="2" s="1"/>
  <c r="K879" i="2" s="1"/>
  <c r="K880" i="2" s="1"/>
  <c r="K881" i="2" s="1"/>
  <c r="K882" i="2" s="1"/>
  <c r="K883" i="2" s="1"/>
  <c r="K884" i="2" s="1"/>
  <c r="K885" i="2" s="1"/>
  <c r="K886" i="2" s="1"/>
  <c r="K887" i="2" s="1"/>
  <c r="K888" i="2" s="1"/>
  <c r="K889" i="2" s="1"/>
  <c r="K890" i="2" s="1"/>
  <c r="K891" i="2" s="1"/>
  <c r="K892" i="2" s="1"/>
  <c r="K893" i="2" s="1"/>
  <c r="K894" i="2" s="1"/>
  <c r="K895" i="2" s="1"/>
  <c r="K896" i="2" s="1"/>
  <c r="K897" i="2" s="1"/>
  <c r="K898" i="2" s="1"/>
  <c r="K899" i="2" s="1"/>
  <c r="K900" i="2" s="1"/>
  <c r="K901" i="2" s="1"/>
  <c r="K902" i="2" s="1"/>
  <c r="K903" i="2" s="1"/>
  <c r="K904" i="2" s="1"/>
  <c r="K905" i="2" s="1"/>
  <c r="K906" i="2" s="1"/>
  <c r="K907" i="2" s="1"/>
  <c r="K908" i="2" s="1"/>
  <c r="K909" i="2" s="1"/>
  <c r="K910" i="2" s="1"/>
  <c r="K911" i="2" s="1"/>
  <c r="K912" i="2" s="1"/>
  <c r="K913" i="2" s="1"/>
  <c r="K914" i="2" s="1"/>
  <c r="K915" i="2" s="1"/>
  <c r="K916" i="2" s="1"/>
  <c r="K917" i="2" s="1"/>
  <c r="K918" i="2" s="1"/>
  <c r="K919" i="2" s="1"/>
  <c r="K920" i="2" s="1"/>
  <c r="K921" i="2" s="1"/>
  <c r="K922" i="2" s="1"/>
  <c r="K923" i="2" s="1"/>
  <c r="K924" i="2" s="1"/>
  <c r="K925" i="2" s="1"/>
  <c r="K926" i="2" s="1"/>
  <c r="K927" i="2" s="1"/>
  <c r="K928" i="2" s="1"/>
  <c r="K929" i="2" s="1"/>
  <c r="K930" i="2" s="1"/>
  <c r="K931" i="2" s="1"/>
  <c r="K932" i="2" s="1"/>
  <c r="K933" i="2" s="1"/>
  <c r="K934" i="2" s="1"/>
  <c r="K935" i="2" s="1"/>
  <c r="K936" i="2" s="1"/>
  <c r="K937" i="2" s="1"/>
  <c r="K938" i="2" s="1"/>
  <c r="K939" i="2" s="1"/>
  <c r="K940" i="2" s="1"/>
  <c r="K941" i="2" s="1"/>
  <c r="K942" i="2" s="1"/>
  <c r="K943" i="2" s="1"/>
  <c r="K944" i="2" s="1"/>
  <c r="K945" i="2" s="1"/>
  <c r="K946" i="2" s="1"/>
  <c r="K947" i="2" s="1"/>
  <c r="K948" i="2" s="1"/>
  <c r="K949" i="2" s="1"/>
  <c r="K950" i="2" s="1"/>
  <c r="K951" i="2" s="1"/>
  <c r="K952" i="2" s="1"/>
  <c r="K953" i="2" s="1"/>
  <c r="K954" i="2" s="1"/>
  <c r="K955" i="2" s="1"/>
  <c r="K956" i="2" s="1"/>
  <c r="K957" i="2" s="1"/>
  <c r="K958" i="2" s="1"/>
  <c r="K959" i="2" s="1"/>
  <c r="K960" i="2" s="1"/>
  <c r="K961" i="2" s="1"/>
  <c r="K962" i="2" s="1"/>
  <c r="K963" i="2" s="1"/>
  <c r="K964" i="2" s="1"/>
  <c r="K774" i="2"/>
  <c r="K775" i="2" s="1"/>
  <c r="K776" i="2" s="1"/>
  <c r="K777" i="2" s="1"/>
  <c r="K778" i="2" s="1"/>
  <c r="K582" i="2"/>
  <c r="K583" i="2" s="1"/>
  <c r="K584" i="2" s="1"/>
  <c r="K585" i="2" s="1"/>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607" i="2" s="1"/>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628" i="2" s="1"/>
  <c r="K629" i="2" s="1"/>
  <c r="K630" i="2" s="1"/>
  <c r="K631" i="2" s="1"/>
  <c r="K632" i="2" s="1"/>
  <c r="K633" i="2" s="1"/>
  <c r="K634" i="2" s="1"/>
  <c r="K635" i="2" s="1"/>
  <c r="K636" i="2" s="1"/>
  <c r="K637" i="2" s="1"/>
  <c r="K638" i="2" s="1"/>
  <c r="K639" i="2" s="1"/>
  <c r="K640" i="2" s="1"/>
  <c r="K641" i="2" s="1"/>
  <c r="K642" i="2" s="1"/>
  <c r="K643" i="2" s="1"/>
  <c r="K644" i="2" s="1"/>
  <c r="K645" i="2" s="1"/>
  <c r="K646" i="2" s="1"/>
  <c r="K647" i="2" s="1"/>
  <c r="K648" i="2" s="1"/>
  <c r="K649" i="2" s="1"/>
  <c r="K650" i="2" s="1"/>
  <c r="K651" i="2" s="1"/>
  <c r="K652" i="2" s="1"/>
  <c r="K653" i="2" s="1"/>
  <c r="K654" i="2" s="1"/>
  <c r="K655" i="2" s="1"/>
  <c r="K656" i="2" s="1"/>
  <c r="K657" i="2" s="1"/>
  <c r="K658" i="2" s="1"/>
  <c r="K659" i="2" s="1"/>
  <c r="K660" i="2" s="1"/>
  <c r="K661" i="2" s="1"/>
  <c r="K662" i="2" s="1"/>
  <c r="K663" i="2" s="1"/>
  <c r="K664" i="2" s="1"/>
  <c r="K665" i="2" s="1"/>
  <c r="K666" i="2" s="1"/>
  <c r="K667" i="2" s="1"/>
  <c r="K668" i="2" s="1"/>
  <c r="K669" i="2" s="1"/>
  <c r="K670" i="2" s="1"/>
  <c r="K671" i="2" s="1"/>
  <c r="K672" i="2" s="1"/>
  <c r="K673" i="2" s="1"/>
  <c r="K674" i="2" s="1"/>
  <c r="K675" i="2" s="1"/>
  <c r="K676" i="2" s="1"/>
  <c r="K677" i="2" s="1"/>
  <c r="K678" i="2" s="1"/>
  <c r="K679" i="2" s="1"/>
  <c r="K680" i="2" s="1"/>
  <c r="K681" i="2" s="1"/>
  <c r="K682" i="2" s="1"/>
  <c r="K683" i="2" s="1"/>
  <c r="K684" i="2" s="1"/>
  <c r="K685" i="2" s="1"/>
  <c r="K686" i="2" s="1"/>
  <c r="K687" i="2" s="1"/>
  <c r="K688" i="2" s="1"/>
  <c r="K689" i="2" s="1"/>
  <c r="K690" i="2" s="1"/>
  <c r="K691" i="2" s="1"/>
  <c r="K692" i="2" s="1"/>
  <c r="K693" i="2" s="1"/>
  <c r="K694" i="2" s="1"/>
  <c r="K695" i="2" s="1"/>
  <c r="K696" i="2" s="1"/>
  <c r="K697" i="2" s="1"/>
  <c r="K698" i="2" s="1"/>
  <c r="K699" i="2" s="1"/>
  <c r="K700" i="2" s="1"/>
  <c r="K701" i="2" s="1"/>
  <c r="K702" i="2" s="1"/>
  <c r="K703" i="2" s="1"/>
  <c r="K704" i="2" s="1"/>
  <c r="K705" i="2" s="1"/>
  <c r="K706" i="2" s="1"/>
  <c r="K707" i="2" s="1"/>
  <c r="K708" i="2" s="1"/>
  <c r="K709" i="2" s="1"/>
  <c r="K710" i="2" s="1"/>
  <c r="K711" i="2" s="1"/>
  <c r="K712" i="2" s="1"/>
  <c r="K713" i="2" s="1"/>
  <c r="K714" i="2" s="1"/>
  <c r="K715" i="2" s="1"/>
  <c r="K716" i="2" s="1"/>
  <c r="K717" i="2" s="1"/>
  <c r="K718" i="2" s="1"/>
  <c r="K719" i="2" s="1"/>
  <c r="K720" i="2" s="1"/>
  <c r="K721" i="2" s="1"/>
  <c r="K722" i="2" s="1"/>
  <c r="K723" i="2" s="1"/>
  <c r="K724" i="2" s="1"/>
  <c r="K725" i="2" s="1"/>
  <c r="K726" i="2" s="1"/>
  <c r="K727" i="2" s="1"/>
  <c r="K728" i="2" s="1"/>
  <c r="K729" i="2" s="1"/>
  <c r="K730" i="2" s="1"/>
  <c r="K731" i="2" s="1"/>
  <c r="K732" i="2" s="1"/>
  <c r="K733" i="2" s="1"/>
  <c r="K734" i="2" s="1"/>
  <c r="K735" i="2" s="1"/>
  <c r="K736" i="2" s="1"/>
  <c r="K737" i="2" s="1"/>
  <c r="K738" i="2" s="1"/>
  <c r="K739" i="2" s="1"/>
  <c r="K740" i="2" s="1"/>
  <c r="K741" i="2" s="1"/>
  <c r="K742" i="2" s="1"/>
  <c r="K743" i="2" s="1"/>
  <c r="K744" i="2" s="1"/>
  <c r="K745" i="2" s="1"/>
  <c r="K746" i="2" s="1"/>
  <c r="K747" i="2" s="1"/>
  <c r="K748" i="2" s="1"/>
  <c r="K749" i="2" s="1"/>
  <c r="K750" i="2" s="1"/>
  <c r="K751" i="2" s="1"/>
  <c r="K752" i="2" s="1"/>
  <c r="K753" i="2" s="1"/>
  <c r="K754" i="2" s="1"/>
  <c r="K755" i="2" s="1"/>
  <c r="K756" i="2" s="1"/>
  <c r="K757" i="2" s="1"/>
  <c r="K758" i="2" s="1"/>
  <c r="K759" i="2" s="1"/>
  <c r="K760" i="2" s="1"/>
  <c r="K761" i="2" s="1"/>
  <c r="K762" i="2" s="1"/>
  <c r="K763" i="2" s="1"/>
  <c r="K764" i="2" s="1"/>
  <c r="K765" i="2" s="1"/>
  <c r="K766" i="2" s="1"/>
  <c r="K767" i="2" s="1"/>
  <c r="K768" i="2" s="1"/>
  <c r="K769" i="2" s="1"/>
  <c r="K770" i="2" s="1"/>
  <c r="K771" i="2" s="1"/>
  <c r="K772" i="2" s="1"/>
  <c r="F574" i="2"/>
  <c r="J558" i="2"/>
  <c r="J463" i="2"/>
  <c r="F435" i="2"/>
  <c r="H422" i="2"/>
  <c r="K390" i="2"/>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J388" i="2"/>
  <c r="J580" i="2" s="1"/>
  <c r="F388" i="2"/>
  <c r="J387" i="2"/>
  <c r="J579" i="2" s="1"/>
  <c r="F387" i="2"/>
  <c r="F483" i="2" s="1"/>
  <c r="J386" i="2"/>
  <c r="H386" i="2"/>
  <c r="F386" i="2"/>
  <c r="F482" i="2" s="1"/>
  <c r="J385" i="2"/>
  <c r="J577" i="2" s="1"/>
  <c r="F385" i="2"/>
  <c r="F481" i="2" s="1"/>
  <c r="J384" i="2"/>
  <c r="J576" i="2" s="1"/>
  <c r="F384" i="2"/>
  <c r="F480" i="2" s="1"/>
  <c r="J383" i="2"/>
  <c r="J575" i="2" s="1"/>
  <c r="F383" i="2"/>
  <c r="F479" i="2" s="1"/>
  <c r="J382" i="2"/>
  <c r="J574" i="2" s="1"/>
  <c r="F382" i="2"/>
  <c r="F478" i="2" s="1"/>
  <c r="H478" i="2" s="1"/>
  <c r="J381" i="2"/>
  <c r="F381" i="2"/>
  <c r="F477" i="2" s="1"/>
  <c r="J380" i="2"/>
  <c r="J572" i="2" s="1"/>
  <c r="F380" i="2"/>
  <c r="H380" i="2" s="1"/>
  <c r="J379" i="2"/>
  <c r="J571" i="2" s="1"/>
  <c r="F379" i="2"/>
  <c r="F475" i="2" s="1"/>
  <c r="J378" i="2"/>
  <c r="H378" i="2"/>
  <c r="F378" i="2"/>
  <c r="F474" i="2" s="1"/>
  <c r="J377" i="2"/>
  <c r="J569" i="2" s="1"/>
  <c r="J761" i="2" s="1"/>
  <c r="F377" i="2"/>
  <c r="F473" i="2" s="1"/>
  <c r="J376" i="2"/>
  <c r="J568" i="2" s="1"/>
  <c r="H376" i="2"/>
  <c r="F376" i="2"/>
  <c r="F472" i="2" s="1"/>
  <c r="J375" i="2"/>
  <c r="J567" i="2" s="1"/>
  <c r="F375" i="2"/>
  <c r="F471" i="2" s="1"/>
  <c r="J374" i="2"/>
  <c r="J566" i="2" s="1"/>
  <c r="F374" i="2"/>
  <c r="F470" i="2" s="1"/>
  <c r="H470" i="2" s="1"/>
  <c r="J373" i="2"/>
  <c r="F373" i="2"/>
  <c r="F469" i="2" s="1"/>
  <c r="J372" i="2"/>
  <c r="J564" i="2" s="1"/>
  <c r="F372" i="2"/>
  <c r="J371" i="2"/>
  <c r="J563" i="2" s="1"/>
  <c r="F371" i="2"/>
  <c r="F467" i="2" s="1"/>
  <c r="J370" i="2"/>
  <c r="F370" i="2"/>
  <c r="F466" i="2" s="1"/>
  <c r="J369" i="2"/>
  <c r="J561" i="2" s="1"/>
  <c r="J753" i="2" s="1"/>
  <c r="H369" i="2"/>
  <c r="F369" i="2"/>
  <c r="F465" i="2" s="1"/>
  <c r="J368" i="2"/>
  <c r="J560" i="2" s="1"/>
  <c r="H368" i="2"/>
  <c r="F368" i="2"/>
  <c r="F464" i="2" s="1"/>
  <c r="J367" i="2"/>
  <c r="J559" i="2" s="1"/>
  <c r="F367" i="2"/>
  <c r="F463" i="2" s="1"/>
  <c r="F559" i="2" s="1"/>
  <c r="J366" i="2"/>
  <c r="F366" i="2"/>
  <c r="F462" i="2" s="1"/>
  <c r="J365" i="2"/>
  <c r="F365" i="2"/>
  <c r="F461" i="2" s="1"/>
  <c r="J364" i="2"/>
  <c r="J556" i="2" s="1"/>
  <c r="F364" i="2"/>
  <c r="J363" i="2"/>
  <c r="J555" i="2" s="1"/>
  <c r="F363" i="2"/>
  <c r="F459" i="2" s="1"/>
  <c r="J362" i="2"/>
  <c r="H362" i="2"/>
  <c r="F362" i="2"/>
  <c r="F458" i="2" s="1"/>
  <c r="J361" i="2"/>
  <c r="J553" i="2" s="1"/>
  <c r="F361" i="2"/>
  <c r="F457" i="2" s="1"/>
  <c r="J360" i="2"/>
  <c r="J552" i="2" s="1"/>
  <c r="F360" i="2"/>
  <c r="F456" i="2" s="1"/>
  <c r="H456" i="2" s="1"/>
  <c r="J359" i="2"/>
  <c r="J551" i="2" s="1"/>
  <c r="F359" i="2"/>
  <c r="F455" i="2" s="1"/>
  <c r="J358" i="2"/>
  <c r="J550" i="2" s="1"/>
  <c r="F358" i="2"/>
  <c r="F454" i="2" s="1"/>
  <c r="J357" i="2"/>
  <c r="F357" i="2"/>
  <c r="F453" i="2" s="1"/>
  <c r="H453" i="2" s="1"/>
  <c r="J356" i="2"/>
  <c r="J548" i="2" s="1"/>
  <c r="J740" i="2" s="1"/>
  <c r="F356" i="2"/>
  <c r="J355" i="2"/>
  <c r="J547" i="2" s="1"/>
  <c r="F355" i="2"/>
  <c r="F451" i="2" s="1"/>
  <c r="J354" i="2"/>
  <c r="H354" i="2"/>
  <c r="F354" i="2"/>
  <c r="F450" i="2" s="1"/>
  <c r="J353" i="2"/>
  <c r="J545" i="2" s="1"/>
  <c r="J737" i="2" s="1"/>
  <c r="F353" i="2"/>
  <c r="F449" i="2" s="1"/>
  <c r="J352" i="2"/>
  <c r="J544" i="2" s="1"/>
  <c r="H352" i="2"/>
  <c r="F352" i="2"/>
  <c r="F448" i="2" s="1"/>
  <c r="J351" i="2"/>
  <c r="J543" i="2" s="1"/>
  <c r="F351" i="2"/>
  <c r="F447" i="2" s="1"/>
  <c r="J350" i="2"/>
  <c r="J542" i="2" s="1"/>
  <c r="F350" i="2"/>
  <c r="F446" i="2" s="1"/>
  <c r="J349" i="2"/>
  <c r="F349" i="2"/>
  <c r="F445" i="2" s="1"/>
  <c r="J348" i="2"/>
  <c r="J540" i="2" s="1"/>
  <c r="F348" i="2"/>
  <c r="H348" i="2" s="1"/>
  <c r="J347" i="2"/>
  <c r="J539" i="2" s="1"/>
  <c r="F347" i="2"/>
  <c r="F443" i="2" s="1"/>
  <c r="J346" i="2"/>
  <c r="F346" i="2"/>
  <c r="F442" i="2" s="1"/>
  <c r="J345" i="2"/>
  <c r="J537" i="2" s="1"/>
  <c r="H345" i="2"/>
  <c r="F345" i="2"/>
  <c r="F441" i="2" s="1"/>
  <c r="J344" i="2"/>
  <c r="J536" i="2" s="1"/>
  <c r="H344" i="2"/>
  <c r="F344" i="2"/>
  <c r="F440" i="2" s="1"/>
  <c r="H440" i="2" s="1"/>
  <c r="J343" i="2"/>
  <c r="J535" i="2" s="1"/>
  <c r="F343" i="2"/>
  <c r="F439" i="2" s="1"/>
  <c r="F535" i="2" s="1"/>
  <c r="J342" i="2"/>
  <c r="J534" i="2" s="1"/>
  <c r="F342" i="2"/>
  <c r="F438" i="2" s="1"/>
  <c r="F534" i="2" s="1"/>
  <c r="J341" i="2"/>
  <c r="F341" i="2"/>
  <c r="F437" i="2" s="1"/>
  <c r="H437" i="2" s="1"/>
  <c r="J340" i="2"/>
  <c r="J532" i="2" s="1"/>
  <c r="J724" i="2" s="1"/>
  <c r="F340" i="2"/>
  <c r="J339" i="2"/>
  <c r="J531" i="2" s="1"/>
  <c r="F339" i="2"/>
  <c r="H339" i="2" s="1"/>
  <c r="J338" i="2"/>
  <c r="H338" i="2"/>
  <c r="F338" i="2"/>
  <c r="F434" i="2" s="1"/>
  <c r="J337" i="2"/>
  <c r="J529" i="2" s="1"/>
  <c r="J721" i="2" s="1"/>
  <c r="F337" i="2"/>
  <c r="F433" i="2" s="1"/>
  <c r="J336" i="2"/>
  <c r="J528" i="2" s="1"/>
  <c r="F336" i="2"/>
  <c r="F432" i="2" s="1"/>
  <c r="J335" i="2"/>
  <c r="J527" i="2" s="1"/>
  <c r="F335" i="2"/>
  <c r="F431" i="2" s="1"/>
  <c r="F527" i="2" s="1"/>
  <c r="J334" i="2"/>
  <c r="J526" i="2" s="1"/>
  <c r="F334" i="2"/>
  <c r="F430" i="2" s="1"/>
  <c r="F526" i="2" s="1"/>
  <c r="J333" i="2"/>
  <c r="F333" i="2"/>
  <c r="F429" i="2" s="1"/>
  <c r="J332" i="2"/>
  <c r="J524" i="2" s="1"/>
  <c r="F332" i="2"/>
  <c r="J331" i="2"/>
  <c r="J523" i="2" s="1"/>
  <c r="J715" i="2" s="1"/>
  <c r="F331" i="2"/>
  <c r="H331" i="2" s="1"/>
  <c r="J330" i="2"/>
  <c r="H330" i="2"/>
  <c r="F330" i="2"/>
  <c r="F426" i="2" s="1"/>
  <c r="J329" i="2"/>
  <c r="J521" i="2" s="1"/>
  <c r="J713" i="2" s="1"/>
  <c r="F329" i="2"/>
  <c r="F425" i="2" s="1"/>
  <c r="J328" i="2"/>
  <c r="J520" i="2" s="1"/>
  <c r="H328" i="2"/>
  <c r="F328" i="2"/>
  <c r="F424" i="2" s="1"/>
  <c r="J327" i="2"/>
  <c r="J519" i="2" s="1"/>
  <c r="J711" i="2" s="1"/>
  <c r="F327" i="2"/>
  <c r="F423" i="2" s="1"/>
  <c r="J326" i="2"/>
  <c r="J518" i="2" s="1"/>
  <c r="F326" i="2"/>
  <c r="F422" i="2" s="1"/>
  <c r="F518" i="2" s="1"/>
  <c r="H518" i="2" s="1"/>
  <c r="J325" i="2"/>
  <c r="F325" i="2"/>
  <c r="F421" i="2" s="1"/>
  <c r="F517" i="2" s="1"/>
  <c r="J324" i="2"/>
  <c r="J516" i="2" s="1"/>
  <c r="F324" i="2"/>
  <c r="J323" i="2"/>
  <c r="J515" i="2" s="1"/>
  <c r="F323" i="2"/>
  <c r="H323" i="2" s="1"/>
  <c r="J322" i="2"/>
  <c r="J514" i="2" s="1"/>
  <c r="F322" i="2"/>
  <c r="F418" i="2" s="1"/>
  <c r="J321" i="2"/>
  <c r="J513" i="2" s="1"/>
  <c r="H321" i="2"/>
  <c r="F321" i="2"/>
  <c r="F417" i="2" s="1"/>
  <c r="J320" i="2"/>
  <c r="J512" i="2" s="1"/>
  <c r="J704" i="2" s="1"/>
  <c r="H320" i="2"/>
  <c r="F320" i="2"/>
  <c r="F416" i="2" s="1"/>
  <c r="J319" i="2"/>
  <c r="J511" i="2" s="1"/>
  <c r="F319" i="2"/>
  <c r="F415" i="2" s="1"/>
  <c r="J318" i="2"/>
  <c r="J510" i="2" s="1"/>
  <c r="F318" i="2"/>
  <c r="F414" i="2" s="1"/>
  <c r="F510" i="2" s="1"/>
  <c r="J317" i="2"/>
  <c r="F317" i="2"/>
  <c r="F413" i="2" s="1"/>
  <c r="F509" i="2" s="1"/>
  <c r="J316" i="2"/>
  <c r="J508" i="2" s="1"/>
  <c r="F316" i="2"/>
  <c r="J315" i="2"/>
  <c r="J507" i="2" s="1"/>
  <c r="F315" i="2"/>
  <c r="H315" i="2" s="1"/>
  <c r="J314" i="2"/>
  <c r="H314" i="2"/>
  <c r="F314" i="2"/>
  <c r="F410" i="2" s="1"/>
  <c r="J313" i="2"/>
  <c r="J505" i="2" s="1"/>
  <c r="F313" i="2"/>
  <c r="F409" i="2" s="1"/>
  <c r="J312" i="2"/>
  <c r="J504" i="2" s="1"/>
  <c r="J696" i="2" s="1"/>
  <c r="F312" i="2"/>
  <c r="F408" i="2" s="1"/>
  <c r="J311" i="2"/>
  <c r="J503" i="2" s="1"/>
  <c r="F311" i="2"/>
  <c r="F407" i="2" s="1"/>
  <c r="F503" i="2" s="1"/>
  <c r="J310" i="2"/>
  <c r="J502" i="2" s="1"/>
  <c r="F310" i="2"/>
  <c r="H310" i="2" s="1"/>
  <c r="J309" i="2"/>
  <c r="F309" i="2"/>
  <c r="H309" i="2" s="1"/>
  <c r="J308" i="2"/>
  <c r="J500" i="2" s="1"/>
  <c r="F308" i="2"/>
  <c r="H308" i="2" s="1"/>
  <c r="J307" i="2"/>
  <c r="J499" i="2" s="1"/>
  <c r="F307" i="2"/>
  <c r="H307" i="2" s="1"/>
  <c r="J306" i="2"/>
  <c r="H306" i="2"/>
  <c r="F306" i="2"/>
  <c r="F402" i="2" s="1"/>
  <c r="J305" i="2"/>
  <c r="J497" i="2" s="1"/>
  <c r="F305" i="2"/>
  <c r="H305" i="2" s="1"/>
  <c r="J304" i="2"/>
  <c r="J496" i="2" s="1"/>
  <c r="J688" i="2" s="1"/>
  <c r="H304" i="2"/>
  <c r="F304" i="2"/>
  <c r="F400" i="2" s="1"/>
  <c r="J303" i="2"/>
  <c r="J495" i="2" s="1"/>
  <c r="F303" i="2"/>
  <c r="F399" i="2" s="1"/>
  <c r="F495" i="2" s="1"/>
  <c r="F591" i="2" s="1"/>
  <c r="H591" i="2" s="1"/>
  <c r="J302" i="2"/>
  <c r="J494" i="2" s="1"/>
  <c r="F302" i="2"/>
  <c r="H302" i="2" s="1"/>
  <c r="J301" i="2"/>
  <c r="F301" i="2"/>
  <c r="H301" i="2" s="1"/>
  <c r="J300" i="2"/>
  <c r="J492" i="2" s="1"/>
  <c r="F300" i="2"/>
  <c r="H300" i="2" s="1"/>
  <c r="J299" i="2"/>
  <c r="J491" i="2" s="1"/>
  <c r="F299" i="2"/>
  <c r="H299" i="2" s="1"/>
  <c r="J298" i="2"/>
  <c r="F298" i="2"/>
  <c r="F394" i="2" s="1"/>
  <c r="J297" i="2"/>
  <c r="J489" i="2" s="1"/>
  <c r="H297" i="2"/>
  <c r="F297" i="2"/>
  <c r="F393" i="2" s="1"/>
  <c r="H393" i="2" s="1"/>
  <c r="J296" i="2"/>
  <c r="J488" i="2" s="1"/>
  <c r="J680" i="2" s="1"/>
  <c r="H296" i="2"/>
  <c r="F296" i="2"/>
  <c r="F392" i="2" s="1"/>
  <c r="J295" i="2"/>
  <c r="J487" i="2" s="1"/>
  <c r="F295" i="2"/>
  <c r="F391" i="2" s="1"/>
  <c r="F487" i="2" s="1"/>
  <c r="J294" i="2"/>
  <c r="J486" i="2" s="1"/>
  <c r="F294" i="2"/>
  <c r="H294" i="2" s="1"/>
  <c r="J293" i="2"/>
  <c r="F293" i="2"/>
  <c r="H293" i="2" s="1"/>
  <c r="J292" i="2"/>
  <c r="J484" i="2" s="1"/>
  <c r="H292" i="2"/>
  <c r="J291" i="2"/>
  <c r="J483" i="2" s="1"/>
  <c r="H291" i="2"/>
  <c r="J290" i="2"/>
  <c r="J482" i="2" s="1"/>
  <c r="H290" i="2"/>
  <c r="J289" i="2"/>
  <c r="J481" i="2" s="1"/>
  <c r="H289" i="2"/>
  <c r="J288" i="2"/>
  <c r="J480" i="2" s="1"/>
  <c r="J672" i="2" s="1"/>
  <c r="H288" i="2"/>
  <c r="J287" i="2"/>
  <c r="J479" i="2" s="1"/>
  <c r="H287" i="2"/>
  <c r="J286" i="2"/>
  <c r="J478" i="2" s="1"/>
  <c r="H286" i="2"/>
  <c r="J285" i="2"/>
  <c r="J477" i="2" s="1"/>
  <c r="J669" i="2" s="1"/>
  <c r="H285" i="2"/>
  <c r="J284" i="2"/>
  <c r="J476" i="2" s="1"/>
  <c r="H284" i="2"/>
  <c r="J283" i="2"/>
  <c r="J475" i="2" s="1"/>
  <c r="H283" i="2"/>
  <c r="J282" i="2"/>
  <c r="J474" i="2" s="1"/>
  <c r="H282" i="2"/>
  <c r="J281" i="2"/>
  <c r="J473" i="2" s="1"/>
  <c r="H281" i="2"/>
  <c r="J280" i="2"/>
  <c r="J472" i="2" s="1"/>
  <c r="J664" i="2" s="1"/>
  <c r="H280" i="2"/>
  <c r="J279" i="2"/>
  <c r="J471" i="2" s="1"/>
  <c r="H279" i="2"/>
  <c r="J278" i="2"/>
  <c r="J470" i="2" s="1"/>
  <c r="H278" i="2"/>
  <c r="J277" i="2"/>
  <c r="J469" i="2" s="1"/>
  <c r="J661" i="2" s="1"/>
  <c r="H277" i="2"/>
  <c r="J276" i="2"/>
  <c r="H276" i="2"/>
  <c r="J275" i="2"/>
  <c r="J467" i="2" s="1"/>
  <c r="H275" i="2"/>
  <c r="J274" i="2"/>
  <c r="H274" i="2"/>
  <c r="J273" i="2"/>
  <c r="J465" i="2" s="1"/>
  <c r="H273" i="2"/>
  <c r="J272" i="2"/>
  <c r="H272" i="2"/>
  <c r="J271" i="2"/>
  <c r="H271" i="2"/>
  <c r="J270" i="2"/>
  <c r="H270" i="2"/>
  <c r="J269" i="2"/>
  <c r="J461" i="2" s="1"/>
  <c r="J653" i="2" s="1"/>
  <c r="H269" i="2"/>
  <c r="J268" i="2"/>
  <c r="H268" i="2"/>
  <c r="J267" i="2"/>
  <c r="J459" i="2" s="1"/>
  <c r="H267" i="2"/>
  <c r="J266" i="2"/>
  <c r="H266" i="2"/>
  <c r="J265" i="2"/>
  <c r="J457" i="2" s="1"/>
  <c r="H265" i="2"/>
  <c r="J264" i="2"/>
  <c r="H264" i="2"/>
  <c r="J263" i="2"/>
  <c r="J455" i="2" s="1"/>
  <c r="H263" i="2"/>
  <c r="J262" i="2"/>
  <c r="H262" i="2"/>
  <c r="J261" i="2"/>
  <c r="J453" i="2" s="1"/>
  <c r="J645" i="2" s="1"/>
  <c r="H261" i="2"/>
  <c r="J260" i="2"/>
  <c r="H260" i="2"/>
  <c r="J259" i="2"/>
  <c r="J451" i="2" s="1"/>
  <c r="H259" i="2"/>
  <c r="J258" i="2"/>
  <c r="H258" i="2"/>
  <c r="J257" i="2"/>
  <c r="J449" i="2" s="1"/>
  <c r="H257" i="2"/>
  <c r="J256" i="2"/>
  <c r="H256" i="2"/>
  <c r="J255" i="2"/>
  <c r="J447" i="2" s="1"/>
  <c r="H255" i="2"/>
  <c r="J254" i="2"/>
  <c r="H254" i="2"/>
  <c r="J253" i="2"/>
  <c r="J445" i="2" s="1"/>
  <c r="J637" i="2" s="1"/>
  <c r="J829" i="2" s="1"/>
  <c r="H253" i="2"/>
  <c r="J252" i="2"/>
  <c r="H252" i="2"/>
  <c r="J251" i="2"/>
  <c r="J443" i="2" s="1"/>
  <c r="H251" i="2"/>
  <c r="J250" i="2"/>
  <c r="H250" i="2"/>
  <c r="J249" i="2"/>
  <c r="J441" i="2" s="1"/>
  <c r="H249" i="2"/>
  <c r="J248" i="2"/>
  <c r="H248" i="2"/>
  <c r="J247" i="2"/>
  <c r="J439" i="2" s="1"/>
  <c r="H247" i="2"/>
  <c r="J246" i="2"/>
  <c r="H246" i="2"/>
  <c r="J245" i="2"/>
  <c r="J437" i="2" s="1"/>
  <c r="J629" i="2" s="1"/>
  <c r="H245" i="2"/>
  <c r="J244" i="2"/>
  <c r="H244" i="2"/>
  <c r="J243" i="2"/>
  <c r="J435" i="2" s="1"/>
  <c r="H243" i="2"/>
  <c r="J242" i="2"/>
  <c r="H242" i="2"/>
  <c r="J241" i="2"/>
  <c r="J433" i="2" s="1"/>
  <c r="H241" i="2"/>
  <c r="J240" i="2"/>
  <c r="H240" i="2"/>
  <c r="J239" i="2"/>
  <c r="J431" i="2" s="1"/>
  <c r="H239" i="2"/>
  <c r="J238" i="2"/>
  <c r="H238" i="2"/>
  <c r="J237" i="2"/>
  <c r="J429" i="2" s="1"/>
  <c r="J621" i="2" s="1"/>
  <c r="J813" i="2" s="1"/>
  <c r="H237" i="2"/>
  <c r="J236" i="2"/>
  <c r="H236" i="2"/>
  <c r="J235" i="2"/>
  <c r="J427" i="2" s="1"/>
  <c r="H235" i="2"/>
  <c r="J234" i="2"/>
  <c r="H234" i="2"/>
  <c r="J233" i="2"/>
  <c r="J425" i="2" s="1"/>
  <c r="H233" i="2"/>
  <c r="J232" i="2"/>
  <c r="H232" i="2"/>
  <c r="J231" i="2"/>
  <c r="J423" i="2" s="1"/>
  <c r="H231" i="2"/>
  <c r="J230" i="2"/>
  <c r="H230" i="2"/>
  <c r="J229" i="2"/>
  <c r="J421" i="2" s="1"/>
  <c r="J613" i="2" s="1"/>
  <c r="H229" i="2"/>
  <c r="J228" i="2"/>
  <c r="H228" i="2"/>
  <c r="J227" i="2"/>
  <c r="J419" i="2" s="1"/>
  <c r="H227" i="2"/>
  <c r="J226" i="2"/>
  <c r="H226" i="2"/>
  <c r="J225" i="2"/>
  <c r="J417" i="2" s="1"/>
  <c r="H225" i="2"/>
  <c r="J224" i="2"/>
  <c r="H224" i="2"/>
  <c r="J223" i="2"/>
  <c r="J415" i="2" s="1"/>
  <c r="H223" i="2"/>
  <c r="J222" i="2"/>
  <c r="J414" i="2" s="1"/>
  <c r="H222" i="2"/>
  <c r="J221" i="2"/>
  <c r="J413" i="2" s="1"/>
  <c r="J605" i="2" s="1"/>
  <c r="H221" i="2"/>
  <c r="J220" i="2"/>
  <c r="H220" i="2"/>
  <c r="J219" i="2"/>
  <c r="J411" i="2" s="1"/>
  <c r="H219" i="2"/>
  <c r="J218" i="2"/>
  <c r="H218" i="2"/>
  <c r="J217" i="2"/>
  <c r="J409" i="2" s="1"/>
  <c r="H217" i="2"/>
  <c r="J216" i="2"/>
  <c r="H216" i="2"/>
  <c r="J215" i="2"/>
  <c r="J407" i="2" s="1"/>
  <c r="H215" i="2"/>
  <c r="J214" i="2"/>
  <c r="H214" i="2"/>
  <c r="J213" i="2"/>
  <c r="H213" i="2"/>
  <c r="J212" i="2"/>
  <c r="H212" i="2"/>
  <c r="J211" i="2"/>
  <c r="J403" i="2" s="1"/>
  <c r="H211" i="2"/>
  <c r="J210" i="2"/>
  <c r="H210" i="2"/>
  <c r="J209" i="2"/>
  <c r="J401" i="2" s="1"/>
  <c r="H209" i="2"/>
  <c r="J208" i="2"/>
  <c r="H208" i="2"/>
  <c r="J207" i="2"/>
  <c r="J399" i="2" s="1"/>
  <c r="H207" i="2"/>
  <c r="J206" i="2"/>
  <c r="H206" i="2"/>
  <c r="J205" i="2"/>
  <c r="H205" i="2"/>
  <c r="J204" i="2"/>
  <c r="H204" i="2"/>
  <c r="J203" i="2"/>
  <c r="J395" i="2" s="1"/>
  <c r="H203" i="2"/>
  <c r="J202" i="2"/>
  <c r="H202" i="2"/>
  <c r="J201" i="2"/>
  <c r="J393" i="2" s="1"/>
  <c r="H201" i="2"/>
  <c r="J200" i="2"/>
  <c r="H200" i="2"/>
  <c r="J199" i="2"/>
  <c r="J391" i="2" s="1"/>
  <c r="H199" i="2"/>
  <c r="K198" i="2"/>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J198" i="2"/>
  <c r="H198" i="2"/>
  <c r="J197"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B52" i="2"/>
  <c r="B76" i="2" s="1"/>
  <c r="B100" i="2" s="1"/>
  <c r="B124" i="2" s="1"/>
  <c r="B148" i="2" s="1"/>
  <c r="B172" i="2" s="1"/>
  <c r="H51" i="2"/>
  <c r="D51" i="2"/>
  <c r="D75" i="2" s="1"/>
  <c r="D99" i="2" s="1"/>
  <c r="D123" i="2" s="1"/>
  <c r="D147" i="2" s="1"/>
  <c r="D171" i="2" s="1"/>
  <c r="B51" i="2"/>
  <c r="B75" i="2" s="1"/>
  <c r="B99" i="2" s="1"/>
  <c r="B123" i="2" s="1"/>
  <c r="B147" i="2" s="1"/>
  <c r="B171" i="2" s="1"/>
  <c r="H50" i="2"/>
  <c r="D50" i="2"/>
  <c r="D74" i="2" s="1"/>
  <c r="D98" i="2" s="1"/>
  <c r="D122" i="2" s="1"/>
  <c r="D146" i="2" s="1"/>
  <c r="D170" i="2" s="1"/>
  <c r="B50" i="2"/>
  <c r="B74" i="2" s="1"/>
  <c r="B98" i="2" s="1"/>
  <c r="B122" i="2" s="1"/>
  <c r="B146" i="2" s="1"/>
  <c r="B170" i="2" s="1"/>
  <c r="H49" i="2"/>
  <c r="D49" i="2"/>
  <c r="D73" i="2" s="1"/>
  <c r="D97" i="2" s="1"/>
  <c r="D121" i="2" s="1"/>
  <c r="D145" i="2" s="1"/>
  <c r="D169" i="2" s="1"/>
  <c r="B49" i="2"/>
  <c r="B73" i="2" s="1"/>
  <c r="B97" i="2" s="1"/>
  <c r="B121" i="2" s="1"/>
  <c r="B145" i="2" s="1"/>
  <c r="B169" i="2" s="1"/>
  <c r="H48" i="2"/>
  <c r="D48" i="2"/>
  <c r="D72" i="2" s="1"/>
  <c r="D96" i="2" s="1"/>
  <c r="D120" i="2" s="1"/>
  <c r="D144" i="2" s="1"/>
  <c r="D168" i="2" s="1"/>
  <c r="B48" i="2"/>
  <c r="B72" i="2" s="1"/>
  <c r="B96" i="2" s="1"/>
  <c r="B120" i="2" s="1"/>
  <c r="B144" i="2" s="1"/>
  <c r="B168" i="2" s="1"/>
  <c r="H47" i="2"/>
  <c r="D47" i="2"/>
  <c r="D71" i="2" s="1"/>
  <c r="D95" i="2" s="1"/>
  <c r="D119" i="2" s="1"/>
  <c r="D143" i="2" s="1"/>
  <c r="D167" i="2" s="1"/>
  <c r="B47" i="2"/>
  <c r="B71" i="2" s="1"/>
  <c r="B95" i="2" s="1"/>
  <c r="B119" i="2" s="1"/>
  <c r="B143" i="2" s="1"/>
  <c r="B167" i="2" s="1"/>
  <c r="H46" i="2"/>
  <c r="D46" i="2"/>
  <c r="D70" i="2" s="1"/>
  <c r="D94" i="2" s="1"/>
  <c r="D118" i="2" s="1"/>
  <c r="D142" i="2" s="1"/>
  <c r="D166" i="2" s="1"/>
  <c r="B46" i="2"/>
  <c r="B70" i="2" s="1"/>
  <c r="B94" i="2" s="1"/>
  <c r="B118" i="2" s="1"/>
  <c r="B142" i="2" s="1"/>
  <c r="B166" i="2" s="1"/>
  <c r="H45" i="2"/>
  <c r="D45" i="2"/>
  <c r="D69" i="2" s="1"/>
  <c r="D93" i="2" s="1"/>
  <c r="D117" i="2" s="1"/>
  <c r="D141" i="2" s="1"/>
  <c r="D165" i="2" s="1"/>
  <c r="B45" i="2"/>
  <c r="B69" i="2" s="1"/>
  <c r="B93" i="2" s="1"/>
  <c r="B117" i="2" s="1"/>
  <c r="B141" i="2" s="1"/>
  <c r="B165" i="2" s="1"/>
  <c r="H44" i="2"/>
  <c r="D44" i="2"/>
  <c r="D68" i="2" s="1"/>
  <c r="D92" i="2" s="1"/>
  <c r="D116" i="2" s="1"/>
  <c r="D140" i="2" s="1"/>
  <c r="D164" i="2" s="1"/>
  <c r="B44" i="2"/>
  <c r="B68" i="2" s="1"/>
  <c r="B92" i="2" s="1"/>
  <c r="B116" i="2" s="1"/>
  <c r="B140" i="2" s="1"/>
  <c r="B164" i="2" s="1"/>
  <c r="H43" i="2"/>
  <c r="D43" i="2"/>
  <c r="D67" i="2" s="1"/>
  <c r="D91" i="2" s="1"/>
  <c r="D115" i="2" s="1"/>
  <c r="D139" i="2" s="1"/>
  <c r="D163" i="2" s="1"/>
  <c r="B43" i="2"/>
  <c r="B67" i="2" s="1"/>
  <c r="B91" i="2" s="1"/>
  <c r="B115" i="2" s="1"/>
  <c r="B139" i="2" s="1"/>
  <c r="B163" i="2" s="1"/>
  <c r="H42" i="2"/>
  <c r="D42" i="2"/>
  <c r="D66" i="2" s="1"/>
  <c r="D90" i="2" s="1"/>
  <c r="D114" i="2" s="1"/>
  <c r="D138" i="2" s="1"/>
  <c r="D162" i="2" s="1"/>
  <c r="B42" i="2"/>
  <c r="B66" i="2" s="1"/>
  <c r="B90" i="2" s="1"/>
  <c r="B114" i="2" s="1"/>
  <c r="B138" i="2" s="1"/>
  <c r="B162" i="2" s="1"/>
  <c r="H41" i="2"/>
  <c r="D41" i="2"/>
  <c r="D65" i="2" s="1"/>
  <c r="D89" i="2" s="1"/>
  <c r="D113" i="2" s="1"/>
  <c r="D137" i="2" s="1"/>
  <c r="D161" i="2" s="1"/>
  <c r="B41" i="2"/>
  <c r="B65" i="2" s="1"/>
  <c r="B89" i="2" s="1"/>
  <c r="B113" i="2" s="1"/>
  <c r="B137" i="2" s="1"/>
  <c r="B161" i="2" s="1"/>
  <c r="H40" i="2"/>
  <c r="D40" i="2"/>
  <c r="D64" i="2" s="1"/>
  <c r="D88" i="2" s="1"/>
  <c r="B40" i="2"/>
  <c r="B64" i="2" s="1"/>
  <c r="B88" i="2" s="1"/>
  <c r="B112" i="2" s="1"/>
  <c r="B136" i="2" s="1"/>
  <c r="B160" i="2" s="1"/>
  <c r="H39" i="2"/>
  <c r="D39" i="2"/>
  <c r="D63" i="2" s="1"/>
  <c r="D87" i="2" s="1"/>
  <c r="D111" i="2" s="1"/>
  <c r="D135" i="2" s="1"/>
  <c r="D159" i="2" s="1"/>
  <c r="B39" i="2"/>
  <c r="B63" i="2" s="1"/>
  <c r="B87" i="2" s="1"/>
  <c r="B111" i="2" s="1"/>
  <c r="B135" i="2" s="1"/>
  <c r="B159" i="2" s="1"/>
  <c r="H38" i="2"/>
  <c r="D38" i="2"/>
  <c r="D62" i="2" s="1"/>
  <c r="D86" i="2" s="1"/>
  <c r="D110" i="2" s="1"/>
  <c r="D134" i="2" s="1"/>
  <c r="D158" i="2" s="1"/>
  <c r="B38" i="2"/>
  <c r="B62" i="2" s="1"/>
  <c r="B86" i="2" s="1"/>
  <c r="B110" i="2" s="1"/>
  <c r="B134" i="2" s="1"/>
  <c r="B158" i="2" s="1"/>
  <c r="H37" i="2"/>
  <c r="D37" i="2"/>
  <c r="D61" i="2" s="1"/>
  <c r="D85" i="2" s="1"/>
  <c r="D109" i="2" s="1"/>
  <c r="D133" i="2" s="1"/>
  <c r="D157" i="2" s="1"/>
  <c r="B37" i="2"/>
  <c r="B61" i="2" s="1"/>
  <c r="B85" i="2" s="1"/>
  <c r="B109" i="2" s="1"/>
  <c r="B133" i="2" s="1"/>
  <c r="B157" i="2" s="1"/>
  <c r="H36" i="2"/>
  <c r="D36" i="2"/>
  <c r="D60" i="2" s="1"/>
  <c r="D84" i="2" s="1"/>
  <c r="D108" i="2" s="1"/>
  <c r="D132" i="2" s="1"/>
  <c r="D156" i="2" s="1"/>
  <c r="B36" i="2"/>
  <c r="B60" i="2" s="1"/>
  <c r="B84" i="2" s="1"/>
  <c r="B108" i="2" s="1"/>
  <c r="B132" i="2" s="1"/>
  <c r="B156" i="2" s="1"/>
  <c r="H35" i="2"/>
  <c r="D35" i="2"/>
  <c r="D59" i="2" s="1"/>
  <c r="D83" i="2" s="1"/>
  <c r="D107" i="2" s="1"/>
  <c r="D131" i="2" s="1"/>
  <c r="D155" i="2" s="1"/>
  <c r="B35" i="2"/>
  <c r="B59" i="2" s="1"/>
  <c r="B83" i="2" s="1"/>
  <c r="B107" i="2" s="1"/>
  <c r="B131" i="2" s="1"/>
  <c r="B155" i="2" s="1"/>
  <c r="H34" i="2"/>
  <c r="D34" i="2"/>
  <c r="D58" i="2" s="1"/>
  <c r="D82" i="2" s="1"/>
  <c r="D106" i="2" s="1"/>
  <c r="D130" i="2" s="1"/>
  <c r="D154" i="2" s="1"/>
  <c r="B34" i="2"/>
  <c r="B58" i="2" s="1"/>
  <c r="B82" i="2" s="1"/>
  <c r="B106" i="2" s="1"/>
  <c r="B130" i="2" s="1"/>
  <c r="B154" i="2" s="1"/>
  <c r="H33" i="2"/>
  <c r="D33" i="2"/>
  <c r="D57" i="2" s="1"/>
  <c r="D81" i="2" s="1"/>
  <c r="D105" i="2" s="1"/>
  <c r="D129" i="2" s="1"/>
  <c r="D153" i="2" s="1"/>
  <c r="B33" i="2"/>
  <c r="B57" i="2" s="1"/>
  <c r="B81" i="2" s="1"/>
  <c r="B105" i="2" s="1"/>
  <c r="B129" i="2" s="1"/>
  <c r="B153" i="2" s="1"/>
  <c r="H32" i="2"/>
  <c r="D32" i="2"/>
  <c r="D56" i="2" s="1"/>
  <c r="D80" i="2" s="1"/>
  <c r="D104" i="2" s="1"/>
  <c r="D128" i="2" s="1"/>
  <c r="D152" i="2" s="1"/>
  <c r="B32" i="2"/>
  <c r="B56" i="2" s="1"/>
  <c r="B80" i="2" s="1"/>
  <c r="B104" i="2" s="1"/>
  <c r="B128" i="2" s="1"/>
  <c r="B152" i="2" s="1"/>
  <c r="H31" i="2"/>
  <c r="D31" i="2"/>
  <c r="D55" i="2" s="1"/>
  <c r="D79" i="2" s="1"/>
  <c r="D103" i="2" s="1"/>
  <c r="D127" i="2" s="1"/>
  <c r="D151" i="2" s="1"/>
  <c r="B31" i="2"/>
  <c r="B55" i="2" s="1"/>
  <c r="B79" i="2" s="1"/>
  <c r="B103" i="2" s="1"/>
  <c r="B127" i="2" s="1"/>
  <c r="B151" i="2" s="1"/>
  <c r="H30" i="2"/>
  <c r="D30" i="2"/>
  <c r="D54" i="2" s="1"/>
  <c r="D78" i="2" s="1"/>
  <c r="D102" i="2" s="1"/>
  <c r="D126" i="2" s="1"/>
  <c r="D150" i="2" s="1"/>
  <c r="B30" i="2"/>
  <c r="B54" i="2" s="1"/>
  <c r="B78" i="2" s="1"/>
  <c r="B102" i="2" s="1"/>
  <c r="B126" i="2" s="1"/>
  <c r="B150" i="2" s="1"/>
  <c r="H29" i="2"/>
  <c r="D29" i="2"/>
  <c r="D53" i="2" s="1"/>
  <c r="D77" i="2" s="1"/>
  <c r="D101" i="2" s="1"/>
  <c r="D125" i="2" s="1"/>
  <c r="D149" i="2" s="1"/>
  <c r="B29" i="2"/>
  <c r="B53" i="2" s="1"/>
  <c r="B77" i="2" s="1"/>
  <c r="B101" i="2" s="1"/>
  <c r="B125" i="2" s="1"/>
  <c r="B149" i="2" s="1"/>
  <c r="H28" i="2"/>
  <c r="D28" i="2"/>
  <c r="D52" i="2" s="1"/>
  <c r="D76" i="2" s="1"/>
  <c r="D100" i="2" s="1"/>
  <c r="D124" i="2" s="1"/>
  <c r="D148" i="2" s="1"/>
  <c r="D172" i="2" s="1"/>
  <c r="H27" i="2"/>
  <c r="H26" i="2"/>
  <c r="H25" i="2"/>
  <c r="H24" i="2"/>
  <c r="H23" i="2"/>
  <c r="H22" i="2"/>
  <c r="H21" i="2"/>
  <c r="H20" i="2"/>
  <c r="H19" i="2"/>
  <c r="H18" i="2"/>
  <c r="H17" i="2"/>
  <c r="H16" i="2"/>
  <c r="H15" i="2"/>
  <c r="H14" i="2"/>
  <c r="H13" i="2"/>
  <c r="H12" i="2"/>
  <c r="H11" i="2"/>
  <c r="H10" i="2"/>
  <c r="H9" i="2"/>
  <c r="H8" i="2"/>
  <c r="H7" i="2"/>
  <c r="H6" i="2"/>
  <c r="K5" i="2"/>
  <c r="K6" i="2" s="1"/>
  <c r="H5" i="2"/>
  <c r="L4" i="2"/>
  <c r="H4" i="2"/>
  <c r="AI256" i="1"/>
  <c r="AG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F157" i="1"/>
  <c r="AF158" i="1" s="1"/>
  <c r="AF159" i="1" s="1"/>
  <c r="AF160" i="1" s="1"/>
  <c r="AF161" i="1" s="1"/>
  <c r="AF162" i="1" s="1"/>
  <c r="AF163" i="1" s="1"/>
  <c r="AF164" i="1" s="1"/>
  <c r="AF165" i="1" s="1"/>
  <c r="AF166" i="1" s="1"/>
  <c r="AI156" i="1"/>
  <c r="AG156" i="1"/>
  <c r="G101" i="1"/>
  <c r="G100" i="1"/>
  <c r="G99" i="1"/>
  <c r="G107" i="1"/>
  <c r="G106" i="1"/>
  <c r="G105" i="1"/>
  <c r="E96" i="1"/>
  <c r="E95" i="1"/>
  <c r="E94" i="1"/>
  <c r="P93" i="1"/>
  <c r="O93" i="1"/>
  <c r="N93" i="1"/>
  <c r="M93" i="1"/>
  <c r="L93" i="1"/>
  <c r="K93" i="1"/>
  <c r="J93" i="1"/>
  <c r="I93" i="1"/>
  <c r="H93" i="1"/>
  <c r="G92" i="1"/>
  <c r="P81" i="1"/>
  <c r="P80" i="1"/>
  <c r="I77" i="1"/>
  <c r="H77" i="1"/>
  <c r="I76" i="1"/>
  <c r="J76" i="1" s="1"/>
  <c r="K76" i="1" s="1"/>
  <c r="L76" i="1" s="1"/>
  <c r="M76" i="1" s="1"/>
  <c r="N76" i="1" s="1"/>
  <c r="O76" i="1" s="1"/>
  <c r="P76" i="1" s="1"/>
  <c r="Q76" i="1" s="1"/>
  <c r="R76" i="1" s="1"/>
  <c r="S76" i="1" s="1"/>
  <c r="T76" i="1" s="1"/>
  <c r="U76" i="1" s="1"/>
  <c r="V76" i="1" s="1"/>
  <c r="W76" i="1" s="1"/>
  <c r="X76" i="1" s="1"/>
  <c r="Y76" i="1" s="1"/>
  <c r="Z76" i="1" s="1"/>
  <c r="AA76" i="1" s="1"/>
  <c r="AB76" i="1" s="1"/>
  <c r="AC76" i="1" s="1"/>
  <c r="AD76" i="1" s="1"/>
  <c r="AE76" i="1" s="1"/>
  <c r="AF76" i="1" s="1"/>
  <c r="AG76" i="1" s="1"/>
  <c r="AH76" i="1" s="1"/>
  <c r="AI76" i="1" s="1"/>
  <c r="AJ76" i="1" s="1"/>
  <c r="AK76" i="1" s="1"/>
  <c r="AL76" i="1" s="1"/>
  <c r="AM76" i="1" s="1"/>
  <c r="I67" i="1"/>
  <c r="H67" i="1"/>
  <c r="E67" i="1"/>
  <c r="I66" i="1"/>
  <c r="H66" i="1"/>
  <c r="E66" i="1"/>
  <c r="E61" i="1"/>
  <c r="E62" i="1" s="1"/>
  <c r="I55" i="1"/>
  <c r="H55" i="1"/>
  <c r="P51" i="1"/>
  <c r="O51" i="1"/>
  <c r="N51" i="1"/>
  <c r="M51" i="1"/>
  <c r="I46" i="1"/>
  <c r="H46" i="1"/>
  <c r="E46" i="1"/>
  <c r="H43" i="1"/>
  <c r="E42" i="1"/>
  <c r="I43" i="1"/>
  <c r="G29" i="1"/>
  <c r="G26" i="1"/>
  <c r="E16" i="1"/>
  <c r="E14" i="1"/>
  <c r="G14" i="1" s="1"/>
  <c r="G13" i="1"/>
  <c r="G10" i="1"/>
  <c r="G9" i="1"/>
  <c r="G8" i="1"/>
  <c r="K7" i="1"/>
  <c r="J7" i="1"/>
  <c r="G7" i="1"/>
  <c r="G6" i="1"/>
  <c r="N126" i="1"/>
  <c r="N118" i="1"/>
  <c r="O130" i="1"/>
  <c r="O121" i="1"/>
  <c r="O141" i="1"/>
  <c r="N124" i="1"/>
  <c r="N135" i="1"/>
  <c r="N139" i="1"/>
  <c r="O117" i="1"/>
  <c r="O131" i="1"/>
  <c r="N127" i="1"/>
  <c r="O125" i="1"/>
  <c r="N129" i="1"/>
  <c r="N131" i="1"/>
  <c r="N146" i="1"/>
  <c r="O139" i="1"/>
  <c r="O135" i="1"/>
  <c r="N144" i="1"/>
  <c r="O138" i="1"/>
  <c r="N147" i="1"/>
  <c r="N149" i="1"/>
  <c r="O147" i="1"/>
  <c r="N148" i="1"/>
  <c r="N142" i="1"/>
  <c r="N143" i="1"/>
  <c r="N123" i="1"/>
  <c r="O128" i="1"/>
  <c r="N136" i="1"/>
  <c r="O126" i="1"/>
  <c r="N120" i="1"/>
  <c r="N121" i="1"/>
  <c r="N141" i="1"/>
  <c r="N128" i="1"/>
  <c r="N117" i="1"/>
  <c r="O129" i="1"/>
  <c r="O145" i="1"/>
  <c r="O118" i="1"/>
  <c r="N138" i="1"/>
  <c r="O146" i="1"/>
  <c r="O136" i="1"/>
  <c r="O143" i="1"/>
  <c r="O142" i="1"/>
  <c r="O123" i="1"/>
  <c r="O120" i="1"/>
  <c r="N145" i="1"/>
  <c r="O127" i="1"/>
  <c r="O124" i="1"/>
  <c r="O149" i="1"/>
  <c r="N125" i="1"/>
  <c r="O144" i="1"/>
  <c r="F419" i="2" l="1"/>
  <c r="F533" i="2"/>
  <c r="H312" i="2"/>
  <c r="H336" i="2"/>
  <c r="H360" i="2"/>
  <c r="H384" i="2"/>
  <c r="H430" i="2"/>
  <c r="H327" i="2"/>
  <c r="H351" i="2"/>
  <c r="H375" i="2"/>
  <c r="L215" i="2"/>
  <c r="H303" i="2"/>
  <c r="L5" i="2"/>
  <c r="H298" i="2"/>
  <c r="H322" i="2"/>
  <c r="H346" i="2"/>
  <c r="H370" i="2"/>
  <c r="H439" i="2"/>
  <c r="L199" i="2"/>
  <c r="H313" i="2"/>
  <c r="H337" i="2"/>
  <c r="H361" i="2"/>
  <c r="H385" i="2"/>
  <c r="H399" i="2"/>
  <c r="E30" i="1"/>
  <c r="E25" i="1"/>
  <c r="H295" i="2"/>
  <c r="H319" i="2"/>
  <c r="H343" i="2"/>
  <c r="H367" i="2"/>
  <c r="F401" i="2"/>
  <c r="H463" i="2"/>
  <c r="H329" i="2"/>
  <c r="H353" i="2"/>
  <c r="H377" i="2"/>
  <c r="H311" i="2"/>
  <c r="H335" i="2"/>
  <c r="H359" i="2"/>
  <c r="H383" i="2"/>
  <c r="CD156" i="1"/>
  <c r="CB156" i="1"/>
  <c r="E93" i="1"/>
  <c r="E110" i="1"/>
  <c r="E85" i="1"/>
  <c r="G85" i="1" s="1"/>
  <c r="Q96" i="1"/>
  <c r="Q95" i="1"/>
  <c r="Q94" i="1"/>
  <c r="CD256" i="1"/>
  <c r="CB256" i="1"/>
  <c r="H24" i="1"/>
  <c r="CC156" i="1"/>
  <c r="CC256" i="1"/>
  <c r="BQ159" i="1"/>
  <c r="BQ223" i="1"/>
  <c r="BQ192" i="1"/>
  <c r="BQ256" i="1"/>
  <c r="BQ217" i="1"/>
  <c r="BQ186" i="1"/>
  <c r="BQ250" i="1"/>
  <c r="BQ219" i="1"/>
  <c r="BQ221" i="1"/>
  <c r="BQ228" i="1"/>
  <c r="BQ229" i="1"/>
  <c r="BQ253" i="1"/>
  <c r="BQ236" i="1"/>
  <c r="BO187" i="1"/>
  <c r="BO251" i="1"/>
  <c r="BO212" i="1"/>
  <c r="BO173" i="1"/>
  <c r="BO237" i="1"/>
  <c r="BO198" i="1"/>
  <c r="BO160" i="1"/>
  <c r="BO177" i="1"/>
  <c r="BO242" i="1"/>
  <c r="BO183" i="1"/>
  <c r="BO168" i="1"/>
  <c r="BO223" i="1"/>
  <c r="BO234" i="1"/>
  <c r="BQ167" i="1"/>
  <c r="BQ231" i="1"/>
  <c r="BQ200" i="1"/>
  <c r="BQ161" i="1"/>
  <c r="BQ225" i="1"/>
  <c r="BQ194" i="1"/>
  <c r="BQ163" i="1"/>
  <c r="BQ227" i="1"/>
  <c r="BQ244" i="1"/>
  <c r="BQ182" i="1"/>
  <c r="BQ252" i="1"/>
  <c r="BQ196" i="1"/>
  <c r="BQ254" i="1"/>
  <c r="BO195" i="1"/>
  <c r="BO156" i="1"/>
  <c r="BO220" i="1"/>
  <c r="BO181" i="1"/>
  <c r="BO245" i="1"/>
  <c r="BO206" i="1"/>
  <c r="BO176" i="1"/>
  <c r="BO193" i="1"/>
  <c r="BO159" i="1"/>
  <c r="BO199" i="1"/>
  <c r="BO184" i="1"/>
  <c r="BO169" i="1"/>
  <c r="BO191" i="1"/>
  <c r="BQ175" i="1"/>
  <c r="BQ239" i="1"/>
  <c r="BQ208" i="1"/>
  <c r="BQ169" i="1"/>
  <c r="BQ233" i="1"/>
  <c r="BQ202" i="1"/>
  <c r="BQ171" i="1"/>
  <c r="BQ235" i="1"/>
  <c r="BQ158" i="1"/>
  <c r="BQ205" i="1"/>
  <c r="BQ214" i="1"/>
  <c r="BQ255" i="1"/>
  <c r="BQ173" i="1"/>
  <c r="BO203" i="1"/>
  <c r="BO164" i="1"/>
  <c r="BO228" i="1"/>
  <c r="BO189" i="1"/>
  <c r="BO253" i="1"/>
  <c r="BO214" i="1"/>
  <c r="BO192" i="1"/>
  <c r="BO209" i="1"/>
  <c r="BO255" i="1"/>
  <c r="BO215" i="1"/>
  <c r="BO200" i="1"/>
  <c r="BO185" i="1"/>
  <c r="BQ191" i="1"/>
  <c r="BQ160" i="1"/>
  <c r="BQ224" i="1"/>
  <c r="BQ185" i="1"/>
  <c r="BQ249" i="1"/>
  <c r="BQ218" i="1"/>
  <c r="BQ187" i="1"/>
  <c r="BQ251" i="1"/>
  <c r="BQ204" i="1"/>
  <c r="BQ156" i="1"/>
  <c r="BQ166" i="1"/>
  <c r="BQ238" i="1"/>
  <c r="BQ197" i="1"/>
  <c r="BO219" i="1"/>
  <c r="BO180" i="1"/>
  <c r="BO244" i="1"/>
  <c r="BO205" i="1"/>
  <c r="BO166" i="1"/>
  <c r="BO230" i="1"/>
  <c r="BO224" i="1"/>
  <c r="BO241" i="1"/>
  <c r="BO226" i="1"/>
  <c r="BO247" i="1"/>
  <c r="BO232" i="1"/>
  <c r="BO217" i="1"/>
  <c r="BQ176" i="1"/>
  <c r="BQ201" i="1"/>
  <c r="BQ234" i="1"/>
  <c r="BQ180" i="1"/>
  <c r="BQ188" i="1"/>
  <c r="BQ190" i="1"/>
  <c r="BO235" i="1"/>
  <c r="BO157" i="1"/>
  <c r="BO182" i="1"/>
  <c r="BO256" i="1"/>
  <c r="BQ184" i="1"/>
  <c r="BQ209" i="1"/>
  <c r="BQ242" i="1"/>
  <c r="BQ198" i="1"/>
  <c r="BQ206" i="1"/>
  <c r="BQ213" i="1"/>
  <c r="BO243" i="1"/>
  <c r="BO165" i="1"/>
  <c r="BO190" i="1"/>
  <c r="BO161" i="1"/>
  <c r="BO167" i="1"/>
  <c r="BO250" i="1"/>
  <c r="BQ183" i="1"/>
  <c r="BQ216" i="1"/>
  <c r="BQ241" i="1"/>
  <c r="BQ179" i="1"/>
  <c r="BQ181" i="1"/>
  <c r="BQ220" i="1"/>
  <c r="BQ237" i="1"/>
  <c r="BO172" i="1"/>
  <c r="BO197" i="1"/>
  <c r="BO222" i="1"/>
  <c r="BO225" i="1"/>
  <c r="BO231" i="1"/>
  <c r="BO201" i="1"/>
  <c r="BQ211" i="1"/>
  <c r="BO204" i="1"/>
  <c r="BO207" i="1"/>
  <c r="BO175" i="1"/>
  <c r="BQ199" i="1"/>
  <c r="BQ232" i="1"/>
  <c r="BQ162" i="1"/>
  <c r="BQ195" i="1"/>
  <c r="BQ222" i="1"/>
  <c r="BQ189" i="1"/>
  <c r="BO163" i="1"/>
  <c r="BO188" i="1"/>
  <c r="BO213" i="1"/>
  <c r="BO238" i="1"/>
  <c r="BO162" i="1"/>
  <c r="BO170" i="1"/>
  <c r="BO233" i="1"/>
  <c r="BQ248" i="1"/>
  <c r="BQ164" i="1"/>
  <c r="BO179" i="1"/>
  <c r="BO210" i="1"/>
  <c r="BO248" i="1"/>
  <c r="BO186" i="1"/>
  <c r="BQ207" i="1"/>
  <c r="BQ240" i="1"/>
  <c r="BQ170" i="1"/>
  <c r="BQ203" i="1"/>
  <c r="BQ245" i="1"/>
  <c r="BQ212" i="1"/>
  <c r="BO171" i="1"/>
  <c r="BO196" i="1"/>
  <c r="BO221" i="1"/>
  <c r="BO246" i="1"/>
  <c r="BO194" i="1"/>
  <c r="BO218" i="1"/>
  <c r="BO249" i="1"/>
  <c r="BQ215" i="1"/>
  <c r="BQ178" i="1"/>
  <c r="BQ230" i="1"/>
  <c r="BO229" i="1"/>
  <c r="BO254" i="1"/>
  <c r="BO202" i="1"/>
  <c r="BO240" i="1"/>
  <c r="BQ247" i="1"/>
  <c r="BQ177" i="1"/>
  <c r="BQ210" i="1"/>
  <c r="BQ243" i="1"/>
  <c r="BQ246" i="1"/>
  <c r="BQ174" i="1"/>
  <c r="BO211" i="1"/>
  <c r="BO236" i="1"/>
  <c r="BO158" i="1"/>
  <c r="BO208" i="1"/>
  <c r="BO178" i="1"/>
  <c r="BO216" i="1"/>
  <c r="BQ168" i="1"/>
  <c r="BQ193" i="1"/>
  <c r="BQ226" i="1"/>
  <c r="BQ157" i="1"/>
  <c r="BQ165" i="1"/>
  <c r="BQ172" i="1"/>
  <c r="BO227" i="1"/>
  <c r="BO252" i="1"/>
  <c r="BO174" i="1"/>
  <c r="BO239" i="1"/>
  <c r="AH156" i="1"/>
  <c r="CN156" i="1" s="1"/>
  <c r="CV156" i="1" s="1"/>
  <c r="O178" i="1"/>
  <c r="N178" i="1"/>
  <c r="O179" i="1"/>
  <c r="N179" i="1"/>
  <c r="E181" i="1"/>
  <c r="F188" i="1"/>
  <c r="F181" i="1"/>
  <c r="F182" i="1"/>
  <c r="F185" i="1"/>
  <c r="F186" i="1"/>
  <c r="F184" i="1"/>
  <c r="F183" i="1"/>
  <c r="F180" i="1"/>
  <c r="E186" i="1"/>
  <c r="E183" i="1"/>
  <c r="E187" i="1"/>
  <c r="E188" i="1"/>
  <c r="E185" i="1"/>
  <c r="E184" i="1"/>
  <c r="E182" i="1"/>
  <c r="E180" i="1"/>
  <c r="F173" i="1"/>
  <c r="F169" i="1"/>
  <c r="F174" i="1"/>
  <c r="F171" i="1"/>
  <c r="F168" i="1"/>
  <c r="F172" i="1"/>
  <c r="F170" i="1"/>
  <c r="F167" i="1"/>
  <c r="F166" i="1"/>
  <c r="E174" i="1"/>
  <c r="E170" i="1"/>
  <c r="E171" i="1"/>
  <c r="E169" i="1"/>
  <c r="E168" i="1"/>
  <c r="E172" i="1"/>
  <c r="E167" i="1"/>
  <c r="E166" i="1"/>
  <c r="F179" i="1"/>
  <c r="F178" i="1"/>
  <c r="E179" i="1"/>
  <c r="E178" i="1"/>
  <c r="F165" i="1"/>
  <c r="F164" i="1"/>
  <c r="E165" i="1"/>
  <c r="E164" i="1"/>
  <c r="M52" i="1"/>
  <c r="N52" i="1" s="1"/>
  <c r="H75" i="1"/>
  <c r="E33" i="1"/>
  <c r="E32" i="1"/>
  <c r="E35" i="1" s="1"/>
  <c r="E31" i="1"/>
  <c r="E36" i="1"/>
  <c r="E17" i="1"/>
  <c r="H74" i="1"/>
  <c r="H92" i="1"/>
  <c r="AF167" i="1"/>
  <c r="AF168" i="1" s="1"/>
  <c r="AF169" i="1" s="1"/>
  <c r="AF170" i="1" s="1"/>
  <c r="AF171" i="1" s="1"/>
  <c r="AF172" i="1" s="1"/>
  <c r="AF173" i="1" s="1"/>
  <c r="G55" i="1"/>
  <c r="I92" i="1"/>
  <c r="K470" i="2"/>
  <c r="K471" i="2" s="1"/>
  <c r="K472" i="2" s="1"/>
  <c r="K473" i="2" s="1"/>
  <c r="K474" i="2" s="1"/>
  <c r="K475" i="2" s="1"/>
  <c r="K476" i="2" s="1"/>
  <c r="K477" i="2" s="1"/>
  <c r="K478" i="2" s="1"/>
  <c r="K479" i="2" s="1"/>
  <c r="K480" i="2" s="1"/>
  <c r="K481" i="2" s="1"/>
  <c r="K482" i="2" s="1"/>
  <c r="K483" i="2" s="1"/>
  <c r="K484" i="2" s="1"/>
  <c r="K485" i="2" s="1"/>
  <c r="K486" i="2" s="1"/>
  <c r="K487" i="2" s="1"/>
  <c r="K488" i="2" s="1"/>
  <c r="L469" i="2"/>
  <c r="AJ156" i="1"/>
  <c r="BJ156" i="1" s="1"/>
  <c r="L210" i="2"/>
  <c r="J402" i="2"/>
  <c r="J466" i="2"/>
  <c r="J485" i="2"/>
  <c r="J501" i="2"/>
  <c r="J517" i="2"/>
  <c r="J533" i="2"/>
  <c r="J549" i="2"/>
  <c r="J565" i="2"/>
  <c r="J606" i="2"/>
  <c r="L414" i="2"/>
  <c r="AJ256" i="1"/>
  <c r="BJ256" i="1" s="1"/>
  <c r="AH256" i="1"/>
  <c r="J389" i="2"/>
  <c r="L197" i="2"/>
  <c r="J591" i="2"/>
  <c r="L399" i="2"/>
  <c r="L218" i="2"/>
  <c r="J410" i="2"/>
  <c r="J666" i="2"/>
  <c r="Q11" i="2"/>
  <c r="D112" i="2"/>
  <c r="D136" i="2" s="1"/>
  <c r="D160" i="2" s="1"/>
  <c r="L207" i="2"/>
  <c r="J418" i="2"/>
  <c r="J426" i="2"/>
  <c r="J434" i="2"/>
  <c r="J493" i="2"/>
  <c r="J509" i="2"/>
  <c r="J525" i="2"/>
  <c r="J541" i="2"/>
  <c r="J557" i="2"/>
  <c r="J573" i="2"/>
  <c r="K220" i="2"/>
  <c r="K221" i="2" s="1"/>
  <c r="L219" i="2"/>
  <c r="J397" i="2"/>
  <c r="L205" i="2"/>
  <c r="J442" i="2"/>
  <c r="F497" i="2"/>
  <c r="H401" i="2"/>
  <c r="K7" i="2"/>
  <c r="L6" i="2"/>
  <c r="J583" i="2"/>
  <c r="L391" i="2"/>
  <c r="J405" i="2"/>
  <c r="L213" i="2"/>
  <c r="J450" i="2"/>
  <c r="J599" i="2"/>
  <c r="L407" i="2"/>
  <c r="L202" i="2"/>
  <c r="J394" i="2"/>
  <c r="J458" i="2"/>
  <c r="J687" i="2"/>
  <c r="J490" i="2"/>
  <c r="J498" i="2"/>
  <c r="J506" i="2"/>
  <c r="J522" i="2"/>
  <c r="J530" i="2"/>
  <c r="J538" i="2"/>
  <c r="J546" i="2"/>
  <c r="J554" i="2"/>
  <c r="J562" i="2"/>
  <c r="J570" i="2"/>
  <c r="J578" i="2"/>
  <c r="F396" i="2"/>
  <c r="F476" i="2"/>
  <c r="J392" i="2"/>
  <c r="L200" i="2"/>
  <c r="J587" i="2"/>
  <c r="L395" i="2"/>
  <c r="J400" i="2"/>
  <c r="L208" i="2"/>
  <c r="J595" i="2"/>
  <c r="L403" i="2"/>
  <c r="J408" i="2"/>
  <c r="L216" i="2"/>
  <c r="J603" i="2"/>
  <c r="L411" i="2"/>
  <c r="J416" i="2"/>
  <c r="J424" i="2"/>
  <c r="J432" i="2"/>
  <c r="J440" i="2"/>
  <c r="J448" i="2"/>
  <c r="J456" i="2"/>
  <c r="J464" i="2"/>
  <c r="F606" i="2"/>
  <c r="H606" i="2" s="1"/>
  <c r="H510" i="2"/>
  <c r="H391" i="2"/>
  <c r="F505" i="2"/>
  <c r="H409" i="2"/>
  <c r="F513" i="2"/>
  <c r="H417" i="2"/>
  <c r="H431" i="2"/>
  <c r="F629" i="2"/>
  <c r="H629" i="2" s="1"/>
  <c r="H533" i="2"/>
  <c r="J888" i="2"/>
  <c r="L696" i="2"/>
  <c r="L198" i="2"/>
  <c r="J390" i="2"/>
  <c r="J718" i="2"/>
  <c r="J731" i="2"/>
  <c r="J734" i="2"/>
  <c r="J747" i="2"/>
  <c r="F404" i="2"/>
  <c r="H419" i="2"/>
  <c r="F515" i="2"/>
  <c r="J674" i="2"/>
  <c r="L482" i="2"/>
  <c r="J585" i="2"/>
  <c r="L393" i="2"/>
  <c r="L203" i="2"/>
  <c r="L206" i="2"/>
  <c r="J398" i="2"/>
  <c r="J593" i="2"/>
  <c r="L401" i="2"/>
  <c r="L211" i="2"/>
  <c r="L214" i="2"/>
  <c r="J406" i="2"/>
  <c r="J601" i="2"/>
  <c r="L409" i="2"/>
  <c r="J609" i="2"/>
  <c r="L417" i="2"/>
  <c r="J422" i="2"/>
  <c r="J617" i="2"/>
  <c r="L425" i="2"/>
  <c r="J430" i="2"/>
  <c r="J625" i="2"/>
  <c r="L433" i="2"/>
  <c r="J438" i="2"/>
  <c r="J633" i="2"/>
  <c r="L441" i="2"/>
  <c r="J446" i="2"/>
  <c r="J454" i="2"/>
  <c r="J462" i="2"/>
  <c r="F583" i="2"/>
  <c r="H583" i="2" s="1"/>
  <c r="H487" i="2"/>
  <c r="F599" i="2"/>
  <c r="H599" i="2" s="1"/>
  <c r="H503" i="2"/>
  <c r="F511" i="2"/>
  <c r="H415" i="2"/>
  <c r="F519" i="2"/>
  <c r="H423" i="2"/>
  <c r="F521" i="2"/>
  <c r="H425" i="2"/>
  <c r="F623" i="2"/>
  <c r="H623" i="2" s="1"/>
  <c r="H527" i="2"/>
  <c r="F529" i="2"/>
  <c r="H433" i="2"/>
  <c r="F631" i="2"/>
  <c r="H631" i="2" s="1"/>
  <c r="H535" i="2"/>
  <c r="F537" i="2"/>
  <c r="H441" i="2"/>
  <c r="F543" i="2"/>
  <c r="H447" i="2"/>
  <c r="F545" i="2"/>
  <c r="H449" i="2"/>
  <c r="F551" i="2"/>
  <c r="H455" i="2"/>
  <c r="F655" i="2"/>
  <c r="H655" i="2" s="1"/>
  <c r="H559" i="2"/>
  <c r="F561" i="2"/>
  <c r="H465" i="2"/>
  <c r="F567" i="2"/>
  <c r="H471" i="2"/>
  <c r="F569" i="2"/>
  <c r="H473" i="2"/>
  <c r="F575" i="2"/>
  <c r="H479" i="2"/>
  <c r="F577" i="2"/>
  <c r="H481" i="2"/>
  <c r="F531" i="2"/>
  <c r="H435" i="2"/>
  <c r="F553" i="2"/>
  <c r="H457" i="2"/>
  <c r="F412" i="2"/>
  <c r="H316" i="2"/>
  <c r="F420" i="2"/>
  <c r="H324" i="2"/>
  <c r="F428" i="2"/>
  <c r="H332" i="2"/>
  <c r="F436" i="2"/>
  <c r="H340" i="2"/>
  <c r="F452" i="2"/>
  <c r="H356" i="2"/>
  <c r="F460" i="2"/>
  <c r="H364" i="2"/>
  <c r="F468" i="2"/>
  <c r="H372" i="2"/>
  <c r="F484" i="2"/>
  <c r="H388" i="2"/>
  <c r="J706" i="2"/>
  <c r="J750" i="2"/>
  <c r="L201" i="2"/>
  <c r="L204" i="2"/>
  <c r="J396" i="2"/>
  <c r="L209" i="2"/>
  <c r="L212" i="2"/>
  <c r="J404" i="2"/>
  <c r="L217" i="2"/>
  <c r="L220" i="2"/>
  <c r="J607" i="2"/>
  <c r="L415" i="2"/>
  <c r="J420" i="2"/>
  <c r="J615" i="2"/>
  <c r="L423" i="2"/>
  <c r="J428" i="2"/>
  <c r="J623" i="2"/>
  <c r="L431" i="2"/>
  <c r="J436" i="2"/>
  <c r="J444" i="2"/>
  <c r="J639" i="2"/>
  <c r="L447" i="2"/>
  <c r="J452" i="2"/>
  <c r="L455" i="2"/>
  <c r="J647" i="2"/>
  <c r="J460" i="2"/>
  <c r="J468" i="2"/>
  <c r="J663" i="2"/>
  <c r="L471" i="2"/>
  <c r="J671" i="2"/>
  <c r="L479" i="2"/>
  <c r="J679" i="2"/>
  <c r="L487" i="2"/>
  <c r="J695" i="2"/>
  <c r="J703" i="2"/>
  <c r="J412" i="2"/>
  <c r="J631" i="2"/>
  <c r="L439" i="2"/>
  <c r="J655" i="2"/>
  <c r="L463" i="2"/>
  <c r="F489" i="2"/>
  <c r="F488" i="2"/>
  <c r="H392" i="2"/>
  <c r="F490" i="2"/>
  <c r="H394" i="2"/>
  <c r="F496" i="2"/>
  <c r="H400" i="2"/>
  <c r="F498" i="2"/>
  <c r="H402" i="2"/>
  <c r="F504" i="2"/>
  <c r="H408" i="2"/>
  <c r="F506" i="2"/>
  <c r="H410" i="2"/>
  <c r="H418" i="2"/>
  <c r="F514" i="2"/>
  <c r="H407" i="2"/>
  <c r="H414" i="2"/>
  <c r="F444" i="2"/>
  <c r="H495" i="2"/>
  <c r="F670" i="2"/>
  <c r="H670" i="2" s="1"/>
  <c r="H574" i="2"/>
  <c r="J903" i="2"/>
  <c r="L711" i="2"/>
  <c r="J719" i="2"/>
  <c r="J727" i="2"/>
  <c r="J735" i="2"/>
  <c r="J743" i="2"/>
  <c r="J751" i="2"/>
  <c r="J759" i="2"/>
  <c r="J767" i="2"/>
  <c r="F390" i="2"/>
  <c r="F398" i="2"/>
  <c r="F406" i="2"/>
  <c r="F427" i="2"/>
  <c r="F536" i="2"/>
  <c r="F614" i="2"/>
  <c r="H614" i="2" s="1"/>
  <c r="J662" i="2"/>
  <c r="L470" i="2"/>
  <c r="J856" i="2"/>
  <c r="L664" i="2"/>
  <c r="J668" i="2"/>
  <c r="L476" i="2"/>
  <c r="J670" i="2"/>
  <c r="L478" i="2"/>
  <c r="J864" i="2"/>
  <c r="L672" i="2"/>
  <c r="J676" i="2"/>
  <c r="L484" i="2"/>
  <c r="J684" i="2"/>
  <c r="J692" i="2"/>
  <c r="J700" i="2"/>
  <c r="J708" i="2"/>
  <c r="J716" i="2"/>
  <c r="F622" i="2"/>
  <c r="H622" i="2" s="1"/>
  <c r="H526" i="2"/>
  <c r="L724" i="2"/>
  <c r="J916" i="2"/>
  <c r="F630" i="2"/>
  <c r="H630" i="2" s="1"/>
  <c r="H534" i="2"/>
  <c r="J732" i="2"/>
  <c r="F542" i="2"/>
  <c r="H446" i="2"/>
  <c r="J932" i="2"/>
  <c r="L740" i="2"/>
  <c r="F550" i="2"/>
  <c r="H454" i="2"/>
  <c r="J748" i="2"/>
  <c r="F558" i="2"/>
  <c r="H462" i="2"/>
  <c r="J764" i="2"/>
  <c r="J772" i="2"/>
  <c r="F395" i="2"/>
  <c r="F403" i="2"/>
  <c r="F411" i="2"/>
  <c r="L445" i="2"/>
  <c r="L477" i="2"/>
  <c r="F549" i="2"/>
  <c r="J681" i="2"/>
  <c r="J689" i="2"/>
  <c r="J697" i="2"/>
  <c r="H318" i="2"/>
  <c r="J705" i="2"/>
  <c r="H326" i="2"/>
  <c r="J905" i="2"/>
  <c r="L713" i="2"/>
  <c r="H334" i="2"/>
  <c r="J913" i="2"/>
  <c r="L721" i="2"/>
  <c r="H342" i="2"/>
  <c r="J729" i="2"/>
  <c r="F539" i="2"/>
  <c r="H443" i="2"/>
  <c r="H350" i="2"/>
  <c r="J929" i="2"/>
  <c r="L737" i="2"/>
  <c r="F547" i="2"/>
  <c r="H451" i="2"/>
  <c r="H358" i="2"/>
  <c r="J745" i="2"/>
  <c r="F555" i="2"/>
  <c r="H459" i="2"/>
  <c r="H366" i="2"/>
  <c r="J945" i="2"/>
  <c r="L753" i="2"/>
  <c r="F563" i="2"/>
  <c r="H467" i="2"/>
  <c r="H374" i="2"/>
  <c r="J953" i="2"/>
  <c r="L761" i="2"/>
  <c r="F571" i="2"/>
  <c r="H475" i="2"/>
  <c r="H382" i="2"/>
  <c r="J769" i="2"/>
  <c r="F579" i="2"/>
  <c r="H483" i="2"/>
  <c r="H413" i="2"/>
  <c r="L472" i="2"/>
  <c r="F552" i="2"/>
  <c r="L621" i="2"/>
  <c r="L486" i="2"/>
  <c r="J686" i="2"/>
  <c r="J694" i="2"/>
  <c r="J702" i="2"/>
  <c r="H416" i="2"/>
  <c r="F512" i="2"/>
  <c r="J710" i="2"/>
  <c r="H424" i="2"/>
  <c r="F520" i="2"/>
  <c r="H432" i="2"/>
  <c r="F528" i="2"/>
  <c r="J726" i="2"/>
  <c r="H347" i="2"/>
  <c r="H448" i="2"/>
  <c r="F544" i="2"/>
  <c r="H355" i="2"/>
  <c r="J742" i="2"/>
  <c r="H363" i="2"/>
  <c r="H464" i="2"/>
  <c r="F560" i="2"/>
  <c r="H371" i="2"/>
  <c r="J758" i="2"/>
  <c r="F568" i="2"/>
  <c r="H472" i="2"/>
  <c r="H379" i="2"/>
  <c r="J766" i="2"/>
  <c r="F576" i="2"/>
  <c r="H480" i="2"/>
  <c r="H387" i="2"/>
  <c r="F397" i="2"/>
  <c r="F405" i="2"/>
  <c r="H421" i="2"/>
  <c r="L453" i="2"/>
  <c r="F566" i="2"/>
  <c r="J756" i="2"/>
  <c r="J683" i="2"/>
  <c r="J691" i="2"/>
  <c r="J699" i="2"/>
  <c r="F605" i="2"/>
  <c r="H605" i="2" s="1"/>
  <c r="H509" i="2"/>
  <c r="J707" i="2"/>
  <c r="F613" i="2"/>
  <c r="H613" i="2" s="1"/>
  <c r="H517" i="2"/>
  <c r="J907" i="2"/>
  <c r="L715" i="2"/>
  <c r="H429" i="2"/>
  <c r="F525" i="2"/>
  <c r="J723" i="2"/>
  <c r="H445" i="2"/>
  <c r="F541" i="2"/>
  <c r="J739" i="2"/>
  <c r="H461" i="2"/>
  <c r="F557" i="2"/>
  <c r="J755" i="2"/>
  <c r="F565" i="2"/>
  <c r="H469" i="2"/>
  <c r="J763" i="2"/>
  <c r="F573" i="2"/>
  <c r="H477" i="2"/>
  <c r="J771" i="2"/>
  <c r="F389" i="2"/>
  <c r="L413" i="2"/>
  <c r="L437" i="2"/>
  <c r="L480" i="2"/>
  <c r="J797" i="2"/>
  <c r="L605" i="2"/>
  <c r="J611" i="2"/>
  <c r="L419" i="2"/>
  <c r="J805" i="2"/>
  <c r="L613" i="2"/>
  <c r="J619" i="2"/>
  <c r="L427" i="2"/>
  <c r="L813" i="2"/>
  <c r="J1005" i="2"/>
  <c r="J627" i="2"/>
  <c r="L435" i="2"/>
  <c r="J821" i="2"/>
  <c r="L629" i="2"/>
  <c r="J635" i="2"/>
  <c r="L443" i="2"/>
  <c r="J1021" i="2"/>
  <c r="L829" i="2"/>
  <c r="J641" i="2"/>
  <c r="L449" i="2"/>
  <c r="J643" i="2"/>
  <c r="L451" i="2"/>
  <c r="J837" i="2"/>
  <c r="L645" i="2"/>
  <c r="J649" i="2"/>
  <c r="L457" i="2"/>
  <c r="J651" i="2"/>
  <c r="L459" i="2"/>
  <c r="J845" i="2"/>
  <c r="L653" i="2"/>
  <c r="J657" i="2"/>
  <c r="L465" i="2"/>
  <c r="J659" i="2"/>
  <c r="L467" i="2"/>
  <c r="J853" i="2"/>
  <c r="L661" i="2"/>
  <c r="J665" i="2"/>
  <c r="L473" i="2"/>
  <c r="J667" i="2"/>
  <c r="L475" i="2"/>
  <c r="J861" i="2"/>
  <c r="L669" i="2"/>
  <c r="J673" i="2"/>
  <c r="L481" i="2"/>
  <c r="J675" i="2"/>
  <c r="L483" i="2"/>
  <c r="J872" i="2"/>
  <c r="L680" i="2"/>
  <c r="J880" i="2"/>
  <c r="L688" i="2"/>
  <c r="H317" i="2"/>
  <c r="J896" i="2"/>
  <c r="L704" i="2"/>
  <c r="H325" i="2"/>
  <c r="J712" i="2"/>
  <c r="F522" i="2"/>
  <c r="H426" i="2"/>
  <c r="H333" i="2"/>
  <c r="J720" i="2"/>
  <c r="F530" i="2"/>
  <c r="H434" i="2"/>
  <c r="H341" i="2"/>
  <c r="J728" i="2"/>
  <c r="F538" i="2"/>
  <c r="H442" i="2"/>
  <c r="H349" i="2"/>
  <c r="J736" i="2"/>
  <c r="F546" i="2"/>
  <c r="H450" i="2"/>
  <c r="H357" i="2"/>
  <c r="J744" i="2"/>
  <c r="F554" i="2"/>
  <c r="H458" i="2"/>
  <c r="H365" i="2"/>
  <c r="J752" i="2"/>
  <c r="F562" i="2"/>
  <c r="H466" i="2"/>
  <c r="H373" i="2"/>
  <c r="J760" i="2"/>
  <c r="F570" i="2"/>
  <c r="H474" i="2"/>
  <c r="H381" i="2"/>
  <c r="J768" i="2"/>
  <c r="F578" i="2"/>
  <c r="H482" i="2"/>
  <c r="L421" i="2"/>
  <c r="L429" i="2"/>
  <c r="H438" i="2"/>
  <c r="L461" i="2"/>
  <c r="L637" i="2"/>
  <c r="J678" i="2"/>
  <c r="L474" i="2" l="1"/>
  <c r="E84" i="1"/>
  <c r="G13" i="3"/>
  <c r="G84" i="1"/>
  <c r="AQ156" i="1"/>
  <c r="AP256" i="1"/>
  <c r="AP156" i="1"/>
  <c r="AR156" i="1" s="1"/>
  <c r="CK156" i="1"/>
  <c r="CK256" i="1"/>
  <c r="CF156" i="1"/>
  <c r="CP156" i="1" s="1"/>
  <c r="CF256" i="1"/>
  <c r="CI156" i="1"/>
  <c r="CR156" i="1" s="1"/>
  <c r="BK156" i="1"/>
  <c r="BM156" i="1" s="1"/>
  <c r="BL156" i="1"/>
  <c r="BK256" i="1"/>
  <c r="BM256" i="1" s="1"/>
  <c r="BL256" i="1"/>
  <c r="BS159" i="1"/>
  <c r="BS167" i="1"/>
  <c r="BS175" i="1"/>
  <c r="BS183" i="1"/>
  <c r="BS191" i="1"/>
  <c r="BS199" i="1"/>
  <c r="BS207" i="1"/>
  <c r="BS215" i="1"/>
  <c r="BS223" i="1"/>
  <c r="BS231" i="1"/>
  <c r="BS239" i="1"/>
  <c r="BS247" i="1"/>
  <c r="BS255" i="1"/>
  <c r="BS161" i="1"/>
  <c r="BS177" i="1"/>
  <c r="BS193" i="1"/>
  <c r="BS209" i="1"/>
  <c r="BS225" i="1"/>
  <c r="BS241" i="1"/>
  <c r="BS251" i="1"/>
  <c r="BS172" i="1"/>
  <c r="BS188" i="1"/>
  <c r="BS196" i="1"/>
  <c r="BS220" i="1"/>
  <c r="BS244" i="1"/>
  <c r="BS165" i="1"/>
  <c r="BS189" i="1"/>
  <c r="BS205" i="1"/>
  <c r="BS221" i="1"/>
  <c r="BS245" i="1"/>
  <c r="BS166" i="1"/>
  <c r="BS182" i="1"/>
  <c r="BS206" i="1"/>
  <c r="BS230" i="1"/>
  <c r="BS254" i="1"/>
  <c r="BS160" i="1"/>
  <c r="BS168" i="1"/>
  <c r="BS176" i="1"/>
  <c r="BS184" i="1"/>
  <c r="BS192" i="1"/>
  <c r="BS200" i="1"/>
  <c r="BS208" i="1"/>
  <c r="BS216" i="1"/>
  <c r="BS224" i="1"/>
  <c r="BS232" i="1"/>
  <c r="BS240" i="1"/>
  <c r="BS248" i="1"/>
  <c r="BS256" i="1"/>
  <c r="BS169" i="1"/>
  <c r="BS185" i="1"/>
  <c r="BS201" i="1"/>
  <c r="BS217" i="1"/>
  <c r="BS233" i="1"/>
  <c r="BS249" i="1"/>
  <c r="BS164" i="1"/>
  <c r="BS204" i="1"/>
  <c r="BS228" i="1"/>
  <c r="BS252" i="1"/>
  <c r="BS173" i="1"/>
  <c r="BS229" i="1"/>
  <c r="BS174" i="1"/>
  <c r="BS198" i="1"/>
  <c r="BS222" i="1"/>
  <c r="BS246" i="1"/>
  <c r="BS162" i="1"/>
  <c r="BS170" i="1"/>
  <c r="BS178" i="1"/>
  <c r="BS186" i="1"/>
  <c r="BS194" i="1"/>
  <c r="BS202" i="1"/>
  <c r="BS210" i="1"/>
  <c r="BS218" i="1"/>
  <c r="BS226" i="1"/>
  <c r="BS234" i="1"/>
  <c r="BS242" i="1"/>
  <c r="BS250" i="1"/>
  <c r="BS163" i="1"/>
  <c r="BS171" i="1"/>
  <c r="BS179" i="1"/>
  <c r="BS187" i="1"/>
  <c r="BS195" i="1"/>
  <c r="BS203" i="1"/>
  <c r="BS211" i="1"/>
  <c r="BS219" i="1"/>
  <c r="BS227" i="1"/>
  <c r="BS235" i="1"/>
  <c r="BS243" i="1"/>
  <c r="BS156" i="1"/>
  <c r="BS180" i="1"/>
  <c r="BS212" i="1"/>
  <c r="BS236" i="1"/>
  <c r="BS157" i="1"/>
  <c r="BS181" i="1"/>
  <c r="BS197" i="1"/>
  <c r="BS213" i="1"/>
  <c r="BS237" i="1"/>
  <c r="BS253" i="1"/>
  <c r="BS158" i="1"/>
  <c r="BS190" i="1"/>
  <c r="BS214" i="1"/>
  <c r="BS238" i="1"/>
  <c r="BP156" i="1"/>
  <c r="BP164" i="1"/>
  <c r="BP172" i="1"/>
  <c r="BP180" i="1"/>
  <c r="BP188" i="1"/>
  <c r="BP196" i="1"/>
  <c r="BP204" i="1"/>
  <c r="BP212" i="1"/>
  <c r="BP220" i="1"/>
  <c r="BP228" i="1"/>
  <c r="BP236" i="1"/>
  <c r="BP244" i="1"/>
  <c r="BP252" i="1"/>
  <c r="BP165" i="1"/>
  <c r="BP181" i="1"/>
  <c r="BP197" i="1"/>
  <c r="BP213" i="1"/>
  <c r="BP229" i="1"/>
  <c r="BP245" i="1"/>
  <c r="BP158" i="1"/>
  <c r="BP174" i="1"/>
  <c r="BP198" i="1"/>
  <c r="BP214" i="1"/>
  <c r="BP238" i="1"/>
  <c r="BP182" i="1"/>
  <c r="BP159" i="1"/>
  <c r="BP167" i="1"/>
  <c r="BP175" i="1"/>
  <c r="BP183" i="1"/>
  <c r="BP191" i="1"/>
  <c r="BP199" i="1"/>
  <c r="BP207" i="1"/>
  <c r="BP215" i="1"/>
  <c r="BP223" i="1"/>
  <c r="BP231" i="1"/>
  <c r="BP239" i="1"/>
  <c r="BP247" i="1"/>
  <c r="BP255" i="1"/>
  <c r="BP160" i="1"/>
  <c r="BP168" i="1"/>
  <c r="BP176" i="1"/>
  <c r="BP184" i="1"/>
  <c r="BP192" i="1"/>
  <c r="BP200" i="1"/>
  <c r="BP208" i="1"/>
  <c r="BP216" i="1"/>
  <c r="BP224" i="1"/>
  <c r="BP232" i="1"/>
  <c r="BP240" i="1"/>
  <c r="BP248" i="1"/>
  <c r="BP256" i="1"/>
  <c r="BP230" i="1"/>
  <c r="BP254" i="1"/>
  <c r="BP161" i="1"/>
  <c r="BP169" i="1"/>
  <c r="BP177" i="1"/>
  <c r="BP185" i="1"/>
  <c r="BP193" i="1"/>
  <c r="BP201" i="1"/>
  <c r="BP209" i="1"/>
  <c r="BP217" i="1"/>
  <c r="BP225" i="1"/>
  <c r="BP233" i="1"/>
  <c r="BP241" i="1"/>
  <c r="BP249" i="1"/>
  <c r="BP162" i="1"/>
  <c r="BP170" i="1"/>
  <c r="BP178" i="1"/>
  <c r="BP186" i="1"/>
  <c r="BP194" i="1"/>
  <c r="BP202" i="1"/>
  <c r="BP210" i="1"/>
  <c r="BP218" i="1"/>
  <c r="BP226" i="1"/>
  <c r="BP234" i="1"/>
  <c r="BP242" i="1"/>
  <c r="BP250" i="1"/>
  <c r="BP222" i="1"/>
  <c r="BP246" i="1"/>
  <c r="BP163" i="1"/>
  <c r="BP171" i="1"/>
  <c r="BP179" i="1"/>
  <c r="BP187" i="1"/>
  <c r="BP195" i="1"/>
  <c r="BP203" i="1"/>
  <c r="BP211" i="1"/>
  <c r="BP219" i="1"/>
  <c r="BP227" i="1"/>
  <c r="BP235" i="1"/>
  <c r="BP243" i="1"/>
  <c r="BP251" i="1"/>
  <c r="BP157" i="1"/>
  <c r="BP173" i="1"/>
  <c r="BP189" i="1"/>
  <c r="BP205" i="1"/>
  <c r="BP221" i="1"/>
  <c r="BP237" i="1"/>
  <c r="BP253" i="1"/>
  <c r="BP166" i="1"/>
  <c r="BP190" i="1"/>
  <c r="BP206" i="1"/>
  <c r="AU157" i="1"/>
  <c r="AU163" i="1"/>
  <c r="AU171" i="1"/>
  <c r="AU179" i="1"/>
  <c r="AU187" i="1"/>
  <c r="AU195" i="1"/>
  <c r="AU203" i="1"/>
  <c r="AU211" i="1"/>
  <c r="AU219" i="1"/>
  <c r="AU227" i="1"/>
  <c r="AU235" i="1"/>
  <c r="AU243" i="1"/>
  <c r="AU251" i="1"/>
  <c r="AU165" i="1"/>
  <c r="AU173" i="1"/>
  <c r="AU189" i="1"/>
  <c r="AU205" i="1"/>
  <c r="AU221" i="1"/>
  <c r="AU237" i="1"/>
  <c r="AU253" i="1"/>
  <c r="AU166" i="1"/>
  <c r="AU198" i="1"/>
  <c r="AU222" i="1"/>
  <c r="AU238" i="1"/>
  <c r="AU254" i="1"/>
  <c r="AU167" i="1"/>
  <c r="AU175" i="1"/>
  <c r="AU191" i="1"/>
  <c r="AU215" i="1"/>
  <c r="AU231" i="1"/>
  <c r="AU247" i="1"/>
  <c r="AU160" i="1"/>
  <c r="AU176" i="1"/>
  <c r="AU192" i="1"/>
  <c r="AU208" i="1"/>
  <c r="AU232" i="1"/>
  <c r="AU248" i="1"/>
  <c r="AU169" i="1"/>
  <c r="AU193" i="1"/>
  <c r="AU201" i="1"/>
  <c r="AU217" i="1"/>
  <c r="AU233" i="1"/>
  <c r="AU156" i="1"/>
  <c r="AU170" i="1"/>
  <c r="AU186" i="1"/>
  <c r="AU202" i="1"/>
  <c r="AU226" i="1"/>
  <c r="AU242" i="1"/>
  <c r="AU164" i="1"/>
  <c r="AU172" i="1"/>
  <c r="AU180" i="1"/>
  <c r="AU188" i="1"/>
  <c r="AU196" i="1"/>
  <c r="AU204" i="1"/>
  <c r="AU212" i="1"/>
  <c r="AU220" i="1"/>
  <c r="AU228" i="1"/>
  <c r="AU236" i="1"/>
  <c r="AU244" i="1"/>
  <c r="AU252" i="1"/>
  <c r="AU158" i="1"/>
  <c r="AU181" i="1"/>
  <c r="AU197" i="1"/>
  <c r="AU213" i="1"/>
  <c r="AU229" i="1"/>
  <c r="AU245" i="1"/>
  <c r="AU174" i="1"/>
  <c r="AU182" i="1"/>
  <c r="AU190" i="1"/>
  <c r="AU206" i="1"/>
  <c r="AU214" i="1"/>
  <c r="AU230" i="1"/>
  <c r="AU246" i="1"/>
  <c r="AU159" i="1"/>
  <c r="AU183" i="1"/>
  <c r="AU199" i="1"/>
  <c r="AU207" i="1"/>
  <c r="AU223" i="1"/>
  <c r="AU239" i="1"/>
  <c r="AU255" i="1"/>
  <c r="AU168" i="1"/>
  <c r="AU184" i="1"/>
  <c r="AU200" i="1"/>
  <c r="AU216" i="1"/>
  <c r="AU224" i="1"/>
  <c r="AU240" i="1"/>
  <c r="AU256" i="1"/>
  <c r="AU161" i="1"/>
  <c r="AU177" i="1"/>
  <c r="AU185" i="1"/>
  <c r="AU209" i="1"/>
  <c r="AU225" i="1"/>
  <c r="AU241" i="1"/>
  <c r="AU249" i="1"/>
  <c r="AU162" i="1"/>
  <c r="AU178" i="1"/>
  <c r="AU194" i="1"/>
  <c r="AU210" i="1"/>
  <c r="AU218" i="1"/>
  <c r="AU234" i="1"/>
  <c r="AU250" i="1"/>
  <c r="AY156" i="1"/>
  <c r="AY162" i="1"/>
  <c r="AY170" i="1"/>
  <c r="AY178" i="1"/>
  <c r="AY186" i="1"/>
  <c r="AY194" i="1"/>
  <c r="AY202" i="1"/>
  <c r="AY157" i="1"/>
  <c r="AY163" i="1"/>
  <c r="AY171" i="1"/>
  <c r="AY179" i="1"/>
  <c r="AY187" i="1"/>
  <c r="AY195" i="1"/>
  <c r="AY203" i="1"/>
  <c r="AY211" i="1"/>
  <c r="AY164" i="1"/>
  <c r="AY172" i="1"/>
  <c r="AY180" i="1"/>
  <c r="AY188" i="1"/>
  <c r="AY196" i="1"/>
  <c r="AY204" i="1"/>
  <c r="AY212" i="1"/>
  <c r="AY220" i="1"/>
  <c r="AY228" i="1"/>
  <c r="AY236" i="1"/>
  <c r="AY244" i="1"/>
  <c r="AY252" i="1"/>
  <c r="AY158" i="1"/>
  <c r="AY165" i="1"/>
  <c r="AY173" i="1"/>
  <c r="AY181" i="1"/>
  <c r="AY189" i="1"/>
  <c r="AY197" i="1"/>
  <c r="AY205" i="1"/>
  <c r="AY213" i="1"/>
  <c r="AY221" i="1"/>
  <c r="AY229" i="1"/>
  <c r="AY237" i="1"/>
  <c r="AY245" i="1"/>
  <c r="AY253" i="1"/>
  <c r="AY227" i="1"/>
  <c r="AY166" i="1"/>
  <c r="AY174" i="1"/>
  <c r="AY182" i="1"/>
  <c r="AY190" i="1"/>
  <c r="AY198" i="1"/>
  <c r="AY206" i="1"/>
  <c r="AY214" i="1"/>
  <c r="AY222" i="1"/>
  <c r="AY230" i="1"/>
  <c r="AY238" i="1"/>
  <c r="AY246" i="1"/>
  <c r="AY254" i="1"/>
  <c r="AY192" i="1"/>
  <c r="AY216" i="1"/>
  <c r="AY248" i="1"/>
  <c r="AY161" i="1"/>
  <c r="AY177" i="1"/>
  <c r="AY201" i="1"/>
  <c r="AY225" i="1"/>
  <c r="AY249" i="1"/>
  <c r="AY218" i="1"/>
  <c r="AY242" i="1"/>
  <c r="AY235" i="1"/>
  <c r="AY159" i="1"/>
  <c r="AY167" i="1"/>
  <c r="AY175" i="1"/>
  <c r="AY183" i="1"/>
  <c r="AY191" i="1"/>
  <c r="AY199" i="1"/>
  <c r="AY207" i="1"/>
  <c r="AY215" i="1"/>
  <c r="AY223" i="1"/>
  <c r="AY231" i="1"/>
  <c r="AY239" i="1"/>
  <c r="AY247" i="1"/>
  <c r="AY255" i="1"/>
  <c r="AY184" i="1"/>
  <c r="AY208" i="1"/>
  <c r="AY232" i="1"/>
  <c r="AY256" i="1"/>
  <c r="AY193" i="1"/>
  <c r="AY217" i="1"/>
  <c r="AY241" i="1"/>
  <c r="AY210" i="1"/>
  <c r="AY250" i="1"/>
  <c r="AY243" i="1"/>
  <c r="AY251" i="1"/>
  <c r="AY160" i="1"/>
  <c r="AY168" i="1"/>
  <c r="AY176" i="1"/>
  <c r="AY200" i="1"/>
  <c r="AY224" i="1"/>
  <c r="AY240" i="1"/>
  <c r="AY169" i="1"/>
  <c r="AY185" i="1"/>
  <c r="AY209" i="1"/>
  <c r="AY233" i="1"/>
  <c r="AY226" i="1"/>
  <c r="AY234" i="1"/>
  <c r="AY219" i="1"/>
  <c r="AV161" i="1"/>
  <c r="AV169" i="1"/>
  <c r="AV177" i="1"/>
  <c r="AV185" i="1"/>
  <c r="AV193" i="1"/>
  <c r="AV201" i="1"/>
  <c r="AV209" i="1"/>
  <c r="AV217" i="1"/>
  <c r="AV225" i="1"/>
  <c r="AV233" i="1"/>
  <c r="AV241" i="1"/>
  <c r="AV249" i="1"/>
  <c r="AV162" i="1"/>
  <c r="AV178" i="1"/>
  <c r="AV194" i="1"/>
  <c r="AV210" i="1"/>
  <c r="AV250" i="1"/>
  <c r="AV163" i="1"/>
  <c r="AV171" i="1"/>
  <c r="AV187" i="1"/>
  <c r="AV203" i="1"/>
  <c r="AV219" i="1"/>
  <c r="AV235" i="1"/>
  <c r="AV251" i="1"/>
  <c r="AV164" i="1"/>
  <c r="AV172" i="1"/>
  <c r="AV180" i="1"/>
  <c r="AV188" i="1"/>
  <c r="AV196" i="1"/>
  <c r="AV204" i="1"/>
  <c r="AV212" i="1"/>
  <c r="AV220" i="1"/>
  <c r="AV228" i="1"/>
  <c r="AV236" i="1"/>
  <c r="AV244" i="1"/>
  <c r="AV252" i="1"/>
  <c r="AV166" i="1"/>
  <c r="AV174" i="1"/>
  <c r="AV182" i="1"/>
  <c r="AV198" i="1"/>
  <c r="AV214" i="1"/>
  <c r="AV230" i="1"/>
  <c r="AV246" i="1"/>
  <c r="AV159" i="1"/>
  <c r="AV175" i="1"/>
  <c r="AV191" i="1"/>
  <c r="AV215" i="1"/>
  <c r="AV223" i="1"/>
  <c r="AV239" i="1"/>
  <c r="AV255" i="1"/>
  <c r="AV158" i="1"/>
  <c r="AV165" i="1"/>
  <c r="AV173" i="1"/>
  <c r="AV181" i="1"/>
  <c r="AV189" i="1"/>
  <c r="AV197" i="1"/>
  <c r="AV205" i="1"/>
  <c r="AV213" i="1"/>
  <c r="AV221" i="1"/>
  <c r="AV229" i="1"/>
  <c r="AV237" i="1"/>
  <c r="AV245" i="1"/>
  <c r="AV253" i="1"/>
  <c r="AV190" i="1"/>
  <c r="AV206" i="1"/>
  <c r="AV222" i="1"/>
  <c r="AV238" i="1"/>
  <c r="AV254" i="1"/>
  <c r="AV167" i="1"/>
  <c r="AV183" i="1"/>
  <c r="AV199" i="1"/>
  <c r="AV207" i="1"/>
  <c r="AV231" i="1"/>
  <c r="AV247" i="1"/>
  <c r="AV160" i="1"/>
  <c r="AV168" i="1"/>
  <c r="AV176" i="1"/>
  <c r="AV184" i="1"/>
  <c r="AV192" i="1"/>
  <c r="AV200" i="1"/>
  <c r="AV208" i="1"/>
  <c r="AV216" i="1"/>
  <c r="AV224" i="1"/>
  <c r="AV232" i="1"/>
  <c r="AV240" i="1"/>
  <c r="AV248" i="1"/>
  <c r="AV256" i="1"/>
  <c r="AV156" i="1"/>
  <c r="AV170" i="1"/>
  <c r="AV186" i="1"/>
  <c r="AV202" i="1"/>
  <c r="AV218" i="1"/>
  <c r="AV226" i="1"/>
  <c r="AV234" i="1"/>
  <c r="AV242" i="1"/>
  <c r="AV157" i="1"/>
  <c r="AV179" i="1"/>
  <c r="AV195" i="1"/>
  <c r="AV211" i="1"/>
  <c r="AV227" i="1"/>
  <c r="AV243" i="1"/>
  <c r="AW161" i="1"/>
  <c r="AW169" i="1"/>
  <c r="AW177" i="1"/>
  <c r="AW185" i="1"/>
  <c r="AW193" i="1"/>
  <c r="AW201" i="1"/>
  <c r="AW209" i="1"/>
  <c r="AW217" i="1"/>
  <c r="AW225" i="1"/>
  <c r="AW233" i="1"/>
  <c r="AW241" i="1"/>
  <c r="AW249" i="1"/>
  <c r="AW162" i="1"/>
  <c r="AW170" i="1"/>
  <c r="AW178" i="1"/>
  <c r="AW194" i="1"/>
  <c r="AW210" i="1"/>
  <c r="AW226" i="1"/>
  <c r="AW234" i="1"/>
  <c r="AW250" i="1"/>
  <c r="AW171" i="1"/>
  <c r="AW179" i="1"/>
  <c r="AW203" i="1"/>
  <c r="AW235" i="1"/>
  <c r="AW157" i="1"/>
  <c r="AW164" i="1"/>
  <c r="AW172" i="1"/>
  <c r="AW180" i="1"/>
  <c r="AW188" i="1"/>
  <c r="AW196" i="1"/>
  <c r="AW204" i="1"/>
  <c r="AW212" i="1"/>
  <c r="AW220" i="1"/>
  <c r="AW228" i="1"/>
  <c r="AW236" i="1"/>
  <c r="AW244" i="1"/>
  <c r="AW252" i="1"/>
  <c r="AW166" i="1"/>
  <c r="AW190" i="1"/>
  <c r="AW206" i="1"/>
  <c r="AW222" i="1"/>
  <c r="AW238" i="1"/>
  <c r="AW254" i="1"/>
  <c r="AW211" i="1"/>
  <c r="AW158" i="1"/>
  <c r="AW165" i="1"/>
  <c r="AW173" i="1"/>
  <c r="AW181" i="1"/>
  <c r="AW189" i="1"/>
  <c r="AW197" i="1"/>
  <c r="AW205" i="1"/>
  <c r="AW213" i="1"/>
  <c r="AW221" i="1"/>
  <c r="AW229" i="1"/>
  <c r="AW237" i="1"/>
  <c r="AW245" i="1"/>
  <c r="AW253" i="1"/>
  <c r="AW174" i="1"/>
  <c r="AW182" i="1"/>
  <c r="AW198" i="1"/>
  <c r="AW214" i="1"/>
  <c r="AW230" i="1"/>
  <c r="AW246" i="1"/>
  <c r="AW219" i="1"/>
  <c r="AW159" i="1"/>
  <c r="AW167" i="1"/>
  <c r="AW175" i="1"/>
  <c r="AW183" i="1"/>
  <c r="AW191" i="1"/>
  <c r="AW199" i="1"/>
  <c r="AW207" i="1"/>
  <c r="AW215" i="1"/>
  <c r="AW223" i="1"/>
  <c r="AW231" i="1"/>
  <c r="AW239" i="1"/>
  <c r="AW247" i="1"/>
  <c r="AW255" i="1"/>
  <c r="AW243" i="1"/>
  <c r="AW160" i="1"/>
  <c r="AW168" i="1"/>
  <c r="AW176" i="1"/>
  <c r="AW184" i="1"/>
  <c r="AW192" i="1"/>
  <c r="AW200" i="1"/>
  <c r="AW208" i="1"/>
  <c r="AW216" i="1"/>
  <c r="AW224" i="1"/>
  <c r="AW232" i="1"/>
  <c r="AW240" i="1"/>
  <c r="AW248" i="1"/>
  <c r="AW256" i="1"/>
  <c r="AW156" i="1"/>
  <c r="AW186" i="1"/>
  <c r="AW202" i="1"/>
  <c r="AW218" i="1"/>
  <c r="AW242" i="1"/>
  <c r="AW163" i="1"/>
  <c r="AW187" i="1"/>
  <c r="AW195" i="1"/>
  <c r="AW227" i="1"/>
  <c r="AW251" i="1"/>
  <c r="AQ256" i="1"/>
  <c r="E34" i="1"/>
  <c r="AK161" i="1"/>
  <c r="AK169" i="1"/>
  <c r="AK177" i="1"/>
  <c r="AK185" i="1"/>
  <c r="AK193" i="1"/>
  <c r="AK201" i="1"/>
  <c r="AK209" i="1"/>
  <c r="AK217" i="1"/>
  <c r="AK225" i="1"/>
  <c r="AK233" i="1"/>
  <c r="AK241" i="1"/>
  <c r="AK249" i="1"/>
  <c r="AK192" i="1"/>
  <c r="AK248" i="1"/>
  <c r="AK156" i="1"/>
  <c r="AO156" i="1" s="1"/>
  <c r="AK162" i="1"/>
  <c r="AK170" i="1"/>
  <c r="AK178" i="1"/>
  <c r="AK186" i="1"/>
  <c r="AK194" i="1"/>
  <c r="AK202" i="1"/>
  <c r="AK210" i="1"/>
  <c r="AK218" i="1"/>
  <c r="AK226" i="1"/>
  <c r="AK234" i="1"/>
  <c r="AK242" i="1"/>
  <c r="AK250" i="1"/>
  <c r="AK168" i="1"/>
  <c r="AK216" i="1"/>
  <c r="AK157" i="1"/>
  <c r="AK163" i="1"/>
  <c r="AK171" i="1"/>
  <c r="AK179" i="1"/>
  <c r="AK187" i="1"/>
  <c r="AK195" i="1"/>
  <c r="AK203" i="1"/>
  <c r="AK211" i="1"/>
  <c r="AK219" i="1"/>
  <c r="AK227" i="1"/>
  <c r="AK235" i="1"/>
  <c r="AK243" i="1"/>
  <c r="AK251" i="1"/>
  <c r="AK160" i="1"/>
  <c r="AK224" i="1"/>
  <c r="AK164" i="1"/>
  <c r="AK172" i="1"/>
  <c r="AK180" i="1"/>
  <c r="AK188" i="1"/>
  <c r="AK196" i="1"/>
  <c r="AK204" i="1"/>
  <c r="AK212" i="1"/>
  <c r="AK220" i="1"/>
  <c r="AK228" i="1"/>
  <c r="AK236" i="1"/>
  <c r="AK244" i="1"/>
  <c r="AK252" i="1"/>
  <c r="AK184" i="1"/>
  <c r="AK232" i="1"/>
  <c r="AK256" i="1"/>
  <c r="AL256" i="1" s="1"/>
  <c r="BW256" i="1" s="1"/>
  <c r="AK158" i="1"/>
  <c r="AK165" i="1"/>
  <c r="AK173" i="1"/>
  <c r="AK181" i="1"/>
  <c r="AK189" i="1"/>
  <c r="AK197" i="1"/>
  <c r="AK205" i="1"/>
  <c r="AK213" i="1"/>
  <c r="AK221" i="1"/>
  <c r="AK229" i="1"/>
  <c r="AK237" i="1"/>
  <c r="AK245" i="1"/>
  <c r="AK253" i="1"/>
  <c r="AK200" i="1"/>
  <c r="AK166" i="1"/>
  <c r="AK174" i="1"/>
  <c r="AK182" i="1"/>
  <c r="AK190" i="1"/>
  <c r="AK198" i="1"/>
  <c r="AK206" i="1"/>
  <c r="AK214" i="1"/>
  <c r="AK222" i="1"/>
  <c r="AK230" i="1"/>
  <c r="AK238" i="1"/>
  <c r="AK246" i="1"/>
  <c r="AK254" i="1"/>
  <c r="AK208" i="1"/>
  <c r="AK159" i="1"/>
  <c r="AK167" i="1"/>
  <c r="AK175" i="1"/>
  <c r="AK183" i="1"/>
  <c r="AK191" i="1"/>
  <c r="AK199" i="1"/>
  <c r="AK207" i="1"/>
  <c r="AK215" i="1"/>
  <c r="AK223" i="1"/>
  <c r="AK231" i="1"/>
  <c r="AK239" i="1"/>
  <c r="AK247" i="1"/>
  <c r="AK255" i="1"/>
  <c r="AK176" i="1"/>
  <c r="AK240" i="1"/>
  <c r="E18" i="1"/>
  <c r="E19" i="1"/>
  <c r="H546" i="2"/>
  <c r="F642" i="2"/>
  <c r="H642" i="2" s="1"/>
  <c r="J928" i="2"/>
  <c r="L736" i="2"/>
  <c r="J870" i="2"/>
  <c r="L678" i="2"/>
  <c r="J952" i="2"/>
  <c r="L760" i="2"/>
  <c r="F650" i="2"/>
  <c r="H650" i="2" s="1"/>
  <c r="H554" i="2"/>
  <c r="J867" i="2"/>
  <c r="L675" i="2"/>
  <c r="L665" i="2"/>
  <c r="J857" i="2"/>
  <c r="L845" i="2"/>
  <c r="J1037" i="2"/>
  <c r="J835" i="2"/>
  <c r="L643" i="2"/>
  <c r="J1013" i="2"/>
  <c r="L821" i="2"/>
  <c r="J997" i="2"/>
  <c r="L805" i="2"/>
  <c r="J955" i="2"/>
  <c r="L763" i="2"/>
  <c r="J1145" i="2"/>
  <c r="L953" i="2"/>
  <c r="F651" i="2"/>
  <c r="H651" i="2" s="1"/>
  <c r="H555" i="2"/>
  <c r="J889" i="2"/>
  <c r="L697" i="2"/>
  <c r="J1124" i="2"/>
  <c r="L932" i="2"/>
  <c r="J892" i="2"/>
  <c r="L700" i="2"/>
  <c r="J1056" i="2"/>
  <c r="L864" i="2"/>
  <c r="J854" i="2"/>
  <c r="L662" i="2"/>
  <c r="F494" i="2"/>
  <c r="H398" i="2"/>
  <c r="F610" i="2"/>
  <c r="H610" i="2" s="1"/>
  <c r="H514" i="2"/>
  <c r="J847" i="2"/>
  <c r="L655" i="2"/>
  <c r="J596" i="2"/>
  <c r="L404" i="2"/>
  <c r="L601" i="2"/>
  <c r="J793" i="2"/>
  <c r="J939" i="2"/>
  <c r="L747" i="2"/>
  <c r="J582" i="2"/>
  <c r="L390" i="2"/>
  <c r="F609" i="2"/>
  <c r="H609" i="2" s="1"/>
  <c r="H513" i="2"/>
  <c r="F572" i="2"/>
  <c r="H476" i="2"/>
  <c r="J682" i="2"/>
  <c r="J733" i="2"/>
  <c r="J626" i="2"/>
  <c r="L434" i="2"/>
  <c r="J602" i="2"/>
  <c r="L410" i="2"/>
  <c r="J658" i="2"/>
  <c r="L466" i="2"/>
  <c r="F634" i="2"/>
  <c r="H634" i="2" s="1"/>
  <c r="H538" i="2"/>
  <c r="J1045" i="2"/>
  <c r="L853" i="2"/>
  <c r="F485" i="2"/>
  <c r="H389" i="2"/>
  <c r="J642" i="2"/>
  <c r="L450" i="2"/>
  <c r="J1197" i="2"/>
  <c r="L1197" i="2" s="1"/>
  <c r="L1005" i="2"/>
  <c r="F491" i="2"/>
  <c r="H395" i="2"/>
  <c r="J863" i="2"/>
  <c r="L671" i="2"/>
  <c r="J588" i="2"/>
  <c r="L396" i="2"/>
  <c r="F649" i="2"/>
  <c r="H649" i="2" s="1"/>
  <c r="H553" i="2"/>
  <c r="F615" i="2"/>
  <c r="H615" i="2" s="1"/>
  <c r="H519" i="2"/>
  <c r="J608" i="2"/>
  <c r="L416" i="2"/>
  <c r="L606" i="2"/>
  <c r="J798" i="2"/>
  <c r="J904" i="2"/>
  <c r="L712" i="2"/>
  <c r="J947" i="2"/>
  <c r="L755" i="2"/>
  <c r="F648" i="2"/>
  <c r="H648" i="2" s="1"/>
  <c r="H552" i="2"/>
  <c r="H570" i="2"/>
  <c r="F666" i="2"/>
  <c r="H666" i="2" s="1"/>
  <c r="H578" i="2"/>
  <c r="F674" i="2"/>
  <c r="H674" i="2" s="1"/>
  <c r="J912" i="2"/>
  <c r="L720" i="2"/>
  <c r="J1088" i="2"/>
  <c r="L896" i="2"/>
  <c r="J931" i="2"/>
  <c r="L739" i="2"/>
  <c r="J1099" i="2"/>
  <c r="L907" i="2"/>
  <c r="J891" i="2"/>
  <c r="L699" i="2"/>
  <c r="J958" i="2"/>
  <c r="L766" i="2"/>
  <c r="F624" i="2"/>
  <c r="H624" i="2" s="1"/>
  <c r="H528" i="2"/>
  <c r="F608" i="2"/>
  <c r="H608" i="2" s="1"/>
  <c r="H512" i="2"/>
  <c r="J878" i="2"/>
  <c r="L686" i="2"/>
  <c r="F675" i="2"/>
  <c r="H675" i="2" s="1"/>
  <c r="H579" i="2"/>
  <c r="F507" i="2"/>
  <c r="H411" i="2"/>
  <c r="F486" i="2"/>
  <c r="H390" i="2"/>
  <c r="L743" i="2"/>
  <c r="J935" i="2"/>
  <c r="J1095" i="2"/>
  <c r="L903" i="2"/>
  <c r="F592" i="2"/>
  <c r="H592" i="2" s="1"/>
  <c r="H496" i="2"/>
  <c r="J871" i="2"/>
  <c r="L679" i="2"/>
  <c r="J652" i="2"/>
  <c r="L460" i="2"/>
  <c r="J636" i="2"/>
  <c r="L444" i="2"/>
  <c r="J807" i="2"/>
  <c r="L615" i="2"/>
  <c r="J898" i="2"/>
  <c r="L706" i="2"/>
  <c r="F548" i="2"/>
  <c r="H452" i="2"/>
  <c r="H412" i="2"/>
  <c r="F508" i="2"/>
  <c r="F671" i="2"/>
  <c r="H671" i="2" s="1"/>
  <c r="H575" i="2"/>
  <c r="F633" i="2"/>
  <c r="H633" i="2" s="1"/>
  <c r="H537" i="2"/>
  <c r="F617" i="2"/>
  <c r="H617" i="2" s="1"/>
  <c r="H521" i="2"/>
  <c r="L633" i="2"/>
  <c r="J825" i="2"/>
  <c r="L617" i="2"/>
  <c r="J809" i="2"/>
  <c r="J598" i="2"/>
  <c r="L406" i="2"/>
  <c r="J648" i="2"/>
  <c r="L456" i="2"/>
  <c r="J616" i="2"/>
  <c r="L424" i="2"/>
  <c r="J787" i="2"/>
  <c r="L595" i="2"/>
  <c r="F492" i="2"/>
  <c r="H396" i="2"/>
  <c r="J746" i="2"/>
  <c r="J714" i="2"/>
  <c r="J791" i="2"/>
  <c r="L599" i="2"/>
  <c r="K8" i="2"/>
  <c r="L7" i="2"/>
  <c r="K222" i="2"/>
  <c r="L221" i="2"/>
  <c r="J618" i="2"/>
  <c r="L426" i="2"/>
  <c r="J725" i="2"/>
  <c r="J819" i="2"/>
  <c r="L627" i="2"/>
  <c r="F637" i="2"/>
  <c r="H637" i="2" s="1"/>
  <c r="H541" i="2"/>
  <c r="F656" i="2"/>
  <c r="H656" i="2" s="1"/>
  <c r="H560" i="2"/>
  <c r="F499" i="2"/>
  <c r="H403" i="2"/>
  <c r="J884" i="2"/>
  <c r="L692" i="2"/>
  <c r="J823" i="2"/>
  <c r="L631" i="2"/>
  <c r="H505" i="2"/>
  <c r="F601" i="2"/>
  <c r="H601" i="2" s="1"/>
  <c r="J594" i="2"/>
  <c r="L402" i="2"/>
  <c r="H506" i="2"/>
  <c r="F602" i="2"/>
  <c r="H602" i="2" s="1"/>
  <c r="J612" i="2"/>
  <c r="L420" i="2"/>
  <c r="F647" i="2"/>
  <c r="H647" i="2" s="1"/>
  <c r="H551" i="2"/>
  <c r="J614" i="2"/>
  <c r="L422" i="2"/>
  <c r="J1080" i="2"/>
  <c r="L888" i="2"/>
  <c r="J592" i="2"/>
  <c r="L400" i="2"/>
  <c r="J879" i="2"/>
  <c r="L687" i="2"/>
  <c r="J709" i="2"/>
  <c r="L728" i="2"/>
  <c r="J920" i="2"/>
  <c r="F618" i="2"/>
  <c r="H618" i="2" s="1"/>
  <c r="H522" i="2"/>
  <c r="J1072" i="2"/>
  <c r="L880" i="2"/>
  <c r="J1053" i="2"/>
  <c r="L861" i="2"/>
  <c r="J851" i="2"/>
  <c r="L659" i="2"/>
  <c r="L649" i="2"/>
  <c r="J841" i="2"/>
  <c r="J1213" i="2"/>
  <c r="L1213" i="2" s="1"/>
  <c r="L1021" i="2"/>
  <c r="J989" i="2"/>
  <c r="L797" i="2"/>
  <c r="J963" i="2"/>
  <c r="L771" i="2"/>
  <c r="F616" i="2"/>
  <c r="H616" i="2" s="1"/>
  <c r="H520" i="2"/>
  <c r="J894" i="2"/>
  <c r="L702" i="2"/>
  <c r="J921" i="2"/>
  <c r="L729" i="2"/>
  <c r="J940" i="2"/>
  <c r="L748" i="2"/>
  <c r="L732" i="2"/>
  <c r="J924" i="2"/>
  <c r="J908" i="2"/>
  <c r="L716" i="2"/>
  <c r="J876" i="2"/>
  <c r="L684" i="2"/>
  <c r="J860" i="2"/>
  <c r="L668" i="2"/>
  <c r="J866" i="2"/>
  <c r="L674" i="2"/>
  <c r="J698" i="2"/>
  <c r="J650" i="2"/>
  <c r="L458" i="2"/>
  <c r="J765" i="2"/>
  <c r="J701" i="2"/>
  <c r="K489" i="2"/>
  <c r="L488" i="2"/>
  <c r="J843" i="2"/>
  <c r="L651" i="2"/>
  <c r="F501" i="2"/>
  <c r="H405" i="2"/>
  <c r="F635" i="2"/>
  <c r="H635" i="2" s="1"/>
  <c r="H539" i="2"/>
  <c r="J881" i="2"/>
  <c r="L689" i="2"/>
  <c r="F654" i="2"/>
  <c r="H654" i="2" s="1"/>
  <c r="H558" i="2"/>
  <c r="J717" i="2"/>
  <c r="H562" i="2"/>
  <c r="F658" i="2"/>
  <c r="H658" i="2" s="1"/>
  <c r="J883" i="2"/>
  <c r="L691" i="2"/>
  <c r="F659" i="2"/>
  <c r="H659" i="2" s="1"/>
  <c r="H563" i="2"/>
  <c r="J873" i="2"/>
  <c r="L681" i="2"/>
  <c r="F632" i="2"/>
  <c r="H632" i="2" s="1"/>
  <c r="H536" i="2"/>
  <c r="L735" i="2"/>
  <c r="J927" i="2"/>
  <c r="J604" i="2"/>
  <c r="L412" i="2"/>
  <c r="J628" i="2"/>
  <c r="L436" i="2"/>
  <c r="F580" i="2"/>
  <c r="H484" i="2"/>
  <c r="H569" i="2"/>
  <c r="F665" i="2"/>
  <c r="H665" i="2" s="1"/>
  <c r="J654" i="2"/>
  <c r="L462" i="2"/>
  <c r="J640" i="2"/>
  <c r="L448" i="2"/>
  <c r="J738" i="2"/>
  <c r="J944" i="2"/>
  <c r="L752" i="2"/>
  <c r="J875" i="2"/>
  <c r="L683" i="2"/>
  <c r="J897" i="2"/>
  <c r="L705" i="2"/>
  <c r="J964" i="2"/>
  <c r="L772" i="2"/>
  <c r="J919" i="2"/>
  <c r="L727" i="2"/>
  <c r="F540" i="2"/>
  <c r="H444" i="2"/>
  <c r="F600" i="2"/>
  <c r="H600" i="2" s="1"/>
  <c r="H504" i="2"/>
  <c r="F584" i="2"/>
  <c r="H584" i="2" s="1"/>
  <c r="H488" i="2"/>
  <c r="L703" i="2"/>
  <c r="J895" i="2"/>
  <c r="J855" i="2"/>
  <c r="L663" i="2"/>
  <c r="J644" i="2"/>
  <c r="L452" i="2"/>
  <c r="J815" i="2"/>
  <c r="L623" i="2"/>
  <c r="J799" i="2"/>
  <c r="L607" i="2"/>
  <c r="F564" i="2"/>
  <c r="H468" i="2"/>
  <c r="F524" i="2"/>
  <c r="H428" i="2"/>
  <c r="F627" i="2"/>
  <c r="H627" i="2" s="1"/>
  <c r="H531" i="2"/>
  <c r="F663" i="2"/>
  <c r="H663" i="2" s="1"/>
  <c r="H567" i="2"/>
  <c r="H545" i="2"/>
  <c r="F641" i="2"/>
  <c r="H641" i="2" s="1"/>
  <c r="H529" i="2"/>
  <c r="F625" i="2"/>
  <c r="H625" i="2" s="1"/>
  <c r="F607" i="2"/>
  <c r="H607" i="2" s="1"/>
  <c r="H511" i="2"/>
  <c r="J646" i="2"/>
  <c r="L454" i="2"/>
  <c r="L625" i="2"/>
  <c r="J817" i="2"/>
  <c r="L609" i="2"/>
  <c r="J801" i="2"/>
  <c r="J785" i="2"/>
  <c r="L593" i="2"/>
  <c r="F611" i="2"/>
  <c r="H611" i="2" s="1"/>
  <c r="H515" i="2"/>
  <c r="L731" i="2"/>
  <c r="J923" i="2"/>
  <c r="J632" i="2"/>
  <c r="L440" i="2"/>
  <c r="J795" i="2"/>
  <c r="L603" i="2"/>
  <c r="J779" i="2"/>
  <c r="L587" i="2"/>
  <c r="J762" i="2"/>
  <c r="J730" i="2"/>
  <c r="J597" i="2"/>
  <c r="L405" i="2"/>
  <c r="J634" i="2"/>
  <c r="L442" i="2"/>
  <c r="J581" i="2"/>
  <c r="L389" i="2"/>
  <c r="J757" i="2"/>
  <c r="J693" i="2"/>
  <c r="J936" i="2"/>
  <c r="L744" i="2"/>
  <c r="L641" i="2"/>
  <c r="J833" i="2"/>
  <c r="F640" i="2"/>
  <c r="H640" i="2" s="1"/>
  <c r="H544" i="2"/>
  <c r="J937" i="2"/>
  <c r="L745" i="2"/>
  <c r="F638" i="2"/>
  <c r="H638" i="2" s="1"/>
  <c r="H542" i="2"/>
  <c r="J839" i="2"/>
  <c r="L647" i="2"/>
  <c r="L585" i="2"/>
  <c r="J777" i="2"/>
  <c r="J961" i="2"/>
  <c r="L769" i="2"/>
  <c r="F586" i="2"/>
  <c r="H586" i="2" s="1"/>
  <c r="H490" i="2"/>
  <c r="J899" i="2"/>
  <c r="L707" i="2"/>
  <c r="F664" i="2"/>
  <c r="H664" i="2" s="1"/>
  <c r="H568" i="2"/>
  <c r="F643" i="2"/>
  <c r="H643" i="2" s="1"/>
  <c r="H547" i="2"/>
  <c r="J1064" i="2"/>
  <c r="L872" i="2"/>
  <c r="J859" i="2"/>
  <c r="L667" i="2"/>
  <c r="L657" i="2"/>
  <c r="J849" i="2"/>
  <c r="J1029" i="2"/>
  <c r="L837" i="2"/>
  <c r="J827" i="2"/>
  <c r="L635" i="2"/>
  <c r="J811" i="2"/>
  <c r="L619" i="2"/>
  <c r="F653" i="2"/>
  <c r="H653" i="2" s="1"/>
  <c r="H557" i="2"/>
  <c r="F621" i="2"/>
  <c r="H621" i="2" s="1"/>
  <c r="H525" i="2"/>
  <c r="J948" i="2"/>
  <c r="L756" i="2"/>
  <c r="J934" i="2"/>
  <c r="L742" i="2"/>
  <c r="J902" i="2"/>
  <c r="L710" i="2"/>
  <c r="F667" i="2"/>
  <c r="H667" i="2" s="1"/>
  <c r="H571" i="2"/>
  <c r="F645" i="2"/>
  <c r="H645" i="2" s="1"/>
  <c r="H549" i="2"/>
  <c r="F646" i="2"/>
  <c r="H646" i="2" s="1"/>
  <c r="H550" i="2"/>
  <c r="J900" i="2"/>
  <c r="L708" i="2"/>
  <c r="J868" i="2"/>
  <c r="L676" i="2"/>
  <c r="J1048" i="2"/>
  <c r="L856" i="2"/>
  <c r="F523" i="2"/>
  <c r="H427" i="2"/>
  <c r="F585" i="2"/>
  <c r="H585" i="2" s="1"/>
  <c r="H489" i="2"/>
  <c r="J590" i="2"/>
  <c r="L398" i="2"/>
  <c r="J586" i="2"/>
  <c r="L394" i="2"/>
  <c r="J749" i="2"/>
  <c r="J685" i="2"/>
  <c r="AF174" i="1"/>
  <c r="L673" i="2"/>
  <c r="J865" i="2"/>
  <c r="J803" i="2"/>
  <c r="L611" i="2"/>
  <c r="J1097" i="2"/>
  <c r="L905" i="2"/>
  <c r="J862" i="2"/>
  <c r="L670" i="2"/>
  <c r="J610" i="2"/>
  <c r="L418" i="2"/>
  <c r="J960" i="2"/>
  <c r="L768" i="2"/>
  <c r="F661" i="2"/>
  <c r="H661" i="2" s="1"/>
  <c r="H565" i="2"/>
  <c r="F493" i="2"/>
  <c r="H397" i="2"/>
  <c r="J959" i="2"/>
  <c r="L767" i="2"/>
  <c r="F532" i="2"/>
  <c r="H436" i="2"/>
  <c r="J630" i="2"/>
  <c r="L438" i="2"/>
  <c r="J926" i="2"/>
  <c r="L734" i="2"/>
  <c r="J770" i="2"/>
  <c r="F593" i="2"/>
  <c r="H593" i="2" s="1"/>
  <c r="H497" i="2"/>
  <c r="J783" i="2"/>
  <c r="L591" i="2"/>
  <c r="J915" i="2"/>
  <c r="L723" i="2"/>
  <c r="J1137" i="2"/>
  <c r="L945" i="2"/>
  <c r="J951" i="2"/>
  <c r="L759" i="2"/>
  <c r="H530" i="2"/>
  <c r="F626" i="2"/>
  <c r="H626" i="2" s="1"/>
  <c r="F669" i="2"/>
  <c r="H669" i="2" s="1"/>
  <c r="H573" i="2"/>
  <c r="F662" i="2"/>
  <c r="H662" i="2" s="1"/>
  <c r="H566" i="2"/>
  <c r="F672" i="2"/>
  <c r="H672" i="2" s="1"/>
  <c r="H576" i="2"/>
  <c r="J950" i="2"/>
  <c r="L758" i="2"/>
  <c r="J918" i="2"/>
  <c r="L726" i="2"/>
  <c r="J886" i="2"/>
  <c r="L694" i="2"/>
  <c r="J1121" i="2"/>
  <c r="L929" i="2"/>
  <c r="J1105" i="2"/>
  <c r="L913" i="2"/>
  <c r="J956" i="2"/>
  <c r="L764" i="2"/>
  <c r="J1108" i="2"/>
  <c r="L916" i="2"/>
  <c r="F502" i="2"/>
  <c r="H406" i="2"/>
  <c r="L751" i="2"/>
  <c r="J943" i="2"/>
  <c r="L719" i="2"/>
  <c r="J911" i="2"/>
  <c r="H498" i="2"/>
  <c r="F594" i="2"/>
  <c r="H594" i="2" s="1"/>
  <c r="J887" i="2"/>
  <c r="L695" i="2"/>
  <c r="J660" i="2"/>
  <c r="L468" i="2"/>
  <c r="J831" i="2"/>
  <c r="L639" i="2"/>
  <c r="J620" i="2"/>
  <c r="L428" i="2"/>
  <c r="J942" i="2"/>
  <c r="L750" i="2"/>
  <c r="F556" i="2"/>
  <c r="H460" i="2"/>
  <c r="H420" i="2"/>
  <c r="F516" i="2"/>
  <c r="H577" i="2"/>
  <c r="F673" i="2"/>
  <c r="H673" i="2" s="1"/>
  <c r="H561" i="2"/>
  <c r="F657" i="2"/>
  <c r="H657" i="2" s="1"/>
  <c r="F639" i="2"/>
  <c r="H639" i="2" s="1"/>
  <c r="H543" i="2"/>
  <c r="J638" i="2"/>
  <c r="L446" i="2"/>
  <c r="J622" i="2"/>
  <c r="L430" i="2"/>
  <c r="F500" i="2"/>
  <c r="H404" i="2"/>
  <c r="J910" i="2"/>
  <c r="L718" i="2"/>
  <c r="J656" i="2"/>
  <c r="L464" i="2"/>
  <c r="J624" i="2"/>
  <c r="L432" i="2"/>
  <c r="J600" i="2"/>
  <c r="L408" i="2"/>
  <c r="J584" i="2"/>
  <c r="L392" i="2"/>
  <c r="J754" i="2"/>
  <c r="J722" i="2"/>
  <c r="J690" i="2"/>
  <c r="J775" i="2"/>
  <c r="L583" i="2"/>
  <c r="J589" i="2"/>
  <c r="L397" i="2"/>
  <c r="J858" i="2"/>
  <c r="L666" i="2"/>
  <c r="J741" i="2"/>
  <c r="J677" i="2"/>
  <c r="L485" i="2"/>
  <c r="H26" i="1"/>
  <c r="G25" i="1"/>
  <c r="G12" i="3" l="1"/>
  <c r="CT156" i="1"/>
  <c r="CP256" i="1"/>
  <c r="CT256" i="1"/>
  <c r="AZ256" i="1"/>
  <c r="BT256" i="1"/>
  <c r="BH156" i="1"/>
  <c r="AS256" i="1"/>
  <c r="AS156" i="1"/>
  <c r="AR256" i="1"/>
  <c r="BH256" i="1"/>
  <c r="BI256" i="1"/>
  <c r="BI156" i="1"/>
  <c r="BC256" i="1"/>
  <c r="AL156" i="1"/>
  <c r="AN156" i="1"/>
  <c r="AN256" i="1"/>
  <c r="AO256" i="1"/>
  <c r="F612" i="2"/>
  <c r="H612" i="2" s="1"/>
  <c r="H516" i="2"/>
  <c r="J842" i="2"/>
  <c r="L650" i="2"/>
  <c r="L746" i="2"/>
  <c r="J938" i="2"/>
  <c r="J1083" i="2"/>
  <c r="L891" i="2"/>
  <c r="J1049" i="2"/>
  <c r="L857" i="2"/>
  <c r="L754" i="2"/>
  <c r="J946" i="2"/>
  <c r="J1023" i="2"/>
  <c r="L831" i="2"/>
  <c r="J1107" i="2"/>
  <c r="L915" i="2"/>
  <c r="J778" i="2"/>
  <c r="L586" i="2"/>
  <c r="F676" i="2"/>
  <c r="H676" i="2" s="1"/>
  <c r="H580" i="2"/>
  <c r="J788" i="2"/>
  <c r="L596" i="2"/>
  <c r="J1057" i="2"/>
  <c r="L865" i="2"/>
  <c r="J1025" i="2"/>
  <c r="L833" i="2"/>
  <c r="L895" i="2"/>
  <c r="J1087" i="2"/>
  <c r="L927" i="2"/>
  <c r="J1119" i="2"/>
  <c r="J957" i="2"/>
  <c r="L765" i="2"/>
  <c r="J1052" i="2"/>
  <c r="L860" i="2"/>
  <c r="J1132" i="2"/>
  <c r="L940" i="2"/>
  <c r="J1155" i="2"/>
  <c r="L963" i="2"/>
  <c r="J1043" i="2"/>
  <c r="L851" i="2"/>
  <c r="J810" i="2"/>
  <c r="L618" i="2"/>
  <c r="J906" i="2"/>
  <c r="L714" i="2"/>
  <c r="J808" i="2"/>
  <c r="L616" i="2"/>
  <c r="J828" i="2"/>
  <c r="L636" i="2"/>
  <c r="J1287" i="2"/>
  <c r="L1287" i="2" s="1"/>
  <c r="L1095" i="2"/>
  <c r="L958" i="2"/>
  <c r="J1150" i="2"/>
  <c r="L1088" i="2"/>
  <c r="J1280" i="2"/>
  <c r="L1280" i="2" s="1"/>
  <c r="J800" i="2"/>
  <c r="L608" i="2"/>
  <c r="J1055" i="2"/>
  <c r="L863" i="2"/>
  <c r="H485" i="2"/>
  <c r="F581" i="2"/>
  <c r="H581" i="2" s="1"/>
  <c r="J985" i="2"/>
  <c r="L793" i="2"/>
  <c r="L1037" i="2"/>
  <c r="J1229" i="2"/>
  <c r="L1229" i="2" s="1"/>
  <c r="L989" i="2"/>
  <c r="J1181" i="2"/>
  <c r="L1181" i="2" s="1"/>
  <c r="H548" i="2"/>
  <c r="F644" i="2"/>
  <c r="H644" i="2" s="1"/>
  <c r="J1139" i="2"/>
  <c r="L947" i="2"/>
  <c r="J848" i="2"/>
  <c r="L656" i="2"/>
  <c r="J1148" i="2"/>
  <c r="L956" i="2"/>
  <c r="J1019" i="2"/>
  <c r="L827" i="2"/>
  <c r="J885" i="2"/>
  <c r="L693" i="2"/>
  <c r="J977" i="2"/>
  <c r="L785" i="2"/>
  <c r="J1156" i="2"/>
  <c r="L964" i="2"/>
  <c r="H499" i="2"/>
  <c r="F595" i="2"/>
  <c r="H595" i="2" s="1"/>
  <c r="J1081" i="2"/>
  <c r="L889" i="2"/>
  <c r="J1050" i="2"/>
  <c r="L858" i="2"/>
  <c r="L722" i="2"/>
  <c r="J914" i="2"/>
  <c r="J816" i="2"/>
  <c r="L624" i="2"/>
  <c r="J814" i="2"/>
  <c r="L622" i="2"/>
  <c r="J812" i="2"/>
  <c r="L620" i="2"/>
  <c r="J1300" i="2"/>
  <c r="L1300" i="2" s="1"/>
  <c r="L1108" i="2"/>
  <c r="J1078" i="2"/>
  <c r="L886" i="2"/>
  <c r="L1137" i="2"/>
  <c r="J1329" i="2"/>
  <c r="L1329" i="2" s="1"/>
  <c r="L770" i="2"/>
  <c r="J962" i="2"/>
  <c r="J1151" i="2"/>
  <c r="L959" i="2"/>
  <c r="J802" i="2"/>
  <c r="L610" i="2"/>
  <c r="J941" i="2"/>
  <c r="L749" i="2"/>
  <c r="F619" i="2"/>
  <c r="H619" i="2" s="1"/>
  <c r="H523" i="2"/>
  <c r="J1126" i="2"/>
  <c r="L934" i="2"/>
  <c r="J1003" i="2"/>
  <c r="L811" i="2"/>
  <c r="J1051" i="2"/>
  <c r="L859" i="2"/>
  <c r="J1091" i="2"/>
  <c r="L899" i="2"/>
  <c r="J1031" i="2"/>
  <c r="L839" i="2"/>
  <c r="J826" i="2"/>
  <c r="L634" i="2"/>
  <c r="J971" i="2"/>
  <c r="L779" i="2"/>
  <c r="J838" i="2"/>
  <c r="L646" i="2"/>
  <c r="J991" i="2"/>
  <c r="L799" i="2"/>
  <c r="J1111" i="2"/>
  <c r="L919" i="2"/>
  <c r="J1136" i="2"/>
  <c r="L944" i="2"/>
  <c r="J1075" i="2"/>
  <c r="L883" i="2"/>
  <c r="J1073" i="2"/>
  <c r="L881" i="2"/>
  <c r="L1080" i="2"/>
  <c r="J1272" i="2"/>
  <c r="L1272" i="2" s="1"/>
  <c r="J1076" i="2"/>
  <c r="L884" i="2"/>
  <c r="J1011" i="2"/>
  <c r="L819" i="2"/>
  <c r="J1127" i="2"/>
  <c r="L935" i="2"/>
  <c r="J794" i="2"/>
  <c r="L602" i="2"/>
  <c r="F668" i="2"/>
  <c r="H668" i="2" s="1"/>
  <c r="H572" i="2"/>
  <c r="F590" i="2"/>
  <c r="H590" i="2" s="1"/>
  <c r="H494" i="2"/>
  <c r="J1316" i="2"/>
  <c r="L1316" i="2" s="1"/>
  <c r="L1124" i="2"/>
  <c r="J1147" i="2"/>
  <c r="L955" i="2"/>
  <c r="J1144" i="2"/>
  <c r="L952" i="2"/>
  <c r="J1103" i="2"/>
  <c r="L911" i="2"/>
  <c r="J1068" i="2"/>
  <c r="L876" i="2"/>
  <c r="K223" i="2"/>
  <c r="L222" i="2"/>
  <c r="H491" i="2"/>
  <c r="F587" i="2"/>
  <c r="H587" i="2" s="1"/>
  <c r="L638" i="2"/>
  <c r="J830" i="2"/>
  <c r="J1110" i="2"/>
  <c r="L918" i="2"/>
  <c r="F589" i="2"/>
  <c r="H589" i="2" s="1"/>
  <c r="H493" i="2"/>
  <c r="J1240" i="2"/>
  <c r="L1240" i="2" s="1"/>
  <c r="L1048" i="2"/>
  <c r="J1256" i="2"/>
  <c r="L1256" i="2" s="1"/>
  <c r="L1064" i="2"/>
  <c r="J789" i="2"/>
  <c r="L597" i="2"/>
  <c r="J1007" i="2"/>
  <c r="L815" i="2"/>
  <c r="J786" i="2"/>
  <c r="L594" i="2"/>
  <c r="J818" i="2"/>
  <c r="L626" i="2"/>
  <c r="J1135" i="2"/>
  <c r="L943" i="2"/>
  <c r="AF175" i="1"/>
  <c r="J993" i="2"/>
  <c r="L801" i="2"/>
  <c r="K490" i="2"/>
  <c r="L489" i="2"/>
  <c r="J890" i="2"/>
  <c r="L698" i="2"/>
  <c r="J1100" i="2"/>
  <c r="L908" i="2"/>
  <c r="J1086" i="2"/>
  <c r="L894" i="2"/>
  <c r="L1072" i="2"/>
  <c r="J1264" i="2"/>
  <c r="L1264" i="2" s="1"/>
  <c r="L8" i="2"/>
  <c r="K9" i="2"/>
  <c r="F588" i="2"/>
  <c r="H588" i="2" s="1"/>
  <c r="H492" i="2"/>
  <c r="J790" i="2"/>
  <c r="L598" i="2"/>
  <c r="J1090" i="2"/>
  <c r="L898" i="2"/>
  <c r="J1063" i="2"/>
  <c r="L871" i="2"/>
  <c r="F582" i="2"/>
  <c r="H582" i="2" s="1"/>
  <c r="H486" i="2"/>
  <c r="J1291" i="2"/>
  <c r="L1291" i="2" s="1"/>
  <c r="L1099" i="2"/>
  <c r="J1096" i="2"/>
  <c r="L904" i="2"/>
  <c r="J1113" i="2"/>
  <c r="L921" i="2"/>
  <c r="J840" i="2"/>
  <c r="L648" i="2"/>
  <c r="J1070" i="2"/>
  <c r="L878" i="2"/>
  <c r="L1045" i="2"/>
  <c r="J1237" i="2"/>
  <c r="L1237" i="2" s="1"/>
  <c r="J781" i="2"/>
  <c r="L589" i="2"/>
  <c r="J1128" i="2"/>
  <c r="L936" i="2"/>
  <c r="J806" i="2"/>
  <c r="L614" i="2"/>
  <c r="L997" i="2"/>
  <c r="J1189" i="2"/>
  <c r="L1189" i="2" s="1"/>
  <c r="J967" i="2"/>
  <c r="L775" i="2"/>
  <c r="F652" i="2"/>
  <c r="H652" i="2" s="1"/>
  <c r="H556" i="2"/>
  <c r="J852" i="2"/>
  <c r="L660" i="2"/>
  <c r="J1297" i="2"/>
  <c r="L1297" i="2" s="1"/>
  <c r="L1105" i="2"/>
  <c r="J1142" i="2"/>
  <c r="L950" i="2"/>
  <c r="J975" i="2"/>
  <c r="L783" i="2"/>
  <c r="J822" i="2"/>
  <c r="L630" i="2"/>
  <c r="J1289" i="2"/>
  <c r="L1289" i="2" s="1"/>
  <c r="L1097" i="2"/>
  <c r="J782" i="2"/>
  <c r="L590" i="2"/>
  <c r="J1060" i="2"/>
  <c r="L868" i="2"/>
  <c r="L1029" i="2"/>
  <c r="J1221" i="2"/>
  <c r="L1221" i="2" s="1"/>
  <c r="J1153" i="2"/>
  <c r="L961" i="2"/>
  <c r="J1129" i="2"/>
  <c r="L937" i="2"/>
  <c r="J949" i="2"/>
  <c r="L757" i="2"/>
  <c r="L730" i="2"/>
  <c r="J922" i="2"/>
  <c r="J824" i="2"/>
  <c r="L632" i="2"/>
  <c r="F620" i="2"/>
  <c r="H620" i="2" s="1"/>
  <c r="H524" i="2"/>
  <c r="J836" i="2"/>
  <c r="L644" i="2"/>
  <c r="J1089" i="2"/>
  <c r="L897" i="2"/>
  <c r="J832" i="2"/>
  <c r="L640" i="2"/>
  <c r="J820" i="2"/>
  <c r="L628" i="2"/>
  <c r="J1065" i="2"/>
  <c r="L873" i="2"/>
  <c r="J909" i="2"/>
  <c r="L717" i="2"/>
  <c r="F597" i="2"/>
  <c r="H597" i="2" s="1"/>
  <c r="H501" i="2"/>
  <c r="J1116" i="2"/>
  <c r="L924" i="2"/>
  <c r="J1033" i="2"/>
  <c r="L841" i="2"/>
  <c r="J1071" i="2"/>
  <c r="L879" i="2"/>
  <c r="J1001" i="2"/>
  <c r="L809" i="2"/>
  <c r="J990" i="2"/>
  <c r="L798" i="2"/>
  <c r="J925" i="2"/>
  <c r="L733" i="2"/>
  <c r="J774" i="2"/>
  <c r="L582" i="2"/>
  <c r="J1039" i="2"/>
  <c r="L847" i="2"/>
  <c r="J1248" i="2"/>
  <c r="L1248" i="2" s="1"/>
  <c r="L1056" i="2"/>
  <c r="J1205" i="2"/>
  <c r="L1205" i="2" s="1"/>
  <c r="L1013" i="2"/>
  <c r="J1059" i="2"/>
  <c r="L867" i="2"/>
  <c r="J1120" i="2"/>
  <c r="L928" i="2"/>
  <c r="J844" i="2"/>
  <c r="L652" i="2"/>
  <c r="J1104" i="2"/>
  <c r="L912" i="2"/>
  <c r="J1054" i="2"/>
  <c r="L862" i="2"/>
  <c r="L738" i="2"/>
  <c r="J930" i="2"/>
  <c r="J1062" i="2"/>
  <c r="L870" i="2"/>
  <c r="J869" i="2"/>
  <c r="L677" i="2"/>
  <c r="J776" i="2"/>
  <c r="L584" i="2"/>
  <c r="J1102" i="2"/>
  <c r="L910" i="2"/>
  <c r="J933" i="2"/>
  <c r="L741" i="2"/>
  <c r="J1041" i="2"/>
  <c r="L849" i="2"/>
  <c r="J969" i="2"/>
  <c r="L777" i="2"/>
  <c r="J1115" i="2"/>
  <c r="L923" i="2"/>
  <c r="J1009" i="2"/>
  <c r="L817" i="2"/>
  <c r="J893" i="2"/>
  <c r="L701" i="2"/>
  <c r="J1058" i="2"/>
  <c r="L866" i="2"/>
  <c r="J917" i="2"/>
  <c r="L725" i="2"/>
  <c r="J983" i="2"/>
  <c r="L791" i="2"/>
  <c r="J979" i="2"/>
  <c r="L787" i="2"/>
  <c r="J999" i="2"/>
  <c r="L807" i="2"/>
  <c r="H507" i="2"/>
  <c r="F603" i="2"/>
  <c r="H603" i="2" s="1"/>
  <c r="J1123" i="2"/>
  <c r="L931" i="2"/>
  <c r="J780" i="2"/>
  <c r="L588" i="2"/>
  <c r="J834" i="2"/>
  <c r="L642" i="2"/>
  <c r="L1053" i="2"/>
  <c r="J1245" i="2"/>
  <c r="L1245" i="2" s="1"/>
  <c r="J1118" i="2"/>
  <c r="L926" i="2"/>
  <c r="J1140" i="2"/>
  <c r="L948" i="2"/>
  <c r="J987" i="2"/>
  <c r="L795" i="2"/>
  <c r="J901" i="2"/>
  <c r="L709" i="2"/>
  <c r="J1046" i="2"/>
  <c r="L854" i="2"/>
  <c r="J882" i="2"/>
  <c r="L690" i="2"/>
  <c r="J792" i="2"/>
  <c r="L600" i="2"/>
  <c r="F596" i="2"/>
  <c r="H596" i="2" s="1"/>
  <c r="H500" i="2"/>
  <c r="J1134" i="2"/>
  <c r="L942" i="2"/>
  <c r="J1079" i="2"/>
  <c r="L887" i="2"/>
  <c r="F598" i="2"/>
  <c r="H598" i="2" s="1"/>
  <c r="H502" i="2"/>
  <c r="J1313" i="2"/>
  <c r="L1313" i="2" s="1"/>
  <c r="L1121" i="2"/>
  <c r="J1143" i="2"/>
  <c r="L951" i="2"/>
  <c r="F628" i="2"/>
  <c r="H628" i="2" s="1"/>
  <c r="H532" i="2"/>
  <c r="J1152" i="2"/>
  <c r="L960" i="2"/>
  <c r="J995" i="2"/>
  <c r="L803" i="2"/>
  <c r="J877" i="2"/>
  <c r="L685" i="2"/>
  <c r="J1092" i="2"/>
  <c r="L900" i="2"/>
  <c r="J1094" i="2"/>
  <c r="L902" i="2"/>
  <c r="J773" i="2"/>
  <c r="L581" i="2"/>
  <c r="J954" i="2"/>
  <c r="L762" i="2"/>
  <c r="F660" i="2"/>
  <c r="H660" i="2" s="1"/>
  <c r="H564" i="2"/>
  <c r="J1047" i="2"/>
  <c r="L855" i="2"/>
  <c r="F636" i="2"/>
  <c r="H636" i="2" s="1"/>
  <c r="H540" i="2"/>
  <c r="J1067" i="2"/>
  <c r="L875" i="2"/>
  <c r="J846" i="2"/>
  <c r="L654" i="2"/>
  <c r="J796" i="2"/>
  <c r="L604" i="2"/>
  <c r="J1035" i="2"/>
  <c r="L843" i="2"/>
  <c r="J1112" i="2"/>
  <c r="L920" i="2"/>
  <c r="J784" i="2"/>
  <c r="L592" i="2"/>
  <c r="J804" i="2"/>
  <c r="L612" i="2"/>
  <c r="J1015" i="2"/>
  <c r="L823" i="2"/>
  <c r="J1017" i="2"/>
  <c r="L825" i="2"/>
  <c r="F604" i="2"/>
  <c r="H604" i="2" s="1"/>
  <c r="H508" i="2"/>
  <c r="J850" i="2"/>
  <c r="L658" i="2"/>
  <c r="J874" i="2"/>
  <c r="L682" i="2"/>
  <c r="J1131" i="2"/>
  <c r="L939" i="2"/>
  <c r="J1084" i="2"/>
  <c r="L892" i="2"/>
  <c r="L1145" i="2"/>
  <c r="J1337" i="2"/>
  <c r="L1337" i="2" s="1"/>
  <c r="J1027" i="2"/>
  <c r="L835" i="2"/>
  <c r="BT156" i="1" l="1"/>
  <c r="BW156" i="1"/>
  <c r="BN156" i="1"/>
  <c r="BR156" i="1"/>
  <c r="BU156" i="1" s="1"/>
  <c r="BV156" i="1" s="1"/>
  <c r="BN256" i="1"/>
  <c r="BR256" i="1"/>
  <c r="BU256" i="1" s="1"/>
  <c r="BV256" i="1" s="1"/>
  <c r="BC156" i="1"/>
  <c r="AX256" i="1"/>
  <c r="AT156" i="1"/>
  <c r="AX156" i="1"/>
  <c r="AZ156" i="1"/>
  <c r="AT256" i="1"/>
  <c r="J1209" i="2"/>
  <c r="L1209" i="2" s="1"/>
  <c r="L1017" i="2"/>
  <c r="J1069" i="2"/>
  <c r="L877" i="2"/>
  <c r="J1171" i="2"/>
  <c r="L1171" i="2" s="1"/>
  <c r="L979" i="2"/>
  <c r="J1117" i="2"/>
  <c r="L925" i="2"/>
  <c r="J1028" i="2"/>
  <c r="L836" i="2"/>
  <c r="J1167" i="2"/>
  <c r="L1167" i="2" s="1"/>
  <c r="L975" i="2"/>
  <c r="AF176" i="1"/>
  <c r="J1018" i="2"/>
  <c r="L826" i="2"/>
  <c r="J1000" i="2"/>
  <c r="L808" i="2"/>
  <c r="J1114" i="2"/>
  <c r="L922" i="2"/>
  <c r="J1154" i="2"/>
  <c r="L962" i="2"/>
  <c r="J1130" i="2"/>
  <c r="L938" i="2"/>
  <c r="J1259" i="2"/>
  <c r="L1259" i="2" s="1"/>
  <c r="L1067" i="2"/>
  <c r="J1335" i="2"/>
  <c r="L1335" i="2" s="1"/>
  <c r="L1143" i="2"/>
  <c r="J972" i="2"/>
  <c r="L780" i="2"/>
  <c r="J1061" i="2"/>
  <c r="L869" i="2"/>
  <c r="J1141" i="2"/>
  <c r="L949" i="2"/>
  <c r="J1199" i="2"/>
  <c r="L1199" i="2" s="1"/>
  <c r="L1007" i="2"/>
  <c r="J1303" i="2"/>
  <c r="L1303" i="2" s="1"/>
  <c r="L1111" i="2"/>
  <c r="L1155" i="2"/>
  <c r="J1347" i="2"/>
  <c r="L1347" i="2" s="1"/>
  <c r="J1276" i="2"/>
  <c r="L1276" i="2" s="1"/>
  <c r="L1084" i="2"/>
  <c r="J976" i="2"/>
  <c r="L784" i="2"/>
  <c r="J1038" i="2"/>
  <c r="L846" i="2"/>
  <c r="J1284" i="2"/>
  <c r="L1284" i="2" s="1"/>
  <c r="L1092" i="2"/>
  <c r="J1271" i="2"/>
  <c r="L1271" i="2" s="1"/>
  <c r="L1079" i="2"/>
  <c r="L882" i="2"/>
  <c r="J1074" i="2"/>
  <c r="J1179" i="2"/>
  <c r="L1179" i="2" s="1"/>
  <c r="L987" i="2"/>
  <c r="J1026" i="2"/>
  <c r="L834" i="2"/>
  <c r="J1191" i="2"/>
  <c r="L1191" i="2" s="1"/>
  <c r="L999" i="2"/>
  <c r="J1250" i="2"/>
  <c r="L1250" i="2" s="1"/>
  <c r="L1058" i="2"/>
  <c r="J1161" i="2"/>
  <c r="L1161" i="2" s="1"/>
  <c r="L969" i="2"/>
  <c r="J968" i="2"/>
  <c r="L776" i="2"/>
  <c r="J1246" i="2"/>
  <c r="L1246" i="2" s="1"/>
  <c r="L1054" i="2"/>
  <c r="J1251" i="2"/>
  <c r="L1251" i="2" s="1"/>
  <c r="L1059" i="2"/>
  <c r="J966" i="2"/>
  <c r="L774" i="2"/>
  <c r="J1263" i="2"/>
  <c r="L1263" i="2" s="1"/>
  <c r="L1071" i="2"/>
  <c r="J1101" i="2"/>
  <c r="L909" i="2"/>
  <c r="J1281" i="2"/>
  <c r="L1281" i="2" s="1"/>
  <c r="L1089" i="2"/>
  <c r="J1014" i="2"/>
  <c r="L822" i="2"/>
  <c r="J1044" i="2"/>
  <c r="L852" i="2"/>
  <c r="J998" i="2"/>
  <c r="L806" i="2"/>
  <c r="J1262" i="2"/>
  <c r="L1262" i="2" s="1"/>
  <c r="L1070" i="2"/>
  <c r="J982" i="2"/>
  <c r="L790" i="2"/>
  <c r="J1278" i="2"/>
  <c r="L1278" i="2" s="1"/>
  <c r="L1086" i="2"/>
  <c r="L993" i="2"/>
  <c r="J1185" i="2"/>
  <c r="L1185" i="2" s="1"/>
  <c r="J978" i="2"/>
  <c r="L786" i="2"/>
  <c r="L1144" i="2"/>
  <c r="J1336" i="2"/>
  <c r="L1336" i="2" s="1"/>
  <c r="J1268" i="2"/>
  <c r="L1268" i="2" s="1"/>
  <c r="L1076" i="2"/>
  <c r="L1136" i="2"/>
  <c r="J1328" i="2"/>
  <c r="L1328" i="2" s="1"/>
  <c r="J1163" i="2"/>
  <c r="L1163" i="2" s="1"/>
  <c r="L971" i="2"/>
  <c r="J1283" i="2"/>
  <c r="L1283" i="2" s="1"/>
  <c r="L1091" i="2"/>
  <c r="J1004" i="2"/>
  <c r="L812" i="2"/>
  <c r="J1242" i="2"/>
  <c r="L1242" i="2" s="1"/>
  <c r="L1050" i="2"/>
  <c r="J1169" i="2"/>
  <c r="L1169" i="2" s="1"/>
  <c r="L977" i="2"/>
  <c r="J1040" i="2"/>
  <c r="L848" i="2"/>
  <c r="J992" i="2"/>
  <c r="L800" i="2"/>
  <c r="J1020" i="2"/>
  <c r="L828" i="2"/>
  <c r="J1235" i="2"/>
  <c r="L1235" i="2" s="1"/>
  <c r="L1043" i="2"/>
  <c r="L957" i="2"/>
  <c r="J1149" i="2"/>
  <c r="L1057" i="2"/>
  <c r="J1249" i="2"/>
  <c r="L1249" i="2" s="1"/>
  <c r="J1299" i="2"/>
  <c r="L1299" i="2" s="1"/>
  <c r="L1107" i="2"/>
  <c r="J1275" i="2"/>
  <c r="L1275" i="2" s="1"/>
  <c r="L1083" i="2"/>
  <c r="J1133" i="2"/>
  <c r="L941" i="2"/>
  <c r="J1304" i="2"/>
  <c r="L1304" i="2" s="1"/>
  <c r="L1112" i="2"/>
  <c r="L1134" i="2"/>
  <c r="J1326" i="2"/>
  <c r="L1326" i="2" s="1"/>
  <c r="J1085" i="2"/>
  <c r="L893" i="2"/>
  <c r="J1225" i="2"/>
  <c r="L1225" i="2" s="1"/>
  <c r="L1033" i="2"/>
  <c r="J1252" i="2"/>
  <c r="L1252" i="2" s="1"/>
  <c r="L1060" i="2"/>
  <c r="J1032" i="2"/>
  <c r="L840" i="2"/>
  <c r="J1292" i="2"/>
  <c r="L1292" i="2" s="1"/>
  <c r="L1100" i="2"/>
  <c r="J1077" i="2"/>
  <c r="L885" i="2"/>
  <c r="J1177" i="2"/>
  <c r="L1177" i="2" s="1"/>
  <c r="L985" i="2"/>
  <c r="K10" i="2"/>
  <c r="L9" i="2"/>
  <c r="L1150" i="2"/>
  <c r="J1342" i="2"/>
  <c r="L1342" i="2" s="1"/>
  <c r="J1279" i="2"/>
  <c r="L1279" i="2" s="1"/>
  <c r="L1087" i="2"/>
  <c r="J1138" i="2"/>
  <c r="L946" i="2"/>
  <c r="J1233" i="2"/>
  <c r="L1233" i="2" s="1"/>
  <c r="L1041" i="2"/>
  <c r="J1257" i="2"/>
  <c r="L1257" i="2" s="1"/>
  <c r="L1065" i="2"/>
  <c r="J1320" i="2"/>
  <c r="L1320" i="2" s="1"/>
  <c r="L1128" i="2"/>
  <c r="J986" i="2"/>
  <c r="L794" i="2"/>
  <c r="J1243" i="2"/>
  <c r="L1243" i="2" s="1"/>
  <c r="L1051" i="2"/>
  <c r="J1006" i="2"/>
  <c r="L814" i="2"/>
  <c r="J1273" i="2"/>
  <c r="L1273" i="2" s="1"/>
  <c r="L1081" i="2"/>
  <c r="L1139" i="2"/>
  <c r="J1331" i="2"/>
  <c r="L1331" i="2" s="1"/>
  <c r="J1215" i="2"/>
  <c r="L1215" i="2" s="1"/>
  <c r="L1023" i="2"/>
  <c r="J1219" i="2"/>
  <c r="L1219" i="2" s="1"/>
  <c r="L1027" i="2"/>
  <c r="J1066" i="2"/>
  <c r="L874" i="2"/>
  <c r="J1207" i="2"/>
  <c r="L1207" i="2" s="1"/>
  <c r="L1015" i="2"/>
  <c r="J1227" i="2"/>
  <c r="L1227" i="2" s="1"/>
  <c r="L1035" i="2"/>
  <c r="J965" i="2"/>
  <c r="L773" i="2"/>
  <c r="J1187" i="2"/>
  <c r="L1187" i="2" s="1"/>
  <c r="L995" i="2"/>
  <c r="J1238" i="2"/>
  <c r="L1238" i="2" s="1"/>
  <c r="L1046" i="2"/>
  <c r="J1310" i="2"/>
  <c r="L1310" i="2" s="1"/>
  <c r="L1118" i="2"/>
  <c r="L1123" i="2"/>
  <c r="J1315" i="2"/>
  <c r="L1315" i="2" s="1"/>
  <c r="J1175" i="2"/>
  <c r="L1175" i="2" s="1"/>
  <c r="L983" i="2"/>
  <c r="J1201" i="2"/>
  <c r="L1201" i="2" s="1"/>
  <c r="L1009" i="2"/>
  <c r="J1125" i="2"/>
  <c r="L933" i="2"/>
  <c r="J1254" i="2"/>
  <c r="L1254" i="2" s="1"/>
  <c r="L1062" i="2"/>
  <c r="J1036" i="2"/>
  <c r="L844" i="2"/>
  <c r="J1182" i="2"/>
  <c r="L1182" i="2" s="1"/>
  <c r="L990" i="2"/>
  <c r="J1308" i="2"/>
  <c r="L1308" i="2" s="1"/>
  <c r="L1116" i="2"/>
  <c r="J1012" i="2"/>
  <c r="L820" i="2"/>
  <c r="L1129" i="2"/>
  <c r="J1321" i="2"/>
  <c r="L1321" i="2" s="1"/>
  <c r="J974" i="2"/>
  <c r="L782" i="2"/>
  <c r="L1142" i="2"/>
  <c r="J1334" i="2"/>
  <c r="L1334" i="2" s="1"/>
  <c r="J1159" i="2"/>
  <c r="L1159" i="2" s="1"/>
  <c r="L967" i="2"/>
  <c r="J973" i="2"/>
  <c r="L781" i="2"/>
  <c r="J1305" i="2"/>
  <c r="L1305" i="2" s="1"/>
  <c r="L1113" i="2"/>
  <c r="J1255" i="2"/>
  <c r="L1255" i="2" s="1"/>
  <c r="L1063" i="2"/>
  <c r="J1082" i="2"/>
  <c r="L890" i="2"/>
  <c r="J1327" i="2"/>
  <c r="L1327" i="2" s="1"/>
  <c r="L1135" i="2"/>
  <c r="L789" i="2"/>
  <c r="J981" i="2"/>
  <c r="J1302" i="2"/>
  <c r="L1302" i="2" s="1"/>
  <c r="L1110" i="2"/>
  <c r="J1260" i="2"/>
  <c r="L1260" i="2" s="1"/>
  <c r="L1068" i="2"/>
  <c r="J1319" i="2"/>
  <c r="L1319" i="2" s="1"/>
  <c r="L1127" i="2"/>
  <c r="J1265" i="2"/>
  <c r="L1265" i="2" s="1"/>
  <c r="L1073" i="2"/>
  <c r="J1183" i="2"/>
  <c r="L1183" i="2" s="1"/>
  <c r="L991" i="2"/>
  <c r="J1195" i="2"/>
  <c r="L1195" i="2" s="1"/>
  <c r="L1003" i="2"/>
  <c r="J994" i="2"/>
  <c r="L802" i="2"/>
  <c r="J1270" i="2"/>
  <c r="L1270" i="2" s="1"/>
  <c r="L1078" i="2"/>
  <c r="J1008" i="2"/>
  <c r="L816" i="2"/>
  <c r="J1211" i="2"/>
  <c r="L1211" i="2" s="1"/>
  <c r="L1019" i="2"/>
  <c r="J1098" i="2"/>
  <c r="L906" i="2"/>
  <c r="J1324" i="2"/>
  <c r="L1324" i="2" s="1"/>
  <c r="L1132" i="2"/>
  <c r="J1034" i="2"/>
  <c r="L842" i="2"/>
  <c r="L954" i="2"/>
  <c r="J1146" i="2"/>
  <c r="L1147" i="2"/>
  <c r="J1339" i="2"/>
  <c r="L1339" i="2" s="1"/>
  <c r="J980" i="2"/>
  <c r="L788" i="2"/>
  <c r="J1122" i="2"/>
  <c r="L930" i="2"/>
  <c r="J1022" i="2"/>
  <c r="L830" i="2"/>
  <c r="J1106" i="2"/>
  <c r="L914" i="2"/>
  <c r="J1311" i="2"/>
  <c r="L1311" i="2" s="1"/>
  <c r="L1119" i="2"/>
  <c r="L1131" i="2"/>
  <c r="J1323" i="2"/>
  <c r="L1323" i="2" s="1"/>
  <c r="J1332" i="2"/>
  <c r="L1332" i="2" s="1"/>
  <c r="L1140" i="2"/>
  <c r="L1104" i="2"/>
  <c r="J1296" i="2"/>
  <c r="L1296" i="2" s="1"/>
  <c r="K224" i="2"/>
  <c r="L223" i="2"/>
  <c r="J1042" i="2"/>
  <c r="L850" i="2"/>
  <c r="J996" i="2"/>
  <c r="L804" i="2"/>
  <c r="J988" i="2"/>
  <c r="L796" i="2"/>
  <c r="J1239" i="2"/>
  <c r="L1239" i="2" s="1"/>
  <c r="L1047" i="2"/>
  <c r="J1286" i="2"/>
  <c r="L1286" i="2" s="1"/>
  <c r="L1094" i="2"/>
  <c r="J1344" i="2"/>
  <c r="L1344" i="2" s="1"/>
  <c r="L1152" i="2"/>
  <c r="J984" i="2"/>
  <c r="L792" i="2"/>
  <c r="J1093" i="2"/>
  <c r="L901" i="2"/>
  <c r="J1109" i="2"/>
  <c r="L917" i="2"/>
  <c r="J1307" i="2"/>
  <c r="L1307" i="2" s="1"/>
  <c r="L1115" i="2"/>
  <c r="J1294" i="2"/>
  <c r="L1294" i="2" s="1"/>
  <c r="L1102" i="2"/>
  <c r="J1312" i="2"/>
  <c r="L1312" i="2" s="1"/>
  <c r="L1120" i="2"/>
  <c r="J1231" i="2"/>
  <c r="L1231" i="2" s="1"/>
  <c r="L1039" i="2"/>
  <c r="J1193" i="2"/>
  <c r="L1193" i="2" s="1"/>
  <c r="L1001" i="2"/>
  <c r="J1024" i="2"/>
  <c r="L832" i="2"/>
  <c r="J1016" i="2"/>
  <c r="L824" i="2"/>
  <c r="L1153" i="2"/>
  <c r="J1345" i="2"/>
  <c r="L1345" i="2" s="1"/>
  <c r="L1096" i="2"/>
  <c r="J1288" i="2"/>
  <c r="L1288" i="2" s="1"/>
  <c r="J1282" i="2"/>
  <c r="L1282" i="2" s="1"/>
  <c r="L1090" i="2"/>
  <c r="K491" i="2"/>
  <c r="L490" i="2"/>
  <c r="J1010" i="2"/>
  <c r="L818" i="2"/>
  <c r="J1295" i="2"/>
  <c r="L1295" i="2" s="1"/>
  <c r="L1103" i="2"/>
  <c r="J1203" i="2"/>
  <c r="L1203" i="2" s="1"/>
  <c r="L1011" i="2"/>
  <c r="J1267" i="2"/>
  <c r="L1267" i="2" s="1"/>
  <c r="L1075" i="2"/>
  <c r="L838" i="2"/>
  <c r="J1030" i="2"/>
  <c r="J1223" i="2"/>
  <c r="L1223" i="2" s="1"/>
  <c r="L1031" i="2"/>
  <c r="J1318" i="2"/>
  <c r="L1318" i="2" s="1"/>
  <c r="L1126" i="2"/>
  <c r="J1343" i="2"/>
  <c r="L1343" i="2" s="1"/>
  <c r="L1151" i="2"/>
  <c r="J1348" i="2"/>
  <c r="L1348" i="2" s="1"/>
  <c r="L1156" i="2"/>
  <c r="J1340" i="2"/>
  <c r="L1340" i="2" s="1"/>
  <c r="L1148" i="2"/>
  <c r="J1247" i="2"/>
  <c r="L1247" i="2" s="1"/>
  <c r="L1055" i="2"/>
  <c r="J1002" i="2"/>
  <c r="L810" i="2"/>
  <c r="J1244" i="2"/>
  <c r="L1244" i="2" s="1"/>
  <c r="L1052" i="2"/>
  <c r="J1217" i="2"/>
  <c r="L1217" i="2" s="1"/>
  <c r="L1025" i="2"/>
  <c r="J970" i="2"/>
  <c r="L778" i="2"/>
  <c r="J1241" i="2"/>
  <c r="L1241" i="2" s="1"/>
  <c r="L1049" i="2"/>
  <c r="BX156" i="1" l="1"/>
  <c r="BY156" i="1" s="1"/>
  <c r="BZ156" i="1" s="1"/>
  <c r="CL156" i="1" s="1"/>
  <c r="BX256" i="1"/>
  <c r="BY256" i="1" s="1"/>
  <c r="BD256" i="1"/>
  <c r="BA156" i="1"/>
  <c r="BB156" i="1" s="1"/>
  <c r="BD156" i="1"/>
  <c r="BA256" i="1"/>
  <c r="J1222" i="2"/>
  <c r="L1222" i="2" s="1"/>
  <c r="L1030" i="2"/>
  <c r="J1202" i="2"/>
  <c r="L1202" i="2" s="1"/>
  <c r="L1010" i="2"/>
  <c r="J1277" i="2"/>
  <c r="L1277" i="2" s="1"/>
  <c r="L1085" i="2"/>
  <c r="J1232" i="2"/>
  <c r="L1232" i="2" s="1"/>
  <c r="L1040" i="2"/>
  <c r="J1206" i="2"/>
  <c r="L1206" i="2" s="1"/>
  <c r="L1014" i="2"/>
  <c r="J1230" i="2"/>
  <c r="L1230" i="2" s="1"/>
  <c r="L1038" i="2"/>
  <c r="J1338" i="2"/>
  <c r="L1338" i="2" s="1"/>
  <c r="L1146" i="2"/>
  <c r="L1149" i="2"/>
  <c r="J1341" i="2"/>
  <c r="L1341" i="2" s="1"/>
  <c r="J1346" i="2"/>
  <c r="L1346" i="2" s="1"/>
  <c r="L1154" i="2"/>
  <c r="J1188" i="2"/>
  <c r="L1188" i="2" s="1"/>
  <c r="L996" i="2"/>
  <c r="J1214" i="2"/>
  <c r="L1214" i="2" s="1"/>
  <c r="L1022" i="2"/>
  <c r="J1274" i="2"/>
  <c r="L1274" i="2" s="1"/>
  <c r="L1082" i="2"/>
  <c r="J1204" i="2"/>
  <c r="L1204" i="2" s="1"/>
  <c r="L1012" i="2"/>
  <c r="J1157" i="2"/>
  <c r="L1157" i="2" s="1"/>
  <c r="L965" i="2"/>
  <c r="J1198" i="2"/>
  <c r="L1198" i="2" s="1"/>
  <c r="L1006" i="2"/>
  <c r="J1269" i="2"/>
  <c r="L1269" i="2" s="1"/>
  <c r="L1077" i="2"/>
  <c r="L1133" i="2"/>
  <c r="J1325" i="2"/>
  <c r="L1325" i="2" s="1"/>
  <c r="J1184" i="2"/>
  <c r="L1184" i="2" s="1"/>
  <c r="L992" i="2"/>
  <c r="J1196" i="2"/>
  <c r="L1196" i="2" s="1"/>
  <c r="L1004" i="2"/>
  <c r="J1236" i="2"/>
  <c r="L1236" i="2" s="1"/>
  <c r="L1044" i="2"/>
  <c r="J1160" i="2"/>
  <c r="L1160" i="2" s="1"/>
  <c r="L968" i="2"/>
  <c r="J1218" i="2"/>
  <c r="L1218" i="2" s="1"/>
  <c r="L1026" i="2"/>
  <c r="L1061" i="2"/>
  <c r="J1253" i="2"/>
  <c r="L1253" i="2" s="1"/>
  <c r="J1322" i="2"/>
  <c r="L1322" i="2" s="1"/>
  <c r="L1130" i="2"/>
  <c r="J1210" i="2"/>
  <c r="L1210" i="2" s="1"/>
  <c r="L1018" i="2"/>
  <c r="L1117" i="2"/>
  <c r="J1309" i="2"/>
  <c r="L1309" i="2" s="1"/>
  <c r="AF177" i="1"/>
  <c r="J1173" i="2"/>
  <c r="L1173" i="2" s="1"/>
  <c r="L981" i="2"/>
  <c r="J1266" i="2"/>
  <c r="L1266" i="2" s="1"/>
  <c r="L1074" i="2"/>
  <c r="J1174" i="2"/>
  <c r="L1174" i="2" s="1"/>
  <c r="L982" i="2"/>
  <c r="J1158" i="2"/>
  <c r="L1158" i="2" s="1"/>
  <c r="L966" i="2"/>
  <c r="J1194" i="2"/>
  <c r="L1194" i="2" s="1"/>
  <c r="L1002" i="2"/>
  <c r="K492" i="2"/>
  <c r="L491" i="2"/>
  <c r="J1208" i="2"/>
  <c r="L1208" i="2" s="1"/>
  <c r="L1016" i="2"/>
  <c r="L1093" i="2"/>
  <c r="J1285" i="2"/>
  <c r="L1285" i="2" s="1"/>
  <c r="K225" i="2"/>
  <c r="L224" i="2"/>
  <c r="J1172" i="2"/>
  <c r="L1172" i="2" s="1"/>
  <c r="L980" i="2"/>
  <c r="J1166" i="2"/>
  <c r="L1166" i="2" s="1"/>
  <c r="L974" i="2"/>
  <c r="J1178" i="2"/>
  <c r="L1178" i="2" s="1"/>
  <c r="L986" i="2"/>
  <c r="J1330" i="2"/>
  <c r="L1330" i="2" s="1"/>
  <c r="L1138" i="2"/>
  <c r="L10" i="2"/>
  <c r="T10" i="2" s="1"/>
  <c r="K11" i="2"/>
  <c r="J1224" i="2"/>
  <c r="L1224" i="2" s="1"/>
  <c r="L1032" i="2"/>
  <c r="J1170" i="2"/>
  <c r="L1170" i="2" s="1"/>
  <c r="L978" i="2"/>
  <c r="J1168" i="2"/>
  <c r="L1168" i="2" s="1"/>
  <c r="L976" i="2"/>
  <c r="J1306" i="2"/>
  <c r="L1306" i="2" s="1"/>
  <c r="L1114" i="2"/>
  <c r="J1261" i="2"/>
  <c r="L1261" i="2" s="1"/>
  <c r="L1069" i="2"/>
  <c r="L1109" i="2"/>
  <c r="J1301" i="2"/>
  <c r="L1301" i="2" s="1"/>
  <c r="J1314" i="2"/>
  <c r="L1314" i="2" s="1"/>
  <c r="L1122" i="2"/>
  <c r="J1200" i="2"/>
  <c r="L1200" i="2" s="1"/>
  <c r="L1008" i="2"/>
  <c r="J1234" i="2"/>
  <c r="L1234" i="2" s="1"/>
  <c r="L1042" i="2"/>
  <c r="J1226" i="2"/>
  <c r="L1226" i="2" s="1"/>
  <c r="L1034" i="2"/>
  <c r="J1317" i="2"/>
  <c r="L1317" i="2" s="1"/>
  <c r="L1125" i="2"/>
  <c r="J1164" i="2"/>
  <c r="L1164" i="2" s="1"/>
  <c r="L972" i="2"/>
  <c r="J1162" i="2"/>
  <c r="L1162" i="2" s="1"/>
  <c r="L970" i="2"/>
  <c r="J1216" i="2"/>
  <c r="L1216" i="2" s="1"/>
  <c r="L1024" i="2"/>
  <c r="J1176" i="2"/>
  <c r="L1176" i="2" s="1"/>
  <c r="L984" i="2"/>
  <c r="J1180" i="2"/>
  <c r="L1180" i="2" s="1"/>
  <c r="L988" i="2"/>
  <c r="J1298" i="2"/>
  <c r="L1298" i="2" s="1"/>
  <c r="L1106" i="2"/>
  <c r="J1290" i="2"/>
  <c r="L1290" i="2" s="1"/>
  <c r="L1098" i="2"/>
  <c r="J1186" i="2"/>
  <c r="L1186" i="2" s="1"/>
  <c r="L994" i="2"/>
  <c r="L973" i="2"/>
  <c r="J1165" i="2"/>
  <c r="L1165" i="2" s="1"/>
  <c r="J1228" i="2"/>
  <c r="L1228" i="2" s="1"/>
  <c r="L1036" i="2"/>
  <c r="J1258" i="2"/>
  <c r="L1258" i="2" s="1"/>
  <c r="L1066" i="2"/>
  <c r="J1212" i="2"/>
  <c r="L1212" i="2" s="1"/>
  <c r="L1020" i="2"/>
  <c r="J1190" i="2"/>
  <c r="L1190" i="2" s="1"/>
  <c r="L998" i="2"/>
  <c r="L1101" i="2"/>
  <c r="J1293" i="2"/>
  <c r="L1293" i="2" s="1"/>
  <c r="L1141" i="2"/>
  <c r="J1333" i="2"/>
  <c r="L1333" i="2" s="1"/>
  <c r="L1000" i="2"/>
  <c r="J1192" i="2"/>
  <c r="L1192" i="2" s="1"/>
  <c r="J1220" i="2"/>
  <c r="L1220" i="2" s="1"/>
  <c r="L1028" i="2"/>
  <c r="I72" i="1" l="1"/>
  <c r="K72" i="1" s="1"/>
  <c r="J72" i="1"/>
  <c r="L72" i="1" s="1"/>
  <c r="K17" i="3"/>
  <c r="M17" i="3" s="1"/>
  <c r="J17" i="3"/>
  <c r="L17" i="3" s="1"/>
  <c r="F17" i="3" s="1"/>
  <c r="K16" i="3"/>
  <c r="M16" i="3" s="1"/>
  <c r="J16" i="3"/>
  <c r="L16" i="3" s="1"/>
  <c r="CM156" i="1"/>
  <c r="CU156" i="1"/>
  <c r="BZ256" i="1"/>
  <c r="CL256" i="1" s="1"/>
  <c r="BB256" i="1"/>
  <c r="BE156" i="1"/>
  <c r="BF156" i="1" s="1"/>
  <c r="BE256" i="1"/>
  <c r="AF178" i="1"/>
  <c r="K226" i="2"/>
  <c r="L225" i="2"/>
  <c r="K12" i="2"/>
  <c r="L11" i="2"/>
  <c r="K493" i="2"/>
  <c r="L492" i="2"/>
  <c r="F16" i="3" l="1"/>
  <c r="AH32" i="3"/>
  <c r="AH57" i="3"/>
  <c r="AH82" i="3"/>
  <c r="AH36" i="3"/>
  <c r="AH61" i="3"/>
  <c r="AH144" i="3"/>
  <c r="AH113" i="3"/>
  <c r="AH146" i="3"/>
  <c r="AH99" i="3"/>
  <c r="AH132" i="3"/>
  <c r="AH92" i="3"/>
  <c r="AH111" i="3"/>
  <c r="AH158" i="3"/>
  <c r="AH40" i="3"/>
  <c r="AH65" i="3"/>
  <c r="AH90" i="3"/>
  <c r="AH44" i="3"/>
  <c r="AH69" i="3"/>
  <c r="AH152" i="3"/>
  <c r="AH129" i="3"/>
  <c r="AH154" i="3"/>
  <c r="AH115" i="3"/>
  <c r="AH140" i="3"/>
  <c r="AH101" i="3"/>
  <c r="AH127" i="3"/>
  <c r="AH166" i="3"/>
  <c r="AH112" i="3"/>
  <c r="AH135" i="3"/>
  <c r="AH126" i="3"/>
  <c r="AH23" i="3"/>
  <c r="AH48" i="3"/>
  <c r="AH73" i="3"/>
  <c r="AH27" i="3"/>
  <c r="AH52" i="3"/>
  <c r="AH77" i="3"/>
  <c r="AH160" i="3"/>
  <c r="AH145" i="3"/>
  <c r="AH162" i="3"/>
  <c r="AH131" i="3"/>
  <c r="AH148" i="3"/>
  <c r="AH109" i="3"/>
  <c r="AH151" i="3"/>
  <c r="AH174" i="3"/>
  <c r="AH137" i="3"/>
  <c r="AH31" i="3"/>
  <c r="AH56" i="3"/>
  <c r="AH81" i="3"/>
  <c r="AH35" i="3"/>
  <c r="AH60" i="3"/>
  <c r="AH85" i="3"/>
  <c r="AH168" i="3"/>
  <c r="AH161" i="3"/>
  <c r="AH170" i="3"/>
  <c r="AH147" i="3"/>
  <c r="AH156" i="3"/>
  <c r="AH117" i="3"/>
  <c r="AH46" i="3"/>
  <c r="AH54" i="3"/>
  <c r="AH25" i="3"/>
  <c r="AH39" i="3"/>
  <c r="AH64" i="3"/>
  <c r="AH89" i="3"/>
  <c r="AH43" i="3"/>
  <c r="AH68" i="3"/>
  <c r="AH93" i="3"/>
  <c r="AH176" i="3"/>
  <c r="AH177" i="3"/>
  <c r="AH178" i="3"/>
  <c r="AH163" i="3"/>
  <c r="AH164" i="3"/>
  <c r="AH125" i="3"/>
  <c r="AH94" i="3"/>
  <c r="AH119" i="3"/>
  <c r="AH47" i="3"/>
  <c r="AH72" i="3"/>
  <c r="AH26" i="3"/>
  <c r="AH51" i="3"/>
  <c r="AH76" i="3"/>
  <c r="AH62" i="3"/>
  <c r="AH70" i="3"/>
  <c r="AH78" i="3"/>
  <c r="AH86" i="3"/>
  <c r="AH179" i="3"/>
  <c r="AH172" i="3"/>
  <c r="AH133" i="3"/>
  <c r="AH102" i="3"/>
  <c r="AH143" i="3"/>
  <c r="AH29" i="3"/>
  <c r="AH55" i="3"/>
  <c r="AH80" i="3"/>
  <c r="AH34" i="3"/>
  <c r="AH59" i="3"/>
  <c r="AH84" i="3"/>
  <c r="AH96" i="3"/>
  <c r="AH105" i="3"/>
  <c r="AH98" i="3"/>
  <c r="AH107" i="3"/>
  <c r="AH30" i="3"/>
  <c r="AH180" i="3"/>
  <c r="AH141" i="3"/>
  <c r="AH110" i="3"/>
  <c r="AH167" i="3"/>
  <c r="AH50" i="3"/>
  <c r="AH63" i="3"/>
  <c r="AH88" i="3"/>
  <c r="AH42" i="3"/>
  <c r="AH67" i="3"/>
  <c r="AH21" i="3"/>
  <c r="AH104" i="3"/>
  <c r="AH121" i="3"/>
  <c r="AH106" i="3"/>
  <c r="AH123" i="3"/>
  <c r="AH91" i="3"/>
  <c r="AH103" i="3"/>
  <c r="AH149" i="3"/>
  <c r="AH118" i="3"/>
  <c r="AH75" i="3"/>
  <c r="AH114" i="3"/>
  <c r="AH139" i="3"/>
  <c r="AH100" i="3"/>
  <c r="AH157" i="3"/>
  <c r="E17" i="3"/>
  <c r="AH71" i="3"/>
  <c r="AH79" i="3"/>
  <c r="AH33" i="3"/>
  <c r="AH58" i="3"/>
  <c r="AH83" i="3"/>
  <c r="AH37" i="3"/>
  <c r="AH120" i="3"/>
  <c r="AH153" i="3"/>
  <c r="AH122" i="3"/>
  <c r="AH155" i="3"/>
  <c r="AH108" i="3"/>
  <c r="AH159" i="3"/>
  <c r="AH165" i="3"/>
  <c r="AH134" i="3"/>
  <c r="G17" i="3"/>
  <c r="AH87" i="3"/>
  <c r="AH41" i="3"/>
  <c r="AH66" i="3"/>
  <c r="AH20" i="3"/>
  <c r="AH45" i="3"/>
  <c r="AH128" i="3"/>
  <c r="AH169" i="3"/>
  <c r="AH130" i="3"/>
  <c r="AH171" i="3"/>
  <c r="AH116" i="3"/>
  <c r="AH175" i="3"/>
  <c r="AH173" i="3"/>
  <c r="AH142" i="3"/>
  <c r="AH24" i="3"/>
  <c r="AH49" i="3"/>
  <c r="AH74" i="3"/>
  <c r="AH28" i="3"/>
  <c r="AH53" i="3"/>
  <c r="AH136" i="3"/>
  <c r="AH97" i="3"/>
  <c r="AH138" i="3"/>
  <c r="AH22" i="3"/>
  <c r="AH124" i="3"/>
  <c r="AH38" i="3"/>
  <c r="AH95" i="3"/>
  <c r="AH150" i="3"/>
  <c r="E72" i="1"/>
  <c r="H73" i="1" s="1"/>
  <c r="J73" i="1" s="1"/>
  <c r="CM256" i="1"/>
  <c r="CN256" i="1" s="1"/>
  <c r="CU256" i="1"/>
  <c r="CG156" i="1"/>
  <c r="CQ156" i="1" s="1"/>
  <c r="BF256" i="1"/>
  <c r="K494" i="2"/>
  <c r="L493" i="2"/>
  <c r="L12" i="2"/>
  <c r="Q12" i="2" s="1"/>
  <c r="K13" i="2"/>
  <c r="K227" i="2"/>
  <c r="L226" i="2"/>
  <c r="AF179" i="1"/>
  <c r="K73" i="1" l="1"/>
  <c r="M73" i="1" s="1"/>
  <c r="O73" i="1" s="1"/>
  <c r="L73" i="1"/>
  <c r="N73" i="1" s="1"/>
  <c r="E73" i="1" s="1"/>
  <c r="AI32" i="3"/>
  <c r="AI128" i="3"/>
  <c r="AI65" i="3"/>
  <c r="AI161" i="3"/>
  <c r="AI98" i="3"/>
  <c r="AI35" i="3"/>
  <c r="AI131" i="3"/>
  <c r="AI60" i="3"/>
  <c r="AI156" i="3"/>
  <c r="AI85" i="3"/>
  <c r="AI22" i="3"/>
  <c r="AI118" i="3"/>
  <c r="AI103" i="3"/>
  <c r="AI87" i="3"/>
  <c r="AI122" i="3"/>
  <c r="AI96" i="3"/>
  <c r="AI33" i="3"/>
  <c r="AI129" i="3"/>
  <c r="AI66" i="3"/>
  <c r="AI162" i="3"/>
  <c r="AI99" i="3"/>
  <c r="AI28" i="3"/>
  <c r="AI124" i="3"/>
  <c r="AI53" i="3"/>
  <c r="AI149" i="3"/>
  <c r="AI86" i="3"/>
  <c r="AI31" i="3"/>
  <c r="AI127" i="3"/>
  <c r="AI40" i="3"/>
  <c r="AI136" i="3"/>
  <c r="AI73" i="3"/>
  <c r="AI169" i="3"/>
  <c r="AI106" i="3"/>
  <c r="AI43" i="3"/>
  <c r="AI139" i="3"/>
  <c r="AI68" i="3"/>
  <c r="AI164" i="3"/>
  <c r="AI93" i="3"/>
  <c r="AI30" i="3"/>
  <c r="AI126" i="3"/>
  <c r="AI167" i="3"/>
  <c r="AI79" i="3"/>
  <c r="AI59" i="3"/>
  <c r="AI24" i="3"/>
  <c r="AI57" i="3"/>
  <c r="AI153" i="3"/>
  <c r="AI90" i="3"/>
  <c r="AI27" i="3"/>
  <c r="AI123" i="3"/>
  <c r="AI52" i="3"/>
  <c r="AI77" i="3"/>
  <c r="AI110" i="3"/>
  <c r="AI135" i="3"/>
  <c r="AI48" i="3"/>
  <c r="AI144" i="3"/>
  <c r="AI81" i="3"/>
  <c r="AI177" i="3"/>
  <c r="AI114" i="3"/>
  <c r="AI51" i="3"/>
  <c r="AI147" i="3"/>
  <c r="AI76" i="3"/>
  <c r="AI172" i="3"/>
  <c r="AI101" i="3"/>
  <c r="AI38" i="3"/>
  <c r="AI134" i="3"/>
  <c r="AI47" i="3"/>
  <c r="AI143" i="3"/>
  <c r="AI56" i="3"/>
  <c r="AI152" i="3"/>
  <c r="AI89" i="3"/>
  <c r="AI26" i="3"/>
  <c r="AI155" i="3"/>
  <c r="AI84" i="3"/>
  <c r="AI180" i="3"/>
  <c r="AI109" i="3"/>
  <c r="AI46" i="3"/>
  <c r="AI142" i="3"/>
  <c r="AI111" i="3"/>
  <c r="AI23" i="3"/>
  <c r="AI64" i="3"/>
  <c r="AI160" i="3"/>
  <c r="AI97" i="3"/>
  <c r="AI34" i="3"/>
  <c r="AI130" i="3"/>
  <c r="AI67" i="3"/>
  <c r="AI163" i="3"/>
  <c r="AI92" i="3"/>
  <c r="AI21" i="3"/>
  <c r="AI117" i="3"/>
  <c r="AI54" i="3"/>
  <c r="AI150" i="3"/>
  <c r="AI175" i="3"/>
  <c r="AI72" i="3"/>
  <c r="AI168" i="3"/>
  <c r="AI105" i="3"/>
  <c r="AI42" i="3"/>
  <c r="AI138" i="3"/>
  <c r="AI75" i="3"/>
  <c r="AI171" i="3"/>
  <c r="AI100" i="3"/>
  <c r="AI29" i="3"/>
  <c r="AI125" i="3"/>
  <c r="AI62" i="3"/>
  <c r="AI158" i="3"/>
  <c r="AI55" i="3"/>
  <c r="AI80" i="3"/>
  <c r="AI176" i="3"/>
  <c r="AI113" i="3"/>
  <c r="AI50" i="3"/>
  <c r="AI146" i="3"/>
  <c r="AI83" i="3"/>
  <c r="AI179" i="3"/>
  <c r="AI108" i="3"/>
  <c r="AI37" i="3"/>
  <c r="AI133" i="3"/>
  <c r="AI70" i="3"/>
  <c r="AI166" i="3"/>
  <c r="AI119" i="3"/>
  <c r="AI120" i="3"/>
  <c r="AI148" i="3"/>
  <c r="AI39" i="3"/>
  <c r="AI88" i="3"/>
  <c r="AI25" i="3"/>
  <c r="AI121" i="3"/>
  <c r="AI58" i="3"/>
  <c r="AI154" i="3"/>
  <c r="AI91" i="3"/>
  <c r="AI20" i="3"/>
  <c r="AI116" i="3"/>
  <c r="AI45" i="3"/>
  <c r="AI141" i="3"/>
  <c r="AI78" i="3"/>
  <c r="AI174" i="3"/>
  <c r="AI63" i="3"/>
  <c r="AI104" i="3"/>
  <c r="AI41" i="3"/>
  <c r="AI137" i="3"/>
  <c r="AI74" i="3"/>
  <c r="AI170" i="3"/>
  <c r="AI107" i="3"/>
  <c r="AI36" i="3"/>
  <c r="AI132" i="3"/>
  <c r="AI61" i="3"/>
  <c r="AI157" i="3"/>
  <c r="AI94" i="3"/>
  <c r="AI95" i="3"/>
  <c r="AI151" i="3"/>
  <c r="AI112" i="3"/>
  <c r="AI49" i="3"/>
  <c r="AI145" i="3"/>
  <c r="AI82" i="3"/>
  <c r="AI178" i="3"/>
  <c r="AI115" i="3"/>
  <c r="AI44" i="3"/>
  <c r="AI140" i="3"/>
  <c r="AI69" i="3"/>
  <c r="AI165" i="3"/>
  <c r="AI102" i="3"/>
  <c r="AI159" i="3"/>
  <c r="AI71" i="3"/>
  <c r="AI173" i="3"/>
  <c r="AG22" i="3"/>
  <c r="AG118" i="3"/>
  <c r="AG87" i="3"/>
  <c r="AG111" i="3"/>
  <c r="AG88" i="3"/>
  <c r="AG25" i="3"/>
  <c r="AG33" i="3"/>
  <c r="AG58" i="3"/>
  <c r="AG154" i="3"/>
  <c r="AG43" i="3"/>
  <c r="AG139" i="3"/>
  <c r="AG173" i="3"/>
  <c r="AG108" i="3"/>
  <c r="AG93" i="3"/>
  <c r="AG159" i="3"/>
  <c r="AG97" i="3"/>
  <c r="AG67" i="3"/>
  <c r="AG132" i="3"/>
  <c r="AG86" i="3"/>
  <c r="AG23" i="3"/>
  <c r="AG47" i="3"/>
  <c r="AG56" i="3"/>
  <c r="AG152" i="3"/>
  <c r="AG137" i="3"/>
  <c r="AG26" i="3"/>
  <c r="AG122" i="3"/>
  <c r="AG133" i="3"/>
  <c r="AG107" i="3"/>
  <c r="AG69" i="3"/>
  <c r="AG76" i="3"/>
  <c r="AG172" i="3"/>
  <c r="AG30" i="3"/>
  <c r="AG126" i="3"/>
  <c r="AG103" i="3"/>
  <c r="AG127" i="3"/>
  <c r="AG96" i="3"/>
  <c r="AG41" i="3"/>
  <c r="AG49" i="3"/>
  <c r="AG66" i="3"/>
  <c r="AG162" i="3"/>
  <c r="AG51" i="3"/>
  <c r="AG147" i="3"/>
  <c r="AG20" i="3"/>
  <c r="AG116" i="3"/>
  <c r="AG117" i="3"/>
  <c r="AG65" i="3"/>
  <c r="AG178" i="3"/>
  <c r="AG36" i="3"/>
  <c r="AG95" i="3"/>
  <c r="AG177" i="3"/>
  <c r="AG35" i="3"/>
  <c r="AG45" i="3"/>
  <c r="AG38" i="3"/>
  <c r="AG134" i="3"/>
  <c r="AG119" i="3"/>
  <c r="AG143" i="3"/>
  <c r="AG104" i="3"/>
  <c r="AG57" i="3"/>
  <c r="AG73" i="3"/>
  <c r="AG74" i="3"/>
  <c r="AG170" i="3"/>
  <c r="AG59" i="3"/>
  <c r="AG155" i="3"/>
  <c r="AG28" i="3"/>
  <c r="AG124" i="3"/>
  <c r="AG125" i="3"/>
  <c r="AG46" i="3"/>
  <c r="AG142" i="3"/>
  <c r="AG135" i="3"/>
  <c r="AG112" i="3"/>
  <c r="AG82" i="3"/>
  <c r="AG163" i="3"/>
  <c r="AG149" i="3"/>
  <c r="AG54" i="3"/>
  <c r="AG150" i="3"/>
  <c r="AG151" i="3"/>
  <c r="AG24" i="3"/>
  <c r="AG120" i="3"/>
  <c r="AG81" i="3"/>
  <c r="AG113" i="3"/>
  <c r="AG90" i="3"/>
  <c r="AG37" i="3"/>
  <c r="AG75" i="3"/>
  <c r="AG171" i="3"/>
  <c r="AG44" i="3"/>
  <c r="AG140" i="3"/>
  <c r="AG165" i="3"/>
  <c r="AG62" i="3"/>
  <c r="AG158" i="3"/>
  <c r="AG167" i="3"/>
  <c r="AG32" i="3"/>
  <c r="AG128" i="3"/>
  <c r="AG89" i="3"/>
  <c r="AG129" i="3"/>
  <c r="AG98" i="3"/>
  <c r="AG61" i="3"/>
  <c r="AG83" i="3"/>
  <c r="AG179" i="3"/>
  <c r="AG52" i="3"/>
  <c r="AG148" i="3"/>
  <c r="AG70" i="3"/>
  <c r="AG166" i="3"/>
  <c r="AG175" i="3"/>
  <c r="AG40" i="3"/>
  <c r="AG136" i="3"/>
  <c r="AG105" i="3"/>
  <c r="AG145" i="3"/>
  <c r="AG106" i="3"/>
  <c r="AG77" i="3"/>
  <c r="AG91" i="3"/>
  <c r="AG29" i="3"/>
  <c r="AG60" i="3"/>
  <c r="AG156" i="3"/>
  <c r="AG110" i="3"/>
  <c r="AG80" i="3"/>
  <c r="AG50" i="3"/>
  <c r="AG131" i="3"/>
  <c r="AG100" i="3"/>
  <c r="AG78" i="3"/>
  <c r="AG174" i="3"/>
  <c r="AG31" i="3"/>
  <c r="AG48" i="3"/>
  <c r="AG144" i="3"/>
  <c r="AG121" i="3"/>
  <c r="AG169" i="3"/>
  <c r="AG114" i="3"/>
  <c r="AG109" i="3"/>
  <c r="AG99" i="3"/>
  <c r="AG53" i="3"/>
  <c r="AG68" i="3"/>
  <c r="AG164" i="3"/>
  <c r="AG94" i="3"/>
  <c r="AG39" i="3"/>
  <c r="AG63" i="3"/>
  <c r="AG64" i="3"/>
  <c r="AG160" i="3"/>
  <c r="AG153" i="3"/>
  <c r="AG34" i="3"/>
  <c r="AG130" i="3"/>
  <c r="AG157" i="3"/>
  <c r="AG115" i="3"/>
  <c r="AG85" i="3"/>
  <c r="AG84" i="3"/>
  <c r="AG180" i="3"/>
  <c r="AG102" i="3"/>
  <c r="AG55" i="3"/>
  <c r="AG79" i="3"/>
  <c r="AG72" i="3"/>
  <c r="AG168" i="3"/>
  <c r="AG161" i="3"/>
  <c r="AG42" i="3"/>
  <c r="AG138" i="3"/>
  <c r="AG27" i="3"/>
  <c r="AG123" i="3"/>
  <c r="AG101" i="3"/>
  <c r="AG92" i="3"/>
  <c r="AG21" i="3"/>
  <c r="AG71" i="3"/>
  <c r="AG176" i="3"/>
  <c r="AG146" i="3"/>
  <c r="AG141" i="3"/>
  <c r="AK119" i="3"/>
  <c r="AK140" i="3"/>
  <c r="AK65" i="3"/>
  <c r="AK144" i="3"/>
  <c r="AK103" i="3"/>
  <c r="AK42" i="3"/>
  <c r="AK145" i="3"/>
  <c r="AK122" i="3"/>
  <c r="AK178" i="3"/>
  <c r="AK39" i="3"/>
  <c r="AK104" i="3"/>
  <c r="AK175" i="3"/>
  <c r="AK66" i="3"/>
  <c r="AK149" i="3"/>
  <c r="AK87" i="3"/>
  <c r="AK139" i="3"/>
  <c r="AK172" i="3"/>
  <c r="AK26" i="3"/>
  <c r="AK92" i="3"/>
  <c r="AK82" i="3"/>
  <c r="AK170" i="3"/>
  <c r="AK31" i="3"/>
  <c r="AK96" i="3"/>
  <c r="AK117" i="3"/>
  <c r="AK167" i="3"/>
  <c r="AK179" i="3"/>
  <c r="AK72" i="3"/>
  <c r="AK93" i="3"/>
  <c r="AK124" i="3"/>
  <c r="AK49" i="3"/>
  <c r="AK105" i="3"/>
  <c r="AK129" i="3"/>
  <c r="AK114" i="3"/>
  <c r="AK150" i="3"/>
  <c r="AK53" i="3"/>
  <c r="AK148" i="3"/>
  <c r="AK73" i="3"/>
  <c r="AK176" i="3"/>
  <c r="AK171" i="3"/>
  <c r="AK37" i="3"/>
  <c r="AK35" i="3"/>
  <c r="AK130" i="3"/>
  <c r="AK47" i="3"/>
  <c r="AK141" i="3"/>
  <c r="AK126" i="3"/>
  <c r="AK155" i="3"/>
  <c r="AK79" i="3"/>
  <c r="AK29" i="3"/>
  <c r="AK147" i="3"/>
  <c r="AK56" i="3"/>
  <c r="AK128" i="3"/>
  <c r="AK70" i="3"/>
  <c r="AK113" i="3"/>
  <c r="AK46" i="3"/>
  <c r="AK60" i="3"/>
  <c r="AK30" i="3"/>
  <c r="AK80" i="3"/>
  <c r="AK71" i="3"/>
  <c r="AK154" i="3"/>
  <c r="AK111" i="3"/>
  <c r="AK36" i="3"/>
  <c r="AK123" i="3"/>
  <c r="AK63" i="3"/>
  <c r="AK77" i="3"/>
  <c r="AK120" i="3"/>
  <c r="AK67" i="3"/>
  <c r="AK78" i="3"/>
  <c r="AK125" i="3"/>
  <c r="AK43" i="3"/>
  <c r="AK138" i="3"/>
  <c r="AK110" i="3"/>
  <c r="AK84" i="3"/>
  <c r="AK166" i="3"/>
  <c r="AK69" i="3"/>
  <c r="AK112" i="3"/>
  <c r="AK38" i="3"/>
  <c r="AK74" i="3"/>
  <c r="AK162" i="3"/>
  <c r="AK23" i="3"/>
  <c r="AK85" i="3"/>
  <c r="AK54" i="3"/>
  <c r="AK153" i="3"/>
  <c r="AK135" i="3"/>
  <c r="AK50" i="3"/>
  <c r="AK161" i="3"/>
  <c r="AK173" i="3"/>
  <c r="AK20" i="3"/>
  <c r="AK102" i="3"/>
  <c r="AK76" i="3"/>
  <c r="AK158" i="3"/>
  <c r="AK61" i="3"/>
  <c r="AK156" i="3"/>
  <c r="AK81" i="3"/>
  <c r="AK98" i="3"/>
  <c r="E16" i="3"/>
  <c r="AK134" i="3"/>
  <c r="AK174" i="3"/>
  <c r="AK152" i="3"/>
  <c r="AK132" i="3"/>
  <c r="AK57" i="3"/>
  <c r="AK121" i="3"/>
  <c r="AK109" i="3"/>
  <c r="AK27" i="3"/>
  <c r="AK165" i="3"/>
  <c r="AK83" i="3"/>
  <c r="AK94" i="3"/>
  <c r="AK68" i="3"/>
  <c r="AK91" i="3"/>
  <c r="AK88" i="3"/>
  <c r="AK169" i="3"/>
  <c r="G16" i="3"/>
  <c r="AK116" i="3"/>
  <c r="AK86" i="3"/>
  <c r="AK32" i="3"/>
  <c r="AK143" i="3"/>
  <c r="AK62" i="3"/>
  <c r="AK163" i="3"/>
  <c r="AK64" i="3"/>
  <c r="AK136" i="3"/>
  <c r="AK180" i="3"/>
  <c r="AK34" i="3"/>
  <c r="AK101" i="3"/>
  <c r="AK90" i="3"/>
  <c r="AK157" i="3"/>
  <c r="AK75" i="3"/>
  <c r="AK22" i="3"/>
  <c r="AK24" i="3"/>
  <c r="AK160" i="3"/>
  <c r="AK41" i="3"/>
  <c r="AK168" i="3"/>
  <c r="AK127" i="3"/>
  <c r="AK44" i="3"/>
  <c r="AK146" i="3"/>
  <c r="AK118" i="3"/>
  <c r="AK21" i="3"/>
  <c r="AK131" i="3"/>
  <c r="AK48" i="3"/>
  <c r="AK108" i="3"/>
  <c r="AK33" i="3"/>
  <c r="AK164" i="3"/>
  <c r="AK89" i="3"/>
  <c r="AK106" i="3"/>
  <c r="AK142" i="3"/>
  <c r="AK45" i="3"/>
  <c r="AK133" i="3"/>
  <c r="AK137" i="3"/>
  <c r="AK51" i="3"/>
  <c r="AK177" i="3"/>
  <c r="AK95" i="3"/>
  <c r="AK28" i="3"/>
  <c r="AK107" i="3"/>
  <c r="AK55" i="3"/>
  <c r="AK115" i="3"/>
  <c r="AK40" i="3"/>
  <c r="AK100" i="3"/>
  <c r="AK25" i="3"/>
  <c r="AK97" i="3"/>
  <c r="AK151" i="3"/>
  <c r="AK52" i="3"/>
  <c r="AK58" i="3"/>
  <c r="AK159" i="3"/>
  <c r="AK99" i="3"/>
  <c r="AK59" i="3"/>
  <c r="CV256" i="1"/>
  <c r="CG256" i="1"/>
  <c r="CQ256" i="1" s="1"/>
  <c r="CH156" i="1"/>
  <c r="AF180" i="1"/>
  <c r="K228" i="2"/>
  <c r="L227" i="2"/>
  <c r="K14" i="2"/>
  <c r="L13" i="2"/>
  <c r="Q13" i="2" s="1"/>
  <c r="K495" i="2"/>
  <c r="L494" i="2"/>
  <c r="AL69" i="3" l="1"/>
  <c r="AL112" i="3"/>
  <c r="AL158" i="3"/>
  <c r="AL42" i="3"/>
  <c r="AL131" i="3"/>
  <c r="AL109" i="3"/>
  <c r="AL152" i="3"/>
  <c r="AL119" i="3"/>
  <c r="AL146" i="3"/>
  <c r="AL68" i="3"/>
  <c r="AL54" i="3"/>
  <c r="AL97" i="3"/>
  <c r="AL135" i="3"/>
  <c r="AL27" i="3"/>
  <c r="AL172" i="3"/>
  <c r="AL48" i="3"/>
  <c r="AL94" i="3"/>
  <c r="AL137" i="3"/>
  <c r="AL67" i="3"/>
  <c r="AL45" i="3"/>
  <c r="AL88" i="3"/>
  <c r="AL159" i="3"/>
  <c r="AL82" i="3"/>
  <c r="AL171" i="3"/>
  <c r="AL149" i="3"/>
  <c r="AL33" i="3"/>
  <c r="AL111" i="3"/>
  <c r="AL122" i="3"/>
  <c r="AL108" i="3"/>
  <c r="AL30" i="3"/>
  <c r="AL73" i="3"/>
  <c r="AL127" i="3"/>
  <c r="AL162" i="3"/>
  <c r="AL148" i="3"/>
  <c r="AL24" i="3"/>
  <c r="AL134" i="3"/>
  <c r="AL177" i="3"/>
  <c r="AL107" i="3"/>
  <c r="AL85" i="3"/>
  <c r="AL128" i="3"/>
  <c r="AL174" i="3"/>
  <c r="AL58" i="3"/>
  <c r="AL47" i="3"/>
  <c r="AL114" i="3"/>
  <c r="AL36" i="3"/>
  <c r="AL117" i="3"/>
  <c r="AL154" i="3"/>
  <c r="AL105" i="3"/>
  <c r="AL180" i="3"/>
  <c r="AL44" i="3"/>
  <c r="AL125" i="3"/>
  <c r="AL168" i="3"/>
  <c r="AL103" i="3"/>
  <c r="AL98" i="3"/>
  <c r="AL84" i="3"/>
  <c r="AL70" i="3"/>
  <c r="AL113" i="3"/>
  <c r="AL79" i="3"/>
  <c r="AL43" i="3"/>
  <c r="AL21" i="3"/>
  <c r="AL64" i="3"/>
  <c r="AL110" i="3"/>
  <c r="AL153" i="3"/>
  <c r="AL41" i="3"/>
  <c r="AL156" i="3"/>
  <c r="AL26" i="3"/>
  <c r="AL93" i="3"/>
  <c r="AL130" i="3"/>
  <c r="AL147" i="3"/>
  <c r="AL61" i="3"/>
  <c r="AL104" i="3"/>
  <c r="AL150" i="3"/>
  <c r="AL34" i="3"/>
  <c r="AL20" i="3"/>
  <c r="AL165" i="3"/>
  <c r="AL49" i="3"/>
  <c r="AL55" i="3"/>
  <c r="AL138" i="3"/>
  <c r="AL124" i="3"/>
  <c r="AL46" i="3"/>
  <c r="AL89" i="3"/>
  <c r="AL83" i="3"/>
  <c r="AL164" i="3"/>
  <c r="AL40" i="3"/>
  <c r="AL86" i="3"/>
  <c r="AL129" i="3"/>
  <c r="AL123" i="3"/>
  <c r="AL101" i="3"/>
  <c r="AL144" i="3"/>
  <c r="AL95" i="3"/>
  <c r="AL74" i="3"/>
  <c r="AL60" i="3"/>
  <c r="AL141" i="3"/>
  <c r="AL25" i="3"/>
  <c r="AL53" i="3"/>
  <c r="AL90" i="3"/>
  <c r="AL71" i="3"/>
  <c r="AL178" i="3"/>
  <c r="AL100" i="3"/>
  <c r="AL22" i="3"/>
  <c r="AL65" i="3"/>
  <c r="AL23" i="3"/>
  <c r="AL59" i="3"/>
  <c r="AL37" i="3"/>
  <c r="AL80" i="3"/>
  <c r="AL126" i="3"/>
  <c r="AL169" i="3"/>
  <c r="AL163" i="3"/>
  <c r="AL77" i="3"/>
  <c r="AL120" i="3"/>
  <c r="AL62" i="3"/>
  <c r="AL76" i="3"/>
  <c r="AL87" i="3"/>
  <c r="AL133" i="3"/>
  <c r="AL176" i="3"/>
  <c r="AL167" i="3"/>
  <c r="AL106" i="3"/>
  <c r="AL28" i="3"/>
  <c r="AL173" i="3"/>
  <c r="AL57" i="3"/>
  <c r="AL143" i="3"/>
  <c r="AL51" i="3"/>
  <c r="AL132" i="3"/>
  <c r="AL118" i="3"/>
  <c r="AL161" i="3"/>
  <c r="AL91" i="3"/>
  <c r="AL160" i="3"/>
  <c r="AL63" i="3"/>
  <c r="AL140" i="3"/>
  <c r="AL99" i="3"/>
  <c r="AL56" i="3"/>
  <c r="AL166" i="3"/>
  <c r="AL50" i="3"/>
  <c r="AL139" i="3"/>
  <c r="AL96" i="3"/>
  <c r="AL39" i="3"/>
  <c r="AL157" i="3"/>
  <c r="AL35" i="3"/>
  <c r="AL116" i="3"/>
  <c r="AL102" i="3"/>
  <c r="AL145" i="3"/>
  <c r="AL75" i="3"/>
  <c r="AL32" i="3"/>
  <c r="AL142" i="3"/>
  <c r="AL179" i="3"/>
  <c r="AL136" i="3"/>
  <c r="AL175" i="3"/>
  <c r="AL52" i="3"/>
  <c r="AL38" i="3"/>
  <c r="AL81" i="3"/>
  <c r="AL151" i="3"/>
  <c r="AL170" i="3"/>
  <c r="AL92" i="3"/>
  <c r="AL78" i="3"/>
  <c r="AL121" i="3"/>
  <c r="AL66" i="3"/>
  <c r="AL155" i="3"/>
  <c r="AL31" i="3"/>
  <c r="AL29" i="3"/>
  <c r="AL115" i="3"/>
  <c r="AL72" i="3"/>
  <c r="AL13" i="3"/>
  <c r="AN13" i="3" s="1"/>
  <c r="AL9" i="3"/>
  <c r="AN9" i="3" s="1"/>
  <c r="AL11" i="3"/>
  <c r="AN11" i="3" s="1"/>
  <c r="AL10" i="3"/>
  <c r="AN10" i="3" s="1"/>
  <c r="AL12" i="3"/>
  <c r="AN12" i="3" s="1"/>
  <c r="AK7" i="3"/>
  <c r="AM7" i="3" s="1"/>
  <c r="AO7" i="3" s="1"/>
  <c r="AP7" i="3" s="1"/>
  <c r="V7" i="3" s="1"/>
  <c r="AK12" i="3"/>
  <c r="AM12" i="3" s="1"/>
  <c r="AO12" i="3" s="1"/>
  <c r="AP12" i="3" s="1"/>
  <c r="V12" i="3" s="1"/>
  <c r="AK13" i="3"/>
  <c r="AM13" i="3" s="1"/>
  <c r="AK10" i="3"/>
  <c r="AM10" i="3" s="1"/>
  <c r="AK11" i="3"/>
  <c r="AM11" i="3" s="1"/>
  <c r="AL7" i="3"/>
  <c r="AN7" i="3" s="1"/>
  <c r="AK9" i="3"/>
  <c r="AM9" i="3" s="1"/>
  <c r="AO9" i="3" s="1"/>
  <c r="AP9" i="3" s="1"/>
  <c r="V9" i="3" s="1"/>
  <c r="AL8" i="3"/>
  <c r="AN8" i="3" s="1"/>
  <c r="AK14" i="3"/>
  <c r="AM14" i="3" s="1"/>
  <c r="AL14" i="3"/>
  <c r="AN14" i="3" s="1"/>
  <c r="AK8" i="3"/>
  <c r="AM8" i="3" s="1"/>
  <c r="AO8" i="3" s="1"/>
  <c r="AP8" i="3" s="1"/>
  <c r="V8" i="3" s="1"/>
  <c r="AJ92" i="3"/>
  <c r="AJ72" i="3"/>
  <c r="AJ129" i="3"/>
  <c r="AJ43" i="3"/>
  <c r="AJ118" i="3"/>
  <c r="AJ68" i="3"/>
  <c r="AJ48" i="3"/>
  <c r="AJ42" i="3"/>
  <c r="AJ83" i="3"/>
  <c r="AJ158" i="3"/>
  <c r="AJ172" i="3"/>
  <c r="AJ152" i="3"/>
  <c r="AJ146" i="3"/>
  <c r="AJ97" i="3"/>
  <c r="AJ28" i="3"/>
  <c r="AJ143" i="3"/>
  <c r="AJ153" i="3"/>
  <c r="AJ37" i="3"/>
  <c r="AJ54" i="3"/>
  <c r="AJ141" i="3"/>
  <c r="AJ95" i="3"/>
  <c r="AJ73" i="3"/>
  <c r="AJ157" i="3"/>
  <c r="AJ94" i="3"/>
  <c r="AJ108" i="3"/>
  <c r="AJ88" i="3"/>
  <c r="AJ82" i="3"/>
  <c r="AJ29" i="3"/>
  <c r="AJ175" i="3"/>
  <c r="AJ117" i="3"/>
  <c r="AJ41" i="3"/>
  <c r="AJ122" i="3"/>
  <c r="AJ163" i="3"/>
  <c r="AJ135" i="3"/>
  <c r="AJ105" i="3"/>
  <c r="AJ162" i="3"/>
  <c r="AJ30" i="3"/>
  <c r="AJ44" i="3"/>
  <c r="AJ24" i="3"/>
  <c r="AJ169" i="3"/>
  <c r="AJ74" i="3"/>
  <c r="AJ39" i="3"/>
  <c r="AJ140" i="3"/>
  <c r="AJ50" i="3"/>
  <c r="AJ119" i="3"/>
  <c r="AJ180" i="3"/>
  <c r="AJ22" i="3"/>
  <c r="AJ36" i="3"/>
  <c r="AJ145" i="3"/>
  <c r="AJ123" i="3"/>
  <c r="AJ55" i="3"/>
  <c r="AJ148" i="3"/>
  <c r="AJ128" i="3"/>
  <c r="AJ58" i="3"/>
  <c r="AJ99" i="3"/>
  <c r="AJ174" i="3"/>
  <c r="AJ21" i="3"/>
  <c r="AJ168" i="3"/>
  <c r="AJ98" i="3"/>
  <c r="AJ69" i="3"/>
  <c r="AJ47" i="3"/>
  <c r="AJ177" i="3"/>
  <c r="AJ61" i="3"/>
  <c r="AJ173" i="3"/>
  <c r="AJ121" i="3"/>
  <c r="AJ102" i="3"/>
  <c r="AJ52" i="3"/>
  <c r="AJ26" i="3"/>
  <c r="AJ71" i="3"/>
  <c r="AJ59" i="3"/>
  <c r="AJ134" i="3"/>
  <c r="AJ84" i="3"/>
  <c r="AJ64" i="3"/>
  <c r="AJ113" i="3"/>
  <c r="AJ35" i="3"/>
  <c r="AJ110" i="3"/>
  <c r="AJ124" i="3"/>
  <c r="AJ104" i="3"/>
  <c r="AJ34" i="3"/>
  <c r="AJ139" i="3"/>
  <c r="AJ87" i="3"/>
  <c r="AJ149" i="3"/>
  <c r="AJ65" i="3"/>
  <c r="AJ77" i="3"/>
  <c r="AJ70" i="3"/>
  <c r="AJ20" i="3"/>
  <c r="AJ127" i="3"/>
  <c r="AJ137" i="3"/>
  <c r="AJ178" i="3"/>
  <c r="AJ46" i="3"/>
  <c r="AJ60" i="3"/>
  <c r="AJ40" i="3"/>
  <c r="AJ49" i="3"/>
  <c r="AJ75" i="3"/>
  <c r="AJ150" i="3"/>
  <c r="AJ164" i="3"/>
  <c r="AJ144" i="3"/>
  <c r="AJ120" i="3"/>
  <c r="AJ166" i="3"/>
  <c r="AJ96" i="3"/>
  <c r="AJ90" i="3"/>
  <c r="AJ31" i="3"/>
  <c r="AJ138" i="3"/>
  <c r="AJ179" i="3"/>
  <c r="AJ167" i="3"/>
  <c r="AJ93" i="3"/>
  <c r="AJ25" i="3"/>
  <c r="AJ114" i="3"/>
  <c r="AJ101" i="3"/>
  <c r="AJ79" i="3"/>
  <c r="AJ89" i="3"/>
  <c r="AJ133" i="3"/>
  <c r="AJ86" i="3"/>
  <c r="AJ100" i="3"/>
  <c r="AJ80" i="3"/>
  <c r="AJ53" i="3"/>
  <c r="AJ156" i="3"/>
  <c r="AJ136" i="3"/>
  <c r="AJ66" i="3"/>
  <c r="AJ107" i="3"/>
  <c r="AJ23" i="3"/>
  <c r="AJ132" i="3"/>
  <c r="AJ112" i="3"/>
  <c r="AJ106" i="3"/>
  <c r="AJ147" i="3"/>
  <c r="AJ103" i="3"/>
  <c r="AJ165" i="3"/>
  <c r="AJ81" i="3"/>
  <c r="AJ109" i="3"/>
  <c r="AJ78" i="3"/>
  <c r="AJ115" i="3"/>
  <c r="AJ155" i="3"/>
  <c r="AJ160" i="3"/>
  <c r="AJ154" i="3"/>
  <c r="AJ159" i="3"/>
  <c r="AJ51" i="3"/>
  <c r="AJ126" i="3"/>
  <c r="AJ76" i="3"/>
  <c r="AJ56" i="3"/>
  <c r="AJ91" i="3"/>
  <c r="AJ116" i="3"/>
  <c r="AJ161" i="3"/>
  <c r="AJ62" i="3"/>
  <c r="AJ111" i="3"/>
  <c r="AJ27" i="3"/>
  <c r="AJ32" i="3"/>
  <c r="AJ131" i="3"/>
  <c r="AJ125" i="3"/>
  <c r="AJ57" i="3"/>
  <c r="AJ130" i="3"/>
  <c r="AJ171" i="3"/>
  <c r="AJ151" i="3"/>
  <c r="AJ176" i="3"/>
  <c r="AJ170" i="3"/>
  <c r="AJ38" i="3"/>
  <c r="AJ33" i="3"/>
  <c r="AJ67" i="3"/>
  <c r="AJ142" i="3"/>
  <c r="AJ45" i="3"/>
  <c r="AJ85" i="3"/>
  <c r="AJ63" i="3"/>
  <c r="CH256" i="1"/>
  <c r="CI256" i="1" s="1"/>
  <c r="CR256" i="1" s="1"/>
  <c r="K496" i="2"/>
  <c r="L495" i="2"/>
  <c r="K15" i="2"/>
  <c r="L15" i="2" s="1"/>
  <c r="L14" i="2"/>
  <c r="K229" i="2"/>
  <c r="L228" i="2"/>
  <c r="AF181" i="1"/>
  <c r="AO20" i="3" l="1"/>
  <c r="AN20" i="3"/>
  <c r="AM20" i="3"/>
  <c r="AO159" i="3"/>
  <c r="AM159" i="3"/>
  <c r="AN159" i="3"/>
  <c r="AO82" i="3"/>
  <c r="AM82" i="3"/>
  <c r="AN82" i="3"/>
  <c r="AO101" i="3"/>
  <c r="AN101" i="3"/>
  <c r="AM101" i="3"/>
  <c r="AN145" i="3"/>
  <c r="AO145" i="3"/>
  <c r="AM145" i="3"/>
  <c r="AN33" i="3"/>
  <c r="AO33" i="3"/>
  <c r="AM33" i="3"/>
  <c r="AO164" i="3"/>
  <c r="AN164" i="3"/>
  <c r="AM164" i="3"/>
  <c r="AO36" i="3"/>
  <c r="AN36" i="3"/>
  <c r="AM36" i="3"/>
  <c r="AO94" i="3"/>
  <c r="AN94" i="3"/>
  <c r="AM94" i="3"/>
  <c r="AN115" i="3"/>
  <c r="AM115" i="3"/>
  <c r="AO115" i="3"/>
  <c r="AM25" i="3"/>
  <c r="AO25" i="3"/>
  <c r="AN25" i="3"/>
  <c r="AO150" i="3"/>
  <c r="AN150" i="3"/>
  <c r="AM150" i="3"/>
  <c r="AM65" i="3"/>
  <c r="AO65" i="3"/>
  <c r="AN65" i="3"/>
  <c r="AO134" i="3"/>
  <c r="AN134" i="3"/>
  <c r="AM134" i="3"/>
  <c r="AM98" i="3"/>
  <c r="AO98" i="3"/>
  <c r="AN98" i="3"/>
  <c r="AO22" i="3"/>
  <c r="AN22" i="3"/>
  <c r="AM22" i="3"/>
  <c r="AO105" i="3"/>
  <c r="AM105" i="3"/>
  <c r="AN105" i="3"/>
  <c r="AO157" i="3"/>
  <c r="AN157" i="3"/>
  <c r="AM157" i="3"/>
  <c r="AN172" i="3"/>
  <c r="AO172" i="3"/>
  <c r="AM172" i="3"/>
  <c r="AN131" i="3"/>
  <c r="AM131" i="3"/>
  <c r="AO131" i="3"/>
  <c r="AO28" i="3"/>
  <c r="AN28" i="3"/>
  <c r="AM28" i="3"/>
  <c r="AM132" i="3"/>
  <c r="AO132" i="3"/>
  <c r="AN132" i="3"/>
  <c r="AM177" i="3"/>
  <c r="AO177" i="3"/>
  <c r="AN177" i="3"/>
  <c r="AO47" i="3"/>
  <c r="AN47" i="3"/>
  <c r="AM47" i="3"/>
  <c r="AM136" i="3"/>
  <c r="AN136" i="3"/>
  <c r="AO136" i="3"/>
  <c r="AO93" i="3"/>
  <c r="AN93" i="3"/>
  <c r="AM93" i="3"/>
  <c r="AN75" i="3"/>
  <c r="AM75" i="3"/>
  <c r="AO75" i="3"/>
  <c r="AM149" i="3"/>
  <c r="AO149" i="3"/>
  <c r="AN149" i="3"/>
  <c r="AN59" i="3"/>
  <c r="AM59" i="3"/>
  <c r="AO59" i="3"/>
  <c r="AN168" i="3"/>
  <c r="AM168" i="3"/>
  <c r="AO168" i="3"/>
  <c r="AO180" i="3"/>
  <c r="AN180" i="3"/>
  <c r="AM180" i="3"/>
  <c r="AM135" i="3"/>
  <c r="AO135" i="3"/>
  <c r="AN135" i="3"/>
  <c r="AO73" i="3"/>
  <c r="AM73" i="3"/>
  <c r="AN73" i="3"/>
  <c r="AM158" i="3"/>
  <c r="AO158" i="3"/>
  <c r="AN158" i="3"/>
  <c r="AO14" i="3"/>
  <c r="AP14" i="3" s="1"/>
  <c r="V14" i="3" s="1"/>
  <c r="AM79" i="3"/>
  <c r="AO79" i="3"/>
  <c r="AN79" i="3"/>
  <c r="AN123" i="3"/>
  <c r="AM123" i="3"/>
  <c r="AO123" i="3"/>
  <c r="AO64" i="3"/>
  <c r="AN64" i="3"/>
  <c r="AM64" i="3"/>
  <c r="AN114" i="3"/>
  <c r="AM114" i="3"/>
  <c r="AO114" i="3"/>
  <c r="AO156" i="3"/>
  <c r="AM156" i="3"/>
  <c r="AN156" i="3"/>
  <c r="AO87" i="3"/>
  <c r="AN87" i="3"/>
  <c r="AM87" i="3"/>
  <c r="AM71" i="3"/>
  <c r="AO71" i="3"/>
  <c r="AN71" i="3"/>
  <c r="AO21" i="3"/>
  <c r="AM21" i="3"/>
  <c r="AN21" i="3"/>
  <c r="AN119" i="3"/>
  <c r="AO119" i="3"/>
  <c r="AM119" i="3"/>
  <c r="AM163" i="3"/>
  <c r="AO163" i="3"/>
  <c r="AN163" i="3"/>
  <c r="AN95" i="3"/>
  <c r="AM95" i="3"/>
  <c r="AO95" i="3"/>
  <c r="AN83" i="3"/>
  <c r="AO83" i="3"/>
  <c r="AM83" i="3"/>
  <c r="AN112" i="3"/>
  <c r="AO112" i="3"/>
  <c r="AM112" i="3"/>
  <c r="AM129" i="3"/>
  <c r="AN129" i="3"/>
  <c r="AO129" i="3"/>
  <c r="AM120" i="3"/>
  <c r="AN120" i="3"/>
  <c r="AO120" i="3"/>
  <c r="AO88" i="3"/>
  <c r="AN88" i="3"/>
  <c r="AM88" i="3"/>
  <c r="AO111" i="3"/>
  <c r="AN111" i="3"/>
  <c r="AM111" i="3"/>
  <c r="AO69" i="3"/>
  <c r="AN69" i="3"/>
  <c r="AM69" i="3"/>
  <c r="AM162" i="3"/>
  <c r="AN162" i="3"/>
  <c r="AO162" i="3"/>
  <c r="AN152" i="3"/>
  <c r="AO152" i="3"/>
  <c r="AM152" i="3"/>
  <c r="AM179" i="3"/>
  <c r="AN179" i="3"/>
  <c r="AO179" i="3"/>
  <c r="AM50" i="3"/>
  <c r="AN50" i="3"/>
  <c r="AO50" i="3"/>
  <c r="AM122" i="3"/>
  <c r="AN122" i="3"/>
  <c r="AO122" i="3"/>
  <c r="AO141" i="3"/>
  <c r="AN141" i="3"/>
  <c r="AM141" i="3"/>
  <c r="AM42" i="3"/>
  <c r="AO42" i="3"/>
  <c r="AN42" i="3"/>
  <c r="AO166" i="3"/>
  <c r="AN166" i="3"/>
  <c r="AM166" i="3"/>
  <c r="AO61" i="3"/>
  <c r="AM61" i="3"/>
  <c r="AN61" i="3"/>
  <c r="AM154" i="3"/>
  <c r="AN154" i="3"/>
  <c r="AO154" i="3"/>
  <c r="AN72" i="3"/>
  <c r="AM72" i="3"/>
  <c r="AO72" i="3"/>
  <c r="AM23" i="3"/>
  <c r="AN23" i="3"/>
  <c r="AO23" i="3"/>
  <c r="AM108" i="3"/>
  <c r="AO108" i="3"/>
  <c r="AN108" i="3"/>
  <c r="AN77" i="3"/>
  <c r="AO77" i="3"/>
  <c r="AM77" i="3"/>
  <c r="AO62" i="3"/>
  <c r="AN62" i="3"/>
  <c r="AM62" i="3"/>
  <c r="AM78" i="3"/>
  <c r="AO78" i="3"/>
  <c r="AN78" i="3"/>
  <c r="AM109" i="3"/>
  <c r="AO109" i="3"/>
  <c r="AN109" i="3"/>
  <c r="AO53" i="3"/>
  <c r="AN53" i="3"/>
  <c r="AM53" i="3"/>
  <c r="AN139" i="3"/>
  <c r="AO139" i="3"/>
  <c r="AM139" i="3"/>
  <c r="AN171" i="3"/>
  <c r="AM171" i="3"/>
  <c r="AO171" i="3"/>
  <c r="AM56" i="3"/>
  <c r="AN56" i="3"/>
  <c r="AO56" i="3"/>
  <c r="AO165" i="3"/>
  <c r="AN165" i="3"/>
  <c r="AM165" i="3"/>
  <c r="AN80" i="3"/>
  <c r="AO80" i="3"/>
  <c r="AM80" i="3"/>
  <c r="AO138" i="3"/>
  <c r="AM138" i="3"/>
  <c r="AN138" i="3"/>
  <c r="AO60" i="3"/>
  <c r="AN60" i="3"/>
  <c r="AM60" i="3"/>
  <c r="AM34" i="3"/>
  <c r="AO34" i="3"/>
  <c r="AN34" i="3"/>
  <c r="AO52" i="3"/>
  <c r="AN52" i="3"/>
  <c r="AM52" i="3"/>
  <c r="AN99" i="3"/>
  <c r="AM99" i="3"/>
  <c r="AO99" i="3"/>
  <c r="AN140" i="3"/>
  <c r="AO140" i="3"/>
  <c r="AM140" i="3"/>
  <c r="AM41" i="3"/>
  <c r="AO41" i="3"/>
  <c r="AN41" i="3"/>
  <c r="AO54" i="3"/>
  <c r="AN54" i="3"/>
  <c r="AM54" i="3"/>
  <c r="AN48" i="3"/>
  <c r="AO48" i="3"/>
  <c r="AM48" i="3"/>
  <c r="AN89" i="3"/>
  <c r="AO89" i="3"/>
  <c r="AM89" i="3"/>
  <c r="AO55" i="3"/>
  <c r="AM55" i="3"/>
  <c r="AN55" i="3"/>
  <c r="AN32" i="3"/>
  <c r="AO32" i="3"/>
  <c r="AM32" i="3"/>
  <c r="AO97" i="3"/>
  <c r="AM97" i="3"/>
  <c r="AN97" i="3"/>
  <c r="AO160" i="3"/>
  <c r="AN160" i="3"/>
  <c r="AM160" i="3"/>
  <c r="AO30" i="3"/>
  <c r="AN30" i="3"/>
  <c r="AM30" i="3"/>
  <c r="AN107" i="3"/>
  <c r="AM107" i="3"/>
  <c r="AO107" i="3"/>
  <c r="AM66" i="3"/>
  <c r="AO66" i="3"/>
  <c r="AN66" i="3"/>
  <c r="AM161" i="3"/>
  <c r="AO161" i="3"/>
  <c r="AN161" i="3"/>
  <c r="AM176" i="3"/>
  <c r="AN176" i="3"/>
  <c r="AO176" i="3"/>
  <c r="AN91" i="3"/>
  <c r="AM91" i="3"/>
  <c r="AO91" i="3"/>
  <c r="AN26" i="3"/>
  <c r="AM26" i="3"/>
  <c r="AO26" i="3"/>
  <c r="AM130" i="3"/>
  <c r="AO130" i="3"/>
  <c r="AN130" i="3"/>
  <c r="AN76" i="3"/>
  <c r="AO76" i="3"/>
  <c r="AM76" i="3"/>
  <c r="AN103" i="3"/>
  <c r="AM103" i="3"/>
  <c r="AO103" i="3"/>
  <c r="AO100" i="3"/>
  <c r="AD11" i="3"/>
  <c r="AF11" i="3" s="1"/>
  <c r="AD14" i="3"/>
  <c r="AF14" i="3" s="1"/>
  <c r="AD7" i="3"/>
  <c r="AF7" i="3" s="1"/>
  <c r="AN100" i="3"/>
  <c r="AE13" i="3"/>
  <c r="AG13" i="3" s="1"/>
  <c r="AE8" i="3"/>
  <c r="AG8" i="3" s="1"/>
  <c r="AD8" i="3"/>
  <c r="AF8" i="3" s="1"/>
  <c r="AH8" i="3" s="1"/>
  <c r="AI8" i="3" s="1"/>
  <c r="U8" i="3" s="1"/>
  <c r="AE9" i="3"/>
  <c r="AG9" i="3" s="1"/>
  <c r="AM100" i="3"/>
  <c r="AE11" i="3"/>
  <c r="AG11" i="3" s="1"/>
  <c r="AE7" i="3"/>
  <c r="AG7" i="3" s="1"/>
  <c r="AE14" i="3"/>
  <c r="AG14" i="3" s="1"/>
  <c r="AD12" i="3"/>
  <c r="AF12" i="3" s="1"/>
  <c r="AH12" i="3" s="1"/>
  <c r="AI12" i="3" s="1"/>
  <c r="U12" i="3" s="1"/>
  <c r="AD9" i="3"/>
  <c r="AF9" i="3" s="1"/>
  <c r="AE12" i="3"/>
  <c r="AG12" i="3" s="1"/>
  <c r="AE10" i="3"/>
  <c r="AG10" i="3" s="1"/>
  <c r="AD13" i="3"/>
  <c r="AF13" i="3" s="1"/>
  <c r="AH13" i="3" s="1"/>
  <c r="AI13" i="3" s="1"/>
  <c r="U13" i="3" s="1"/>
  <c r="AD10" i="3"/>
  <c r="AF10" i="3" s="1"/>
  <c r="AH10" i="3" s="1"/>
  <c r="AI10" i="3" s="1"/>
  <c r="U10" i="3" s="1"/>
  <c r="AM31" i="3"/>
  <c r="AO31" i="3"/>
  <c r="AN31" i="3"/>
  <c r="AN46" i="3"/>
  <c r="AO46" i="3"/>
  <c r="AM46" i="3"/>
  <c r="AM104" i="3"/>
  <c r="AO104" i="3"/>
  <c r="AN104" i="3"/>
  <c r="AO102" i="3"/>
  <c r="AM102" i="3"/>
  <c r="AN102" i="3"/>
  <c r="AM58" i="3"/>
  <c r="AO58" i="3"/>
  <c r="AN58" i="3"/>
  <c r="AM39" i="3"/>
  <c r="AO39" i="3"/>
  <c r="AN39" i="3"/>
  <c r="AO117" i="3"/>
  <c r="AN117" i="3"/>
  <c r="AM117" i="3"/>
  <c r="AM37" i="3"/>
  <c r="AO37" i="3"/>
  <c r="AN37" i="3"/>
  <c r="AM68" i="3"/>
  <c r="AO68" i="3"/>
  <c r="AN68" i="3"/>
  <c r="AO11" i="3"/>
  <c r="AP11" i="3" s="1"/>
  <c r="V11" i="3" s="1"/>
  <c r="AR14" i="3"/>
  <c r="AT14" i="3" s="1"/>
  <c r="AV14" i="3" s="1"/>
  <c r="AW14" i="3" s="1"/>
  <c r="W14" i="3" s="1"/>
  <c r="AR10" i="3"/>
  <c r="AT10" i="3" s="1"/>
  <c r="AV10" i="3" s="1"/>
  <c r="AW10" i="3" s="1"/>
  <c r="W10" i="3" s="1"/>
  <c r="AS13" i="3"/>
  <c r="AU13" i="3" s="1"/>
  <c r="AS7" i="3"/>
  <c r="AU7" i="3" s="1"/>
  <c r="AS11" i="3"/>
  <c r="AU11" i="3" s="1"/>
  <c r="AS9" i="3"/>
  <c r="AU9" i="3" s="1"/>
  <c r="AR11" i="3"/>
  <c r="AT11" i="3" s="1"/>
  <c r="AV11" i="3" s="1"/>
  <c r="AW11" i="3" s="1"/>
  <c r="W11" i="3" s="1"/>
  <c r="AR7" i="3"/>
  <c r="AT7" i="3" s="1"/>
  <c r="AV7" i="3" s="1"/>
  <c r="AW7" i="3" s="1"/>
  <c r="W7" i="3" s="1"/>
  <c r="AS10" i="3"/>
  <c r="AU10" i="3" s="1"/>
  <c r="AR12" i="3"/>
  <c r="AT12" i="3" s="1"/>
  <c r="AS14" i="3"/>
  <c r="AU14" i="3" s="1"/>
  <c r="AR8" i="3"/>
  <c r="AT8" i="3" s="1"/>
  <c r="AV8" i="3" s="1"/>
  <c r="AW8" i="3" s="1"/>
  <c r="W8" i="3" s="1"/>
  <c r="AR9" i="3"/>
  <c r="AT9" i="3" s="1"/>
  <c r="AV9" i="3" s="1"/>
  <c r="AW9" i="3" s="1"/>
  <c r="W9" i="3" s="1"/>
  <c r="AR13" i="3"/>
  <c r="AT13" i="3" s="1"/>
  <c r="AV13" i="3" s="1"/>
  <c r="AW13" i="3" s="1"/>
  <c r="W13" i="3" s="1"/>
  <c r="AS12" i="3"/>
  <c r="AU12" i="3" s="1"/>
  <c r="AS8" i="3"/>
  <c r="AU8" i="3" s="1"/>
  <c r="AO45" i="3"/>
  <c r="AM45" i="3"/>
  <c r="AN45" i="3"/>
  <c r="AM127" i="3"/>
  <c r="AO127" i="3"/>
  <c r="AN127" i="3"/>
  <c r="AN24" i="3"/>
  <c r="AO24" i="3"/>
  <c r="AM24" i="3"/>
  <c r="AO142" i="3"/>
  <c r="AN142" i="3"/>
  <c r="AM142" i="3"/>
  <c r="AO44" i="3"/>
  <c r="AN44" i="3"/>
  <c r="AM44" i="3"/>
  <c r="AO27" i="3"/>
  <c r="AN27" i="3"/>
  <c r="AM27" i="3"/>
  <c r="AM70" i="3"/>
  <c r="AO70" i="3"/>
  <c r="AN70" i="3"/>
  <c r="AO92" i="3"/>
  <c r="AM92" i="3"/>
  <c r="AN92" i="3"/>
  <c r="AO84" i="3"/>
  <c r="AN84" i="3"/>
  <c r="AM84" i="3"/>
  <c r="AO49" i="3"/>
  <c r="AM49" i="3"/>
  <c r="AN49" i="3"/>
  <c r="AN81" i="3"/>
  <c r="AO81" i="3"/>
  <c r="AM81" i="3"/>
  <c r="AO174" i="3"/>
  <c r="AN174" i="3"/>
  <c r="AM174" i="3"/>
  <c r="AM63" i="3"/>
  <c r="AO63" i="3"/>
  <c r="AN63" i="3"/>
  <c r="AM57" i="3"/>
  <c r="AO57" i="3"/>
  <c r="AN57" i="3"/>
  <c r="AM126" i="3"/>
  <c r="AO126" i="3"/>
  <c r="AN126" i="3"/>
  <c r="AN147" i="3"/>
  <c r="AM147" i="3"/>
  <c r="AO147" i="3"/>
  <c r="AN86" i="3"/>
  <c r="AO86" i="3"/>
  <c r="AM86" i="3"/>
  <c r="AM90" i="3"/>
  <c r="AO90" i="3"/>
  <c r="AN90" i="3"/>
  <c r="AM178" i="3"/>
  <c r="AO178" i="3"/>
  <c r="AN178" i="3"/>
  <c r="AO124" i="3"/>
  <c r="AM124" i="3"/>
  <c r="AN124" i="3"/>
  <c r="AN121" i="3"/>
  <c r="AO121" i="3"/>
  <c r="AM121" i="3"/>
  <c r="AN128" i="3"/>
  <c r="AO128" i="3"/>
  <c r="AM128" i="3"/>
  <c r="AO74" i="3"/>
  <c r="AM74" i="3"/>
  <c r="AN74" i="3"/>
  <c r="AM175" i="3"/>
  <c r="AO175" i="3"/>
  <c r="AN175" i="3"/>
  <c r="AO153" i="3"/>
  <c r="AM153" i="3"/>
  <c r="AN153" i="3"/>
  <c r="AO118" i="3"/>
  <c r="AM118" i="3"/>
  <c r="AN118" i="3"/>
  <c r="AO10" i="3"/>
  <c r="AP10" i="3" s="1"/>
  <c r="V10" i="3" s="1"/>
  <c r="AN35" i="3"/>
  <c r="AM35" i="3"/>
  <c r="AO35" i="3"/>
  <c r="AM113" i="3"/>
  <c r="AO113" i="3"/>
  <c r="AN113" i="3"/>
  <c r="AN67" i="3"/>
  <c r="AM67" i="3"/>
  <c r="AO67" i="3"/>
  <c r="AN144" i="3"/>
  <c r="AO144" i="3"/>
  <c r="AM144" i="3"/>
  <c r="AM146" i="3"/>
  <c r="AO146" i="3"/>
  <c r="AN146" i="3"/>
  <c r="AN155" i="3"/>
  <c r="AM155" i="3"/>
  <c r="AO155" i="3"/>
  <c r="AO38" i="3"/>
  <c r="AN38" i="3"/>
  <c r="AM38" i="3"/>
  <c r="AM170" i="3"/>
  <c r="AO170" i="3"/>
  <c r="AN170" i="3"/>
  <c r="AO116" i="3"/>
  <c r="AN116" i="3"/>
  <c r="AM116" i="3"/>
  <c r="AN167" i="3"/>
  <c r="AM167" i="3"/>
  <c r="AO167" i="3"/>
  <c r="AO151" i="3"/>
  <c r="AN151" i="3"/>
  <c r="AM151" i="3"/>
  <c r="AO40" i="3"/>
  <c r="AN40" i="3"/>
  <c r="AM40" i="3"/>
  <c r="AM85" i="3"/>
  <c r="AO85" i="3"/>
  <c r="AN85" i="3"/>
  <c r="AO125" i="3"/>
  <c r="AM125" i="3"/>
  <c r="AN125" i="3"/>
  <c r="AN51" i="3"/>
  <c r="AM51" i="3"/>
  <c r="AO51" i="3"/>
  <c r="AM106" i="3"/>
  <c r="AO106" i="3"/>
  <c r="AN106" i="3"/>
  <c r="AO133" i="3"/>
  <c r="AM133" i="3"/>
  <c r="AN133" i="3"/>
  <c r="AN96" i="3"/>
  <c r="AO96" i="3"/>
  <c r="AM96" i="3"/>
  <c r="AO137" i="3"/>
  <c r="AN137" i="3"/>
  <c r="AM137" i="3"/>
  <c r="AO110" i="3"/>
  <c r="AN110" i="3"/>
  <c r="AM110" i="3"/>
  <c r="AM173" i="3"/>
  <c r="AO173" i="3"/>
  <c r="AN173" i="3"/>
  <c r="AO148" i="3"/>
  <c r="AN148" i="3"/>
  <c r="AM148" i="3"/>
  <c r="AM169" i="3"/>
  <c r="AO169" i="3"/>
  <c r="AN169" i="3"/>
  <c r="AN29" i="3"/>
  <c r="AO29" i="3"/>
  <c r="AM29" i="3"/>
  <c r="AM143" i="3"/>
  <c r="AO143" i="3"/>
  <c r="AN143" i="3"/>
  <c r="AN43" i="3"/>
  <c r="AM43" i="3"/>
  <c r="AO43" i="3"/>
  <c r="AO13" i="3"/>
  <c r="AP13" i="3" s="1"/>
  <c r="V13" i="3" s="1"/>
  <c r="K230" i="2"/>
  <c r="L229" i="2"/>
  <c r="K16" i="2"/>
  <c r="AF182" i="1"/>
  <c r="K497" i="2"/>
  <c r="L496" i="2"/>
  <c r="AH11" i="3" l="1"/>
  <c r="AI11" i="3" s="1"/>
  <c r="U11" i="3" s="1"/>
  <c r="AV12" i="3"/>
  <c r="AW12" i="3" s="1"/>
  <c r="W12" i="3" s="1"/>
  <c r="AH7" i="3"/>
  <c r="AI7" i="3" s="1"/>
  <c r="U7" i="3" s="1"/>
  <c r="AH9" i="3"/>
  <c r="AI9" i="3" s="1"/>
  <c r="U9" i="3" s="1"/>
  <c r="AH14" i="3"/>
  <c r="AI14" i="3" s="1"/>
  <c r="U14" i="3" s="1"/>
  <c r="K498" i="2"/>
  <c r="L497" i="2"/>
  <c r="K17" i="2"/>
  <c r="L16" i="2"/>
  <c r="AF183" i="1"/>
  <c r="K231" i="2"/>
  <c r="L230" i="2"/>
  <c r="K232" i="2" l="1"/>
  <c r="L231" i="2"/>
  <c r="AF184" i="1"/>
  <c r="L17" i="2"/>
  <c r="K18" i="2"/>
  <c r="K499" i="2"/>
  <c r="L498" i="2"/>
  <c r="AF185" i="1" l="1"/>
  <c r="K500" i="2"/>
  <c r="L499" i="2"/>
  <c r="K19" i="2"/>
  <c r="L18" i="2"/>
  <c r="K233" i="2"/>
  <c r="L232" i="2"/>
  <c r="K501" i="2" l="1"/>
  <c r="L500" i="2"/>
  <c r="K234" i="2"/>
  <c r="L233" i="2"/>
  <c r="K20" i="2"/>
  <c r="L19" i="2"/>
  <c r="AF186" i="1"/>
  <c r="AF187" i="1" l="1"/>
  <c r="L20" i="2"/>
  <c r="K21" i="2"/>
  <c r="K235" i="2"/>
  <c r="L234" i="2"/>
  <c r="K502" i="2"/>
  <c r="L501" i="2"/>
  <c r="K236" i="2" l="1"/>
  <c r="L235" i="2"/>
  <c r="K503" i="2"/>
  <c r="L502" i="2"/>
  <c r="K22" i="2"/>
  <c r="L21" i="2"/>
  <c r="AF188" i="1"/>
  <c r="K23" i="2" l="1"/>
  <c r="L22" i="2"/>
  <c r="AF189" i="1"/>
  <c r="K504" i="2"/>
  <c r="L503" i="2"/>
  <c r="K237" i="2"/>
  <c r="L236" i="2"/>
  <c r="K505" i="2" l="1"/>
  <c r="L504" i="2"/>
  <c r="K238" i="2"/>
  <c r="L237" i="2"/>
  <c r="AF190" i="1"/>
  <c r="K24" i="2"/>
  <c r="L23" i="2"/>
  <c r="K25" i="2" l="1"/>
  <c r="L24" i="2"/>
  <c r="K239" i="2"/>
  <c r="L238" i="2"/>
  <c r="AF191" i="1"/>
  <c r="K506" i="2"/>
  <c r="L505" i="2"/>
  <c r="K507" i="2" l="1"/>
  <c r="L506" i="2"/>
  <c r="K240" i="2"/>
  <c r="L239" i="2"/>
  <c r="AF192" i="1"/>
  <c r="L25" i="2"/>
  <c r="K26" i="2"/>
  <c r="K27" i="2" l="1"/>
  <c r="L26" i="2"/>
  <c r="AF193" i="1"/>
  <c r="K241" i="2"/>
  <c r="L240" i="2"/>
  <c r="K508" i="2"/>
  <c r="L507" i="2"/>
  <c r="K242" i="2" l="1"/>
  <c r="L241" i="2"/>
  <c r="AF194" i="1"/>
  <c r="K509" i="2"/>
  <c r="L508" i="2"/>
  <c r="K28" i="2"/>
  <c r="L27" i="2"/>
  <c r="K29" i="2" l="1"/>
  <c r="L28" i="2"/>
  <c r="K510" i="2"/>
  <c r="L509" i="2"/>
  <c r="AF195" i="1"/>
  <c r="K243" i="2"/>
  <c r="L242" i="2"/>
  <c r="K244" i="2" l="1"/>
  <c r="L243" i="2"/>
  <c r="AF196" i="1"/>
  <c r="K511" i="2"/>
  <c r="L510" i="2"/>
  <c r="L29" i="2"/>
  <c r="K30" i="2"/>
  <c r="K512" i="2" l="1"/>
  <c r="L511" i="2"/>
  <c r="AF197" i="1"/>
  <c r="K31" i="2"/>
  <c r="L30" i="2"/>
  <c r="K245" i="2"/>
  <c r="L244" i="2"/>
  <c r="AF198" i="1" l="1"/>
  <c r="K246" i="2"/>
  <c r="L245" i="2"/>
  <c r="L31" i="2"/>
  <c r="K32" i="2"/>
  <c r="K513" i="2"/>
  <c r="L512" i="2"/>
  <c r="K514" i="2" l="1"/>
  <c r="L513" i="2"/>
  <c r="K247" i="2"/>
  <c r="L246" i="2"/>
  <c r="L32" i="2"/>
  <c r="K33" i="2"/>
  <c r="AF199" i="1"/>
  <c r="AF200" i="1" l="1"/>
  <c r="K34" i="2"/>
  <c r="L33" i="2"/>
  <c r="K248" i="2"/>
  <c r="L247" i="2"/>
  <c r="K515" i="2"/>
  <c r="L514" i="2"/>
  <c r="L34" i="2" l="1"/>
  <c r="K35" i="2"/>
  <c r="K249" i="2"/>
  <c r="L248" i="2"/>
  <c r="K516" i="2"/>
  <c r="L515" i="2"/>
  <c r="AF201" i="1"/>
  <c r="AF202" i="1" l="1"/>
  <c r="K517" i="2"/>
  <c r="L516" i="2"/>
  <c r="K250" i="2"/>
  <c r="L249" i="2"/>
  <c r="K36" i="2"/>
  <c r="L35" i="2"/>
  <c r="K37" i="2" l="1"/>
  <c r="L36" i="2"/>
  <c r="K518" i="2"/>
  <c r="L517" i="2"/>
  <c r="K251" i="2"/>
  <c r="L250" i="2"/>
  <c r="AF203" i="1"/>
  <c r="AF204" i="1" l="1"/>
  <c r="K519" i="2"/>
  <c r="L518" i="2"/>
  <c r="K252" i="2"/>
  <c r="L251" i="2"/>
  <c r="L37" i="2"/>
  <c r="K38" i="2"/>
  <c r="K39" i="2" l="1"/>
  <c r="L38" i="2"/>
  <c r="K253" i="2"/>
  <c r="L252" i="2"/>
  <c r="K520" i="2"/>
  <c r="L519" i="2"/>
  <c r="AF205" i="1"/>
  <c r="K254" i="2" l="1"/>
  <c r="L253" i="2"/>
  <c r="AF206" i="1"/>
  <c r="K521" i="2"/>
  <c r="L520" i="2"/>
  <c r="L39" i="2"/>
  <c r="K40" i="2"/>
  <c r="AF207" i="1" l="1"/>
  <c r="K522" i="2"/>
  <c r="L521" i="2"/>
  <c r="L40" i="2"/>
  <c r="K41" i="2"/>
  <c r="K255" i="2"/>
  <c r="L254" i="2"/>
  <c r="K42" i="2" l="1"/>
  <c r="L41" i="2"/>
  <c r="K523" i="2"/>
  <c r="L522" i="2"/>
  <c r="K256" i="2"/>
  <c r="L255" i="2"/>
  <c r="AF208" i="1"/>
  <c r="AF209" i="1" l="1"/>
  <c r="K257" i="2"/>
  <c r="L256" i="2"/>
  <c r="K524" i="2"/>
  <c r="L523" i="2"/>
  <c r="L42" i="2"/>
  <c r="K43" i="2"/>
  <c r="K44" i="2" l="1"/>
  <c r="L43" i="2"/>
  <c r="K525" i="2"/>
  <c r="L524" i="2"/>
  <c r="K258" i="2"/>
  <c r="L257" i="2"/>
  <c r="AF210" i="1"/>
  <c r="AF211" i="1" l="1"/>
  <c r="K259" i="2"/>
  <c r="L258" i="2"/>
  <c r="K526" i="2"/>
  <c r="L525" i="2"/>
  <c r="K45" i="2"/>
  <c r="L44" i="2"/>
  <c r="L45" i="2" l="1"/>
  <c r="K46" i="2"/>
  <c r="K527" i="2"/>
  <c r="L526" i="2"/>
  <c r="K260" i="2"/>
  <c r="L259" i="2"/>
  <c r="AF212" i="1"/>
  <c r="AF213" i="1" l="1"/>
  <c r="K261" i="2"/>
  <c r="L260" i="2"/>
  <c r="K528" i="2"/>
  <c r="L527" i="2"/>
  <c r="K47" i="2"/>
  <c r="L46" i="2"/>
  <c r="K529" i="2" l="1"/>
  <c r="L528" i="2"/>
  <c r="K262" i="2"/>
  <c r="L261" i="2"/>
  <c r="L47" i="2"/>
  <c r="K48" i="2"/>
  <c r="AF214" i="1"/>
  <c r="L48" i="2" l="1"/>
  <c r="K49" i="2"/>
  <c r="AF215" i="1"/>
  <c r="K263" i="2"/>
  <c r="L262" i="2"/>
  <c r="K530" i="2"/>
  <c r="L529" i="2"/>
  <c r="AF216" i="1" l="1"/>
  <c r="K264" i="2"/>
  <c r="L263" i="2"/>
  <c r="K50" i="2"/>
  <c r="L49" i="2"/>
  <c r="K531" i="2"/>
  <c r="L530" i="2"/>
  <c r="K532" i="2" l="1"/>
  <c r="L531" i="2"/>
  <c r="L50" i="2"/>
  <c r="K51" i="2"/>
  <c r="K265" i="2"/>
  <c r="L264" i="2"/>
  <c r="AF217" i="1"/>
  <c r="AF218" i="1" l="1"/>
  <c r="K52" i="2"/>
  <c r="L51" i="2"/>
  <c r="K266" i="2"/>
  <c r="L265" i="2"/>
  <c r="K533" i="2"/>
  <c r="L532" i="2"/>
  <c r="K267" i="2" l="1"/>
  <c r="L266" i="2"/>
  <c r="K534" i="2"/>
  <c r="L533" i="2"/>
  <c r="K53" i="2"/>
  <c r="L52" i="2"/>
  <c r="AF219" i="1"/>
  <c r="AF220" i="1" l="1"/>
  <c r="K535" i="2"/>
  <c r="L534" i="2"/>
  <c r="L53" i="2"/>
  <c r="K54" i="2"/>
  <c r="K268" i="2"/>
  <c r="L267" i="2"/>
  <c r="K55" i="2" l="1"/>
  <c r="L54" i="2"/>
  <c r="K269" i="2"/>
  <c r="L268" i="2"/>
  <c r="K536" i="2"/>
  <c r="L535" i="2"/>
  <c r="AF221" i="1"/>
  <c r="K537" i="2" l="1"/>
  <c r="L536" i="2"/>
  <c r="AF222" i="1"/>
  <c r="K270" i="2"/>
  <c r="L269" i="2"/>
  <c r="L55" i="2"/>
  <c r="K56" i="2"/>
  <c r="AF223" i="1" l="1"/>
  <c r="L56" i="2"/>
  <c r="K57" i="2"/>
  <c r="K271" i="2"/>
  <c r="L270" i="2"/>
  <c r="K538" i="2"/>
  <c r="L537" i="2"/>
  <c r="K58" i="2" l="1"/>
  <c r="L57" i="2"/>
  <c r="K539" i="2"/>
  <c r="L538" i="2"/>
  <c r="K272" i="2"/>
  <c r="L271" i="2"/>
  <c r="AF224" i="1"/>
  <c r="AF225" i="1" l="1"/>
  <c r="K273" i="2"/>
  <c r="L272" i="2"/>
  <c r="K540" i="2"/>
  <c r="L539" i="2"/>
  <c r="L58" i="2"/>
  <c r="K59" i="2"/>
  <c r="K274" i="2" l="1"/>
  <c r="L273" i="2"/>
  <c r="K541" i="2"/>
  <c r="L540" i="2"/>
  <c r="K60" i="2"/>
  <c r="L59" i="2"/>
  <c r="AF226" i="1"/>
  <c r="AF227" i="1" l="1"/>
  <c r="K542" i="2"/>
  <c r="L541" i="2"/>
  <c r="K61" i="2"/>
  <c r="L60" i="2"/>
  <c r="K275" i="2"/>
  <c r="L274" i="2"/>
  <c r="K543" i="2" l="1"/>
  <c r="L542" i="2"/>
  <c r="K276" i="2"/>
  <c r="L275" i="2"/>
  <c r="L61" i="2"/>
  <c r="K62" i="2"/>
  <c r="AF228" i="1"/>
  <c r="AF229" i="1" l="1"/>
  <c r="K277" i="2"/>
  <c r="L276" i="2"/>
  <c r="K63" i="2"/>
  <c r="L62" i="2"/>
  <c r="K544" i="2"/>
  <c r="L543" i="2"/>
  <c r="K545" i="2" l="1"/>
  <c r="L544" i="2"/>
  <c r="L63" i="2"/>
  <c r="K64" i="2"/>
  <c r="K278" i="2"/>
  <c r="L277" i="2"/>
  <c r="AF230" i="1"/>
  <c r="L64" i="2" l="1"/>
  <c r="K65" i="2"/>
  <c r="K279" i="2"/>
  <c r="L278" i="2"/>
  <c r="AF231" i="1"/>
  <c r="K546" i="2"/>
  <c r="L545" i="2"/>
  <c r="K547" i="2" l="1"/>
  <c r="L546" i="2"/>
  <c r="K280" i="2"/>
  <c r="L279" i="2"/>
  <c r="K66" i="2"/>
  <c r="L65" i="2"/>
  <c r="AF232" i="1"/>
  <c r="L66" i="2" l="1"/>
  <c r="K67" i="2"/>
  <c r="AF233" i="1"/>
  <c r="K281" i="2"/>
  <c r="L280" i="2"/>
  <c r="K548" i="2"/>
  <c r="L547" i="2"/>
  <c r="K549" i="2" l="1"/>
  <c r="L548" i="2"/>
  <c r="K282" i="2"/>
  <c r="L281" i="2"/>
  <c r="AF234" i="1"/>
  <c r="K68" i="2"/>
  <c r="L67" i="2"/>
  <c r="K69" i="2" l="1"/>
  <c r="L68" i="2"/>
  <c r="K283" i="2"/>
  <c r="L282" i="2"/>
  <c r="AF235" i="1"/>
  <c r="K550" i="2"/>
  <c r="L549" i="2"/>
  <c r="K551" i="2" l="1"/>
  <c r="L550" i="2"/>
  <c r="K284" i="2"/>
  <c r="L283" i="2"/>
  <c r="AF236" i="1"/>
  <c r="L69" i="2"/>
  <c r="K70" i="2"/>
  <c r="K71" i="2" l="1"/>
  <c r="L70" i="2"/>
  <c r="K285" i="2"/>
  <c r="L284" i="2"/>
  <c r="AF237" i="1"/>
  <c r="K552" i="2"/>
  <c r="L551" i="2"/>
  <c r="K553" i="2" l="1"/>
  <c r="L552" i="2"/>
  <c r="K286" i="2"/>
  <c r="L285" i="2"/>
  <c r="AF238" i="1"/>
  <c r="L71" i="2"/>
  <c r="K72" i="2"/>
  <c r="L72" i="2" l="1"/>
  <c r="K73" i="2"/>
  <c r="K287" i="2"/>
  <c r="L286" i="2"/>
  <c r="AF239" i="1"/>
  <c r="K554" i="2"/>
  <c r="L553" i="2"/>
  <c r="K555" i="2" l="1"/>
  <c r="L554" i="2"/>
  <c r="K74" i="2"/>
  <c r="L73" i="2"/>
  <c r="AF240" i="1"/>
  <c r="K288" i="2"/>
  <c r="L287" i="2"/>
  <c r="L74" i="2" l="1"/>
  <c r="K75" i="2"/>
  <c r="K289" i="2"/>
  <c r="L288" i="2"/>
  <c r="AF241" i="1"/>
  <c r="K556" i="2"/>
  <c r="L555" i="2"/>
  <c r="K557" i="2" l="1"/>
  <c r="L556" i="2"/>
  <c r="AF242" i="1"/>
  <c r="K290" i="2"/>
  <c r="L289" i="2"/>
  <c r="K76" i="2"/>
  <c r="L75" i="2"/>
  <c r="K77" i="2" l="1"/>
  <c r="L76" i="2"/>
  <c r="K291" i="2"/>
  <c r="L290" i="2"/>
  <c r="AF243" i="1"/>
  <c r="K558" i="2"/>
  <c r="L557" i="2"/>
  <c r="K559" i="2" l="1"/>
  <c r="L558" i="2"/>
  <c r="AF244" i="1"/>
  <c r="K292" i="2"/>
  <c r="L291" i="2"/>
  <c r="L77" i="2"/>
  <c r="K78" i="2"/>
  <c r="K79" i="2" l="1"/>
  <c r="L78" i="2"/>
  <c r="K293" i="2"/>
  <c r="L292" i="2"/>
  <c r="AF245" i="1"/>
  <c r="K560" i="2"/>
  <c r="L559" i="2"/>
  <c r="K561" i="2" l="1"/>
  <c r="L560" i="2"/>
  <c r="AF246" i="1"/>
  <c r="K294" i="2"/>
  <c r="L293" i="2"/>
  <c r="L79" i="2"/>
  <c r="K80" i="2"/>
  <c r="L294" i="2" l="1"/>
  <c r="K295" i="2"/>
  <c r="L80" i="2"/>
  <c r="K81" i="2"/>
  <c r="AF247" i="1"/>
  <c r="K562" i="2"/>
  <c r="L561" i="2"/>
  <c r="AF248" i="1" l="1"/>
  <c r="K563" i="2"/>
  <c r="L562" i="2"/>
  <c r="K82" i="2"/>
  <c r="L81" i="2"/>
  <c r="L295" i="2"/>
  <c r="K296" i="2"/>
  <c r="K297" i="2" l="1"/>
  <c r="L296" i="2"/>
  <c r="L82" i="2"/>
  <c r="K83" i="2"/>
  <c r="K564" i="2"/>
  <c r="L563" i="2"/>
  <c r="AF249" i="1"/>
  <c r="AF250" i="1" l="1"/>
  <c r="K565" i="2"/>
  <c r="L564" i="2"/>
  <c r="K84" i="2"/>
  <c r="L83" i="2"/>
  <c r="L297" i="2"/>
  <c r="K298" i="2"/>
  <c r="K299" i="2" l="1"/>
  <c r="L298" i="2"/>
  <c r="K566" i="2"/>
  <c r="L565" i="2"/>
  <c r="K85" i="2"/>
  <c r="L84" i="2"/>
  <c r="AF251" i="1"/>
  <c r="L85" i="2" l="1"/>
  <c r="K86" i="2"/>
  <c r="K567" i="2"/>
  <c r="L566" i="2"/>
  <c r="AF252" i="1"/>
  <c r="K300" i="2"/>
  <c r="L299" i="2"/>
  <c r="K301" i="2" l="1"/>
  <c r="L300" i="2"/>
  <c r="AF253" i="1"/>
  <c r="K568" i="2"/>
  <c r="L567" i="2"/>
  <c r="K87" i="2"/>
  <c r="L86" i="2"/>
  <c r="K569" i="2" l="1"/>
  <c r="L568" i="2"/>
  <c r="L87" i="2"/>
  <c r="K88" i="2"/>
  <c r="AF254" i="1"/>
  <c r="K302" i="2"/>
  <c r="L301" i="2"/>
  <c r="AF255" i="1" l="1"/>
  <c r="L88" i="2"/>
  <c r="K89" i="2"/>
  <c r="L302" i="2"/>
  <c r="K303" i="2"/>
  <c r="K570" i="2"/>
  <c r="L569" i="2"/>
  <c r="K571" i="2" l="1"/>
  <c r="L570" i="2"/>
  <c r="L303" i="2"/>
  <c r="K304" i="2"/>
  <c r="K90" i="2"/>
  <c r="L89" i="2"/>
  <c r="AF256" i="1"/>
  <c r="AG159" i="1" l="1"/>
  <c r="AG162" i="1"/>
  <c r="AG157" i="1"/>
  <c r="AG160" i="1"/>
  <c r="AG167" i="1"/>
  <c r="AG170" i="1"/>
  <c r="AG166" i="1"/>
  <c r="AG161" i="1"/>
  <c r="AG163" i="1"/>
  <c r="AG168" i="1"/>
  <c r="AG165" i="1"/>
  <c r="AG171" i="1"/>
  <c r="AG172" i="1"/>
  <c r="AG169" i="1"/>
  <c r="AG164" i="1"/>
  <c r="AG158"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K305" i="2"/>
  <c r="L304" i="2"/>
  <c r="L90" i="2"/>
  <c r="K91" i="2"/>
  <c r="K572" i="2"/>
  <c r="L571" i="2"/>
  <c r="CB244" i="1" l="1"/>
  <c r="CD244" i="1"/>
  <c r="CB236" i="1"/>
  <c r="CD236" i="1"/>
  <c r="CB228" i="1"/>
  <c r="CD228" i="1"/>
  <c r="CB220" i="1"/>
  <c r="CD220" i="1"/>
  <c r="CB212" i="1"/>
  <c r="CD212" i="1"/>
  <c r="CB204" i="1"/>
  <c r="CD204" i="1"/>
  <c r="CB196" i="1"/>
  <c r="CD196" i="1"/>
  <c r="CB188" i="1"/>
  <c r="CD188" i="1"/>
  <c r="CB180" i="1"/>
  <c r="CD180" i="1"/>
  <c r="CB158" i="1"/>
  <c r="CD158" i="1"/>
  <c r="CB161" i="1"/>
  <c r="CD161" i="1"/>
  <c r="CB227" i="1"/>
  <c r="CD227" i="1"/>
  <c r="CB219" i="1"/>
  <c r="CD219" i="1"/>
  <c r="CB211" i="1"/>
  <c r="CD211" i="1"/>
  <c r="CB203" i="1"/>
  <c r="CD203" i="1"/>
  <c r="CB195" i="1"/>
  <c r="CD195" i="1"/>
  <c r="CB187" i="1"/>
  <c r="CD187" i="1"/>
  <c r="CB179" i="1"/>
  <c r="CD179" i="1"/>
  <c r="CB164" i="1"/>
  <c r="CD164" i="1"/>
  <c r="CD166" i="1"/>
  <c r="CB166" i="1"/>
  <c r="CB243" i="1"/>
  <c r="CD243" i="1"/>
  <c r="CB226" i="1"/>
  <c r="CD226" i="1"/>
  <c r="CB218" i="1"/>
  <c r="CD218" i="1"/>
  <c r="CB210" i="1"/>
  <c r="CD210" i="1"/>
  <c r="CB202" i="1"/>
  <c r="CD202" i="1"/>
  <c r="CB194" i="1"/>
  <c r="CD194" i="1"/>
  <c r="CB186" i="1"/>
  <c r="CD186" i="1"/>
  <c r="CB178" i="1"/>
  <c r="CD178" i="1"/>
  <c r="CD169" i="1"/>
  <c r="CB169" i="1"/>
  <c r="CB170" i="1"/>
  <c r="CD170" i="1"/>
  <c r="CB251" i="1"/>
  <c r="CD251" i="1"/>
  <c r="CD249" i="1"/>
  <c r="CB249" i="1"/>
  <c r="CB233" i="1"/>
  <c r="CD233" i="1"/>
  <c r="CD225" i="1"/>
  <c r="CB225" i="1"/>
  <c r="CD217" i="1"/>
  <c r="CB217" i="1"/>
  <c r="CD209" i="1"/>
  <c r="CB209" i="1"/>
  <c r="CD201" i="1"/>
  <c r="CB201" i="1"/>
  <c r="CB193" i="1"/>
  <c r="CD193" i="1"/>
  <c r="CD185" i="1"/>
  <c r="CB185" i="1"/>
  <c r="CD177" i="1"/>
  <c r="CB177" i="1"/>
  <c r="CB172" i="1"/>
  <c r="CD172" i="1"/>
  <c r="CD167" i="1"/>
  <c r="CB167" i="1"/>
  <c r="CB234" i="1"/>
  <c r="CD234" i="1"/>
  <c r="CD240" i="1"/>
  <c r="CB240" i="1"/>
  <c r="CD232" i="1"/>
  <c r="CB232" i="1"/>
  <c r="CD224" i="1"/>
  <c r="CB224" i="1"/>
  <c r="CD216" i="1"/>
  <c r="CB216" i="1"/>
  <c r="CD208" i="1"/>
  <c r="CB208" i="1"/>
  <c r="CD200" i="1"/>
  <c r="CB200" i="1"/>
  <c r="CD192" i="1"/>
  <c r="CB192" i="1"/>
  <c r="CD184" i="1"/>
  <c r="CB184" i="1"/>
  <c r="CD176" i="1"/>
  <c r="CB176" i="1"/>
  <c r="CB171" i="1"/>
  <c r="CD171" i="1"/>
  <c r="CD160" i="1"/>
  <c r="CB160" i="1"/>
  <c r="CB235" i="1"/>
  <c r="CD235" i="1"/>
  <c r="CD241" i="1"/>
  <c r="CB241" i="1"/>
  <c r="CD255" i="1"/>
  <c r="CB255" i="1"/>
  <c r="CD247" i="1"/>
  <c r="CB247" i="1"/>
  <c r="CD239" i="1"/>
  <c r="CB239" i="1"/>
  <c r="CD231" i="1"/>
  <c r="CB231" i="1"/>
  <c r="CD223" i="1"/>
  <c r="CB223" i="1"/>
  <c r="CD215" i="1"/>
  <c r="CB215" i="1"/>
  <c r="CD207" i="1"/>
  <c r="CB207" i="1"/>
  <c r="CD199" i="1"/>
  <c r="CB199" i="1"/>
  <c r="CD191" i="1"/>
  <c r="CB191" i="1"/>
  <c r="CD183" i="1"/>
  <c r="CB183" i="1"/>
  <c r="CD175" i="1"/>
  <c r="CB175" i="1"/>
  <c r="CB165" i="1"/>
  <c r="CD165" i="1"/>
  <c r="CD157" i="1"/>
  <c r="CB157" i="1"/>
  <c r="CB242" i="1"/>
  <c r="CD242" i="1"/>
  <c r="CB254" i="1"/>
  <c r="CD254" i="1"/>
  <c r="CB246" i="1"/>
  <c r="CD246" i="1"/>
  <c r="CD238" i="1"/>
  <c r="CB238" i="1"/>
  <c r="CD230" i="1"/>
  <c r="CB230" i="1"/>
  <c r="CD222" i="1"/>
  <c r="CB222" i="1"/>
  <c r="CB214" i="1"/>
  <c r="CD214" i="1"/>
  <c r="CD206" i="1"/>
  <c r="CB206" i="1"/>
  <c r="CD198" i="1"/>
  <c r="CB198" i="1"/>
  <c r="CB190" i="1"/>
  <c r="CD190" i="1"/>
  <c r="CD182" i="1"/>
  <c r="CB182" i="1"/>
  <c r="CD174" i="1"/>
  <c r="CB174" i="1"/>
  <c r="CD168" i="1"/>
  <c r="CB168" i="1"/>
  <c r="CB162" i="1"/>
  <c r="CD162" i="1"/>
  <c r="CB252" i="1"/>
  <c r="CD252" i="1"/>
  <c r="CB250" i="1"/>
  <c r="CD250" i="1"/>
  <c r="CD248" i="1"/>
  <c r="CB248" i="1"/>
  <c r="CB253" i="1"/>
  <c r="CD253" i="1"/>
  <c r="CB245" i="1"/>
  <c r="CD245" i="1"/>
  <c r="CD237" i="1"/>
  <c r="CB237" i="1"/>
  <c r="CB229" i="1"/>
  <c r="CD229" i="1"/>
  <c r="CD221" i="1"/>
  <c r="CB221" i="1"/>
  <c r="CB213" i="1"/>
  <c r="CD213" i="1"/>
  <c r="CB205" i="1"/>
  <c r="CD205" i="1"/>
  <c r="CD197" i="1"/>
  <c r="CB197" i="1"/>
  <c r="CD189" i="1"/>
  <c r="CB189" i="1"/>
  <c r="CB181" i="1"/>
  <c r="CD181" i="1"/>
  <c r="CB173" i="1"/>
  <c r="CD173" i="1"/>
  <c r="CB163" i="1"/>
  <c r="CD163" i="1"/>
  <c r="CD159" i="1"/>
  <c r="CB159" i="1"/>
  <c r="CC252" i="1"/>
  <c r="CC212" i="1"/>
  <c r="CC158" i="1"/>
  <c r="CC219" i="1"/>
  <c r="CC195" i="1"/>
  <c r="CC187" i="1"/>
  <c r="CC166" i="1"/>
  <c r="CC250" i="1"/>
  <c r="CC242" i="1"/>
  <c r="CC234" i="1"/>
  <c r="CC226" i="1"/>
  <c r="CC218" i="1"/>
  <c r="CC210" i="1"/>
  <c r="CC202" i="1"/>
  <c r="CC194" i="1"/>
  <c r="CC186" i="1"/>
  <c r="CC178" i="1"/>
  <c r="CC169" i="1"/>
  <c r="CC170" i="1"/>
  <c r="CC236" i="1"/>
  <c r="CC188" i="1"/>
  <c r="CC251" i="1"/>
  <c r="CC203" i="1"/>
  <c r="CC179" i="1"/>
  <c r="CC249" i="1"/>
  <c r="CC241" i="1"/>
  <c r="CC233" i="1"/>
  <c r="CC225" i="1"/>
  <c r="CC217" i="1"/>
  <c r="CC209" i="1"/>
  <c r="CC201" i="1"/>
  <c r="CC193" i="1"/>
  <c r="CC185" i="1"/>
  <c r="CC177" i="1"/>
  <c r="CC172" i="1"/>
  <c r="CC167" i="1"/>
  <c r="CC228" i="1"/>
  <c r="CC180" i="1"/>
  <c r="CC243" i="1"/>
  <c r="CC211" i="1"/>
  <c r="CC164" i="1"/>
  <c r="CC248" i="1"/>
  <c r="CC240" i="1"/>
  <c r="CC232" i="1"/>
  <c r="CC224" i="1"/>
  <c r="CC216" i="1"/>
  <c r="CC208" i="1"/>
  <c r="CC200" i="1"/>
  <c r="CC192" i="1"/>
  <c r="CC184" i="1"/>
  <c r="CC176" i="1"/>
  <c r="CC171" i="1"/>
  <c r="CC160" i="1"/>
  <c r="CC220" i="1"/>
  <c r="CC196" i="1"/>
  <c r="CC235" i="1"/>
  <c r="CC247" i="1"/>
  <c r="CC231" i="1"/>
  <c r="CC215" i="1"/>
  <c r="CC199" i="1"/>
  <c r="CC183" i="1"/>
  <c r="CC157" i="1"/>
  <c r="CC244" i="1"/>
  <c r="CC204" i="1"/>
  <c r="CC161" i="1"/>
  <c r="CC227" i="1"/>
  <c r="CC255" i="1"/>
  <c r="CC239" i="1"/>
  <c r="CC223" i="1"/>
  <c r="CC207" i="1"/>
  <c r="CC191" i="1"/>
  <c r="CC175" i="1"/>
  <c r="CC165" i="1"/>
  <c r="CC254" i="1"/>
  <c r="CC246" i="1"/>
  <c r="CC238" i="1"/>
  <c r="CC230" i="1"/>
  <c r="CC222" i="1"/>
  <c r="CC214" i="1"/>
  <c r="CC206" i="1"/>
  <c r="CC198" i="1"/>
  <c r="CC190" i="1"/>
  <c r="CC182" i="1"/>
  <c r="CC174" i="1"/>
  <c r="CC168" i="1"/>
  <c r="CC162" i="1"/>
  <c r="CC253" i="1"/>
  <c r="CC245" i="1"/>
  <c r="CC237" i="1"/>
  <c r="CC229" i="1"/>
  <c r="CC221" i="1"/>
  <c r="CC213" i="1"/>
  <c r="CC205" i="1"/>
  <c r="CC197" i="1"/>
  <c r="CC189" i="1"/>
  <c r="CC181" i="1"/>
  <c r="CC173" i="1"/>
  <c r="CC163" i="1"/>
  <c r="CC159" i="1"/>
  <c r="AH228" i="1"/>
  <c r="AJ228" i="1"/>
  <c r="AJ196" i="1"/>
  <c r="AH196" i="1"/>
  <c r="K92" i="2"/>
  <c r="L91" i="2"/>
  <c r="AH203" i="1"/>
  <c r="AJ203" i="1"/>
  <c r="AJ166" i="1"/>
  <c r="AH166" i="1"/>
  <c r="AJ250" i="1"/>
  <c r="AH250" i="1"/>
  <c r="AJ242" i="1"/>
  <c r="AH242" i="1"/>
  <c r="AJ234" i="1"/>
  <c r="AH234" i="1"/>
  <c r="AJ226" i="1"/>
  <c r="AH226" i="1"/>
  <c r="AH218" i="1"/>
  <c r="AJ218" i="1"/>
  <c r="AH210" i="1"/>
  <c r="AJ210" i="1"/>
  <c r="AH202" i="1"/>
  <c r="AJ202" i="1"/>
  <c r="AH194" i="1"/>
  <c r="AJ194" i="1"/>
  <c r="AJ186" i="1"/>
  <c r="AH186" i="1"/>
  <c r="AJ178" i="1"/>
  <c r="AH178" i="1"/>
  <c r="AJ169" i="1"/>
  <c r="AH169" i="1"/>
  <c r="AJ170" i="1"/>
  <c r="AH170" i="1"/>
  <c r="AH252" i="1"/>
  <c r="AJ252" i="1"/>
  <c r="AH188" i="1"/>
  <c r="AJ188" i="1"/>
  <c r="AJ243" i="1"/>
  <c r="AH243" i="1"/>
  <c r="AH211" i="1"/>
  <c r="AJ211" i="1"/>
  <c r="AJ249" i="1"/>
  <c r="AH249" i="1"/>
  <c r="AH241" i="1"/>
  <c r="AJ241" i="1"/>
  <c r="AJ233" i="1"/>
  <c r="AH233" i="1"/>
  <c r="AJ225" i="1"/>
  <c r="AH225" i="1"/>
  <c r="AJ217" i="1"/>
  <c r="AH217" i="1"/>
  <c r="AJ209" i="1"/>
  <c r="AH209" i="1"/>
  <c r="AJ201" i="1"/>
  <c r="AH201" i="1"/>
  <c r="AJ193" i="1"/>
  <c r="AH193" i="1"/>
  <c r="AH185" i="1"/>
  <c r="AJ185" i="1"/>
  <c r="AJ177" i="1"/>
  <c r="AH177" i="1"/>
  <c r="AH172" i="1"/>
  <c r="AJ172" i="1"/>
  <c r="AH167" i="1"/>
  <c r="AJ167" i="1"/>
  <c r="AH244" i="1"/>
  <c r="AJ244" i="1"/>
  <c r="AJ204" i="1"/>
  <c r="AH204" i="1"/>
  <c r="AH251" i="1"/>
  <c r="AJ251" i="1"/>
  <c r="AH195" i="1"/>
  <c r="AJ195" i="1"/>
  <c r="AJ248" i="1"/>
  <c r="AH248" i="1"/>
  <c r="AJ232" i="1"/>
  <c r="AH232" i="1"/>
  <c r="AJ224" i="1"/>
  <c r="AH224" i="1"/>
  <c r="AJ216" i="1"/>
  <c r="AH216" i="1"/>
  <c r="AJ208" i="1"/>
  <c r="AH208" i="1"/>
  <c r="AJ200" i="1"/>
  <c r="AH200" i="1"/>
  <c r="AJ192" i="1"/>
  <c r="AH192" i="1"/>
  <c r="AJ184" i="1"/>
  <c r="AH184" i="1"/>
  <c r="AH176" i="1"/>
  <c r="AJ176" i="1"/>
  <c r="AJ171" i="1"/>
  <c r="AH171" i="1"/>
  <c r="AJ160" i="1"/>
  <c r="AH160" i="1"/>
  <c r="AH236" i="1"/>
  <c r="AJ236" i="1"/>
  <c r="AJ158" i="1"/>
  <c r="AH158" i="1"/>
  <c r="AH235" i="1"/>
  <c r="AJ235" i="1"/>
  <c r="AJ179" i="1"/>
  <c r="AH179" i="1"/>
  <c r="L305" i="2"/>
  <c r="K306" i="2"/>
  <c r="AH240" i="1"/>
  <c r="AJ240" i="1"/>
  <c r="AJ255" i="1"/>
  <c r="AH255" i="1"/>
  <c r="AJ247" i="1"/>
  <c r="AH247" i="1"/>
  <c r="AJ239" i="1"/>
  <c r="AH239" i="1"/>
  <c r="AJ231" i="1"/>
  <c r="AH231" i="1"/>
  <c r="AJ223" i="1"/>
  <c r="AH223" i="1"/>
  <c r="AJ215" i="1"/>
  <c r="AH215" i="1"/>
  <c r="AJ207" i="1"/>
  <c r="AH207" i="1"/>
  <c r="AJ199" i="1"/>
  <c r="AH199" i="1"/>
  <c r="AJ191" i="1"/>
  <c r="AH191" i="1"/>
  <c r="AJ183" i="1"/>
  <c r="AH183" i="1"/>
  <c r="AH175" i="1"/>
  <c r="AJ175" i="1"/>
  <c r="AJ165" i="1"/>
  <c r="AH165" i="1"/>
  <c r="AH157" i="1"/>
  <c r="AJ157" i="1"/>
  <c r="AH220" i="1"/>
  <c r="AJ220" i="1"/>
  <c r="AH180" i="1"/>
  <c r="AJ180" i="1"/>
  <c r="AH219" i="1"/>
  <c r="AJ219" i="1"/>
  <c r="AH164" i="1"/>
  <c r="AJ164" i="1"/>
  <c r="AJ246" i="1"/>
  <c r="AH246" i="1"/>
  <c r="AH214" i="1"/>
  <c r="AJ214" i="1"/>
  <c r="AH206" i="1"/>
  <c r="AJ206" i="1"/>
  <c r="AJ198" i="1"/>
  <c r="AH198" i="1"/>
  <c r="AJ190" i="1"/>
  <c r="AH190" i="1"/>
  <c r="AJ182" i="1"/>
  <c r="AH182" i="1"/>
  <c r="AJ174" i="1"/>
  <c r="AH174" i="1"/>
  <c r="AJ168" i="1"/>
  <c r="AH168" i="1"/>
  <c r="AJ162" i="1"/>
  <c r="AH162" i="1"/>
  <c r="K573" i="2"/>
  <c r="L572" i="2"/>
  <c r="AJ212" i="1"/>
  <c r="AH212" i="1"/>
  <c r="AJ161" i="1"/>
  <c r="AH161" i="1"/>
  <c r="AH227" i="1"/>
  <c r="AJ227" i="1"/>
  <c r="AJ187" i="1"/>
  <c r="AH187" i="1"/>
  <c r="AJ254" i="1"/>
  <c r="AH254" i="1"/>
  <c r="AJ238" i="1"/>
  <c r="AH238" i="1"/>
  <c r="AJ230" i="1"/>
  <c r="AH230" i="1"/>
  <c r="AH222" i="1"/>
  <c r="AJ222" i="1"/>
  <c r="AJ253" i="1"/>
  <c r="AH253" i="1"/>
  <c r="AH245" i="1"/>
  <c r="AJ245" i="1"/>
  <c r="AJ237" i="1"/>
  <c r="AH237" i="1"/>
  <c r="AJ229" i="1"/>
  <c r="AH229" i="1"/>
  <c r="AJ221" i="1"/>
  <c r="AH221" i="1"/>
  <c r="AJ213" i="1"/>
  <c r="AH213" i="1"/>
  <c r="AJ205" i="1"/>
  <c r="AH205" i="1"/>
  <c r="AJ197" i="1"/>
  <c r="AH197" i="1"/>
  <c r="AJ189" i="1"/>
  <c r="AH189" i="1"/>
  <c r="AJ181" i="1"/>
  <c r="AH181" i="1"/>
  <c r="AJ173" i="1"/>
  <c r="AH173" i="1"/>
  <c r="AJ163" i="1"/>
  <c r="AH163" i="1"/>
  <c r="AJ159" i="1"/>
  <c r="AH159" i="1"/>
  <c r="BJ205" i="1" l="1"/>
  <c r="AP205" i="1"/>
  <c r="BJ230" i="1"/>
  <c r="AP230" i="1"/>
  <c r="BJ162" i="1"/>
  <c r="BL162" i="1" s="1"/>
  <c r="AP162" i="1"/>
  <c r="BJ190" i="1"/>
  <c r="BL190" i="1" s="1"/>
  <c r="AP190" i="1"/>
  <c r="AR190" i="1" s="1"/>
  <c r="BJ246" i="1"/>
  <c r="AP246" i="1"/>
  <c r="BJ183" i="1"/>
  <c r="BL183" i="1" s="1"/>
  <c r="AP183" i="1"/>
  <c r="BJ215" i="1"/>
  <c r="BL215" i="1" s="1"/>
  <c r="AP215" i="1"/>
  <c r="BJ247" i="1"/>
  <c r="BL247" i="1" s="1"/>
  <c r="AP247" i="1"/>
  <c r="BJ179" i="1"/>
  <c r="AP179" i="1"/>
  <c r="BJ160" i="1"/>
  <c r="AP160" i="1"/>
  <c r="BJ192" i="1"/>
  <c r="BL192" i="1" s="1"/>
  <c r="AP192" i="1"/>
  <c r="BJ224" i="1"/>
  <c r="BL224" i="1" s="1"/>
  <c r="AP224" i="1"/>
  <c r="BJ201" i="1"/>
  <c r="AP201" i="1"/>
  <c r="BJ233" i="1"/>
  <c r="AP233" i="1"/>
  <c r="BJ243" i="1"/>
  <c r="BL243" i="1" s="1"/>
  <c r="AP243" i="1"/>
  <c r="BJ169" i="1"/>
  <c r="BL169" i="1" s="1"/>
  <c r="AP169" i="1"/>
  <c r="BJ234" i="1"/>
  <c r="BL234" i="1" s="1"/>
  <c r="AP234" i="1"/>
  <c r="AR234" i="1" s="1"/>
  <c r="BJ173" i="1"/>
  <c r="BL173" i="1" s="1"/>
  <c r="AP173" i="1"/>
  <c r="BJ237" i="1"/>
  <c r="BL237" i="1" s="1"/>
  <c r="AP237" i="1"/>
  <c r="BJ245" i="1"/>
  <c r="BL245" i="1" s="1"/>
  <c r="AP245" i="1"/>
  <c r="BJ164" i="1"/>
  <c r="AP164" i="1"/>
  <c r="AR164" i="1" s="1"/>
  <c r="BJ157" i="1"/>
  <c r="AP157" i="1"/>
  <c r="BJ235" i="1"/>
  <c r="BL235" i="1" s="1"/>
  <c r="AP235" i="1"/>
  <c r="BJ241" i="1"/>
  <c r="BL241" i="1" s="1"/>
  <c r="AP241" i="1"/>
  <c r="BJ188" i="1"/>
  <c r="AP188" i="1"/>
  <c r="AR188" i="1" s="1"/>
  <c r="BJ210" i="1"/>
  <c r="AP210" i="1"/>
  <c r="BJ213" i="1"/>
  <c r="BL213" i="1" s="1"/>
  <c r="AP213" i="1"/>
  <c r="BJ238" i="1"/>
  <c r="BL238" i="1" s="1"/>
  <c r="AP238" i="1"/>
  <c r="BJ161" i="1"/>
  <c r="BL161" i="1" s="1"/>
  <c r="AP161" i="1"/>
  <c r="BJ168" i="1"/>
  <c r="BL168" i="1" s="1"/>
  <c r="AP168" i="1"/>
  <c r="AR168" i="1" s="1"/>
  <c r="BJ198" i="1"/>
  <c r="BL198" i="1" s="1"/>
  <c r="AP198" i="1"/>
  <c r="BJ191" i="1"/>
  <c r="BL191" i="1" s="1"/>
  <c r="AP191" i="1"/>
  <c r="BJ223" i="1"/>
  <c r="AP223" i="1"/>
  <c r="BJ255" i="1"/>
  <c r="AP255" i="1"/>
  <c r="BJ171" i="1"/>
  <c r="BL171" i="1" s="1"/>
  <c r="AP171" i="1"/>
  <c r="BJ200" i="1"/>
  <c r="BL200" i="1" s="1"/>
  <c r="AP200" i="1"/>
  <c r="BJ232" i="1"/>
  <c r="AP232" i="1"/>
  <c r="AR232" i="1" s="1"/>
  <c r="BJ204" i="1"/>
  <c r="AP204" i="1"/>
  <c r="AR204" i="1" s="1"/>
  <c r="BJ177" i="1"/>
  <c r="BL177" i="1" s="1"/>
  <c r="AP177" i="1"/>
  <c r="BJ209" i="1"/>
  <c r="BL209" i="1" s="1"/>
  <c r="AP209" i="1"/>
  <c r="BJ178" i="1"/>
  <c r="BL178" i="1" s="1"/>
  <c r="AP178" i="1"/>
  <c r="BJ242" i="1"/>
  <c r="BL242" i="1" s="1"/>
  <c r="AP242" i="1"/>
  <c r="BJ181" i="1"/>
  <c r="BL181" i="1" s="1"/>
  <c r="AP181" i="1"/>
  <c r="BJ206" i="1"/>
  <c r="BL206" i="1" s="1"/>
  <c r="AP206" i="1"/>
  <c r="BJ219" i="1"/>
  <c r="AP219" i="1"/>
  <c r="BJ240" i="1"/>
  <c r="AP240" i="1"/>
  <c r="BJ176" i="1"/>
  <c r="BL176" i="1" s="1"/>
  <c r="AP176" i="1"/>
  <c r="BJ244" i="1"/>
  <c r="BL244" i="1" s="1"/>
  <c r="AP244" i="1"/>
  <c r="BJ185" i="1"/>
  <c r="AP185" i="1"/>
  <c r="BJ252" i="1"/>
  <c r="AP252" i="1"/>
  <c r="BJ218" i="1"/>
  <c r="BL218" i="1" s="1"/>
  <c r="AP218" i="1"/>
  <c r="BJ221" i="1"/>
  <c r="BL221" i="1" s="1"/>
  <c r="AP221" i="1"/>
  <c r="BJ254" i="1"/>
  <c r="BL254" i="1" s="1"/>
  <c r="AP254" i="1"/>
  <c r="BJ212" i="1"/>
  <c r="BL212" i="1" s="1"/>
  <c r="AP212" i="1"/>
  <c r="BJ174" i="1"/>
  <c r="BL174" i="1" s="1"/>
  <c r="AP174" i="1"/>
  <c r="BJ165" i="1"/>
  <c r="BL165" i="1" s="1"/>
  <c r="AP165" i="1"/>
  <c r="BJ199" i="1"/>
  <c r="AP199" i="1"/>
  <c r="BJ231" i="1"/>
  <c r="AP231" i="1"/>
  <c r="BJ158" i="1"/>
  <c r="BL158" i="1" s="1"/>
  <c r="AP158" i="1"/>
  <c r="BJ208" i="1"/>
  <c r="BL208" i="1" s="1"/>
  <c r="AP208" i="1"/>
  <c r="BJ248" i="1"/>
  <c r="AP248" i="1"/>
  <c r="BJ217" i="1"/>
  <c r="BL217" i="1" s="1"/>
  <c r="AP217" i="1"/>
  <c r="BJ249" i="1"/>
  <c r="BL249" i="1" s="1"/>
  <c r="AP249" i="1"/>
  <c r="BJ186" i="1"/>
  <c r="BL186" i="1" s="1"/>
  <c r="AP186" i="1"/>
  <c r="BJ250" i="1"/>
  <c r="BL250" i="1" s="1"/>
  <c r="AP250" i="1"/>
  <c r="BJ196" i="1"/>
  <c r="BL196" i="1" s="1"/>
  <c r="AP196" i="1"/>
  <c r="BJ189" i="1"/>
  <c r="BL189" i="1" s="1"/>
  <c r="AP189" i="1"/>
  <c r="BJ253" i="1"/>
  <c r="BL253" i="1" s="1"/>
  <c r="AP253" i="1"/>
  <c r="BJ222" i="1"/>
  <c r="AP222" i="1"/>
  <c r="BJ214" i="1"/>
  <c r="BL214" i="1" s="1"/>
  <c r="AP214" i="1"/>
  <c r="BJ180" i="1"/>
  <c r="BL180" i="1" s="1"/>
  <c r="AP180" i="1"/>
  <c r="BJ175" i="1"/>
  <c r="BL175" i="1" s="1"/>
  <c r="AP175" i="1"/>
  <c r="BJ236" i="1"/>
  <c r="AP236" i="1"/>
  <c r="BJ195" i="1"/>
  <c r="BL195" i="1" s="1"/>
  <c r="AP195" i="1"/>
  <c r="BJ167" i="1"/>
  <c r="BL167" i="1" s="1"/>
  <c r="AP167" i="1"/>
  <c r="BJ211" i="1"/>
  <c r="BL211" i="1" s="1"/>
  <c r="AP211" i="1"/>
  <c r="BJ194" i="1"/>
  <c r="BL194" i="1" s="1"/>
  <c r="AP194" i="1"/>
  <c r="BJ228" i="1"/>
  <c r="BL228" i="1" s="1"/>
  <c r="AP228" i="1"/>
  <c r="BJ159" i="1"/>
  <c r="BL159" i="1" s="1"/>
  <c r="AP159" i="1"/>
  <c r="BJ197" i="1"/>
  <c r="BL197" i="1" s="1"/>
  <c r="AP197" i="1"/>
  <c r="BJ187" i="1"/>
  <c r="AP187" i="1"/>
  <c r="BJ182" i="1"/>
  <c r="BL182" i="1" s="1"/>
  <c r="AP182" i="1"/>
  <c r="BJ207" i="1"/>
  <c r="BL207" i="1" s="1"/>
  <c r="AP207" i="1"/>
  <c r="BJ239" i="1"/>
  <c r="BL239" i="1" s="1"/>
  <c r="AP239" i="1"/>
  <c r="BJ184" i="1"/>
  <c r="AP184" i="1"/>
  <c r="BJ216" i="1"/>
  <c r="BL216" i="1" s="1"/>
  <c r="AP216" i="1"/>
  <c r="BJ193" i="1"/>
  <c r="BL193" i="1" s="1"/>
  <c r="AP193" i="1"/>
  <c r="BJ225" i="1"/>
  <c r="BL225" i="1" s="1"/>
  <c r="AP225" i="1"/>
  <c r="BJ170" i="1"/>
  <c r="BL170" i="1" s="1"/>
  <c r="AP170" i="1"/>
  <c r="BJ226" i="1"/>
  <c r="BL226" i="1" s="1"/>
  <c r="AP226" i="1"/>
  <c r="BJ166" i="1"/>
  <c r="BL166" i="1" s="1"/>
  <c r="AP166" i="1"/>
  <c r="BJ163" i="1"/>
  <c r="BL163" i="1" s="1"/>
  <c r="AP163" i="1"/>
  <c r="BJ229" i="1"/>
  <c r="AP229" i="1"/>
  <c r="BJ227" i="1"/>
  <c r="BL227" i="1" s="1"/>
  <c r="AP227" i="1"/>
  <c r="BJ220" i="1"/>
  <c r="BL220" i="1" s="1"/>
  <c r="AP220" i="1"/>
  <c r="BJ251" i="1"/>
  <c r="BL251" i="1" s="1"/>
  <c r="AP251" i="1"/>
  <c r="BJ172" i="1"/>
  <c r="AP172" i="1"/>
  <c r="BJ202" i="1"/>
  <c r="BL202" i="1" s="1"/>
  <c r="AP202" i="1"/>
  <c r="BJ203" i="1"/>
  <c r="BL203" i="1" s="1"/>
  <c r="AP203" i="1"/>
  <c r="CK190" i="1"/>
  <c r="CT190" i="1" s="1"/>
  <c r="CK254" i="1"/>
  <c r="CT254" i="1" s="1"/>
  <c r="CK231" i="1"/>
  <c r="CT231" i="1" s="1"/>
  <c r="CK205" i="1"/>
  <c r="CT205" i="1" s="1"/>
  <c r="CK168" i="1"/>
  <c r="CT168" i="1" s="1"/>
  <c r="CK160" i="1"/>
  <c r="CT160" i="1" s="1"/>
  <c r="CK224" i="1"/>
  <c r="CT224" i="1" s="1"/>
  <c r="CK228" i="1"/>
  <c r="CT228" i="1" s="1"/>
  <c r="CK217" i="1"/>
  <c r="CT217" i="1" s="1"/>
  <c r="CK158" i="1"/>
  <c r="CT158" i="1" s="1"/>
  <c r="CK188" i="1"/>
  <c r="CT188" i="1" s="1"/>
  <c r="CK161" i="1"/>
  <c r="CT161" i="1" s="1"/>
  <c r="CK247" i="1"/>
  <c r="CT247" i="1" s="1"/>
  <c r="CK185" i="1"/>
  <c r="CT185" i="1" s="1"/>
  <c r="CK249" i="1"/>
  <c r="CT249" i="1" s="1"/>
  <c r="CK219" i="1"/>
  <c r="CT219" i="1" s="1"/>
  <c r="CK237" i="1"/>
  <c r="CT237" i="1" s="1"/>
  <c r="CK235" i="1"/>
  <c r="CT235" i="1" s="1"/>
  <c r="CK211" i="1"/>
  <c r="CT211" i="1" s="1"/>
  <c r="CK179" i="1"/>
  <c r="CT179" i="1" s="1"/>
  <c r="CK186" i="1"/>
  <c r="CT186" i="1" s="1"/>
  <c r="CK250" i="1"/>
  <c r="CT250" i="1" s="1"/>
  <c r="CK191" i="1"/>
  <c r="CT191" i="1" s="1"/>
  <c r="CK201" i="1"/>
  <c r="CT201" i="1" s="1"/>
  <c r="CK166" i="1"/>
  <c r="CT166" i="1" s="1"/>
  <c r="CK173" i="1"/>
  <c r="CT173" i="1" s="1"/>
  <c r="CK198" i="1"/>
  <c r="CT198" i="1" s="1"/>
  <c r="CK218" i="1"/>
  <c r="CT218" i="1" s="1"/>
  <c r="CF221" i="1"/>
  <c r="CK221" i="1"/>
  <c r="CF162" i="1"/>
  <c r="CK162" i="1"/>
  <c r="CF182" i="1"/>
  <c r="CK182" i="1"/>
  <c r="CF206" i="1"/>
  <c r="CK206" i="1"/>
  <c r="CF246" i="1"/>
  <c r="CK246" i="1"/>
  <c r="CF175" i="1"/>
  <c r="CK175" i="1"/>
  <c r="CF176" i="1"/>
  <c r="CK176" i="1"/>
  <c r="CF240" i="1"/>
  <c r="CK240" i="1"/>
  <c r="CF172" i="1"/>
  <c r="CK172" i="1"/>
  <c r="CF233" i="1"/>
  <c r="CK233" i="1"/>
  <c r="CF251" i="1"/>
  <c r="CK251" i="1"/>
  <c r="CF202" i="1"/>
  <c r="CK202" i="1"/>
  <c r="CF187" i="1"/>
  <c r="CK187" i="1"/>
  <c r="CK181" i="1"/>
  <c r="CT181" i="1" s="1"/>
  <c r="CK245" i="1"/>
  <c r="CT245" i="1" s="1"/>
  <c r="CK230" i="1"/>
  <c r="CT230" i="1" s="1"/>
  <c r="CK223" i="1"/>
  <c r="CT223" i="1" s="1"/>
  <c r="CK204" i="1"/>
  <c r="CT204" i="1" s="1"/>
  <c r="CK183" i="1"/>
  <c r="CT183" i="1" s="1"/>
  <c r="CK200" i="1"/>
  <c r="CT200" i="1" s="1"/>
  <c r="CK193" i="1"/>
  <c r="CT193" i="1" s="1"/>
  <c r="CK170" i="1"/>
  <c r="CT170" i="1" s="1"/>
  <c r="CK226" i="1"/>
  <c r="CT226" i="1" s="1"/>
  <c r="CK248" i="1"/>
  <c r="CT248" i="1" s="1"/>
  <c r="CK210" i="1"/>
  <c r="CT210" i="1" s="1"/>
  <c r="CK212" i="1"/>
  <c r="CT212" i="1" s="1"/>
  <c r="CK163" i="1"/>
  <c r="CT163" i="1" s="1"/>
  <c r="CK189" i="1"/>
  <c r="CT189" i="1" s="1"/>
  <c r="CK253" i="1"/>
  <c r="CT253" i="1" s="1"/>
  <c r="CK214" i="1"/>
  <c r="CT214" i="1" s="1"/>
  <c r="CK239" i="1"/>
  <c r="CT239" i="1" s="1"/>
  <c r="CK227" i="1"/>
  <c r="CT227" i="1" s="1"/>
  <c r="CK244" i="1"/>
  <c r="CT244" i="1" s="1"/>
  <c r="CK199" i="1"/>
  <c r="CT199" i="1" s="1"/>
  <c r="CK196" i="1"/>
  <c r="CT196" i="1" s="1"/>
  <c r="CK208" i="1"/>
  <c r="CT208" i="1" s="1"/>
  <c r="CK167" i="1"/>
  <c r="CT167" i="1" s="1"/>
  <c r="CK225" i="1"/>
  <c r="CT225" i="1" s="1"/>
  <c r="CK234" i="1"/>
  <c r="CT234" i="1" s="1"/>
  <c r="CK177" i="1"/>
  <c r="CT177" i="1" s="1"/>
  <c r="CF213" i="1"/>
  <c r="CK213" i="1"/>
  <c r="CF174" i="1"/>
  <c r="CK174" i="1"/>
  <c r="CT174" i="1" s="1"/>
  <c r="CF238" i="1"/>
  <c r="CK238" i="1"/>
  <c r="CT238" i="1" s="1"/>
  <c r="CF232" i="1"/>
  <c r="CK232" i="1"/>
  <c r="CT232" i="1" s="1"/>
  <c r="CK243" i="1"/>
  <c r="CT243" i="1" s="1"/>
  <c r="CK203" i="1"/>
  <c r="CT203" i="1" s="1"/>
  <c r="CF236" i="1"/>
  <c r="CK236" i="1"/>
  <c r="CK194" i="1"/>
  <c r="CT194" i="1" s="1"/>
  <c r="CK229" i="1"/>
  <c r="CT229" i="1" s="1"/>
  <c r="CK169" i="1"/>
  <c r="CT169" i="1" s="1"/>
  <c r="CK165" i="1"/>
  <c r="CT165" i="1" s="1"/>
  <c r="CK207" i="1"/>
  <c r="CT207" i="1" s="1"/>
  <c r="CK171" i="1"/>
  <c r="CT171" i="1" s="1"/>
  <c r="CK192" i="1"/>
  <c r="CT192" i="1" s="1"/>
  <c r="CK164" i="1"/>
  <c r="CT164" i="1" s="1"/>
  <c r="CK209" i="1"/>
  <c r="CT209" i="1" s="1"/>
  <c r="CK252" i="1"/>
  <c r="CT252" i="1" s="1"/>
  <c r="CK184" i="1"/>
  <c r="CT184" i="1" s="1"/>
  <c r="CK241" i="1"/>
  <c r="CT241" i="1" s="1"/>
  <c r="CK195" i="1"/>
  <c r="CT195" i="1" s="1"/>
  <c r="CK159" i="1"/>
  <c r="CT159" i="1" s="1"/>
  <c r="CK197" i="1"/>
  <c r="CT197" i="1" s="1"/>
  <c r="CK222" i="1"/>
  <c r="CT222" i="1" s="1"/>
  <c r="CK255" i="1"/>
  <c r="CT255" i="1" s="1"/>
  <c r="CK157" i="1"/>
  <c r="CT157" i="1" s="1"/>
  <c r="CK215" i="1"/>
  <c r="CT215" i="1" s="1"/>
  <c r="CK220" i="1"/>
  <c r="CT220" i="1" s="1"/>
  <c r="CK216" i="1"/>
  <c r="CT216" i="1" s="1"/>
  <c r="CK180" i="1"/>
  <c r="CT180" i="1" s="1"/>
  <c r="CK178" i="1"/>
  <c r="CT178" i="1" s="1"/>
  <c r="CK242" i="1"/>
  <c r="CT242" i="1" s="1"/>
  <c r="CF201" i="1"/>
  <c r="CF166" i="1"/>
  <c r="CF218" i="1"/>
  <c r="CF229" i="1"/>
  <c r="CF184" i="1"/>
  <c r="CF248" i="1"/>
  <c r="CF177" i="1"/>
  <c r="CF241" i="1"/>
  <c r="CF169" i="1"/>
  <c r="CF161" i="1"/>
  <c r="CF247" i="1"/>
  <c r="CF185" i="1"/>
  <c r="CF249" i="1"/>
  <c r="CF158" i="1"/>
  <c r="CF230" i="1"/>
  <c r="CF223" i="1"/>
  <c r="CF212" i="1"/>
  <c r="CF210" i="1"/>
  <c r="CF195" i="1"/>
  <c r="CF243" i="1"/>
  <c r="CF219" i="1"/>
  <c r="CF181" i="1"/>
  <c r="CF245" i="1"/>
  <c r="CF204" i="1"/>
  <c r="CF183" i="1"/>
  <c r="CF200" i="1"/>
  <c r="CF193" i="1"/>
  <c r="CF170" i="1"/>
  <c r="CF226" i="1"/>
  <c r="CF205" i="1"/>
  <c r="CP205" i="1" s="1"/>
  <c r="CF168" i="1"/>
  <c r="CP168" i="1" s="1"/>
  <c r="CF190" i="1"/>
  <c r="CF254" i="1"/>
  <c r="CF231" i="1"/>
  <c r="CP231" i="1" s="1"/>
  <c r="CF235" i="1"/>
  <c r="CF160" i="1"/>
  <c r="CP160" i="1" s="1"/>
  <c r="CF224" i="1"/>
  <c r="CP224" i="1" s="1"/>
  <c r="CF211" i="1"/>
  <c r="CF228" i="1"/>
  <c r="CP228" i="1" s="1"/>
  <c r="CF217" i="1"/>
  <c r="CF179" i="1"/>
  <c r="CF188" i="1"/>
  <c r="CF186" i="1"/>
  <c r="CF250" i="1"/>
  <c r="CF191" i="1"/>
  <c r="CF163" i="1"/>
  <c r="CF189" i="1"/>
  <c r="CF253" i="1"/>
  <c r="CF214" i="1"/>
  <c r="CF239" i="1"/>
  <c r="CF227" i="1"/>
  <c r="CF244" i="1"/>
  <c r="CF199" i="1"/>
  <c r="CF196" i="1"/>
  <c r="CF208" i="1"/>
  <c r="CF167" i="1"/>
  <c r="CF225" i="1"/>
  <c r="CF234" i="1"/>
  <c r="CF203" i="1"/>
  <c r="CF194" i="1"/>
  <c r="CF173" i="1"/>
  <c r="CF237" i="1"/>
  <c r="CF198" i="1"/>
  <c r="CF165" i="1"/>
  <c r="CF207" i="1"/>
  <c r="CF171" i="1"/>
  <c r="CF192" i="1"/>
  <c r="CF164" i="1"/>
  <c r="CF209" i="1"/>
  <c r="CF252" i="1"/>
  <c r="CF159" i="1"/>
  <c r="CF197" i="1"/>
  <c r="CF222" i="1"/>
  <c r="CF255" i="1"/>
  <c r="CF157" i="1"/>
  <c r="CF215" i="1"/>
  <c r="CF220" i="1"/>
  <c r="CF216" i="1"/>
  <c r="CF180" i="1"/>
  <c r="CF178" i="1"/>
  <c r="CF242" i="1"/>
  <c r="BK203" i="1"/>
  <c r="BM203" i="1" s="1"/>
  <c r="BL230" i="1"/>
  <c r="BK230" i="1"/>
  <c r="BM230" i="1" s="1"/>
  <c r="BK183" i="1"/>
  <c r="BM183" i="1" s="1"/>
  <c r="BK192" i="1"/>
  <c r="BM192" i="1" s="1"/>
  <c r="BK201" i="1"/>
  <c r="BM201" i="1" s="1"/>
  <c r="BL201" i="1"/>
  <c r="BK157" i="1"/>
  <c r="BM157" i="1" s="1"/>
  <c r="BL157" i="1"/>
  <c r="BK210" i="1"/>
  <c r="BM210" i="1" s="1"/>
  <c r="BL210" i="1"/>
  <c r="BK181" i="1"/>
  <c r="BM181" i="1" s="1"/>
  <c r="BK213" i="1"/>
  <c r="BM213" i="1" s="1"/>
  <c r="BK238" i="1"/>
  <c r="BM238" i="1" s="1"/>
  <c r="BK161" i="1"/>
  <c r="BM161" i="1" s="1"/>
  <c r="BK168" i="1"/>
  <c r="BM168" i="1" s="1"/>
  <c r="BK198" i="1"/>
  <c r="BM198" i="1" s="1"/>
  <c r="BK191" i="1"/>
  <c r="BM191" i="1" s="1"/>
  <c r="BL223" i="1"/>
  <c r="BK223" i="1"/>
  <c r="BM223" i="1" s="1"/>
  <c r="BL255" i="1"/>
  <c r="BK255" i="1"/>
  <c r="BM255" i="1" s="1"/>
  <c r="BK171" i="1"/>
  <c r="BM171" i="1" s="1"/>
  <c r="BK200" i="1"/>
  <c r="BM200" i="1" s="1"/>
  <c r="BK232" i="1"/>
  <c r="BM232" i="1" s="1"/>
  <c r="BL232" i="1"/>
  <c r="BL204" i="1"/>
  <c r="BK204" i="1"/>
  <c r="BM204" i="1" s="1"/>
  <c r="BK177" i="1"/>
  <c r="BM177" i="1" s="1"/>
  <c r="BK209" i="1"/>
  <c r="BM209" i="1" s="1"/>
  <c r="BK178" i="1"/>
  <c r="BM178" i="1" s="1"/>
  <c r="BK242" i="1"/>
  <c r="BM242" i="1" s="1"/>
  <c r="BK220" i="1"/>
  <c r="BM220" i="1" s="1"/>
  <c r="BK173" i="1"/>
  <c r="BM173" i="1" s="1"/>
  <c r="BK215" i="1"/>
  <c r="BM215" i="1" s="1"/>
  <c r="BK234" i="1"/>
  <c r="BM234" i="1" s="1"/>
  <c r="BK188" i="1"/>
  <c r="BM188" i="1" s="1"/>
  <c r="BL188" i="1"/>
  <c r="BK206" i="1"/>
  <c r="BM206" i="1" s="1"/>
  <c r="BL219" i="1"/>
  <c r="BK219" i="1"/>
  <c r="BM219" i="1" s="1"/>
  <c r="BK240" i="1"/>
  <c r="BM240" i="1" s="1"/>
  <c r="BL240" i="1"/>
  <c r="BK176" i="1"/>
  <c r="BM176" i="1" s="1"/>
  <c r="BK244" i="1"/>
  <c r="BM244" i="1" s="1"/>
  <c r="BK185" i="1"/>
  <c r="BM185" i="1" s="1"/>
  <c r="BL185" i="1"/>
  <c r="BL252" i="1"/>
  <c r="BK252" i="1"/>
  <c r="BM252" i="1" s="1"/>
  <c r="BK218" i="1"/>
  <c r="BM218" i="1" s="1"/>
  <c r="BK251" i="1"/>
  <c r="BM251" i="1" s="1"/>
  <c r="BK190" i="1"/>
  <c r="BM190" i="1" s="1"/>
  <c r="BK179" i="1"/>
  <c r="BM179" i="1" s="1"/>
  <c r="BL179" i="1"/>
  <c r="BK243" i="1"/>
  <c r="BM243" i="1" s="1"/>
  <c r="BK245" i="1"/>
  <c r="BM245" i="1" s="1"/>
  <c r="BL164" i="1"/>
  <c r="BK164" i="1"/>
  <c r="BM164" i="1" s="1"/>
  <c r="BK235" i="1"/>
  <c r="BM235" i="1" s="1"/>
  <c r="BK241" i="1"/>
  <c r="BM241" i="1" s="1"/>
  <c r="BK159" i="1"/>
  <c r="BM159" i="1" s="1"/>
  <c r="BK189" i="1"/>
  <c r="BM189" i="1" s="1"/>
  <c r="BK221" i="1"/>
  <c r="BM221" i="1" s="1"/>
  <c r="BK253" i="1"/>
  <c r="BM253" i="1" s="1"/>
  <c r="BK254" i="1"/>
  <c r="BM254" i="1" s="1"/>
  <c r="BK212" i="1"/>
  <c r="BM212" i="1" s="1"/>
  <c r="BK174" i="1"/>
  <c r="BM174" i="1" s="1"/>
  <c r="BK165" i="1"/>
  <c r="BM165" i="1" s="1"/>
  <c r="BL199" i="1"/>
  <c r="BK199" i="1"/>
  <c r="BM199" i="1" s="1"/>
  <c r="BK231" i="1"/>
  <c r="BM231" i="1" s="1"/>
  <c r="BL231" i="1"/>
  <c r="BK158" i="1"/>
  <c r="BM158" i="1" s="1"/>
  <c r="BK208" i="1"/>
  <c r="BM208" i="1" s="1"/>
  <c r="BL248" i="1"/>
  <c r="BK248" i="1"/>
  <c r="BM248" i="1" s="1"/>
  <c r="BK217" i="1"/>
  <c r="BM217" i="1" s="1"/>
  <c r="BK249" i="1"/>
  <c r="BM249" i="1" s="1"/>
  <c r="BK186" i="1"/>
  <c r="BM186" i="1" s="1"/>
  <c r="BK250" i="1"/>
  <c r="BM250" i="1" s="1"/>
  <c r="BK196" i="1"/>
  <c r="BM196" i="1" s="1"/>
  <c r="BK205" i="1"/>
  <c r="BM205" i="1" s="1"/>
  <c r="BL205" i="1"/>
  <c r="BK162" i="1"/>
  <c r="BM162" i="1" s="1"/>
  <c r="BK160" i="1"/>
  <c r="BM160" i="1" s="1"/>
  <c r="BL160" i="1"/>
  <c r="BK169" i="1"/>
  <c r="BM169" i="1" s="1"/>
  <c r="BK180" i="1"/>
  <c r="BM180" i="1" s="1"/>
  <c r="BK195" i="1"/>
  <c r="BM195" i="1" s="1"/>
  <c r="BK227" i="1"/>
  <c r="BM227" i="1" s="1"/>
  <c r="BK202" i="1"/>
  <c r="BM202" i="1" s="1"/>
  <c r="BK237" i="1"/>
  <c r="BM237" i="1" s="1"/>
  <c r="BK246" i="1"/>
  <c r="BM246" i="1" s="1"/>
  <c r="BL246" i="1"/>
  <c r="BK247" i="1"/>
  <c r="BM247" i="1" s="1"/>
  <c r="BK224" i="1"/>
  <c r="BM224" i="1" s="1"/>
  <c r="BL233" i="1"/>
  <c r="BK233" i="1"/>
  <c r="BM233" i="1" s="1"/>
  <c r="BL222" i="1"/>
  <c r="BK222" i="1"/>
  <c r="BM222" i="1" s="1"/>
  <c r="BK214" i="1"/>
  <c r="BM214" i="1" s="1"/>
  <c r="BK175" i="1"/>
  <c r="BM175" i="1" s="1"/>
  <c r="BK236" i="1"/>
  <c r="BM236" i="1" s="1"/>
  <c r="BL236" i="1"/>
  <c r="BK167" i="1"/>
  <c r="BM167" i="1" s="1"/>
  <c r="BK211" i="1"/>
  <c r="BM211" i="1" s="1"/>
  <c r="BK194" i="1"/>
  <c r="BM194" i="1" s="1"/>
  <c r="BK228" i="1"/>
  <c r="BM228" i="1" s="1"/>
  <c r="BK163" i="1"/>
  <c r="BM163" i="1" s="1"/>
  <c r="BK197" i="1"/>
  <c r="BM197" i="1" s="1"/>
  <c r="BK229" i="1"/>
  <c r="BM229" i="1" s="1"/>
  <c r="BL229" i="1"/>
  <c r="BK187" i="1"/>
  <c r="BM187" i="1" s="1"/>
  <c r="BL187" i="1"/>
  <c r="BK182" i="1"/>
  <c r="BM182" i="1" s="1"/>
  <c r="BK207" i="1"/>
  <c r="BM207" i="1" s="1"/>
  <c r="BK239" i="1"/>
  <c r="BM239" i="1" s="1"/>
  <c r="BK184" i="1"/>
  <c r="BM184" i="1" s="1"/>
  <c r="BL184" i="1"/>
  <c r="BK216" i="1"/>
  <c r="BM216" i="1" s="1"/>
  <c r="BK193" i="1"/>
  <c r="BM193" i="1" s="1"/>
  <c r="BK225" i="1"/>
  <c r="BM225" i="1" s="1"/>
  <c r="BK170" i="1"/>
  <c r="BM170" i="1" s="1"/>
  <c r="BK226" i="1"/>
  <c r="BM226" i="1" s="1"/>
  <c r="BK166" i="1"/>
  <c r="BM166" i="1" s="1"/>
  <c r="BL172" i="1"/>
  <c r="BK172" i="1"/>
  <c r="BM172" i="1" s="1"/>
  <c r="BI190" i="1"/>
  <c r="BH190" i="1"/>
  <c r="BI160" i="1"/>
  <c r="BH160" i="1"/>
  <c r="BI169" i="1"/>
  <c r="BH169" i="1"/>
  <c r="BH245" i="1"/>
  <c r="BI245" i="1"/>
  <c r="BI164" i="1"/>
  <c r="BH164" i="1"/>
  <c r="BI157" i="1"/>
  <c r="BH157" i="1"/>
  <c r="BI235" i="1"/>
  <c r="BH235" i="1"/>
  <c r="BH241" i="1"/>
  <c r="BI241" i="1"/>
  <c r="BI188" i="1"/>
  <c r="BH188" i="1"/>
  <c r="BI210" i="1"/>
  <c r="BH210" i="1"/>
  <c r="BI230" i="1"/>
  <c r="BH230" i="1"/>
  <c r="BI224" i="1"/>
  <c r="BH224" i="1"/>
  <c r="BH181" i="1"/>
  <c r="BI181" i="1"/>
  <c r="BI213" i="1"/>
  <c r="BH213" i="1"/>
  <c r="BI238" i="1"/>
  <c r="BH238" i="1"/>
  <c r="BH161" i="1"/>
  <c r="BI161" i="1"/>
  <c r="BI168" i="1"/>
  <c r="BH168" i="1"/>
  <c r="BI198" i="1"/>
  <c r="BH198" i="1"/>
  <c r="BI191" i="1"/>
  <c r="BH191" i="1"/>
  <c r="BI223" i="1"/>
  <c r="BH223" i="1"/>
  <c r="BI255" i="1"/>
  <c r="BH255" i="1"/>
  <c r="BI171" i="1"/>
  <c r="BH171" i="1"/>
  <c r="BI200" i="1"/>
  <c r="BH200" i="1"/>
  <c r="BI232" i="1"/>
  <c r="BH232" i="1"/>
  <c r="BI204" i="1"/>
  <c r="BH204" i="1"/>
  <c r="BH177" i="1"/>
  <c r="BI177" i="1"/>
  <c r="BH209" i="1"/>
  <c r="BI209" i="1"/>
  <c r="BI178" i="1"/>
  <c r="BH178" i="1"/>
  <c r="BI242" i="1"/>
  <c r="BH242" i="1"/>
  <c r="BH173" i="1"/>
  <c r="BI173" i="1"/>
  <c r="BI183" i="1"/>
  <c r="BH183" i="1"/>
  <c r="BH233" i="1"/>
  <c r="BI233" i="1"/>
  <c r="BI240" i="1"/>
  <c r="BH240" i="1"/>
  <c r="BI176" i="1"/>
  <c r="BH176" i="1"/>
  <c r="BI244" i="1"/>
  <c r="BH244" i="1"/>
  <c r="BI185" i="1"/>
  <c r="BH185" i="1"/>
  <c r="BI252" i="1"/>
  <c r="BH252" i="1"/>
  <c r="BI218" i="1"/>
  <c r="BH218" i="1"/>
  <c r="BI247" i="1"/>
  <c r="BH247" i="1"/>
  <c r="BI234" i="1"/>
  <c r="BH234" i="1"/>
  <c r="BH221" i="1"/>
  <c r="BI221" i="1"/>
  <c r="BI254" i="1"/>
  <c r="BH254" i="1"/>
  <c r="BI174" i="1"/>
  <c r="BH174" i="1"/>
  <c r="BH165" i="1"/>
  <c r="BI165" i="1"/>
  <c r="BI199" i="1"/>
  <c r="BH199" i="1"/>
  <c r="BI231" i="1"/>
  <c r="BH231" i="1"/>
  <c r="BI158" i="1"/>
  <c r="BH158" i="1"/>
  <c r="BI208" i="1"/>
  <c r="BH208" i="1"/>
  <c r="BI248" i="1"/>
  <c r="BH248" i="1"/>
  <c r="BH217" i="1"/>
  <c r="BI217" i="1"/>
  <c r="BH249" i="1"/>
  <c r="BI249" i="1"/>
  <c r="BI186" i="1"/>
  <c r="BH186" i="1"/>
  <c r="BI250" i="1"/>
  <c r="BH250" i="1"/>
  <c r="BI196" i="1"/>
  <c r="BH196" i="1"/>
  <c r="BH237" i="1"/>
  <c r="BI237" i="1"/>
  <c r="BI215" i="1"/>
  <c r="BH215" i="1"/>
  <c r="BI201" i="1"/>
  <c r="BH201" i="1"/>
  <c r="BH189" i="1"/>
  <c r="BI189" i="1"/>
  <c r="BI253" i="1"/>
  <c r="BH253" i="1"/>
  <c r="BI212" i="1"/>
  <c r="BH212" i="1"/>
  <c r="BI222" i="1"/>
  <c r="BH222" i="1"/>
  <c r="BI214" i="1"/>
  <c r="BH214" i="1"/>
  <c r="BI180" i="1"/>
  <c r="BH180" i="1"/>
  <c r="BI175" i="1"/>
  <c r="BH175" i="1"/>
  <c r="BI236" i="1"/>
  <c r="BH236" i="1"/>
  <c r="BI195" i="1"/>
  <c r="BH195" i="1"/>
  <c r="BI167" i="1"/>
  <c r="BH167" i="1"/>
  <c r="BI211" i="1"/>
  <c r="BH211" i="1"/>
  <c r="BI194" i="1"/>
  <c r="BH194" i="1"/>
  <c r="BI228" i="1"/>
  <c r="BH228" i="1"/>
  <c r="BH205" i="1"/>
  <c r="BI205" i="1"/>
  <c r="BI246" i="1"/>
  <c r="BH246" i="1"/>
  <c r="BI192" i="1"/>
  <c r="BH192" i="1"/>
  <c r="BI243" i="1"/>
  <c r="BH243" i="1"/>
  <c r="BI206" i="1"/>
  <c r="BH206" i="1"/>
  <c r="BH197" i="1"/>
  <c r="BI197" i="1"/>
  <c r="BI187" i="1"/>
  <c r="BH187" i="1"/>
  <c r="BI182" i="1"/>
  <c r="BH182" i="1"/>
  <c r="BI207" i="1"/>
  <c r="BH207" i="1"/>
  <c r="BI239" i="1"/>
  <c r="BH239" i="1"/>
  <c r="BI184" i="1"/>
  <c r="BH184" i="1"/>
  <c r="BI216" i="1"/>
  <c r="BH216" i="1"/>
  <c r="BH193" i="1"/>
  <c r="BI193" i="1"/>
  <c r="BI225" i="1"/>
  <c r="BH225" i="1"/>
  <c r="BI170" i="1"/>
  <c r="BH170" i="1"/>
  <c r="BI226" i="1"/>
  <c r="BH226" i="1"/>
  <c r="BI166" i="1"/>
  <c r="BH166" i="1"/>
  <c r="BI162" i="1"/>
  <c r="BH162" i="1"/>
  <c r="BI179" i="1"/>
  <c r="BH179" i="1"/>
  <c r="BI219" i="1"/>
  <c r="BH219" i="1"/>
  <c r="BI159" i="1"/>
  <c r="BH159" i="1"/>
  <c r="BI163" i="1"/>
  <c r="BH163" i="1"/>
  <c r="BH229" i="1"/>
  <c r="BI229" i="1"/>
  <c r="BI227" i="1"/>
  <c r="BH227" i="1"/>
  <c r="BI220" i="1"/>
  <c r="BH220" i="1"/>
  <c r="BI251" i="1"/>
  <c r="BH251" i="1"/>
  <c r="BI172" i="1"/>
  <c r="BH172" i="1"/>
  <c r="BI202" i="1"/>
  <c r="BH202" i="1"/>
  <c r="BI203" i="1"/>
  <c r="BH203" i="1"/>
  <c r="AQ203" i="1"/>
  <c r="AQ213" i="1"/>
  <c r="AQ251" i="1"/>
  <c r="AQ225" i="1"/>
  <c r="AQ229" i="1"/>
  <c r="AQ212" i="1"/>
  <c r="AQ174" i="1"/>
  <c r="AQ214" i="1"/>
  <c r="AQ175" i="1"/>
  <c r="AQ199" i="1"/>
  <c r="AQ179" i="1"/>
  <c r="AQ171" i="1"/>
  <c r="AQ232" i="1"/>
  <c r="AQ177" i="1"/>
  <c r="AQ241" i="1"/>
  <c r="AQ243" i="1"/>
  <c r="AQ178" i="1"/>
  <c r="AQ226" i="1"/>
  <c r="AQ202" i="1"/>
  <c r="AQ253" i="1"/>
  <c r="AQ219" i="1"/>
  <c r="AQ163" i="1"/>
  <c r="AQ205" i="1"/>
  <c r="AQ245" i="1"/>
  <c r="AQ230" i="1"/>
  <c r="AQ187" i="1"/>
  <c r="AQ239" i="1"/>
  <c r="AQ158" i="1"/>
  <c r="AQ195" i="1"/>
  <c r="AQ244" i="1"/>
  <c r="AQ201" i="1"/>
  <c r="AQ211" i="1"/>
  <c r="AQ252" i="1"/>
  <c r="AQ194" i="1"/>
  <c r="AQ218" i="1"/>
  <c r="AQ238" i="1"/>
  <c r="AQ157" i="1"/>
  <c r="AQ249" i="1"/>
  <c r="AQ189" i="1"/>
  <c r="AQ223" i="1"/>
  <c r="AQ216" i="1"/>
  <c r="AQ181" i="1"/>
  <c r="AQ164" i="1"/>
  <c r="AQ220" i="1"/>
  <c r="AQ215" i="1"/>
  <c r="AQ184" i="1"/>
  <c r="AQ208" i="1"/>
  <c r="AQ172" i="1"/>
  <c r="AQ242" i="1"/>
  <c r="AQ228" i="1"/>
  <c r="AQ198" i="1"/>
  <c r="AQ240" i="1"/>
  <c r="AQ192" i="1"/>
  <c r="AQ159" i="1"/>
  <c r="AQ222" i="1"/>
  <c r="AQ254" i="1"/>
  <c r="AQ168" i="1"/>
  <c r="AQ206" i="1"/>
  <c r="AQ191" i="1"/>
  <c r="AQ255" i="1"/>
  <c r="AQ235" i="1"/>
  <c r="AQ160" i="1"/>
  <c r="AQ224" i="1"/>
  <c r="AQ217" i="1"/>
  <c r="AQ188" i="1"/>
  <c r="AQ166" i="1"/>
  <c r="AQ162" i="1"/>
  <c r="AQ246" i="1"/>
  <c r="AQ183" i="1"/>
  <c r="AQ209" i="1"/>
  <c r="AQ170" i="1"/>
  <c r="AQ196" i="1"/>
  <c r="AQ197" i="1"/>
  <c r="AQ221" i="1"/>
  <c r="AQ227" i="1"/>
  <c r="AQ161" i="1"/>
  <c r="AQ190" i="1"/>
  <c r="AQ180" i="1"/>
  <c r="AQ165" i="1"/>
  <c r="AQ231" i="1"/>
  <c r="AQ176" i="1"/>
  <c r="AQ204" i="1"/>
  <c r="AQ185" i="1"/>
  <c r="AQ193" i="1"/>
  <c r="AQ233" i="1"/>
  <c r="AQ210" i="1"/>
  <c r="AQ247" i="1"/>
  <c r="AQ182" i="1"/>
  <c r="AQ250" i="1"/>
  <c r="AQ173" i="1"/>
  <c r="AQ237" i="1"/>
  <c r="AQ207" i="1"/>
  <c r="AQ236" i="1"/>
  <c r="AQ200" i="1"/>
  <c r="AQ248" i="1"/>
  <c r="AQ167" i="1"/>
  <c r="AQ169" i="1"/>
  <c r="AQ186" i="1"/>
  <c r="AQ234" i="1"/>
  <c r="AL246" i="1"/>
  <c r="AO246" i="1"/>
  <c r="AN246" i="1"/>
  <c r="AL183" i="1"/>
  <c r="AO183" i="1"/>
  <c r="AN183" i="1"/>
  <c r="AL249" i="1"/>
  <c r="AO249" i="1"/>
  <c r="AN249" i="1"/>
  <c r="AL213" i="1"/>
  <c r="AO213" i="1"/>
  <c r="AN213" i="1"/>
  <c r="AL198" i="1"/>
  <c r="AO198" i="1"/>
  <c r="AN198" i="1"/>
  <c r="AL240" i="1"/>
  <c r="AO240" i="1"/>
  <c r="AN240" i="1"/>
  <c r="AL251" i="1"/>
  <c r="AO251" i="1"/>
  <c r="AN251" i="1"/>
  <c r="AL163" i="1"/>
  <c r="AO163" i="1"/>
  <c r="AN163" i="1"/>
  <c r="AL229" i="1"/>
  <c r="AO229" i="1"/>
  <c r="AN229" i="1"/>
  <c r="AL212" i="1"/>
  <c r="AO212" i="1"/>
  <c r="AN212" i="1"/>
  <c r="AL174" i="1"/>
  <c r="AO174" i="1"/>
  <c r="AN174" i="1"/>
  <c r="AL214" i="1"/>
  <c r="AO214" i="1"/>
  <c r="AN214" i="1"/>
  <c r="AL175" i="1"/>
  <c r="AO175" i="1"/>
  <c r="AN175" i="1"/>
  <c r="AL199" i="1"/>
  <c r="AO199" i="1"/>
  <c r="AN199" i="1"/>
  <c r="AL179" i="1"/>
  <c r="AO179" i="1"/>
  <c r="AN179" i="1"/>
  <c r="AL171" i="1"/>
  <c r="AO171" i="1"/>
  <c r="AN171" i="1"/>
  <c r="AL232" i="1"/>
  <c r="AO232" i="1"/>
  <c r="AN232" i="1"/>
  <c r="AL177" i="1"/>
  <c r="AO177" i="1"/>
  <c r="AN177" i="1"/>
  <c r="AL241" i="1"/>
  <c r="AO241" i="1"/>
  <c r="AN241" i="1"/>
  <c r="AL243" i="1"/>
  <c r="AO243" i="1"/>
  <c r="AN243" i="1"/>
  <c r="AL178" i="1"/>
  <c r="AO178" i="1"/>
  <c r="AN178" i="1"/>
  <c r="AL226" i="1"/>
  <c r="AO226" i="1"/>
  <c r="AN226" i="1"/>
  <c r="AL157" i="1"/>
  <c r="AO157" i="1"/>
  <c r="AN157" i="1"/>
  <c r="AL189" i="1"/>
  <c r="AO189" i="1"/>
  <c r="AN189" i="1"/>
  <c r="AL192" i="1"/>
  <c r="AO192" i="1"/>
  <c r="AN192" i="1"/>
  <c r="AL205" i="1"/>
  <c r="AO205" i="1"/>
  <c r="AN205" i="1"/>
  <c r="AL245" i="1"/>
  <c r="AO245" i="1"/>
  <c r="AN245" i="1"/>
  <c r="AL230" i="1"/>
  <c r="AO230" i="1"/>
  <c r="AN230" i="1"/>
  <c r="AL187" i="1"/>
  <c r="AO187" i="1"/>
  <c r="AN187" i="1"/>
  <c r="AL239" i="1"/>
  <c r="AO239" i="1"/>
  <c r="AN239" i="1"/>
  <c r="AL158" i="1"/>
  <c r="AO158" i="1"/>
  <c r="AN158" i="1"/>
  <c r="AL195" i="1"/>
  <c r="AO195" i="1"/>
  <c r="AN195" i="1"/>
  <c r="AL244" i="1"/>
  <c r="AO244" i="1"/>
  <c r="AN244" i="1"/>
  <c r="AL201" i="1"/>
  <c r="AO201" i="1"/>
  <c r="AN201" i="1"/>
  <c r="AL211" i="1"/>
  <c r="AO211" i="1"/>
  <c r="AN211" i="1"/>
  <c r="AL252" i="1"/>
  <c r="AO252" i="1"/>
  <c r="AN252" i="1"/>
  <c r="AL194" i="1"/>
  <c r="AO194" i="1"/>
  <c r="AN194" i="1"/>
  <c r="AL218" i="1"/>
  <c r="AO218" i="1"/>
  <c r="AN218" i="1"/>
  <c r="AL162" i="1"/>
  <c r="AO162" i="1"/>
  <c r="AN162" i="1"/>
  <c r="AL202" i="1"/>
  <c r="AO202" i="1"/>
  <c r="AN202" i="1"/>
  <c r="AL225" i="1"/>
  <c r="AO225" i="1"/>
  <c r="AN225" i="1"/>
  <c r="AL250" i="1"/>
  <c r="AO250" i="1"/>
  <c r="AN250" i="1"/>
  <c r="AL181" i="1"/>
  <c r="AO181" i="1"/>
  <c r="AN181" i="1"/>
  <c r="AL164" i="1"/>
  <c r="AO164" i="1"/>
  <c r="AN164" i="1"/>
  <c r="AL220" i="1"/>
  <c r="AO220" i="1"/>
  <c r="AN220" i="1"/>
  <c r="AL215" i="1"/>
  <c r="AO215" i="1"/>
  <c r="AN215" i="1"/>
  <c r="AL184" i="1"/>
  <c r="AN184" i="1"/>
  <c r="AO184" i="1"/>
  <c r="AL208" i="1"/>
  <c r="AO208" i="1"/>
  <c r="AN208" i="1"/>
  <c r="AL172" i="1"/>
  <c r="AO172" i="1"/>
  <c r="AN172" i="1"/>
  <c r="AL242" i="1"/>
  <c r="AO242" i="1"/>
  <c r="AN242" i="1"/>
  <c r="AL228" i="1"/>
  <c r="AO228" i="1"/>
  <c r="AN228" i="1"/>
  <c r="AL247" i="1"/>
  <c r="AO247" i="1"/>
  <c r="AN247" i="1"/>
  <c r="AL219" i="1"/>
  <c r="AO219" i="1"/>
  <c r="AN219" i="1"/>
  <c r="AL216" i="1"/>
  <c r="AN216" i="1"/>
  <c r="AO216" i="1"/>
  <c r="AL222" i="1"/>
  <c r="AO222" i="1"/>
  <c r="AN222" i="1"/>
  <c r="AL254" i="1"/>
  <c r="AO254" i="1"/>
  <c r="AN254" i="1"/>
  <c r="AL168" i="1"/>
  <c r="AO168" i="1"/>
  <c r="AN168" i="1"/>
  <c r="AL206" i="1"/>
  <c r="AO206" i="1"/>
  <c r="AN206" i="1"/>
  <c r="AL191" i="1"/>
  <c r="AO191" i="1"/>
  <c r="AN191" i="1"/>
  <c r="AL255" i="1"/>
  <c r="AO255" i="1"/>
  <c r="AN255" i="1"/>
  <c r="AL235" i="1"/>
  <c r="AO235" i="1"/>
  <c r="AN235" i="1"/>
  <c r="AL160" i="1"/>
  <c r="AN160" i="1"/>
  <c r="AO160" i="1"/>
  <c r="AL224" i="1"/>
  <c r="AN224" i="1"/>
  <c r="AO224" i="1"/>
  <c r="AL217" i="1"/>
  <c r="AO217" i="1"/>
  <c r="AN217" i="1"/>
  <c r="AL188" i="1"/>
  <c r="AO188" i="1"/>
  <c r="AN188" i="1"/>
  <c r="AL166" i="1"/>
  <c r="AO166" i="1"/>
  <c r="AN166" i="1"/>
  <c r="AL238" i="1"/>
  <c r="AO238" i="1"/>
  <c r="AN238" i="1"/>
  <c r="AL209" i="1"/>
  <c r="AO209" i="1"/>
  <c r="AN209" i="1"/>
  <c r="AL170" i="1"/>
  <c r="AO170" i="1"/>
  <c r="AN170" i="1"/>
  <c r="AL196" i="1"/>
  <c r="AO196" i="1"/>
  <c r="AN196" i="1"/>
  <c r="AL253" i="1"/>
  <c r="AO253" i="1"/>
  <c r="AN253" i="1"/>
  <c r="AL197" i="1"/>
  <c r="AO197" i="1"/>
  <c r="AN197" i="1"/>
  <c r="AL221" i="1"/>
  <c r="AO221" i="1"/>
  <c r="AN221" i="1"/>
  <c r="AL227" i="1"/>
  <c r="AO227" i="1"/>
  <c r="AN227" i="1"/>
  <c r="AL161" i="1"/>
  <c r="AO161" i="1"/>
  <c r="AN161" i="1"/>
  <c r="AL190" i="1"/>
  <c r="AO190" i="1"/>
  <c r="AN190" i="1"/>
  <c r="AL180" i="1"/>
  <c r="AO180" i="1"/>
  <c r="AN180" i="1"/>
  <c r="AL165" i="1"/>
  <c r="AO165" i="1"/>
  <c r="AN165" i="1"/>
  <c r="AL231" i="1"/>
  <c r="AO231" i="1"/>
  <c r="AN231" i="1"/>
  <c r="AL176" i="1"/>
  <c r="AO176" i="1"/>
  <c r="AN176" i="1"/>
  <c r="AL204" i="1"/>
  <c r="AO204" i="1"/>
  <c r="AN204" i="1"/>
  <c r="AL185" i="1"/>
  <c r="AO185" i="1"/>
  <c r="AN185" i="1"/>
  <c r="AL193" i="1"/>
  <c r="AO193" i="1"/>
  <c r="AN193" i="1"/>
  <c r="AL233" i="1"/>
  <c r="AO233" i="1"/>
  <c r="AN233" i="1"/>
  <c r="AL210" i="1"/>
  <c r="AO210" i="1"/>
  <c r="AN210" i="1"/>
  <c r="AL203" i="1"/>
  <c r="AO203" i="1"/>
  <c r="AN203" i="1"/>
  <c r="AL182" i="1"/>
  <c r="AO182" i="1"/>
  <c r="AN182" i="1"/>
  <c r="AL223" i="1"/>
  <c r="AO223" i="1"/>
  <c r="AN223" i="1"/>
  <c r="AL159" i="1"/>
  <c r="AO159" i="1"/>
  <c r="AN159" i="1"/>
  <c r="AL173" i="1"/>
  <c r="AO173" i="1"/>
  <c r="AN173" i="1"/>
  <c r="AL237" i="1"/>
  <c r="AO237" i="1"/>
  <c r="AN237" i="1"/>
  <c r="AL207" i="1"/>
  <c r="AO207" i="1"/>
  <c r="AN207" i="1"/>
  <c r="AL236" i="1"/>
  <c r="AO236" i="1"/>
  <c r="AN236" i="1"/>
  <c r="AL200" i="1"/>
  <c r="AN200" i="1"/>
  <c r="AO200" i="1"/>
  <c r="AL248" i="1"/>
  <c r="AN248" i="1"/>
  <c r="AO248" i="1"/>
  <c r="AL167" i="1"/>
  <c r="AO167" i="1"/>
  <c r="AN167" i="1"/>
  <c r="AL169" i="1"/>
  <c r="AO169" i="1"/>
  <c r="AN169" i="1"/>
  <c r="AL186" i="1"/>
  <c r="AO186" i="1"/>
  <c r="AN186" i="1"/>
  <c r="AL234" i="1"/>
  <c r="AO234" i="1"/>
  <c r="AN234" i="1"/>
  <c r="K574" i="2"/>
  <c r="L573" i="2"/>
  <c r="K307" i="2"/>
  <c r="L306" i="2"/>
  <c r="K93" i="2"/>
  <c r="L92" i="2"/>
  <c r="CP190" i="1" l="1"/>
  <c r="BT189" i="1"/>
  <c r="BW189" i="1"/>
  <c r="BT219" i="1"/>
  <c r="BW219" i="1"/>
  <c r="BT220" i="1"/>
  <c r="BW220" i="1"/>
  <c r="BT194" i="1"/>
  <c r="BW194" i="1"/>
  <c r="BT187" i="1"/>
  <c r="BW187" i="1"/>
  <c r="BT178" i="1"/>
  <c r="BW178" i="1"/>
  <c r="BT175" i="1"/>
  <c r="BW175" i="1"/>
  <c r="BT198" i="1"/>
  <c r="BW198" i="1"/>
  <c r="BT163" i="1"/>
  <c r="BW163" i="1"/>
  <c r="BT236" i="1"/>
  <c r="BW236" i="1"/>
  <c r="BT210" i="1"/>
  <c r="BW210" i="1"/>
  <c r="BT180" i="1"/>
  <c r="BW180" i="1"/>
  <c r="BT170" i="1"/>
  <c r="BW170" i="1"/>
  <c r="BT235" i="1"/>
  <c r="BW235" i="1"/>
  <c r="BT186" i="1"/>
  <c r="BW186" i="1"/>
  <c r="BT173" i="1"/>
  <c r="BW173" i="1"/>
  <c r="BT185" i="1"/>
  <c r="BW185" i="1"/>
  <c r="BT227" i="1"/>
  <c r="BW227" i="1"/>
  <c r="BT166" i="1"/>
  <c r="BW166" i="1"/>
  <c r="BT206" i="1"/>
  <c r="BW206" i="1"/>
  <c r="BT242" i="1"/>
  <c r="BW242" i="1"/>
  <c r="BT250" i="1"/>
  <c r="BW250" i="1"/>
  <c r="BT201" i="1"/>
  <c r="BW201" i="1"/>
  <c r="BT205" i="1"/>
  <c r="BW205" i="1"/>
  <c r="BT177" i="1"/>
  <c r="BW177" i="1"/>
  <c r="BT212" i="1"/>
  <c r="BW212" i="1"/>
  <c r="BT183" i="1"/>
  <c r="BW183" i="1"/>
  <c r="BT176" i="1"/>
  <c r="BW176" i="1"/>
  <c r="BT217" i="1"/>
  <c r="BW217" i="1"/>
  <c r="BT182" i="1"/>
  <c r="BW182" i="1"/>
  <c r="BT253" i="1"/>
  <c r="BW253" i="1"/>
  <c r="BT224" i="1"/>
  <c r="BW224" i="1"/>
  <c r="BT222" i="1"/>
  <c r="BW222" i="1"/>
  <c r="BT184" i="1"/>
  <c r="BW184" i="1"/>
  <c r="BT162" i="1"/>
  <c r="BW162" i="1"/>
  <c r="BT158" i="1"/>
  <c r="BW158" i="1"/>
  <c r="BT157" i="1"/>
  <c r="BW157" i="1"/>
  <c r="BT179" i="1"/>
  <c r="BW179" i="1"/>
  <c r="BT251" i="1"/>
  <c r="BW251" i="1"/>
  <c r="BT167" i="1"/>
  <c r="BW167" i="1"/>
  <c r="BT197" i="1"/>
  <c r="BW197" i="1"/>
  <c r="BT248" i="1"/>
  <c r="BW248" i="1"/>
  <c r="BT231" i="1"/>
  <c r="BW231" i="1"/>
  <c r="BT207" i="1"/>
  <c r="BW207" i="1"/>
  <c r="BT233" i="1"/>
  <c r="BW233" i="1"/>
  <c r="BT190" i="1"/>
  <c r="BW190" i="1"/>
  <c r="BT209" i="1"/>
  <c r="BW209" i="1"/>
  <c r="BT255" i="1"/>
  <c r="BW255" i="1"/>
  <c r="BT247" i="1"/>
  <c r="BW247" i="1"/>
  <c r="BT164" i="1"/>
  <c r="BW164" i="1"/>
  <c r="BT252" i="1"/>
  <c r="BW252" i="1"/>
  <c r="BT230" i="1"/>
  <c r="BW230" i="1"/>
  <c r="BT243" i="1"/>
  <c r="BW243" i="1"/>
  <c r="BT214" i="1"/>
  <c r="BW214" i="1"/>
  <c r="BT213" i="1"/>
  <c r="BW213" i="1"/>
  <c r="CP254" i="1"/>
  <c r="BT232" i="1"/>
  <c r="BW232" i="1"/>
  <c r="BT229" i="1"/>
  <c r="BW229" i="1"/>
  <c r="BT246" i="1"/>
  <c r="BW246" i="1"/>
  <c r="BT223" i="1"/>
  <c r="BW223" i="1"/>
  <c r="BT254" i="1"/>
  <c r="BW254" i="1"/>
  <c r="BT202" i="1"/>
  <c r="BW202" i="1"/>
  <c r="BT159" i="1"/>
  <c r="BW159" i="1"/>
  <c r="BT221" i="1"/>
  <c r="BW221" i="1"/>
  <c r="BT168" i="1"/>
  <c r="BW168" i="1"/>
  <c r="BT192" i="1"/>
  <c r="BW192" i="1"/>
  <c r="BT200" i="1"/>
  <c r="BW200" i="1"/>
  <c r="BT203" i="1"/>
  <c r="BW203" i="1"/>
  <c r="BT165" i="1"/>
  <c r="BW165" i="1"/>
  <c r="BT196" i="1"/>
  <c r="BW196" i="1"/>
  <c r="BT160" i="1"/>
  <c r="BW160" i="1"/>
  <c r="BT216" i="1"/>
  <c r="BW216" i="1"/>
  <c r="BT215" i="1"/>
  <c r="BW215" i="1"/>
  <c r="BT218" i="1"/>
  <c r="BW218" i="1"/>
  <c r="BT239" i="1"/>
  <c r="BW239" i="1"/>
  <c r="BT226" i="1"/>
  <c r="BW226" i="1"/>
  <c r="BT199" i="1"/>
  <c r="BW199" i="1"/>
  <c r="BT240" i="1"/>
  <c r="BW240" i="1"/>
  <c r="BT208" i="1"/>
  <c r="BW208" i="1"/>
  <c r="BT195" i="1"/>
  <c r="BW195" i="1"/>
  <c r="BT171" i="1"/>
  <c r="BW171" i="1"/>
  <c r="BT169" i="1"/>
  <c r="BW169" i="1"/>
  <c r="BT204" i="1"/>
  <c r="BW204" i="1"/>
  <c r="BT188" i="1"/>
  <c r="BW188" i="1"/>
  <c r="BT172" i="1"/>
  <c r="BW172" i="1"/>
  <c r="BT225" i="1"/>
  <c r="BW225" i="1"/>
  <c r="BT244" i="1"/>
  <c r="BW244" i="1"/>
  <c r="BT234" i="1"/>
  <c r="BW234" i="1"/>
  <c r="BT237" i="1"/>
  <c r="BW237" i="1"/>
  <c r="BT193" i="1"/>
  <c r="BW193" i="1"/>
  <c r="BT161" i="1"/>
  <c r="BW161" i="1"/>
  <c r="BT238" i="1"/>
  <c r="BW238" i="1"/>
  <c r="BT191" i="1"/>
  <c r="BW191" i="1"/>
  <c r="BT228" i="1"/>
  <c r="BW228" i="1"/>
  <c r="BT181" i="1"/>
  <c r="BW181" i="1"/>
  <c r="BT211" i="1"/>
  <c r="BW211" i="1"/>
  <c r="BT245" i="1"/>
  <c r="BW245" i="1"/>
  <c r="BT241" i="1"/>
  <c r="BW241" i="1"/>
  <c r="BT174" i="1"/>
  <c r="BW174" i="1"/>
  <c r="BT249" i="1"/>
  <c r="BW249" i="1"/>
  <c r="CP233" i="1"/>
  <c r="CT233" i="1"/>
  <c r="CP187" i="1"/>
  <c r="CT187" i="1"/>
  <c r="CP172" i="1"/>
  <c r="CT172" i="1"/>
  <c r="CP246" i="1"/>
  <c r="CT246" i="1"/>
  <c r="CP221" i="1"/>
  <c r="CT221" i="1"/>
  <c r="CP236" i="1"/>
  <c r="CT236" i="1"/>
  <c r="CP202" i="1"/>
  <c r="CT202" i="1"/>
  <c r="CP240" i="1"/>
  <c r="CT240" i="1"/>
  <c r="CP206" i="1"/>
  <c r="CT206" i="1"/>
  <c r="CP175" i="1"/>
  <c r="CT175" i="1"/>
  <c r="CP213" i="1"/>
  <c r="CT213" i="1"/>
  <c r="CP162" i="1"/>
  <c r="CT162" i="1"/>
  <c r="CP251" i="1"/>
  <c r="CT251" i="1"/>
  <c r="CP176" i="1"/>
  <c r="CT176" i="1"/>
  <c r="CP182" i="1"/>
  <c r="CT182" i="1"/>
  <c r="CP238" i="1"/>
  <c r="CP220" i="1"/>
  <c r="CP241" i="1"/>
  <c r="CP177" i="1"/>
  <c r="CP215" i="1"/>
  <c r="CP184" i="1"/>
  <c r="CP169" i="1"/>
  <c r="CP226" i="1"/>
  <c r="CP245" i="1"/>
  <c r="CP201" i="1"/>
  <c r="CP219" i="1"/>
  <c r="CP252" i="1"/>
  <c r="CP229" i="1"/>
  <c r="CP225" i="1"/>
  <c r="CP214" i="1"/>
  <c r="CP170" i="1"/>
  <c r="CP181" i="1"/>
  <c r="CP191" i="1"/>
  <c r="CP249" i="1"/>
  <c r="CP234" i="1"/>
  <c r="CP239" i="1"/>
  <c r="CP157" i="1"/>
  <c r="CP255" i="1"/>
  <c r="CP209" i="1"/>
  <c r="CP194" i="1"/>
  <c r="CP167" i="1"/>
  <c r="CP253" i="1"/>
  <c r="CP193" i="1"/>
  <c r="CP250" i="1"/>
  <c r="CP185" i="1"/>
  <c r="CP242" i="1"/>
  <c r="CP222" i="1"/>
  <c r="CP164" i="1"/>
  <c r="CP174" i="1"/>
  <c r="CP208" i="1"/>
  <c r="CP189" i="1"/>
  <c r="CP200" i="1"/>
  <c r="CP186" i="1"/>
  <c r="CP247" i="1"/>
  <c r="CP178" i="1"/>
  <c r="CP197" i="1"/>
  <c r="CP192" i="1"/>
  <c r="CP196" i="1"/>
  <c r="CP163" i="1"/>
  <c r="CP183" i="1"/>
  <c r="CP218" i="1"/>
  <c r="CP179" i="1"/>
  <c r="CP161" i="1"/>
  <c r="CP180" i="1"/>
  <c r="CP159" i="1"/>
  <c r="CP171" i="1"/>
  <c r="CP203" i="1"/>
  <c r="CP199" i="1"/>
  <c r="CP212" i="1"/>
  <c r="CP204" i="1"/>
  <c r="CP198" i="1"/>
  <c r="CP211" i="1"/>
  <c r="CP188" i="1"/>
  <c r="CP216" i="1"/>
  <c r="CP195" i="1"/>
  <c r="CP207" i="1"/>
  <c r="CP243" i="1"/>
  <c r="CP244" i="1"/>
  <c r="CP210" i="1"/>
  <c r="CP223" i="1"/>
  <c r="CP173" i="1"/>
  <c r="CP235" i="1"/>
  <c r="CP158" i="1"/>
  <c r="CP165" i="1"/>
  <c r="CP232" i="1"/>
  <c r="CP227" i="1"/>
  <c r="CP248" i="1"/>
  <c r="CP230" i="1"/>
  <c r="CP166" i="1"/>
  <c r="CP237" i="1"/>
  <c r="CP217" i="1"/>
  <c r="BN226" i="1"/>
  <c r="BR226" i="1"/>
  <c r="BN196" i="1"/>
  <c r="BR196" i="1"/>
  <c r="BN221" i="1"/>
  <c r="BR221" i="1"/>
  <c r="BN203" i="1"/>
  <c r="BR203" i="1"/>
  <c r="BU203" i="1" s="1"/>
  <c r="BN159" i="1"/>
  <c r="BR159" i="1"/>
  <c r="BN206" i="1"/>
  <c r="BR206" i="1"/>
  <c r="BU206" i="1" s="1"/>
  <c r="BN167" i="1"/>
  <c r="BR167" i="1"/>
  <c r="BN253" i="1"/>
  <c r="BR253" i="1"/>
  <c r="BU253" i="1" s="1"/>
  <c r="BN174" i="1"/>
  <c r="BR174" i="1"/>
  <c r="BN244" i="1"/>
  <c r="BR244" i="1"/>
  <c r="BU244" i="1" s="1"/>
  <c r="BN173" i="1"/>
  <c r="BR173" i="1"/>
  <c r="BN191" i="1"/>
  <c r="BR191" i="1"/>
  <c r="BU191" i="1" s="1"/>
  <c r="BN230" i="1"/>
  <c r="BR230" i="1"/>
  <c r="BN169" i="1"/>
  <c r="BR169" i="1"/>
  <c r="BU169" i="1" s="1"/>
  <c r="BV169" i="1" s="1"/>
  <c r="BN228" i="1"/>
  <c r="BR228" i="1"/>
  <c r="BN251" i="1"/>
  <c r="BR251" i="1"/>
  <c r="BU251" i="1" s="1"/>
  <c r="BN234" i="1"/>
  <c r="BR234" i="1"/>
  <c r="BN209" i="1"/>
  <c r="BR209" i="1"/>
  <c r="BN170" i="1"/>
  <c r="BR170" i="1"/>
  <c r="BN187" i="1"/>
  <c r="BR187" i="1"/>
  <c r="BU187" i="1" s="1"/>
  <c r="BV187" i="1" s="1"/>
  <c r="BN194" i="1"/>
  <c r="BR194" i="1"/>
  <c r="BN222" i="1"/>
  <c r="BR222" i="1"/>
  <c r="BN250" i="1"/>
  <c r="BR250" i="1"/>
  <c r="BN199" i="1"/>
  <c r="BR199" i="1"/>
  <c r="BU199" i="1" s="1"/>
  <c r="BN252" i="1"/>
  <c r="BR252" i="1"/>
  <c r="BN233" i="1"/>
  <c r="BR233" i="1"/>
  <c r="BN242" i="1"/>
  <c r="BR242" i="1"/>
  <c r="BN255" i="1"/>
  <c r="BR255" i="1"/>
  <c r="BU255" i="1" s="1"/>
  <c r="BN161" i="1"/>
  <c r="BR161" i="1"/>
  <c r="BN241" i="1"/>
  <c r="BR241" i="1"/>
  <c r="BN164" i="1"/>
  <c r="BR164" i="1"/>
  <c r="BN231" i="1"/>
  <c r="BR231" i="1"/>
  <c r="BU231" i="1" s="1"/>
  <c r="BN162" i="1"/>
  <c r="BR162" i="1"/>
  <c r="BN215" i="1"/>
  <c r="BR215" i="1"/>
  <c r="BN202" i="1"/>
  <c r="BR202" i="1"/>
  <c r="BN229" i="1"/>
  <c r="BR229" i="1"/>
  <c r="BN219" i="1"/>
  <c r="BR219" i="1"/>
  <c r="BN216" i="1"/>
  <c r="BR216" i="1"/>
  <c r="BN243" i="1"/>
  <c r="BR243" i="1"/>
  <c r="BN195" i="1"/>
  <c r="BR195" i="1"/>
  <c r="BN254" i="1"/>
  <c r="BR254" i="1"/>
  <c r="BN176" i="1"/>
  <c r="BR176" i="1"/>
  <c r="BN198" i="1"/>
  <c r="BR198" i="1"/>
  <c r="BN181" i="1"/>
  <c r="BR181" i="1"/>
  <c r="BN210" i="1"/>
  <c r="BR210" i="1"/>
  <c r="BN160" i="1"/>
  <c r="BR160" i="1"/>
  <c r="BN171" i="1"/>
  <c r="BR171" i="1"/>
  <c r="BN157" i="1"/>
  <c r="BR157" i="1"/>
  <c r="BN239" i="1"/>
  <c r="BR239" i="1"/>
  <c r="BN208" i="1"/>
  <c r="BR208" i="1"/>
  <c r="BN220" i="1"/>
  <c r="BR220" i="1"/>
  <c r="BN166" i="1"/>
  <c r="BR166" i="1"/>
  <c r="BN207" i="1"/>
  <c r="BR207" i="1"/>
  <c r="BN180" i="1"/>
  <c r="BR180" i="1"/>
  <c r="BN189" i="1"/>
  <c r="BR189" i="1"/>
  <c r="BN217" i="1"/>
  <c r="BR217" i="1"/>
  <c r="BN158" i="1"/>
  <c r="BR158" i="1"/>
  <c r="BN247" i="1"/>
  <c r="BR247" i="1"/>
  <c r="BN183" i="1"/>
  <c r="BR183" i="1"/>
  <c r="BN177" i="1"/>
  <c r="BR177" i="1"/>
  <c r="BN200" i="1"/>
  <c r="BR200" i="1"/>
  <c r="BN238" i="1"/>
  <c r="BR238" i="1"/>
  <c r="BN235" i="1"/>
  <c r="BR235" i="1"/>
  <c r="BN227" i="1"/>
  <c r="BR227" i="1"/>
  <c r="BN182" i="1"/>
  <c r="BR182" i="1"/>
  <c r="BN214" i="1"/>
  <c r="BR214" i="1"/>
  <c r="BN246" i="1"/>
  <c r="BR246" i="1"/>
  <c r="BN163" i="1"/>
  <c r="BR163" i="1"/>
  <c r="BN225" i="1"/>
  <c r="BR225" i="1"/>
  <c r="BN205" i="1"/>
  <c r="BR205" i="1"/>
  <c r="BN211" i="1"/>
  <c r="BR211" i="1"/>
  <c r="BN212" i="1"/>
  <c r="BR212" i="1"/>
  <c r="BN237" i="1"/>
  <c r="BR237" i="1"/>
  <c r="BN186" i="1"/>
  <c r="BR186" i="1"/>
  <c r="BN185" i="1"/>
  <c r="BR185" i="1"/>
  <c r="BN178" i="1"/>
  <c r="BR178" i="1"/>
  <c r="BN223" i="1"/>
  <c r="BR223" i="1"/>
  <c r="BN224" i="1"/>
  <c r="BR224" i="1"/>
  <c r="BN218" i="1"/>
  <c r="BR218" i="1"/>
  <c r="BN213" i="1"/>
  <c r="BR213" i="1"/>
  <c r="BN193" i="1"/>
  <c r="BR193" i="1"/>
  <c r="BN175" i="1"/>
  <c r="BR175" i="1"/>
  <c r="BN249" i="1"/>
  <c r="BR249" i="1"/>
  <c r="BN232" i="1"/>
  <c r="BR232" i="1"/>
  <c r="BN172" i="1"/>
  <c r="BR172" i="1"/>
  <c r="BU172" i="1" s="1"/>
  <c r="BN179" i="1"/>
  <c r="BR179" i="1"/>
  <c r="BN184" i="1"/>
  <c r="BR184" i="1"/>
  <c r="BN197" i="1"/>
  <c r="BR197" i="1"/>
  <c r="BN192" i="1"/>
  <c r="BR192" i="1"/>
  <c r="BU192" i="1" s="1"/>
  <c r="BN236" i="1"/>
  <c r="BR236" i="1"/>
  <c r="BN201" i="1"/>
  <c r="BR201" i="1"/>
  <c r="BN248" i="1"/>
  <c r="BR248" i="1"/>
  <c r="BN165" i="1"/>
  <c r="BR165" i="1"/>
  <c r="BN240" i="1"/>
  <c r="BR240" i="1"/>
  <c r="BN204" i="1"/>
  <c r="BR204" i="1"/>
  <c r="BN168" i="1"/>
  <c r="BR168" i="1"/>
  <c r="BN188" i="1"/>
  <c r="BR188" i="1"/>
  <c r="BU188" i="1" s="1"/>
  <c r="BN245" i="1"/>
  <c r="BR245" i="1"/>
  <c r="BN190" i="1"/>
  <c r="BR190" i="1"/>
  <c r="AR233" i="1"/>
  <c r="AR161" i="1"/>
  <c r="AR241" i="1"/>
  <c r="AR251" i="1"/>
  <c r="AR169" i="1"/>
  <c r="AR173" i="1"/>
  <c r="AR213" i="1"/>
  <c r="AR157" i="1"/>
  <c r="AR248" i="1"/>
  <c r="AR250" i="1"/>
  <c r="AR196" i="1"/>
  <c r="AR214" i="1"/>
  <c r="AR239" i="1"/>
  <c r="AR221" i="1"/>
  <c r="AR208" i="1"/>
  <c r="AR159" i="1"/>
  <c r="AR171" i="1"/>
  <c r="AR228" i="1"/>
  <c r="AR231" i="1"/>
  <c r="AR218" i="1"/>
  <c r="AR230" i="1"/>
  <c r="AR191" i="1"/>
  <c r="AR209" i="1"/>
  <c r="AR206" i="1"/>
  <c r="AR174" i="1"/>
  <c r="AR252" i="1"/>
  <c r="AR172" i="1"/>
  <c r="AR187" i="1"/>
  <c r="AR182" i="1"/>
  <c r="AR227" i="1"/>
  <c r="AR226" i="1"/>
  <c r="AR166" i="1"/>
  <c r="AR238" i="1"/>
  <c r="AR240" i="1"/>
  <c r="AR236" i="1"/>
  <c r="AR170" i="1"/>
  <c r="AR222" i="1"/>
  <c r="AR194" i="1"/>
  <c r="AR242" i="1"/>
  <c r="AR199" i="1"/>
  <c r="AR229" i="1"/>
  <c r="AR181" i="1"/>
  <c r="AR255" i="1"/>
  <c r="AR207" i="1"/>
  <c r="AR180" i="1"/>
  <c r="AR183" i="1"/>
  <c r="AR215" i="1"/>
  <c r="AR175" i="1"/>
  <c r="AR237" i="1"/>
  <c r="AR247" i="1"/>
  <c r="AR246" i="1"/>
  <c r="AR158" i="1"/>
  <c r="AR200" i="1"/>
  <c r="AR162" i="1"/>
  <c r="AR220" i="1"/>
  <c r="AR205" i="1"/>
  <c r="AR235" i="1"/>
  <c r="AR192" i="1"/>
  <c r="AR177" i="1"/>
  <c r="AR202" i="1"/>
  <c r="AR184" i="1"/>
  <c r="AR201" i="1"/>
  <c r="AR179" i="1"/>
  <c r="AR160" i="1"/>
  <c r="AR216" i="1"/>
  <c r="AR210" i="1"/>
  <c r="AR176" i="1"/>
  <c r="AR217" i="1"/>
  <c r="AR254" i="1"/>
  <c r="AR189" i="1"/>
  <c r="AR219" i="1"/>
  <c r="AR243" i="1"/>
  <c r="AR198" i="1"/>
  <c r="AR195" i="1"/>
  <c r="AR249" i="1"/>
  <c r="AR244" i="1"/>
  <c r="AR167" i="1"/>
  <c r="AR193" i="1"/>
  <c r="AR253" i="1"/>
  <c r="AR203" i="1"/>
  <c r="AX203" i="1"/>
  <c r="AX165" i="1"/>
  <c r="AX196" i="1"/>
  <c r="AX215" i="1"/>
  <c r="AX218" i="1"/>
  <c r="AX239" i="1"/>
  <c r="AX226" i="1"/>
  <c r="AX199" i="1"/>
  <c r="AX240" i="1"/>
  <c r="AR223" i="1"/>
  <c r="AR245" i="1"/>
  <c r="AR225" i="1"/>
  <c r="AR211" i="1"/>
  <c r="AR185" i="1"/>
  <c r="AR165" i="1"/>
  <c r="AR224" i="1"/>
  <c r="AR163" i="1"/>
  <c r="AR186" i="1"/>
  <c r="AR212" i="1"/>
  <c r="AR197" i="1"/>
  <c r="AR178" i="1"/>
  <c r="BC207" i="1"/>
  <c r="BC209" i="1"/>
  <c r="BC233" i="1"/>
  <c r="BC204" i="1"/>
  <c r="BC200" i="1"/>
  <c r="BC218" i="1"/>
  <c r="BC239" i="1"/>
  <c r="BC240" i="1"/>
  <c r="BC234" i="1"/>
  <c r="BC237" i="1"/>
  <c r="BC193" i="1"/>
  <c r="BC161" i="1"/>
  <c r="BC238" i="1"/>
  <c r="BC191" i="1"/>
  <c r="BC228" i="1"/>
  <c r="BC181" i="1"/>
  <c r="BC211" i="1"/>
  <c r="BC245" i="1"/>
  <c r="BC241" i="1"/>
  <c r="BC174" i="1"/>
  <c r="BC249" i="1"/>
  <c r="BC230" i="1"/>
  <c r="BC169" i="1"/>
  <c r="BC192" i="1"/>
  <c r="BC232" i="1"/>
  <c r="BC203" i="1"/>
  <c r="BC160" i="1"/>
  <c r="BC216" i="1"/>
  <c r="BC226" i="1"/>
  <c r="BC199" i="1"/>
  <c r="BC167" i="1"/>
  <c r="BC223" i="1"/>
  <c r="BC176" i="1"/>
  <c r="BC197" i="1"/>
  <c r="BC217" i="1"/>
  <c r="BC254" i="1"/>
  <c r="BC208" i="1"/>
  <c r="BC202" i="1"/>
  <c r="BC195" i="1"/>
  <c r="BC189" i="1"/>
  <c r="BC171" i="1"/>
  <c r="BC163" i="1"/>
  <c r="BC255" i="1"/>
  <c r="BC247" i="1"/>
  <c r="BC243" i="1"/>
  <c r="BC213" i="1"/>
  <c r="BC159" i="1"/>
  <c r="BC221" i="1"/>
  <c r="BC210" i="1"/>
  <c r="BC180" i="1"/>
  <c r="BC170" i="1"/>
  <c r="BC235" i="1"/>
  <c r="BC220" i="1"/>
  <c r="BC194" i="1"/>
  <c r="BC187" i="1"/>
  <c r="BC178" i="1"/>
  <c r="BC175" i="1"/>
  <c r="BC198" i="1"/>
  <c r="BC190" i="1"/>
  <c r="BC188" i="1"/>
  <c r="BC172" i="1"/>
  <c r="BC246" i="1"/>
  <c r="BC196" i="1"/>
  <c r="BC236" i="1"/>
  <c r="BC186" i="1"/>
  <c r="BC173" i="1"/>
  <c r="BC185" i="1"/>
  <c r="BC227" i="1"/>
  <c r="BC166" i="1"/>
  <c r="BC206" i="1"/>
  <c r="BC242" i="1"/>
  <c r="BC250" i="1"/>
  <c r="BC201" i="1"/>
  <c r="BC205" i="1"/>
  <c r="BC177" i="1"/>
  <c r="BC212" i="1"/>
  <c r="BC183" i="1"/>
  <c r="BC164" i="1"/>
  <c r="BC252" i="1"/>
  <c r="BC214" i="1"/>
  <c r="BC168" i="1"/>
  <c r="BC225" i="1"/>
  <c r="BC244" i="1"/>
  <c r="BC229" i="1"/>
  <c r="BC165" i="1"/>
  <c r="BC219" i="1"/>
  <c r="BC248" i="1"/>
  <c r="BC182" i="1"/>
  <c r="BC231" i="1"/>
  <c r="BC253" i="1"/>
  <c r="BC224" i="1"/>
  <c r="BC222" i="1"/>
  <c r="BC184" i="1"/>
  <c r="BC162" i="1"/>
  <c r="BC158" i="1"/>
  <c r="BC157" i="1"/>
  <c r="BC179" i="1"/>
  <c r="BC251" i="1"/>
  <c r="AS196" i="1"/>
  <c r="AS246" i="1"/>
  <c r="AS254" i="1"/>
  <c r="AS172" i="1"/>
  <c r="AS220" i="1"/>
  <c r="AS211" i="1"/>
  <c r="AS243" i="1"/>
  <c r="AS167" i="1"/>
  <c r="AS207" i="1"/>
  <c r="AS182" i="1"/>
  <c r="AS193" i="1"/>
  <c r="AS231" i="1"/>
  <c r="AS161" i="1"/>
  <c r="AS217" i="1"/>
  <c r="AS255" i="1"/>
  <c r="AS240" i="1"/>
  <c r="AS223" i="1"/>
  <c r="AS238" i="1"/>
  <c r="AS158" i="1"/>
  <c r="AS245" i="1"/>
  <c r="AS253" i="1"/>
  <c r="AS171" i="1"/>
  <c r="AS214" i="1"/>
  <c r="AS225" i="1"/>
  <c r="AS247" i="1"/>
  <c r="AS170" i="1"/>
  <c r="AS224" i="1"/>
  <c r="AS222" i="1"/>
  <c r="AS208" i="1"/>
  <c r="AS164" i="1"/>
  <c r="AS218" i="1"/>
  <c r="AS239" i="1"/>
  <c r="AS202" i="1"/>
  <c r="AS234" i="1"/>
  <c r="AS248" i="1"/>
  <c r="AS237" i="1"/>
  <c r="AS185" i="1"/>
  <c r="AS165" i="1"/>
  <c r="AS227" i="1"/>
  <c r="AS162" i="1"/>
  <c r="AS191" i="1"/>
  <c r="AS198" i="1"/>
  <c r="AS189" i="1"/>
  <c r="AS201" i="1"/>
  <c r="AS205" i="1"/>
  <c r="AS241" i="1"/>
  <c r="AS179" i="1"/>
  <c r="AS174" i="1"/>
  <c r="AS251" i="1"/>
  <c r="AS186" i="1"/>
  <c r="AS180" i="1"/>
  <c r="AS166" i="1"/>
  <c r="AS160" i="1"/>
  <c r="AS206" i="1"/>
  <c r="AS159" i="1"/>
  <c r="AS228" i="1"/>
  <c r="AS244" i="1"/>
  <c r="AS212" i="1"/>
  <c r="AS200" i="1"/>
  <c r="AS173" i="1"/>
  <c r="AS210" i="1"/>
  <c r="AS204" i="1"/>
  <c r="AT204" i="1" s="1"/>
  <c r="AS221" i="1"/>
  <c r="AS209" i="1"/>
  <c r="AS184" i="1"/>
  <c r="AS181" i="1"/>
  <c r="AS249" i="1"/>
  <c r="AS194" i="1"/>
  <c r="AS187" i="1"/>
  <c r="AS163" i="1"/>
  <c r="AS226" i="1"/>
  <c r="AS177" i="1"/>
  <c r="AS199" i="1"/>
  <c r="AS213" i="1"/>
  <c r="AS236" i="1"/>
  <c r="AS190" i="1"/>
  <c r="AS168" i="1"/>
  <c r="AS216" i="1"/>
  <c r="AS219" i="1"/>
  <c r="AS232" i="1"/>
  <c r="AS175" i="1"/>
  <c r="AS169" i="1"/>
  <c r="AS250" i="1"/>
  <c r="AS233" i="1"/>
  <c r="AS176" i="1"/>
  <c r="AS197" i="1"/>
  <c r="AS183" i="1"/>
  <c r="AS188" i="1"/>
  <c r="AS235" i="1"/>
  <c r="AS192" i="1"/>
  <c r="AS242" i="1"/>
  <c r="AS215" i="1"/>
  <c r="AS157" i="1"/>
  <c r="AS252" i="1"/>
  <c r="AS195" i="1"/>
  <c r="AS230" i="1"/>
  <c r="AS178" i="1"/>
  <c r="AS229" i="1"/>
  <c r="AS203" i="1"/>
  <c r="AX167" i="1"/>
  <c r="AX223" i="1"/>
  <c r="AX176" i="1"/>
  <c r="AX197" i="1"/>
  <c r="AX217" i="1"/>
  <c r="AX254" i="1"/>
  <c r="AX208" i="1"/>
  <c r="AX202" i="1"/>
  <c r="AX195" i="1"/>
  <c r="AX175" i="1"/>
  <c r="AX198" i="1"/>
  <c r="AX234" i="1"/>
  <c r="AX237" i="1"/>
  <c r="AX193" i="1"/>
  <c r="AX161" i="1"/>
  <c r="AX238" i="1"/>
  <c r="AX191" i="1"/>
  <c r="AX228" i="1"/>
  <c r="AX181" i="1"/>
  <c r="AX211" i="1"/>
  <c r="AX245" i="1"/>
  <c r="AX241" i="1"/>
  <c r="AX174" i="1"/>
  <c r="AX249" i="1"/>
  <c r="AX189" i="1"/>
  <c r="AX171" i="1"/>
  <c r="AX163" i="1"/>
  <c r="AX186" i="1"/>
  <c r="AX173" i="1"/>
  <c r="AX185" i="1"/>
  <c r="AX227" i="1"/>
  <c r="AX166" i="1"/>
  <c r="AX206" i="1"/>
  <c r="AX242" i="1"/>
  <c r="AX250" i="1"/>
  <c r="AX201" i="1"/>
  <c r="AX205" i="1"/>
  <c r="AX177" i="1"/>
  <c r="AX212" i="1"/>
  <c r="AX183" i="1"/>
  <c r="AX248" i="1"/>
  <c r="AX207" i="1"/>
  <c r="AX233" i="1"/>
  <c r="AX190" i="1"/>
  <c r="AX209" i="1"/>
  <c r="AX224" i="1"/>
  <c r="AX255" i="1"/>
  <c r="AX247" i="1"/>
  <c r="AX184" i="1"/>
  <c r="AX164" i="1"/>
  <c r="AX252" i="1"/>
  <c r="AX230" i="1"/>
  <c r="AX243" i="1"/>
  <c r="AX214" i="1"/>
  <c r="AX213" i="1"/>
  <c r="AX200" i="1"/>
  <c r="BC215" i="1"/>
  <c r="AX160" i="1"/>
  <c r="AX236" i="1"/>
  <c r="AX210" i="1"/>
  <c r="AX180" i="1"/>
  <c r="AX170" i="1"/>
  <c r="AX235" i="1"/>
  <c r="AX219" i="1"/>
  <c r="AX220" i="1"/>
  <c r="AX194" i="1"/>
  <c r="AX187" i="1"/>
  <c r="AX178" i="1"/>
  <c r="AX216" i="1"/>
  <c r="AX182" i="1"/>
  <c r="AX231" i="1"/>
  <c r="AX253" i="1"/>
  <c r="AX222" i="1"/>
  <c r="AX162" i="1"/>
  <c r="AX158" i="1"/>
  <c r="AX157" i="1"/>
  <c r="AX179" i="1"/>
  <c r="AX251" i="1"/>
  <c r="AX169" i="1"/>
  <c r="AX159" i="1"/>
  <c r="AX204" i="1"/>
  <c r="AX221" i="1"/>
  <c r="AX188" i="1"/>
  <c r="AX168" i="1"/>
  <c r="AX172" i="1"/>
  <c r="AX225" i="1"/>
  <c r="AX244" i="1"/>
  <c r="AX192" i="1"/>
  <c r="AX232" i="1"/>
  <c r="AX229" i="1"/>
  <c r="AX246" i="1"/>
  <c r="AZ209" i="1"/>
  <c r="AZ232" i="1"/>
  <c r="AZ200" i="1"/>
  <c r="AZ203" i="1"/>
  <c r="AZ165" i="1"/>
  <c r="AZ196" i="1"/>
  <c r="AZ160" i="1"/>
  <c r="AZ216" i="1"/>
  <c r="AZ215" i="1"/>
  <c r="AZ218" i="1"/>
  <c r="AZ239" i="1"/>
  <c r="AZ226" i="1"/>
  <c r="AZ199" i="1"/>
  <c r="AZ240" i="1"/>
  <c r="AZ190" i="1"/>
  <c r="AZ159" i="1"/>
  <c r="AZ168" i="1"/>
  <c r="AZ246" i="1"/>
  <c r="AZ234" i="1"/>
  <c r="AZ237" i="1"/>
  <c r="AZ193" i="1"/>
  <c r="AZ161" i="1"/>
  <c r="AZ238" i="1"/>
  <c r="AZ191" i="1"/>
  <c r="AZ228" i="1"/>
  <c r="AZ181" i="1"/>
  <c r="AZ211" i="1"/>
  <c r="AZ245" i="1"/>
  <c r="AZ241" i="1"/>
  <c r="AZ174" i="1"/>
  <c r="AZ249" i="1"/>
  <c r="AZ167" i="1"/>
  <c r="AZ223" i="1"/>
  <c r="AZ176" i="1"/>
  <c r="AZ197" i="1"/>
  <c r="AZ217" i="1"/>
  <c r="AZ254" i="1"/>
  <c r="AZ208" i="1"/>
  <c r="AZ202" i="1"/>
  <c r="AZ195" i="1"/>
  <c r="AZ189" i="1"/>
  <c r="AZ171" i="1"/>
  <c r="AZ163" i="1"/>
  <c r="AZ247" i="1"/>
  <c r="AZ230" i="1"/>
  <c r="AZ221" i="1"/>
  <c r="AZ225" i="1"/>
  <c r="AZ192" i="1"/>
  <c r="AZ236" i="1"/>
  <c r="AZ210" i="1"/>
  <c r="AZ180" i="1"/>
  <c r="AZ170" i="1"/>
  <c r="AZ235" i="1"/>
  <c r="AZ219" i="1"/>
  <c r="AZ220" i="1"/>
  <c r="AZ194" i="1"/>
  <c r="AZ187" i="1"/>
  <c r="AZ178" i="1"/>
  <c r="AZ175" i="1"/>
  <c r="AZ198" i="1"/>
  <c r="AZ207" i="1"/>
  <c r="AZ233" i="1"/>
  <c r="AZ255" i="1"/>
  <c r="AZ243" i="1"/>
  <c r="AZ214" i="1"/>
  <c r="AZ213" i="1"/>
  <c r="AZ204" i="1"/>
  <c r="AZ188" i="1"/>
  <c r="AZ186" i="1"/>
  <c r="AZ173" i="1"/>
  <c r="AZ185" i="1"/>
  <c r="AZ227" i="1"/>
  <c r="AZ166" i="1"/>
  <c r="AZ206" i="1"/>
  <c r="AZ242" i="1"/>
  <c r="AZ250" i="1"/>
  <c r="AZ201" i="1"/>
  <c r="AZ205" i="1"/>
  <c r="AZ177" i="1"/>
  <c r="AZ212" i="1"/>
  <c r="AZ183" i="1"/>
  <c r="AZ164" i="1"/>
  <c r="AZ252" i="1"/>
  <c r="AZ169" i="1"/>
  <c r="AZ172" i="1"/>
  <c r="AZ244" i="1"/>
  <c r="AZ229" i="1"/>
  <c r="AZ248" i="1"/>
  <c r="AZ182" i="1"/>
  <c r="AZ231" i="1"/>
  <c r="AZ253" i="1"/>
  <c r="AZ224" i="1"/>
  <c r="AZ222" i="1"/>
  <c r="AZ184" i="1"/>
  <c r="AZ162" i="1"/>
  <c r="AZ158" i="1"/>
  <c r="AZ157" i="1"/>
  <c r="AZ179" i="1"/>
  <c r="AZ251" i="1"/>
  <c r="L93" i="2"/>
  <c r="K94" i="2"/>
  <c r="K308" i="2"/>
  <c r="L307" i="2"/>
  <c r="K575" i="2"/>
  <c r="L574" i="2"/>
  <c r="BV244" i="1" l="1"/>
  <c r="BU165" i="1"/>
  <c r="BV192" i="1"/>
  <c r="BV231" i="1"/>
  <c r="BV251" i="1"/>
  <c r="BV253" i="1"/>
  <c r="BV188" i="1"/>
  <c r="BV203" i="1"/>
  <c r="BV206" i="1"/>
  <c r="BV165" i="1"/>
  <c r="BV172" i="1"/>
  <c r="BV255" i="1"/>
  <c r="BV199" i="1"/>
  <c r="BV191" i="1"/>
  <c r="BU190" i="1"/>
  <c r="BV190" i="1" s="1"/>
  <c r="BU204" i="1"/>
  <c r="BV204" i="1" s="1"/>
  <c r="BU201" i="1"/>
  <c r="BV201" i="1" s="1"/>
  <c r="BU184" i="1"/>
  <c r="BV184" i="1" s="1"/>
  <c r="BU249" i="1"/>
  <c r="BV249" i="1" s="1"/>
  <c r="BU218" i="1"/>
  <c r="BV218" i="1" s="1"/>
  <c r="BU185" i="1"/>
  <c r="BV185" i="1" s="1"/>
  <c r="BU211" i="1"/>
  <c r="BV211" i="1" s="1"/>
  <c r="BU246" i="1"/>
  <c r="BV246" i="1" s="1"/>
  <c r="BU235" i="1"/>
  <c r="BV235" i="1" s="1"/>
  <c r="BU183" i="1"/>
  <c r="BV183" i="1" s="1"/>
  <c r="BU189" i="1"/>
  <c r="BV189" i="1" s="1"/>
  <c r="BU220" i="1"/>
  <c r="BV220" i="1" s="1"/>
  <c r="BU171" i="1"/>
  <c r="BV171" i="1" s="1"/>
  <c r="BU198" i="1"/>
  <c r="BV198" i="1" s="1"/>
  <c r="BU243" i="1"/>
  <c r="BV243" i="1" s="1"/>
  <c r="BU202" i="1"/>
  <c r="BV202" i="1" s="1"/>
  <c r="BU164" i="1"/>
  <c r="BV164" i="1" s="1"/>
  <c r="BU242" i="1"/>
  <c r="BV242" i="1" s="1"/>
  <c r="BU250" i="1"/>
  <c r="BV250" i="1" s="1"/>
  <c r="BU170" i="1"/>
  <c r="BV170" i="1" s="1"/>
  <c r="BU228" i="1"/>
  <c r="BV228" i="1" s="1"/>
  <c r="BU173" i="1"/>
  <c r="BV173" i="1" s="1"/>
  <c r="BU167" i="1"/>
  <c r="BV167" i="1" s="1"/>
  <c r="BU221" i="1"/>
  <c r="BV221" i="1" s="1"/>
  <c r="BU193" i="1"/>
  <c r="BV193" i="1" s="1"/>
  <c r="BU223" i="1"/>
  <c r="BV223" i="1" s="1"/>
  <c r="BU237" i="1"/>
  <c r="BV237" i="1" s="1"/>
  <c r="BU225" i="1"/>
  <c r="BV225" i="1" s="1"/>
  <c r="BU182" i="1"/>
  <c r="BV182" i="1" s="1"/>
  <c r="BU200" i="1"/>
  <c r="BV200" i="1" s="1"/>
  <c r="BU158" i="1"/>
  <c r="BV158" i="1" s="1"/>
  <c r="BU207" i="1"/>
  <c r="BV207" i="1" s="1"/>
  <c r="BU239" i="1"/>
  <c r="BV239" i="1" s="1"/>
  <c r="BU210" i="1"/>
  <c r="BV210" i="1" s="1"/>
  <c r="BU254" i="1"/>
  <c r="BV254" i="1" s="1"/>
  <c r="BU219" i="1"/>
  <c r="BV219" i="1" s="1"/>
  <c r="BU162" i="1"/>
  <c r="BV162" i="1" s="1"/>
  <c r="BU161" i="1"/>
  <c r="BV161" i="1" s="1"/>
  <c r="BU252" i="1"/>
  <c r="BV252" i="1" s="1"/>
  <c r="BU194" i="1"/>
  <c r="BV194" i="1" s="1"/>
  <c r="BU234" i="1"/>
  <c r="BV234" i="1" s="1"/>
  <c r="BU230" i="1"/>
  <c r="BV230" i="1" s="1"/>
  <c r="BU174" i="1"/>
  <c r="BV174" i="1" s="1"/>
  <c r="BU159" i="1"/>
  <c r="BV159" i="1" s="1"/>
  <c r="BU226" i="1"/>
  <c r="BV226" i="1" s="1"/>
  <c r="BU196" i="1"/>
  <c r="BV196" i="1" s="1"/>
  <c r="BU168" i="1"/>
  <c r="BV168" i="1" s="1"/>
  <c r="BU248" i="1"/>
  <c r="BV248" i="1" s="1"/>
  <c r="BU197" i="1"/>
  <c r="BV197" i="1" s="1"/>
  <c r="BU232" i="1"/>
  <c r="BV232" i="1" s="1"/>
  <c r="BU213" i="1"/>
  <c r="BV213" i="1" s="1"/>
  <c r="BU178" i="1"/>
  <c r="BV178" i="1" s="1"/>
  <c r="BU212" i="1"/>
  <c r="BV212" i="1" s="1"/>
  <c r="BU163" i="1"/>
  <c r="BV163" i="1" s="1"/>
  <c r="BU227" i="1"/>
  <c r="BV227" i="1" s="1"/>
  <c r="BU177" i="1"/>
  <c r="BV177" i="1" s="1"/>
  <c r="BU217" i="1"/>
  <c r="BV217" i="1" s="1"/>
  <c r="BU166" i="1"/>
  <c r="BV166" i="1" s="1"/>
  <c r="BU157" i="1"/>
  <c r="BV157" i="1" s="1"/>
  <c r="BU181" i="1"/>
  <c r="BV181" i="1" s="1"/>
  <c r="BU195" i="1"/>
  <c r="BV195" i="1" s="1"/>
  <c r="BU229" i="1"/>
  <c r="BV229" i="1" s="1"/>
  <c r="BX203" i="1"/>
  <c r="BY203" i="1" s="1"/>
  <c r="BX196" i="1"/>
  <c r="BY196" i="1" s="1"/>
  <c r="BU179" i="1"/>
  <c r="BV179" i="1" s="1"/>
  <c r="BU175" i="1"/>
  <c r="BV175" i="1" s="1"/>
  <c r="BU224" i="1"/>
  <c r="BV224" i="1" s="1"/>
  <c r="BU186" i="1"/>
  <c r="BV186" i="1" s="1"/>
  <c r="BU205" i="1"/>
  <c r="BV205" i="1" s="1"/>
  <c r="BU214" i="1"/>
  <c r="BV214" i="1" s="1"/>
  <c r="BU238" i="1"/>
  <c r="BV238" i="1" s="1"/>
  <c r="BU247" i="1"/>
  <c r="BV247" i="1" s="1"/>
  <c r="BU180" i="1"/>
  <c r="BV180" i="1" s="1"/>
  <c r="BU208" i="1"/>
  <c r="BV208" i="1" s="1"/>
  <c r="BU160" i="1"/>
  <c r="BV160" i="1" s="1"/>
  <c r="BU176" i="1"/>
  <c r="BV176" i="1" s="1"/>
  <c r="BU216" i="1"/>
  <c r="BV216" i="1" s="1"/>
  <c r="BU215" i="1"/>
  <c r="BV215" i="1" s="1"/>
  <c r="BU241" i="1"/>
  <c r="BV241" i="1" s="1"/>
  <c r="BU233" i="1"/>
  <c r="BV233" i="1" s="1"/>
  <c r="BU222" i="1"/>
  <c r="BV222" i="1" s="1"/>
  <c r="BU209" i="1"/>
  <c r="BV209" i="1" s="1"/>
  <c r="BU245" i="1"/>
  <c r="BV245" i="1" s="1"/>
  <c r="BU240" i="1"/>
  <c r="BV240" i="1" s="1"/>
  <c r="BU236" i="1"/>
  <c r="BV236" i="1" s="1"/>
  <c r="BX226" i="1"/>
  <c r="BY226" i="1" s="1"/>
  <c r="BX253" i="1"/>
  <c r="BY253" i="1" s="1"/>
  <c r="BX159" i="1"/>
  <c r="BY159" i="1" s="1"/>
  <c r="BX190" i="1"/>
  <c r="BY190" i="1" s="1"/>
  <c r="BX204" i="1"/>
  <c r="BY204" i="1" s="1"/>
  <c r="BX201" i="1"/>
  <c r="BY201" i="1" s="1"/>
  <c r="BX184" i="1"/>
  <c r="BY184" i="1" s="1"/>
  <c r="BX249" i="1"/>
  <c r="BY249" i="1" s="1"/>
  <c r="BX218" i="1"/>
  <c r="BY218" i="1" s="1"/>
  <c r="BX185" i="1"/>
  <c r="BY185" i="1" s="1"/>
  <c r="BX211" i="1"/>
  <c r="BY211" i="1" s="1"/>
  <c r="BX246" i="1"/>
  <c r="BY246" i="1" s="1"/>
  <c r="BX235" i="1"/>
  <c r="BY235" i="1" s="1"/>
  <c r="BX183" i="1"/>
  <c r="BY183" i="1" s="1"/>
  <c r="BX189" i="1"/>
  <c r="BY189" i="1" s="1"/>
  <c r="BX220" i="1"/>
  <c r="BY220" i="1" s="1"/>
  <c r="BX171" i="1"/>
  <c r="BY171" i="1" s="1"/>
  <c r="BX198" i="1"/>
  <c r="BY198" i="1" s="1"/>
  <c r="BX243" i="1"/>
  <c r="BY243" i="1" s="1"/>
  <c r="BX202" i="1"/>
  <c r="BY202" i="1" s="1"/>
  <c r="BX164" i="1"/>
  <c r="BY164" i="1" s="1"/>
  <c r="BX242" i="1"/>
  <c r="BY242" i="1" s="1"/>
  <c r="BX250" i="1"/>
  <c r="BY250" i="1" s="1"/>
  <c r="BX170" i="1"/>
  <c r="BY170" i="1" s="1"/>
  <c r="BX228" i="1"/>
  <c r="BY228" i="1" s="1"/>
  <c r="BX173" i="1"/>
  <c r="BY173" i="1" s="1"/>
  <c r="BX167" i="1"/>
  <c r="BY167" i="1" s="1"/>
  <c r="BX221" i="1"/>
  <c r="BY221" i="1" s="1"/>
  <c r="BX245" i="1"/>
  <c r="BY245" i="1" s="1"/>
  <c r="BX240" i="1"/>
  <c r="BY240" i="1" s="1"/>
  <c r="BX236" i="1"/>
  <c r="BY236" i="1" s="1"/>
  <c r="BX179" i="1"/>
  <c r="BY179" i="1" s="1"/>
  <c r="BX175" i="1"/>
  <c r="BY175" i="1" s="1"/>
  <c r="BX224" i="1"/>
  <c r="BY224" i="1" s="1"/>
  <c r="BX186" i="1"/>
  <c r="BY186" i="1" s="1"/>
  <c r="BX205" i="1"/>
  <c r="BY205" i="1" s="1"/>
  <c r="BX214" i="1"/>
  <c r="BY214" i="1" s="1"/>
  <c r="BX238" i="1"/>
  <c r="BY238" i="1" s="1"/>
  <c r="BX247" i="1"/>
  <c r="BY247" i="1" s="1"/>
  <c r="BX180" i="1"/>
  <c r="BY180" i="1" s="1"/>
  <c r="BX208" i="1"/>
  <c r="BY208" i="1" s="1"/>
  <c r="BX160" i="1"/>
  <c r="BY160" i="1" s="1"/>
  <c r="BX176" i="1"/>
  <c r="BY176" i="1" s="1"/>
  <c r="BX216" i="1"/>
  <c r="BY216" i="1" s="1"/>
  <c r="BX215" i="1"/>
  <c r="BY215" i="1" s="1"/>
  <c r="BX241" i="1"/>
  <c r="BY241" i="1" s="1"/>
  <c r="BX233" i="1"/>
  <c r="BY233" i="1" s="1"/>
  <c r="BX222" i="1"/>
  <c r="BY222" i="1" s="1"/>
  <c r="BX209" i="1"/>
  <c r="BY209" i="1" s="1"/>
  <c r="BX169" i="1"/>
  <c r="BY169" i="1" s="1"/>
  <c r="BX244" i="1"/>
  <c r="BY244" i="1" s="1"/>
  <c r="BX206" i="1"/>
  <c r="BY206" i="1" s="1"/>
  <c r="BX188" i="1"/>
  <c r="BY188" i="1" s="1"/>
  <c r="BX165" i="1"/>
  <c r="BY165" i="1" s="1"/>
  <c r="BX192" i="1"/>
  <c r="BY192" i="1" s="1"/>
  <c r="BX172" i="1"/>
  <c r="BY172" i="1" s="1"/>
  <c r="BX193" i="1"/>
  <c r="BY193" i="1" s="1"/>
  <c r="BX223" i="1"/>
  <c r="BY223" i="1" s="1"/>
  <c r="BX237" i="1"/>
  <c r="BY237" i="1" s="1"/>
  <c r="BX225" i="1"/>
  <c r="BY225" i="1" s="1"/>
  <c r="BX182" i="1"/>
  <c r="BY182" i="1" s="1"/>
  <c r="BX200" i="1"/>
  <c r="BY200" i="1" s="1"/>
  <c r="BX158" i="1"/>
  <c r="BY158" i="1" s="1"/>
  <c r="BX207" i="1"/>
  <c r="BY207" i="1" s="1"/>
  <c r="BX239" i="1"/>
  <c r="BY239" i="1" s="1"/>
  <c r="BX210" i="1"/>
  <c r="BY210" i="1" s="1"/>
  <c r="BX254" i="1"/>
  <c r="BY254" i="1" s="1"/>
  <c r="BX219" i="1"/>
  <c r="BY219" i="1" s="1"/>
  <c r="BX162" i="1"/>
  <c r="BY162" i="1" s="1"/>
  <c r="BX161" i="1"/>
  <c r="BY161" i="1" s="1"/>
  <c r="BX252" i="1"/>
  <c r="BY252" i="1" s="1"/>
  <c r="BX194" i="1"/>
  <c r="BY194" i="1" s="1"/>
  <c r="BX234" i="1"/>
  <c r="BY234" i="1" s="1"/>
  <c r="BX230" i="1"/>
  <c r="BY230" i="1" s="1"/>
  <c r="BX174" i="1"/>
  <c r="BY174" i="1" s="1"/>
  <c r="BX168" i="1"/>
  <c r="BY168" i="1" s="1"/>
  <c r="BX248" i="1"/>
  <c r="BY248" i="1" s="1"/>
  <c r="BX197" i="1"/>
  <c r="BY197" i="1" s="1"/>
  <c r="BX232" i="1"/>
  <c r="BY232" i="1" s="1"/>
  <c r="BX213" i="1"/>
  <c r="BY213" i="1" s="1"/>
  <c r="BX178" i="1"/>
  <c r="BY178" i="1" s="1"/>
  <c r="BX212" i="1"/>
  <c r="BY212" i="1" s="1"/>
  <c r="BX163" i="1"/>
  <c r="BY163" i="1" s="1"/>
  <c r="BX227" i="1"/>
  <c r="BY227" i="1" s="1"/>
  <c r="BX177" i="1"/>
  <c r="BY177" i="1" s="1"/>
  <c r="BX217" i="1"/>
  <c r="BY217" i="1" s="1"/>
  <c r="BX166" i="1"/>
  <c r="BY166" i="1" s="1"/>
  <c r="BX157" i="1"/>
  <c r="BY157" i="1" s="1"/>
  <c r="BX181" i="1"/>
  <c r="BY181" i="1" s="1"/>
  <c r="BX195" i="1"/>
  <c r="BY195" i="1" s="1"/>
  <c r="BX229" i="1"/>
  <c r="BY229" i="1" s="1"/>
  <c r="BX231" i="1"/>
  <c r="BY231" i="1" s="1"/>
  <c r="BX255" i="1"/>
  <c r="BY255" i="1" s="1"/>
  <c r="BX199" i="1"/>
  <c r="BY199" i="1" s="1"/>
  <c r="BX187" i="1"/>
  <c r="BY187" i="1" s="1"/>
  <c r="BX251" i="1"/>
  <c r="BY251" i="1" s="1"/>
  <c r="BX191" i="1"/>
  <c r="BY191" i="1" s="1"/>
  <c r="AT174" i="1"/>
  <c r="BD174" i="1" s="1"/>
  <c r="AT241" i="1"/>
  <c r="BD241" i="1" s="1"/>
  <c r="AT248" i="1"/>
  <c r="BD248" i="1" s="1"/>
  <c r="AT233" i="1"/>
  <c r="BD233" i="1" s="1"/>
  <c r="AT169" i="1"/>
  <c r="BD169" i="1" s="1"/>
  <c r="AT250" i="1"/>
  <c r="BD250" i="1" s="1"/>
  <c r="AT181" i="1"/>
  <c r="BD181" i="1" s="1"/>
  <c r="AT215" i="1"/>
  <c r="BD215" i="1" s="1"/>
  <c r="AT213" i="1"/>
  <c r="BD213" i="1" s="1"/>
  <c r="AT226" i="1"/>
  <c r="BD226" i="1" s="1"/>
  <c r="AT157" i="1"/>
  <c r="BD157" i="1" s="1"/>
  <c r="AT236" i="1"/>
  <c r="BD236" i="1" s="1"/>
  <c r="AT228" i="1"/>
  <c r="BA228" i="1" s="1"/>
  <c r="BB228" i="1" s="1"/>
  <c r="AT231" i="1"/>
  <c r="BA231" i="1" s="1"/>
  <c r="AT196" i="1"/>
  <c r="BA196" i="1" s="1"/>
  <c r="AT218" i="1"/>
  <c r="BA218" i="1" s="1"/>
  <c r="AT214" i="1"/>
  <c r="BD214" i="1" s="1"/>
  <c r="AT239" i="1"/>
  <c r="BA239" i="1" s="1"/>
  <c r="AT221" i="1"/>
  <c r="BA221" i="1" s="1"/>
  <c r="BB221" i="1" s="1"/>
  <c r="AT159" i="1"/>
  <c r="BA159" i="1" s="1"/>
  <c r="AT222" i="1"/>
  <c r="BD222" i="1" s="1"/>
  <c r="AT206" i="1"/>
  <c r="BA206" i="1" s="1"/>
  <c r="AT252" i="1"/>
  <c r="BA252" i="1" s="1"/>
  <c r="AT187" i="1"/>
  <c r="BD187" i="1" s="1"/>
  <c r="AT227" i="1"/>
  <c r="BA227" i="1" s="1"/>
  <c r="AT240" i="1"/>
  <c r="BA240" i="1" s="1"/>
  <c r="BB240" i="1" s="1"/>
  <c r="AT176" i="1"/>
  <c r="BA176" i="1" s="1"/>
  <c r="AT203" i="1"/>
  <c r="BA203" i="1" s="1"/>
  <c r="AT180" i="1"/>
  <c r="BA180" i="1" s="1"/>
  <c r="AT254" i="1"/>
  <c r="BA254" i="1" s="1"/>
  <c r="BB254" i="1" s="1"/>
  <c r="AT190" i="1"/>
  <c r="BA190" i="1" s="1"/>
  <c r="BB190" i="1" s="1"/>
  <c r="AT242" i="1"/>
  <c r="BA242" i="1" s="1"/>
  <c r="AT161" i="1"/>
  <c r="BA161" i="1" s="1"/>
  <c r="BB161" i="1" s="1"/>
  <c r="AT247" i="1"/>
  <c r="BA247" i="1" s="1"/>
  <c r="BB247" i="1" s="1"/>
  <c r="AT191" i="1"/>
  <c r="BA191" i="1" s="1"/>
  <c r="AT229" i="1"/>
  <c r="BA229" i="1" s="1"/>
  <c r="BB229" i="1" s="1"/>
  <c r="AT255" i="1"/>
  <c r="BA255" i="1" s="1"/>
  <c r="BB255" i="1" s="1"/>
  <c r="AT192" i="1"/>
  <c r="BA192" i="1" s="1"/>
  <c r="AT207" i="1"/>
  <c r="BA207" i="1" s="1"/>
  <c r="AT179" i="1"/>
  <c r="BA179" i="1" s="1"/>
  <c r="AT162" i="1"/>
  <c r="BA162" i="1" s="1"/>
  <c r="BB162" i="1" s="1"/>
  <c r="AT183" i="1"/>
  <c r="BA183" i="1" s="1"/>
  <c r="AT182" i="1"/>
  <c r="BA182" i="1" s="1"/>
  <c r="AT246" i="1"/>
  <c r="BA246" i="1" s="1"/>
  <c r="AT202" i="1"/>
  <c r="BA202" i="1" s="1"/>
  <c r="BB202" i="1" s="1"/>
  <c r="AT251" i="1"/>
  <c r="BA251" i="1" s="1"/>
  <c r="AT216" i="1"/>
  <c r="BA216" i="1" s="1"/>
  <c r="AT167" i="1"/>
  <c r="BA167" i="1" s="1"/>
  <c r="AT200" i="1"/>
  <c r="BA200" i="1" s="1"/>
  <c r="AT211" i="1"/>
  <c r="BA211" i="1" s="1"/>
  <c r="AT245" i="1"/>
  <c r="BA245" i="1" s="1"/>
  <c r="AT238" i="1"/>
  <c r="BA238" i="1" s="1"/>
  <c r="AT170" i="1"/>
  <c r="BA170" i="1" s="1"/>
  <c r="BB170" i="1" s="1"/>
  <c r="AT208" i="1"/>
  <c r="BA208" i="1" s="1"/>
  <c r="BB208" i="1" s="1"/>
  <c r="AT249" i="1"/>
  <c r="BA249" i="1" s="1"/>
  <c r="AT189" i="1"/>
  <c r="BA189" i="1" s="1"/>
  <c r="BB189" i="1" s="1"/>
  <c r="AT166" i="1"/>
  <c r="BA166" i="1" s="1"/>
  <c r="BB166" i="1" s="1"/>
  <c r="AT237" i="1"/>
  <c r="BA237" i="1" s="1"/>
  <c r="AT225" i="1"/>
  <c r="BA225" i="1" s="1"/>
  <c r="AT201" i="1"/>
  <c r="BA201" i="1" s="1"/>
  <c r="BB201" i="1" s="1"/>
  <c r="AT197" i="1"/>
  <c r="BA197" i="1" s="1"/>
  <c r="AT163" i="1"/>
  <c r="BA163" i="1" s="1"/>
  <c r="AT173" i="1"/>
  <c r="BA173" i="1" s="1"/>
  <c r="AT230" i="1"/>
  <c r="BA230" i="1" s="1"/>
  <c r="BB230" i="1" s="1"/>
  <c r="AT188" i="1"/>
  <c r="BA188" i="1" s="1"/>
  <c r="AT177" i="1"/>
  <c r="BA177" i="1" s="1"/>
  <c r="AT209" i="1"/>
  <c r="BA209" i="1" s="1"/>
  <c r="AT210" i="1"/>
  <c r="BA210" i="1" s="1"/>
  <c r="BB210" i="1" s="1"/>
  <c r="AT232" i="1"/>
  <c r="BA232" i="1" s="1"/>
  <c r="AT243" i="1"/>
  <c r="BA243" i="1" s="1"/>
  <c r="AT172" i="1"/>
  <c r="BA172" i="1" s="1"/>
  <c r="AT195" i="1"/>
  <c r="BA195" i="1" s="1"/>
  <c r="AT253" i="1"/>
  <c r="BA253" i="1" s="1"/>
  <c r="AT244" i="1"/>
  <c r="BA244" i="1" s="1"/>
  <c r="BB244" i="1" s="1"/>
  <c r="AT219" i="1"/>
  <c r="BA219" i="1" s="1"/>
  <c r="BB219" i="1" s="1"/>
  <c r="AT217" i="1"/>
  <c r="BA217" i="1" s="1"/>
  <c r="AT168" i="1"/>
  <c r="BA168" i="1" s="1"/>
  <c r="AT205" i="1"/>
  <c r="BA205" i="1" s="1"/>
  <c r="AT223" i="1"/>
  <c r="BA223" i="1" s="1"/>
  <c r="AT199" i="1"/>
  <c r="BA199" i="1" s="1"/>
  <c r="AT198" i="1"/>
  <c r="BA198" i="1" s="1"/>
  <c r="AT178" i="1"/>
  <c r="BA178" i="1" s="1"/>
  <c r="BB178" i="1" s="1"/>
  <c r="AT220" i="1"/>
  <c r="BA220" i="1" s="1"/>
  <c r="AT184" i="1"/>
  <c r="BA184" i="1" s="1"/>
  <c r="BB184" i="1" s="1"/>
  <c r="AT234" i="1"/>
  <c r="BA234" i="1" s="1"/>
  <c r="AT235" i="1"/>
  <c r="BA235" i="1" s="1"/>
  <c r="AT165" i="1"/>
  <c r="BA165" i="1" s="1"/>
  <c r="AT193" i="1"/>
  <c r="BA193" i="1" s="1"/>
  <c r="AT158" i="1"/>
  <c r="BA158" i="1" s="1"/>
  <c r="BB158" i="1" s="1"/>
  <c r="AT224" i="1"/>
  <c r="BA224" i="1" s="1"/>
  <c r="AT186" i="1"/>
  <c r="BA186" i="1" s="1"/>
  <c r="BB186" i="1" s="1"/>
  <c r="AT175" i="1"/>
  <c r="BA175" i="1" s="1"/>
  <c r="AT212" i="1"/>
  <c r="BA212" i="1" s="1"/>
  <c r="AT164" i="1"/>
  <c r="BA164" i="1" s="1"/>
  <c r="BB164" i="1" s="1"/>
  <c r="AT160" i="1"/>
  <c r="BA160" i="1" s="1"/>
  <c r="BB160" i="1" s="1"/>
  <c r="AT171" i="1"/>
  <c r="BA171" i="1" s="1"/>
  <c r="BB171" i="1" s="1"/>
  <c r="AT185" i="1"/>
  <c r="BA185" i="1" s="1"/>
  <c r="AT194" i="1"/>
  <c r="BA194" i="1" s="1"/>
  <c r="BB194" i="1" s="1"/>
  <c r="BD204" i="1"/>
  <c r="BA204" i="1"/>
  <c r="BA241" i="1"/>
  <c r="BB241" i="1" s="1"/>
  <c r="K309" i="2"/>
  <c r="L308" i="2"/>
  <c r="K95" i="2"/>
  <c r="L94" i="2"/>
  <c r="K576" i="2"/>
  <c r="L575" i="2"/>
  <c r="BA157" i="1" l="1"/>
  <c r="BB157" i="1" s="1"/>
  <c r="BA236" i="1"/>
  <c r="BB236" i="1" s="1"/>
  <c r="BA226" i="1"/>
  <c r="BB226" i="1" s="1"/>
  <c r="BA233" i="1"/>
  <c r="BB233" i="1" s="1"/>
  <c r="BA222" i="1"/>
  <c r="BB222" i="1" s="1"/>
  <c r="BA215" i="1"/>
  <c r="BB215" i="1" s="1"/>
  <c r="BA187" i="1"/>
  <c r="BB187" i="1" s="1"/>
  <c r="BA174" i="1"/>
  <c r="BB174" i="1" s="1"/>
  <c r="BA248" i="1"/>
  <c r="BB248" i="1" s="1"/>
  <c r="BA213" i="1"/>
  <c r="BB213" i="1" s="1"/>
  <c r="BA214" i="1"/>
  <c r="BB214" i="1" s="1"/>
  <c r="BA250" i="1"/>
  <c r="BB250" i="1" s="1"/>
  <c r="BA169" i="1"/>
  <c r="BB169" i="1" s="1"/>
  <c r="BA181" i="1"/>
  <c r="BB181" i="1" s="1"/>
  <c r="BD196" i="1"/>
  <c r="BE196" i="1" s="1"/>
  <c r="BD228" i="1"/>
  <c r="BE228" i="1" s="1"/>
  <c r="BF228" i="1" s="1"/>
  <c r="BD231" i="1"/>
  <c r="BE231" i="1" s="1"/>
  <c r="BD218" i="1"/>
  <c r="BE218" i="1" s="1"/>
  <c r="BD239" i="1"/>
  <c r="BE239" i="1" s="1"/>
  <c r="BZ157" i="1"/>
  <c r="CL157" i="1" s="1"/>
  <c r="BD221" i="1"/>
  <c r="BZ221" i="1" s="1"/>
  <c r="CL221" i="1" s="1"/>
  <c r="BZ215" i="1"/>
  <c r="CL215" i="1" s="1"/>
  <c r="BD159" i="1"/>
  <c r="BZ159" i="1" s="1"/>
  <c r="CL159" i="1" s="1"/>
  <c r="BZ181" i="1"/>
  <c r="CL181" i="1" s="1"/>
  <c r="BD227" i="1"/>
  <c r="BZ218" i="1"/>
  <c r="CL218" i="1" s="1"/>
  <c r="BZ239" i="1"/>
  <c r="CL239" i="1" s="1"/>
  <c r="BZ196" i="1"/>
  <c r="CL196" i="1" s="1"/>
  <c r="BZ222" i="1"/>
  <c r="CL222" i="1" s="1"/>
  <c r="BD206" i="1"/>
  <c r="BD252" i="1"/>
  <c r="BZ252" i="1" s="1"/>
  <c r="CL252" i="1" s="1"/>
  <c r="BD240" i="1"/>
  <c r="BE240" i="1" s="1"/>
  <c r="BF240" i="1" s="1"/>
  <c r="BD229" i="1"/>
  <c r="BZ226" i="1"/>
  <c r="CL226" i="1" s="1"/>
  <c r="BD180" i="1"/>
  <c r="BD192" i="1"/>
  <c r="BD242" i="1"/>
  <c r="BD254" i="1"/>
  <c r="BD203" i="1"/>
  <c r="BD179" i="1"/>
  <c r="BD176" i="1"/>
  <c r="BD247" i="1"/>
  <c r="BD202" i="1"/>
  <c r="BD190" i="1"/>
  <c r="BB218" i="1"/>
  <c r="BD182" i="1"/>
  <c r="BD255" i="1"/>
  <c r="BD197" i="1"/>
  <c r="BD249" i="1"/>
  <c r="BD207" i="1"/>
  <c r="BD167" i="1"/>
  <c r="BD163" i="1"/>
  <c r="BD189" i="1"/>
  <c r="BD246" i="1"/>
  <c r="BD161" i="1"/>
  <c r="BD232" i="1"/>
  <c r="BD191" i="1"/>
  <c r="BB238" i="1"/>
  <c r="BD183" i="1"/>
  <c r="BD209" i="1"/>
  <c r="BD225" i="1"/>
  <c r="BD170" i="1"/>
  <c r="BD162" i="1"/>
  <c r="BD251" i="1"/>
  <c r="BD205" i="1"/>
  <c r="BB159" i="1"/>
  <c r="BB198" i="1"/>
  <c r="BD193" i="1"/>
  <c r="BD199" i="1"/>
  <c r="BD211" i="1"/>
  <c r="BD166" i="1"/>
  <c r="BD230" i="1"/>
  <c r="BB165" i="1"/>
  <c r="BB203" i="1"/>
  <c r="BD200" i="1"/>
  <c r="BD195" i="1"/>
  <c r="BD188" i="1"/>
  <c r="BD245" i="1"/>
  <c r="BB239" i="1"/>
  <c r="BD216" i="1"/>
  <c r="BD173" i="1"/>
  <c r="BD238" i="1"/>
  <c r="BD177" i="1"/>
  <c r="BD219" i="1"/>
  <c r="BD237" i="1"/>
  <c r="BB220" i="1"/>
  <c r="BD208" i="1"/>
  <c r="BD172" i="1"/>
  <c r="BB224" i="1"/>
  <c r="BD198" i="1"/>
  <c r="BD184" i="1"/>
  <c r="BB249" i="1"/>
  <c r="BD186" i="1"/>
  <c r="BD164" i="1"/>
  <c r="BD201" i="1"/>
  <c r="BD210" i="1"/>
  <c r="BD217" i="1"/>
  <c r="BB246" i="1"/>
  <c r="BD244" i="1"/>
  <c r="BD243" i="1"/>
  <c r="BD185" i="1"/>
  <c r="BD253" i="1"/>
  <c r="BB191" i="1"/>
  <c r="BB207" i="1"/>
  <c r="BD175" i="1"/>
  <c r="BB196" i="1"/>
  <c r="BD220" i="1"/>
  <c r="BD224" i="1"/>
  <c r="BB192" i="1"/>
  <c r="BD234" i="1"/>
  <c r="BD168" i="1"/>
  <c r="BB242" i="1"/>
  <c r="BB199" i="1"/>
  <c r="BD223" i="1"/>
  <c r="BB234" i="1"/>
  <c r="BB188" i="1"/>
  <c r="BB168" i="1"/>
  <c r="BD178" i="1"/>
  <c r="BD158" i="1"/>
  <c r="BB211" i="1"/>
  <c r="BB163" i="1"/>
  <c r="BB195" i="1"/>
  <c r="BB235" i="1"/>
  <c r="BE215" i="1"/>
  <c r="BD160" i="1"/>
  <c r="BD171" i="1"/>
  <c r="BD235" i="1"/>
  <c r="BD212" i="1"/>
  <c r="BB173" i="1"/>
  <c r="BB252" i="1"/>
  <c r="BD165" i="1"/>
  <c r="BB182" i="1"/>
  <c r="BD194" i="1"/>
  <c r="BZ231" i="1"/>
  <c r="CL231" i="1" s="1"/>
  <c r="BZ250" i="1"/>
  <c r="CL250" i="1" s="1"/>
  <c r="BZ169" i="1"/>
  <c r="CL169" i="1" s="1"/>
  <c r="BZ233" i="1"/>
  <c r="CL233" i="1" s="1"/>
  <c r="BZ187" i="1"/>
  <c r="CL187" i="1" s="1"/>
  <c r="BZ241" i="1"/>
  <c r="CL241" i="1" s="1"/>
  <c r="BZ228" i="1"/>
  <c r="CL228" i="1" s="1"/>
  <c r="BZ214" i="1"/>
  <c r="CL214" i="1" s="1"/>
  <c r="BZ248" i="1"/>
  <c r="CL248" i="1" s="1"/>
  <c r="BZ236" i="1"/>
  <c r="CL236" i="1" s="1"/>
  <c r="BZ213" i="1"/>
  <c r="CL213" i="1" s="1"/>
  <c r="BZ174" i="1"/>
  <c r="CL174" i="1" s="1"/>
  <c r="BZ204" i="1"/>
  <c r="CL204" i="1" s="1"/>
  <c r="BB193" i="1"/>
  <c r="BB251" i="1"/>
  <c r="BB183" i="1"/>
  <c r="BB176" i="1"/>
  <c r="BB172" i="1"/>
  <c r="BB175" i="1"/>
  <c r="BB179" i="1"/>
  <c r="BB206" i="1"/>
  <c r="BB167" i="1"/>
  <c r="BB180" i="1"/>
  <c r="BB227" i="1"/>
  <c r="BB205" i="1"/>
  <c r="BB200" i="1"/>
  <c r="BB225" i="1"/>
  <c r="BB245" i="1"/>
  <c r="BB231" i="1"/>
  <c r="BB237" i="1"/>
  <c r="BB223" i="1"/>
  <c r="BB204" i="1"/>
  <c r="BB217" i="1"/>
  <c r="BB232" i="1"/>
  <c r="BB185" i="1"/>
  <c r="BB177" i="1"/>
  <c r="BB243" i="1"/>
  <c r="BB197" i="1"/>
  <c r="BB209" i="1"/>
  <c r="BB212" i="1"/>
  <c r="BB216" i="1"/>
  <c r="BB253" i="1"/>
  <c r="BE174" i="1"/>
  <c r="BE181" i="1"/>
  <c r="BE222" i="1"/>
  <c r="BE236" i="1"/>
  <c r="BE214" i="1"/>
  <c r="BE241" i="1"/>
  <c r="BF241" i="1" s="1"/>
  <c r="BE187" i="1"/>
  <c r="BE226" i="1"/>
  <c r="BE250" i="1"/>
  <c r="BE213" i="1"/>
  <c r="BE233" i="1"/>
  <c r="BE157" i="1"/>
  <c r="BE248" i="1"/>
  <c r="BE169" i="1"/>
  <c r="BE204" i="1"/>
  <c r="K577" i="2"/>
  <c r="L576" i="2"/>
  <c r="L95" i="2"/>
  <c r="K96" i="2"/>
  <c r="K310" i="2"/>
  <c r="L309" i="2"/>
  <c r="BF226" i="1" l="1"/>
  <c r="CG226" i="1" s="1"/>
  <c r="CQ226" i="1" s="1"/>
  <c r="BF236" i="1"/>
  <c r="CG236" i="1" s="1"/>
  <c r="CQ236" i="1" s="1"/>
  <c r="BF233" i="1"/>
  <c r="CG233" i="1" s="1"/>
  <c r="CQ233" i="1" s="1"/>
  <c r="BF187" i="1"/>
  <c r="CG187" i="1" s="1"/>
  <c r="CQ187" i="1" s="1"/>
  <c r="BF174" i="1"/>
  <c r="CG174" i="1" s="1"/>
  <c r="CQ174" i="1" s="1"/>
  <c r="BF248" i="1"/>
  <c r="CG248" i="1" s="1"/>
  <c r="CQ248" i="1" s="1"/>
  <c r="CM215" i="1"/>
  <c r="CN215" i="1" s="1"/>
  <c r="CU215" i="1"/>
  <c r="CM248" i="1"/>
  <c r="CN248" i="1" s="1"/>
  <c r="CU248" i="1"/>
  <c r="CM231" i="1"/>
  <c r="CN231" i="1" s="1"/>
  <c r="CU231" i="1"/>
  <c r="CM196" i="1"/>
  <c r="CN196" i="1" s="1"/>
  <c r="CU196" i="1"/>
  <c r="CM157" i="1"/>
  <c r="CN157" i="1" s="1"/>
  <c r="CU157" i="1"/>
  <c r="CM222" i="1"/>
  <c r="CN222" i="1" s="1"/>
  <c r="CU222" i="1"/>
  <c r="CM214" i="1"/>
  <c r="CN214" i="1" s="1"/>
  <c r="CU214" i="1"/>
  <c r="CM239" i="1"/>
  <c r="CN239" i="1" s="1"/>
  <c r="CU239" i="1"/>
  <c r="CM169" i="1"/>
  <c r="CN169" i="1" s="1"/>
  <c r="CU169" i="1"/>
  <c r="CM221" i="1"/>
  <c r="CN221" i="1" s="1"/>
  <c r="CU221" i="1"/>
  <c r="CM228" i="1"/>
  <c r="CN228" i="1" s="1"/>
  <c r="CU228" i="1"/>
  <c r="CM226" i="1"/>
  <c r="CN226" i="1" s="1"/>
  <c r="CU226" i="1"/>
  <c r="CM218" i="1"/>
  <c r="CN218" i="1" s="1"/>
  <c r="CU218" i="1"/>
  <c r="CM241" i="1"/>
  <c r="CN241" i="1" s="1"/>
  <c r="CU241" i="1"/>
  <c r="CM236" i="1"/>
  <c r="CN236" i="1" s="1"/>
  <c r="CU236" i="1"/>
  <c r="CM204" i="1"/>
  <c r="CN204" i="1" s="1"/>
  <c r="CU204" i="1"/>
  <c r="CM187" i="1"/>
  <c r="CN187" i="1" s="1"/>
  <c r="CU187" i="1"/>
  <c r="CM181" i="1"/>
  <c r="CN181" i="1" s="1"/>
  <c r="CU181" i="1"/>
  <c r="CM213" i="1"/>
  <c r="CN213" i="1" s="1"/>
  <c r="CU213" i="1"/>
  <c r="CM250" i="1"/>
  <c r="CN250" i="1" s="1"/>
  <c r="CU250" i="1"/>
  <c r="CM174" i="1"/>
  <c r="CN174" i="1" s="1"/>
  <c r="CU174" i="1"/>
  <c r="CM233" i="1"/>
  <c r="CN233" i="1" s="1"/>
  <c r="CU233" i="1"/>
  <c r="CM252" i="1"/>
  <c r="CN252" i="1" s="1"/>
  <c r="CU252" i="1"/>
  <c r="CM159" i="1"/>
  <c r="CN159" i="1" s="1"/>
  <c r="CU159" i="1"/>
  <c r="CG241" i="1"/>
  <c r="CQ241" i="1" s="1"/>
  <c r="CG228" i="1"/>
  <c r="CQ228" i="1" s="1"/>
  <c r="CG240" i="1"/>
  <c r="BE221" i="1"/>
  <c r="BF221" i="1" s="1"/>
  <c r="BE159" i="1"/>
  <c r="BF159" i="1" s="1"/>
  <c r="BE206" i="1"/>
  <c r="BF206" i="1" s="1"/>
  <c r="BE227" i="1"/>
  <c r="BF227" i="1" s="1"/>
  <c r="BZ227" i="1"/>
  <c r="CL227" i="1" s="1"/>
  <c r="BE252" i="1"/>
  <c r="BF252" i="1" s="1"/>
  <c r="BF214" i="1"/>
  <c r="BE229" i="1"/>
  <c r="BF229" i="1" s="1"/>
  <c r="BZ229" i="1"/>
  <c r="CL229" i="1" s="1"/>
  <c r="BZ223" i="1"/>
  <c r="CL223" i="1" s="1"/>
  <c r="BZ195" i="1"/>
  <c r="CL195" i="1" s="1"/>
  <c r="BZ242" i="1"/>
  <c r="CL242" i="1" s="1"/>
  <c r="BZ194" i="1"/>
  <c r="CL194" i="1" s="1"/>
  <c r="BZ175" i="1"/>
  <c r="CL175" i="1" s="1"/>
  <c r="BZ200" i="1"/>
  <c r="CL200" i="1" s="1"/>
  <c r="BZ190" i="1"/>
  <c r="CL190" i="1" s="1"/>
  <c r="BZ217" i="1"/>
  <c r="CL217" i="1" s="1"/>
  <c r="BZ198" i="1"/>
  <c r="CL198" i="1" s="1"/>
  <c r="BZ238" i="1"/>
  <c r="CL238" i="1" s="1"/>
  <c r="BZ183" i="1"/>
  <c r="CL183" i="1" s="1"/>
  <c r="BZ167" i="1"/>
  <c r="CL167" i="1" s="1"/>
  <c r="BZ202" i="1"/>
  <c r="CL202" i="1" s="1"/>
  <c r="BZ180" i="1"/>
  <c r="CL180" i="1" s="1"/>
  <c r="BZ165" i="1"/>
  <c r="CL165" i="1" s="1"/>
  <c r="BZ168" i="1"/>
  <c r="CL168" i="1" s="1"/>
  <c r="BZ173" i="1"/>
  <c r="CL173" i="1" s="1"/>
  <c r="BZ205" i="1"/>
  <c r="CL205" i="1" s="1"/>
  <c r="BZ207" i="1"/>
  <c r="CL207" i="1" s="1"/>
  <c r="BZ247" i="1"/>
  <c r="CL247" i="1" s="1"/>
  <c r="BZ171" i="1"/>
  <c r="CL171" i="1" s="1"/>
  <c r="BZ219" i="1"/>
  <c r="CL219" i="1" s="1"/>
  <c r="BZ189" i="1"/>
  <c r="CL189" i="1" s="1"/>
  <c r="BZ160" i="1"/>
  <c r="CL160" i="1" s="1"/>
  <c r="BZ209" i="1"/>
  <c r="CL209" i="1" s="1"/>
  <c r="BZ253" i="1"/>
  <c r="CL253" i="1" s="1"/>
  <c r="BZ216" i="1"/>
  <c r="CL216" i="1" s="1"/>
  <c r="BZ251" i="1"/>
  <c r="CL251" i="1" s="1"/>
  <c r="BZ176" i="1"/>
  <c r="CL176" i="1" s="1"/>
  <c r="BE242" i="1"/>
  <c r="BF242" i="1" s="1"/>
  <c r="BZ185" i="1"/>
  <c r="CL185" i="1" s="1"/>
  <c r="BZ201" i="1"/>
  <c r="CL201" i="1" s="1"/>
  <c r="BZ208" i="1"/>
  <c r="CL208" i="1" s="1"/>
  <c r="BZ166" i="1"/>
  <c r="CL166" i="1" s="1"/>
  <c r="BZ162" i="1"/>
  <c r="CL162" i="1" s="1"/>
  <c r="BZ232" i="1"/>
  <c r="CL232" i="1" s="1"/>
  <c r="BZ197" i="1"/>
  <c r="CL197" i="1" s="1"/>
  <c r="BZ179" i="1"/>
  <c r="CL179" i="1" s="1"/>
  <c r="BZ240" i="1"/>
  <c r="CL240" i="1" s="1"/>
  <c r="BZ225" i="1"/>
  <c r="CL225" i="1" s="1"/>
  <c r="BZ184" i="1"/>
  <c r="CL184" i="1" s="1"/>
  <c r="BZ163" i="1"/>
  <c r="CL163" i="1" s="1"/>
  <c r="BZ234" i="1"/>
  <c r="CL234" i="1" s="1"/>
  <c r="BZ172" i="1"/>
  <c r="CL172" i="1" s="1"/>
  <c r="BZ191" i="1"/>
  <c r="CL191" i="1" s="1"/>
  <c r="BZ249" i="1"/>
  <c r="CL249" i="1" s="1"/>
  <c r="BZ212" i="1"/>
  <c r="CL212" i="1" s="1"/>
  <c r="BZ224" i="1"/>
  <c r="CL224" i="1" s="1"/>
  <c r="BZ243" i="1"/>
  <c r="CL243" i="1" s="1"/>
  <c r="BZ164" i="1"/>
  <c r="CL164" i="1" s="1"/>
  <c r="BZ245" i="1"/>
  <c r="CL245" i="1" s="1"/>
  <c r="BZ211" i="1"/>
  <c r="CL211" i="1" s="1"/>
  <c r="BZ170" i="1"/>
  <c r="CL170" i="1" s="1"/>
  <c r="BZ161" i="1"/>
  <c r="CL161" i="1" s="1"/>
  <c r="BZ255" i="1"/>
  <c r="CL255" i="1" s="1"/>
  <c r="BZ203" i="1"/>
  <c r="CL203" i="1" s="1"/>
  <c r="BZ178" i="1"/>
  <c r="CL178" i="1" s="1"/>
  <c r="BZ193" i="1"/>
  <c r="CL193" i="1" s="1"/>
  <c r="BZ177" i="1"/>
  <c r="CL177" i="1" s="1"/>
  <c r="BZ192" i="1"/>
  <c r="CL192" i="1" s="1"/>
  <c r="BZ210" i="1"/>
  <c r="CL210" i="1" s="1"/>
  <c r="BZ230" i="1"/>
  <c r="CL230" i="1" s="1"/>
  <c r="BZ235" i="1"/>
  <c r="CL235" i="1" s="1"/>
  <c r="BZ158" i="1"/>
  <c r="CL158" i="1" s="1"/>
  <c r="BZ220" i="1"/>
  <c r="CL220" i="1" s="1"/>
  <c r="BZ244" i="1"/>
  <c r="CL244" i="1" s="1"/>
  <c r="BZ186" i="1"/>
  <c r="CL186" i="1" s="1"/>
  <c r="BZ237" i="1"/>
  <c r="CL237" i="1" s="1"/>
  <c r="BZ188" i="1"/>
  <c r="CL188" i="1" s="1"/>
  <c r="BZ199" i="1"/>
  <c r="CL199" i="1" s="1"/>
  <c r="BZ246" i="1"/>
  <c r="CL246" i="1" s="1"/>
  <c r="BZ182" i="1"/>
  <c r="CL182" i="1" s="1"/>
  <c r="BZ254" i="1"/>
  <c r="CL254" i="1" s="1"/>
  <c r="BZ206" i="1"/>
  <c r="CL206" i="1" s="1"/>
  <c r="BE180" i="1"/>
  <c r="BF180" i="1" s="1"/>
  <c r="BF222" i="1"/>
  <c r="BE192" i="1"/>
  <c r="BF192" i="1" s="1"/>
  <c r="BE195" i="1"/>
  <c r="BF195" i="1" s="1"/>
  <c r="BF196" i="1"/>
  <c r="BE254" i="1"/>
  <c r="BF254" i="1" s="1"/>
  <c r="BE188" i="1"/>
  <c r="BF188" i="1" s="1"/>
  <c r="BF169" i="1"/>
  <c r="BE255" i="1"/>
  <c r="BF255" i="1" s="1"/>
  <c r="BE170" i="1"/>
  <c r="BF170" i="1" s="1"/>
  <c r="BE203" i="1"/>
  <c r="BF203" i="1" s="1"/>
  <c r="BE161" i="1"/>
  <c r="BF161" i="1" s="1"/>
  <c r="BE179" i="1"/>
  <c r="BF179" i="1" s="1"/>
  <c r="BF250" i="1"/>
  <c r="BE207" i="1"/>
  <c r="BF207" i="1" s="1"/>
  <c r="BE247" i="1"/>
  <c r="BF247" i="1" s="1"/>
  <c r="BF213" i="1"/>
  <c r="BE176" i="1"/>
  <c r="BF176" i="1" s="1"/>
  <c r="BF181" i="1"/>
  <c r="BE167" i="1"/>
  <c r="BF167" i="1" s="1"/>
  <c r="BF157" i="1"/>
  <c r="BE190" i="1"/>
  <c r="BF190" i="1" s="1"/>
  <c r="BF218" i="1"/>
  <c r="BE163" i="1"/>
  <c r="BF163" i="1" s="1"/>
  <c r="BE202" i="1"/>
  <c r="BF202" i="1" s="1"/>
  <c r="BE209" i="1"/>
  <c r="BF209" i="1" s="1"/>
  <c r="BF231" i="1"/>
  <c r="BF215" i="1"/>
  <c r="BE197" i="1"/>
  <c r="BF197" i="1" s="1"/>
  <c r="BE232" i="1"/>
  <c r="BF232" i="1" s="1"/>
  <c r="BE182" i="1"/>
  <c r="BF182" i="1" s="1"/>
  <c r="BE246" i="1"/>
  <c r="BF246" i="1" s="1"/>
  <c r="BE237" i="1"/>
  <c r="BF237" i="1" s="1"/>
  <c r="BE158" i="1"/>
  <c r="BF158" i="1" s="1"/>
  <c r="BF204" i="1"/>
  <c r="BE199" i="1"/>
  <c r="BF199" i="1" s="1"/>
  <c r="BE244" i="1"/>
  <c r="BF244" i="1" s="1"/>
  <c r="BF239" i="1"/>
  <c r="BE191" i="1"/>
  <c r="BF191" i="1" s="1"/>
  <c r="BE249" i="1"/>
  <c r="BF249" i="1" s="1"/>
  <c r="BE219" i="1"/>
  <c r="BF219" i="1" s="1"/>
  <c r="BE223" i="1"/>
  <c r="BF223" i="1" s="1"/>
  <c r="BE189" i="1"/>
  <c r="BF189" i="1" s="1"/>
  <c r="BE178" i="1"/>
  <c r="BF178" i="1" s="1"/>
  <c r="BE225" i="1"/>
  <c r="BF225" i="1" s="1"/>
  <c r="BE171" i="1"/>
  <c r="BF171" i="1" s="1"/>
  <c r="BE193" i="1"/>
  <c r="BF193" i="1" s="1"/>
  <c r="BE183" i="1"/>
  <c r="BF183" i="1" s="1"/>
  <c r="BE166" i="1"/>
  <c r="BF166" i="1" s="1"/>
  <c r="BE162" i="1"/>
  <c r="BF162" i="1" s="1"/>
  <c r="BE205" i="1"/>
  <c r="BF205" i="1" s="1"/>
  <c r="BE251" i="1"/>
  <c r="BF251" i="1" s="1"/>
  <c r="BE198" i="1"/>
  <c r="BF198" i="1" s="1"/>
  <c r="BE164" i="1"/>
  <c r="BF164" i="1" s="1"/>
  <c r="BE224" i="1"/>
  <c r="BF224" i="1" s="1"/>
  <c r="BE245" i="1"/>
  <c r="BF245" i="1" s="1"/>
  <c r="BE211" i="1"/>
  <c r="BF211" i="1" s="1"/>
  <c r="BE212" i="1"/>
  <c r="BF212" i="1" s="1"/>
  <c r="BE243" i="1"/>
  <c r="BF243" i="1" s="1"/>
  <c r="BE216" i="1"/>
  <c r="BF216" i="1" s="1"/>
  <c r="BE238" i="1"/>
  <c r="BF238" i="1" s="1"/>
  <c r="BE210" i="1"/>
  <c r="BF210" i="1" s="1"/>
  <c r="BE230" i="1"/>
  <c r="BF230" i="1" s="1"/>
  <c r="BE177" i="1"/>
  <c r="BF177" i="1" s="1"/>
  <c r="BE184" i="1"/>
  <c r="BF184" i="1" s="1"/>
  <c r="BE200" i="1"/>
  <c r="BF200" i="1" s="1"/>
  <c r="BE201" i="1"/>
  <c r="BF201" i="1" s="1"/>
  <c r="BE185" i="1"/>
  <c r="BF185" i="1" s="1"/>
  <c r="BE173" i="1"/>
  <c r="BF173" i="1" s="1"/>
  <c r="BE208" i="1"/>
  <c r="BF208" i="1" s="1"/>
  <c r="BE172" i="1"/>
  <c r="BF172" i="1" s="1"/>
  <c r="BE234" i="1"/>
  <c r="BF234" i="1" s="1"/>
  <c r="BE253" i="1"/>
  <c r="BF253" i="1" s="1"/>
  <c r="BE186" i="1"/>
  <c r="BF186" i="1" s="1"/>
  <c r="BE235" i="1"/>
  <c r="BF235" i="1" s="1"/>
  <c r="BE220" i="1"/>
  <c r="BF220" i="1" s="1"/>
  <c r="BE217" i="1"/>
  <c r="BF217" i="1" s="1"/>
  <c r="BE175" i="1"/>
  <c r="BF175" i="1" s="1"/>
  <c r="BE168" i="1"/>
  <c r="BF168" i="1" s="1"/>
  <c r="BE194" i="1"/>
  <c r="BF194" i="1" s="1"/>
  <c r="BE160" i="1"/>
  <c r="BF160" i="1" s="1"/>
  <c r="BE165" i="1"/>
  <c r="BF165" i="1" s="1"/>
  <c r="L96" i="2"/>
  <c r="K97" i="2"/>
  <c r="L310" i="2"/>
  <c r="K311" i="2"/>
  <c r="K578" i="2"/>
  <c r="L577" i="2"/>
  <c r="CQ240" i="1" l="1"/>
  <c r="CV159" i="1"/>
  <c r="CV250" i="1"/>
  <c r="CV204" i="1"/>
  <c r="CV226" i="1"/>
  <c r="CV239" i="1"/>
  <c r="CV196" i="1"/>
  <c r="CV252" i="1"/>
  <c r="CV213" i="1"/>
  <c r="CV236" i="1"/>
  <c r="CV228" i="1"/>
  <c r="CV214" i="1"/>
  <c r="CV231" i="1"/>
  <c r="CV233" i="1"/>
  <c r="CV181" i="1"/>
  <c r="CV241" i="1"/>
  <c r="CV221" i="1"/>
  <c r="CV222" i="1"/>
  <c r="CV248" i="1"/>
  <c r="CV174" i="1"/>
  <c r="CV187" i="1"/>
  <c r="CV218" i="1"/>
  <c r="CV169" i="1"/>
  <c r="CV157" i="1"/>
  <c r="CV215" i="1"/>
  <c r="CM199" i="1"/>
  <c r="CN199" i="1" s="1"/>
  <c r="CU199" i="1"/>
  <c r="CM179" i="1"/>
  <c r="CN179" i="1" s="1"/>
  <c r="CU179" i="1"/>
  <c r="CM197" i="1"/>
  <c r="CN197" i="1" s="1"/>
  <c r="CU197" i="1"/>
  <c r="CM237" i="1"/>
  <c r="CN237" i="1" s="1"/>
  <c r="CU237" i="1"/>
  <c r="CM192" i="1"/>
  <c r="CN192" i="1" s="1"/>
  <c r="CU192" i="1"/>
  <c r="CM211" i="1"/>
  <c r="CN211" i="1" s="1"/>
  <c r="CU211" i="1"/>
  <c r="CM172" i="1"/>
  <c r="CN172" i="1" s="1"/>
  <c r="CU172" i="1"/>
  <c r="CM232" i="1"/>
  <c r="CN232" i="1" s="1"/>
  <c r="CU232" i="1"/>
  <c r="CM251" i="1"/>
  <c r="CN251" i="1" s="1"/>
  <c r="CU251" i="1"/>
  <c r="CM247" i="1"/>
  <c r="CN247" i="1" s="1"/>
  <c r="CU247" i="1"/>
  <c r="CM167" i="1"/>
  <c r="CN167" i="1" s="1"/>
  <c r="CU167" i="1"/>
  <c r="CM194" i="1"/>
  <c r="CN194" i="1" s="1"/>
  <c r="CU194" i="1"/>
  <c r="CM227" i="1"/>
  <c r="CN227" i="1" s="1"/>
  <c r="CU227" i="1"/>
  <c r="CM161" i="1"/>
  <c r="CN161" i="1" s="1"/>
  <c r="CU161" i="1"/>
  <c r="CM180" i="1"/>
  <c r="CN180" i="1" s="1"/>
  <c r="CU180" i="1"/>
  <c r="CM191" i="1"/>
  <c r="CN191" i="1" s="1"/>
  <c r="CU191" i="1"/>
  <c r="CM175" i="1"/>
  <c r="CN175" i="1" s="1"/>
  <c r="CU175" i="1"/>
  <c r="CM186" i="1"/>
  <c r="CN186" i="1" s="1"/>
  <c r="CU186" i="1"/>
  <c r="CM177" i="1"/>
  <c r="CN177" i="1" s="1"/>
  <c r="CU177" i="1"/>
  <c r="CM245" i="1"/>
  <c r="CN245" i="1" s="1"/>
  <c r="CU245" i="1"/>
  <c r="CM234" i="1"/>
  <c r="CN234" i="1" s="1"/>
  <c r="CU234" i="1"/>
  <c r="CM162" i="1"/>
  <c r="CN162" i="1" s="1"/>
  <c r="CU162" i="1"/>
  <c r="CM216" i="1"/>
  <c r="CN216" i="1" s="1"/>
  <c r="CU216" i="1"/>
  <c r="CM207" i="1"/>
  <c r="CN207" i="1" s="1"/>
  <c r="CU207" i="1"/>
  <c r="CM183" i="1"/>
  <c r="CN183" i="1" s="1"/>
  <c r="CU183" i="1"/>
  <c r="CM242" i="1"/>
  <c r="CN242" i="1" s="1"/>
  <c r="CU242" i="1"/>
  <c r="CM230" i="1"/>
  <c r="CN230" i="1" s="1"/>
  <c r="CU230" i="1"/>
  <c r="CM206" i="1"/>
  <c r="CN206" i="1" s="1"/>
  <c r="CU206" i="1"/>
  <c r="CM244" i="1"/>
  <c r="CN244" i="1" s="1"/>
  <c r="CU244" i="1"/>
  <c r="CM193" i="1"/>
  <c r="CN193" i="1" s="1"/>
  <c r="CU193" i="1"/>
  <c r="CM164" i="1"/>
  <c r="CN164" i="1" s="1"/>
  <c r="CU164" i="1"/>
  <c r="CM163" i="1"/>
  <c r="CN163" i="1" s="1"/>
  <c r="CU163" i="1"/>
  <c r="CM166" i="1"/>
  <c r="CN166" i="1" s="1"/>
  <c r="CU166" i="1"/>
  <c r="CM253" i="1"/>
  <c r="CN253" i="1" s="1"/>
  <c r="CU253" i="1"/>
  <c r="CM205" i="1"/>
  <c r="CN205" i="1" s="1"/>
  <c r="CU205" i="1"/>
  <c r="CM238" i="1"/>
  <c r="CN238" i="1" s="1"/>
  <c r="CU238" i="1"/>
  <c r="CM195" i="1"/>
  <c r="CN195" i="1" s="1"/>
  <c r="CU195" i="1"/>
  <c r="CM170" i="1"/>
  <c r="CN170" i="1" s="1"/>
  <c r="CU170" i="1"/>
  <c r="CM202" i="1"/>
  <c r="CN202" i="1" s="1"/>
  <c r="CU202" i="1"/>
  <c r="CM254" i="1"/>
  <c r="CN254" i="1" s="1"/>
  <c r="CU254" i="1"/>
  <c r="CM220" i="1"/>
  <c r="CN220" i="1" s="1"/>
  <c r="CU220" i="1"/>
  <c r="CM178" i="1"/>
  <c r="CN178" i="1" s="1"/>
  <c r="CU178" i="1"/>
  <c r="CM243" i="1"/>
  <c r="CN243" i="1" s="1"/>
  <c r="CU243" i="1"/>
  <c r="CM184" i="1"/>
  <c r="CN184" i="1" s="1"/>
  <c r="CU184" i="1"/>
  <c r="CM208" i="1"/>
  <c r="CN208" i="1" s="1"/>
  <c r="CU208" i="1"/>
  <c r="CM209" i="1"/>
  <c r="CN209" i="1" s="1"/>
  <c r="CU209" i="1"/>
  <c r="CM173" i="1"/>
  <c r="CN173" i="1" s="1"/>
  <c r="CU173" i="1"/>
  <c r="CM198" i="1"/>
  <c r="CN198" i="1" s="1"/>
  <c r="CU198" i="1"/>
  <c r="CM223" i="1"/>
  <c r="CN223" i="1" s="1"/>
  <c r="CU223" i="1"/>
  <c r="CM249" i="1"/>
  <c r="CN249" i="1" s="1"/>
  <c r="CU249" i="1"/>
  <c r="CM200" i="1"/>
  <c r="CN200" i="1" s="1"/>
  <c r="CU200" i="1"/>
  <c r="CM188" i="1"/>
  <c r="CN188" i="1" s="1"/>
  <c r="CU188" i="1"/>
  <c r="CM176" i="1"/>
  <c r="CN176" i="1" s="1"/>
  <c r="CU176" i="1"/>
  <c r="CM182" i="1"/>
  <c r="CN182" i="1" s="1"/>
  <c r="CU182" i="1"/>
  <c r="CM158" i="1"/>
  <c r="CN158" i="1" s="1"/>
  <c r="CU158" i="1"/>
  <c r="CM203" i="1"/>
  <c r="CN203" i="1" s="1"/>
  <c r="CU203" i="1"/>
  <c r="CM224" i="1"/>
  <c r="CN224" i="1" s="1"/>
  <c r="CU224" i="1"/>
  <c r="CM225" i="1"/>
  <c r="CN225" i="1" s="1"/>
  <c r="CU225" i="1"/>
  <c r="CM201" i="1"/>
  <c r="CN201" i="1" s="1"/>
  <c r="CU201" i="1"/>
  <c r="CM160" i="1"/>
  <c r="CN160" i="1" s="1"/>
  <c r="CU160" i="1"/>
  <c r="CM168" i="1"/>
  <c r="CN168" i="1" s="1"/>
  <c r="CU168" i="1"/>
  <c r="CM217" i="1"/>
  <c r="CN217" i="1" s="1"/>
  <c r="CU217" i="1"/>
  <c r="CM229" i="1"/>
  <c r="CN229" i="1" s="1"/>
  <c r="CU229" i="1"/>
  <c r="CM219" i="1"/>
  <c r="CN219" i="1" s="1"/>
  <c r="CU219" i="1"/>
  <c r="CM210" i="1"/>
  <c r="CN210" i="1" s="1"/>
  <c r="CU210" i="1"/>
  <c r="CM171" i="1"/>
  <c r="CN171" i="1" s="1"/>
  <c r="CU171" i="1"/>
  <c r="CM246" i="1"/>
  <c r="CN246" i="1" s="1"/>
  <c r="CU246" i="1"/>
  <c r="CM235" i="1"/>
  <c r="CN235" i="1" s="1"/>
  <c r="CU235" i="1"/>
  <c r="CM255" i="1"/>
  <c r="CN255" i="1" s="1"/>
  <c r="CU255" i="1"/>
  <c r="CM212" i="1"/>
  <c r="CN212" i="1" s="1"/>
  <c r="CU212" i="1"/>
  <c r="CM240" i="1"/>
  <c r="CN240" i="1" s="1"/>
  <c r="CU240" i="1"/>
  <c r="CM185" i="1"/>
  <c r="CN185" i="1" s="1"/>
  <c r="CU185" i="1"/>
  <c r="CM189" i="1"/>
  <c r="CN189" i="1" s="1"/>
  <c r="CU189" i="1"/>
  <c r="CM165" i="1"/>
  <c r="CN165" i="1" s="1"/>
  <c r="CU165" i="1"/>
  <c r="CM190" i="1"/>
  <c r="CN190" i="1" s="1"/>
  <c r="CU190" i="1"/>
  <c r="CG200" i="1"/>
  <c r="CQ200" i="1" s="1"/>
  <c r="CG212" i="1"/>
  <c r="CQ212" i="1" s="1"/>
  <c r="CG162" i="1"/>
  <c r="CQ162" i="1" s="1"/>
  <c r="CG223" i="1"/>
  <c r="CQ223" i="1" s="1"/>
  <c r="CG158" i="1"/>
  <c r="CQ158" i="1" s="1"/>
  <c r="CG209" i="1"/>
  <c r="CQ209" i="1" s="1"/>
  <c r="CG176" i="1"/>
  <c r="CQ176" i="1" s="1"/>
  <c r="CG170" i="1"/>
  <c r="CQ170" i="1" s="1"/>
  <c r="CG222" i="1"/>
  <c r="CQ222" i="1" s="1"/>
  <c r="CG184" i="1"/>
  <c r="CQ184" i="1" s="1"/>
  <c r="CG211" i="1"/>
  <c r="CQ211" i="1" s="1"/>
  <c r="CG166" i="1"/>
  <c r="CQ166" i="1" s="1"/>
  <c r="CG219" i="1"/>
  <c r="CQ219" i="1" s="1"/>
  <c r="CG237" i="1"/>
  <c r="CQ237" i="1" s="1"/>
  <c r="CG202" i="1"/>
  <c r="CQ202" i="1" s="1"/>
  <c r="CG213" i="1"/>
  <c r="CQ213" i="1" s="1"/>
  <c r="CG255" i="1"/>
  <c r="CQ255" i="1" s="1"/>
  <c r="CG180" i="1"/>
  <c r="CQ180" i="1" s="1"/>
  <c r="CG227" i="1"/>
  <c r="CQ227" i="1" s="1"/>
  <c r="CG177" i="1"/>
  <c r="CQ177" i="1" s="1"/>
  <c r="CG245" i="1"/>
  <c r="CQ245" i="1" s="1"/>
  <c r="CG183" i="1"/>
  <c r="CQ183" i="1" s="1"/>
  <c r="CG249" i="1"/>
  <c r="CQ249" i="1" s="1"/>
  <c r="CG246" i="1"/>
  <c r="CQ246" i="1" s="1"/>
  <c r="CG163" i="1"/>
  <c r="CQ163" i="1" s="1"/>
  <c r="CG247" i="1"/>
  <c r="CQ247" i="1" s="1"/>
  <c r="CG169" i="1"/>
  <c r="CQ169" i="1" s="1"/>
  <c r="CG206" i="1"/>
  <c r="CQ206" i="1" s="1"/>
  <c r="CG230" i="1"/>
  <c r="CQ230" i="1" s="1"/>
  <c r="CG224" i="1"/>
  <c r="CQ224" i="1" s="1"/>
  <c r="CG193" i="1"/>
  <c r="CQ193" i="1" s="1"/>
  <c r="CG191" i="1"/>
  <c r="CQ191" i="1" s="1"/>
  <c r="CG182" i="1"/>
  <c r="CQ182" i="1" s="1"/>
  <c r="CG218" i="1"/>
  <c r="CQ218" i="1" s="1"/>
  <c r="CG207" i="1"/>
  <c r="CQ207" i="1" s="1"/>
  <c r="CG188" i="1"/>
  <c r="CQ188" i="1" s="1"/>
  <c r="CG159" i="1"/>
  <c r="CQ159" i="1" s="1"/>
  <c r="CH241" i="1"/>
  <c r="CI241" i="1" s="1"/>
  <c r="CR241" i="1" s="1"/>
  <c r="CG175" i="1"/>
  <c r="CQ175" i="1" s="1"/>
  <c r="CG164" i="1"/>
  <c r="CQ164" i="1" s="1"/>
  <c r="CG171" i="1"/>
  <c r="CQ171" i="1" s="1"/>
  <c r="CG239" i="1"/>
  <c r="CQ239" i="1" s="1"/>
  <c r="CG232" i="1"/>
  <c r="CQ232" i="1" s="1"/>
  <c r="CG190" i="1"/>
  <c r="CQ190" i="1" s="1"/>
  <c r="CG250" i="1"/>
  <c r="CQ250" i="1" s="1"/>
  <c r="CG254" i="1"/>
  <c r="CQ254" i="1" s="1"/>
  <c r="CG221" i="1"/>
  <c r="CQ221" i="1" s="1"/>
  <c r="CG238" i="1"/>
  <c r="CQ238" i="1" s="1"/>
  <c r="CG198" i="1"/>
  <c r="CQ198" i="1" s="1"/>
  <c r="CG225" i="1"/>
  <c r="CQ225" i="1" s="1"/>
  <c r="CG197" i="1"/>
  <c r="CQ197" i="1" s="1"/>
  <c r="CG157" i="1"/>
  <c r="CQ157" i="1" s="1"/>
  <c r="CG179" i="1"/>
  <c r="CQ179" i="1" s="1"/>
  <c r="CG196" i="1"/>
  <c r="CQ196" i="1" s="1"/>
  <c r="CG229" i="1"/>
  <c r="CQ229" i="1" s="1"/>
  <c r="CG251" i="1"/>
  <c r="CQ251" i="1" s="1"/>
  <c r="CG178" i="1"/>
  <c r="CQ178" i="1" s="1"/>
  <c r="CG199" i="1"/>
  <c r="CQ199" i="1" s="1"/>
  <c r="CG215" i="1"/>
  <c r="CQ215" i="1" s="1"/>
  <c r="CG167" i="1"/>
  <c r="CQ167" i="1" s="1"/>
  <c r="CG161" i="1"/>
  <c r="CQ161" i="1" s="1"/>
  <c r="CG195" i="1"/>
  <c r="CQ195" i="1" s="1"/>
  <c r="CG242" i="1"/>
  <c r="CQ242" i="1" s="1"/>
  <c r="CG214" i="1"/>
  <c r="CQ214" i="1" s="1"/>
  <c r="CH233" i="1"/>
  <c r="CG220" i="1"/>
  <c r="CQ220" i="1" s="1"/>
  <c r="CG216" i="1"/>
  <c r="CQ216" i="1" s="1"/>
  <c r="CG243" i="1"/>
  <c r="CQ243" i="1" s="1"/>
  <c r="CG205" i="1"/>
  <c r="CQ205" i="1" s="1"/>
  <c r="CG189" i="1"/>
  <c r="CQ189" i="1" s="1"/>
  <c r="CG204" i="1"/>
  <c r="CQ204" i="1" s="1"/>
  <c r="CG231" i="1"/>
  <c r="CQ231" i="1" s="1"/>
  <c r="CG181" i="1"/>
  <c r="CQ181" i="1" s="1"/>
  <c r="CG203" i="1"/>
  <c r="CQ203" i="1" s="1"/>
  <c r="CG192" i="1"/>
  <c r="CQ192" i="1" s="1"/>
  <c r="CG252" i="1"/>
  <c r="CQ252" i="1" s="1"/>
  <c r="CH248" i="1"/>
  <c r="CH236" i="1"/>
  <c r="CG253" i="1"/>
  <c r="CQ253" i="1" s="1"/>
  <c r="CH240" i="1"/>
  <c r="CH187" i="1"/>
  <c r="CG234" i="1"/>
  <c r="CQ234" i="1" s="1"/>
  <c r="CH228" i="1"/>
  <c r="CH226" i="1"/>
  <c r="CG217" i="1"/>
  <c r="CQ217" i="1" s="1"/>
  <c r="CG208" i="1"/>
  <c r="CQ208" i="1" s="1"/>
  <c r="CG210" i="1"/>
  <c r="CQ210" i="1" s="1"/>
  <c r="CG172" i="1"/>
  <c r="CQ172" i="1" s="1"/>
  <c r="CG244" i="1"/>
  <c r="CQ244" i="1" s="1"/>
  <c r="CG168" i="1"/>
  <c r="CQ168" i="1" s="1"/>
  <c r="CG165" i="1"/>
  <c r="CQ165" i="1" s="1"/>
  <c r="CG173" i="1"/>
  <c r="CQ173" i="1" s="1"/>
  <c r="CG160" i="1"/>
  <c r="CQ160" i="1" s="1"/>
  <c r="CG235" i="1"/>
  <c r="CQ235" i="1" s="1"/>
  <c r="CG185" i="1"/>
  <c r="CQ185" i="1" s="1"/>
  <c r="CG194" i="1"/>
  <c r="CQ194" i="1" s="1"/>
  <c r="CG186" i="1"/>
  <c r="CQ186" i="1" s="1"/>
  <c r="CG201" i="1"/>
  <c r="CQ201" i="1" s="1"/>
  <c r="CH174" i="1"/>
  <c r="L311" i="2"/>
  <c r="K312" i="2"/>
  <c r="K98" i="2"/>
  <c r="L97" i="2"/>
  <c r="K579" i="2"/>
  <c r="L578" i="2"/>
  <c r="CV235" i="1" l="1"/>
  <c r="CV160" i="1"/>
  <c r="CV188" i="1"/>
  <c r="CV198" i="1"/>
  <c r="CV254" i="1"/>
  <c r="CV238" i="1"/>
  <c r="CV163" i="1"/>
  <c r="CV206" i="1"/>
  <c r="CV207" i="1"/>
  <c r="CV245" i="1"/>
  <c r="CV191" i="1"/>
  <c r="CV194" i="1"/>
  <c r="CV232" i="1"/>
  <c r="CV237" i="1"/>
  <c r="CV185" i="1"/>
  <c r="CV219" i="1"/>
  <c r="CV203" i="1"/>
  <c r="CV184" i="1"/>
  <c r="CV240" i="1"/>
  <c r="CV229" i="1"/>
  <c r="CV158" i="1"/>
  <c r="CV173" i="1"/>
  <c r="CV243" i="1"/>
  <c r="CV205" i="1"/>
  <c r="CV164" i="1"/>
  <c r="CV230" i="1"/>
  <c r="CV216" i="1"/>
  <c r="CV177" i="1"/>
  <c r="CV180" i="1"/>
  <c r="CV167" i="1"/>
  <c r="CV172" i="1"/>
  <c r="CV197" i="1"/>
  <c r="CV190" i="1"/>
  <c r="CV246" i="1"/>
  <c r="CV201" i="1"/>
  <c r="CV200" i="1"/>
  <c r="CV202" i="1"/>
  <c r="CV212" i="1"/>
  <c r="CV217" i="1"/>
  <c r="CV225" i="1"/>
  <c r="CV249" i="1"/>
  <c r="CV209" i="1"/>
  <c r="CV178" i="1"/>
  <c r="CV170" i="1"/>
  <c r="CV253" i="1"/>
  <c r="CV193" i="1"/>
  <c r="CV242" i="1"/>
  <c r="CV162" i="1"/>
  <c r="CV186" i="1"/>
  <c r="CV161" i="1"/>
  <c r="CV247" i="1"/>
  <c r="CV211" i="1"/>
  <c r="CV179" i="1"/>
  <c r="CV165" i="1"/>
  <c r="CV171" i="1"/>
  <c r="CV182" i="1"/>
  <c r="CV189" i="1"/>
  <c r="CV255" i="1"/>
  <c r="CV210" i="1"/>
  <c r="CV168" i="1"/>
  <c r="CV224" i="1"/>
  <c r="CV176" i="1"/>
  <c r="CV223" i="1"/>
  <c r="CV208" i="1"/>
  <c r="CV220" i="1"/>
  <c r="CV195" i="1"/>
  <c r="CV166" i="1"/>
  <c r="CV244" i="1"/>
  <c r="CV183" i="1"/>
  <c r="CV234" i="1"/>
  <c r="CV175" i="1"/>
  <c r="CV227" i="1"/>
  <c r="CV251" i="1"/>
  <c r="CV192" i="1"/>
  <c r="CV199" i="1"/>
  <c r="CH190" i="1"/>
  <c r="CI190" i="1" s="1"/>
  <c r="CR190" i="1" s="1"/>
  <c r="CH191" i="1"/>
  <c r="CI191" i="1" s="1"/>
  <c r="CR191" i="1" s="1"/>
  <c r="CH184" i="1"/>
  <c r="CI184" i="1" s="1"/>
  <c r="CR184" i="1" s="1"/>
  <c r="CH246" i="1"/>
  <c r="CI246" i="1" s="1"/>
  <c r="CR246" i="1" s="1"/>
  <c r="CH249" i="1"/>
  <c r="CI249" i="1" s="1"/>
  <c r="CR249" i="1" s="1"/>
  <c r="CH222" i="1"/>
  <c r="CI222" i="1" s="1"/>
  <c r="CR222" i="1" s="1"/>
  <c r="CH196" i="1"/>
  <c r="CI196" i="1" s="1"/>
  <c r="CR196" i="1" s="1"/>
  <c r="CH242" i="1"/>
  <c r="CI242" i="1" s="1"/>
  <c r="CR242" i="1" s="1"/>
  <c r="CH180" i="1"/>
  <c r="CI180" i="1" s="1"/>
  <c r="CR180" i="1" s="1"/>
  <c r="CH255" i="1"/>
  <c r="CI255" i="1" s="1"/>
  <c r="CR255" i="1" s="1"/>
  <c r="CH221" i="1"/>
  <c r="CI221" i="1" s="1"/>
  <c r="CR221" i="1" s="1"/>
  <c r="CH227" i="1"/>
  <c r="CI227" i="1" s="1"/>
  <c r="CR227" i="1" s="1"/>
  <c r="CH189" i="1"/>
  <c r="CI189" i="1" s="1"/>
  <c r="CR189" i="1" s="1"/>
  <c r="CH163" i="1"/>
  <c r="CI163" i="1" s="1"/>
  <c r="CR163" i="1" s="1"/>
  <c r="CH162" i="1"/>
  <c r="CI162" i="1" s="1"/>
  <c r="CR162" i="1" s="1"/>
  <c r="CH204" i="1"/>
  <c r="CI204" i="1" s="1"/>
  <c r="CR204" i="1" s="1"/>
  <c r="CH182" i="1"/>
  <c r="CI182" i="1" s="1"/>
  <c r="CR182" i="1" s="1"/>
  <c r="CH216" i="1"/>
  <c r="CI216" i="1" s="1"/>
  <c r="CR216" i="1" s="1"/>
  <c r="CH215" i="1"/>
  <c r="CI215" i="1" s="1"/>
  <c r="CR215" i="1" s="1"/>
  <c r="CH157" i="1"/>
  <c r="CI157" i="1" s="1"/>
  <c r="CR157" i="1" s="1"/>
  <c r="CH250" i="1"/>
  <c r="CI250" i="1" s="1"/>
  <c r="CR250" i="1" s="1"/>
  <c r="CH159" i="1"/>
  <c r="CI159" i="1" s="1"/>
  <c r="CR159" i="1" s="1"/>
  <c r="CH230" i="1"/>
  <c r="CI230" i="1" s="1"/>
  <c r="CR230" i="1" s="1"/>
  <c r="CH183" i="1"/>
  <c r="CI183" i="1" s="1"/>
  <c r="CR183" i="1" s="1"/>
  <c r="CH202" i="1"/>
  <c r="CI202" i="1" s="1"/>
  <c r="CR202" i="1" s="1"/>
  <c r="CH223" i="1"/>
  <c r="CI223" i="1" s="1"/>
  <c r="CR223" i="1" s="1"/>
  <c r="CH220" i="1"/>
  <c r="CI220" i="1" s="1"/>
  <c r="CR220" i="1" s="1"/>
  <c r="CH199" i="1"/>
  <c r="CI199" i="1" s="1"/>
  <c r="CR199" i="1" s="1"/>
  <c r="CH197" i="1"/>
  <c r="CI197" i="1" s="1"/>
  <c r="CR197" i="1" s="1"/>
  <c r="CH188" i="1"/>
  <c r="CI188" i="1" s="1"/>
  <c r="CR188" i="1" s="1"/>
  <c r="CH176" i="1"/>
  <c r="CI176" i="1" s="1"/>
  <c r="CR176" i="1" s="1"/>
  <c r="CH181" i="1"/>
  <c r="CI181" i="1" s="1"/>
  <c r="CR181" i="1" s="1"/>
  <c r="CH209" i="1"/>
  <c r="CI209" i="1" s="1"/>
  <c r="CR209" i="1" s="1"/>
  <c r="CH166" i="1"/>
  <c r="CI166" i="1" s="1"/>
  <c r="CR166" i="1" s="1"/>
  <c r="CH245" i="1"/>
  <c r="CI245" i="1" s="1"/>
  <c r="CR245" i="1" s="1"/>
  <c r="CH211" i="1"/>
  <c r="CI211" i="1" s="1"/>
  <c r="CR211" i="1" s="1"/>
  <c r="CH247" i="1"/>
  <c r="CI247" i="1" s="1"/>
  <c r="CR247" i="1" s="1"/>
  <c r="CH164" i="1"/>
  <c r="CI164" i="1" s="1"/>
  <c r="CR164" i="1" s="1"/>
  <c r="CH238" i="1"/>
  <c r="CI238" i="1" s="1"/>
  <c r="CR238" i="1" s="1"/>
  <c r="CH229" i="1"/>
  <c r="CI229" i="1" s="1"/>
  <c r="CR229" i="1" s="1"/>
  <c r="CH170" i="1"/>
  <c r="CI170" i="1" s="1"/>
  <c r="CR170" i="1" s="1"/>
  <c r="CH171" i="1"/>
  <c r="CI171" i="1" s="1"/>
  <c r="CR171" i="1" s="1"/>
  <c r="CH177" i="1"/>
  <c r="CI177" i="1" s="1"/>
  <c r="CR177" i="1" s="1"/>
  <c r="CH237" i="1"/>
  <c r="CI237" i="1" s="1"/>
  <c r="CR237" i="1" s="1"/>
  <c r="CH179" i="1"/>
  <c r="CI179" i="1" s="1"/>
  <c r="CR179" i="1" s="1"/>
  <c r="CH178" i="1"/>
  <c r="CH218" i="1"/>
  <c r="CI218" i="1" s="1"/>
  <c r="CR218" i="1" s="1"/>
  <c r="CH161" i="1"/>
  <c r="CI161" i="1" s="1"/>
  <c r="CR161" i="1" s="1"/>
  <c r="CH251" i="1"/>
  <c r="CI251" i="1" s="1"/>
  <c r="CR251" i="1" s="1"/>
  <c r="CH225" i="1"/>
  <c r="CI225" i="1" s="1"/>
  <c r="CR225" i="1" s="1"/>
  <c r="CH243" i="1"/>
  <c r="CI243" i="1" s="1"/>
  <c r="CR243" i="1" s="1"/>
  <c r="CH232" i="1"/>
  <c r="CI232" i="1" s="1"/>
  <c r="CR232" i="1" s="1"/>
  <c r="CH213" i="1"/>
  <c r="CI213" i="1" s="1"/>
  <c r="CR213" i="1" s="1"/>
  <c r="CH193" i="1"/>
  <c r="CI193" i="1" s="1"/>
  <c r="CR193" i="1" s="1"/>
  <c r="CH214" i="1"/>
  <c r="CI214" i="1" s="1"/>
  <c r="CR214" i="1" s="1"/>
  <c r="CH167" i="1"/>
  <c r="CI167" i="1" s="1"/>
  <c r="CR167" i="1" s="1"/>
  <c r="CH212" i="1"/>
  <c r="CI212" i="1" s="1"/>
  <c r="CR212" i="1" s="1"/>
  <c r="CH219" i="1"/>
  <c r="CI219" i="1" s="1"/>
  <c r="CR219" i="1" s="1"/>
  <c r="CH206" i="1"/>
  <c r="CI206" i="1" s="1"/>
  <c r="CR206" i="1" s="1"/>
  <c r="CH207" i="1"/>
  <c r="CI207" i="1" s="1"/>
  <c r="CR207" i="1" s="1"/>
  <c r="CH198" i="1"/>
  <c r="CI198" i="1" s="1"/>
  <c r="CR198" i="1" s="1"/>
  <c r="CH169" i="1"/>
  <c r="CI169" i="1" s="1"/>
  <c r="CR169" i="1" s="1"/>
  <c r="CH239" i="1"/>
  <c r="CI239" i="1" s="1"/>
  <c r="CR239" i="1" s="1"/>
  <c r="CH205" i="1"/>
  <c r="CI205" i="1" s="1"/>
  <c r="CR205" i="1" s="1"/>
  <c r="CH224" i="1"/>
  <c r="CI224" i="1" s="1"/>
  <c r="CR224" i="1" s="1"/>
  <c r="CH158" i="1"/>
  <c r="CI158" i="1" s="1"/>
  <c r="CR158" i="1" s="1"/>
  <c r="CH200" i="1"/>
  <c r="CI200" i="1" s="1"/>
  <c r="CR200" i="1" s="1"/>
  <c r="CH254" i="1"/>
  <c r="CI254" i="1" s="1"/>
  <c r="CR254" i="1" s="1"/>
  <c r="CH175" i="1"/>
  <c r="CI175" i="1" s="1"/>
  <c r="CR175" i="1" s="1"/>
  <c r="CH231" i="1"/>
  <c r="CI231" i="1" s="1"/>
  <c r="CR231" i="1" s="1"/>
  <c r="CH195" i="1"/>
  <c r="CI195" i="1" s="1"/>
  <c r="CR195" i="1" s="1"/>
  <c r="CH192" i="1"/>
  <c r="CI192" i="1" s="1"/>
  <c r="CR192" i="1" s="1"/>
  <c r="CI236" i="1"/>
  <c r="CR236" i="1" s="1"/>
  <c r="CH201" i="1"/>
  <c r="CH165" i="1"/>
  <c r="CI165" i="1" s="1"/>
  <c r="CR165" i="1" s="1"/>
  <c r="CH186" i="1"/>
  <c r="CI186" i="1" s="1"/>
  <c r="CR186" i="1" s="1"/>
  <c r="CH168" i="1"/>
  <c r="CH203" i="1"/>
  <c r="CH185" i="1"/>
  <c r="CI240" i="1"/>
  <c r="CR240" i="1" s="1"/>
  <c r="CH210" i="1"/>
  <c r="CH253" i="1"/>
  <c r="CI233" i="1"/>
  <c r="CR233" i="1" s="1"/>
  <c r="CH208" i="1"/>
  <c r="CI248" i="1"/>
  <c r="CR248" i="1" s="1"/>
  <c r="CH160" i="1"/>
  <c r="CH217" i="1"/>
  <c r="CH194" i="1"/>
  <c r="CI174" i="1"/>
  <c r="CR174" i="1" s="1"/>
  <c r="CH235" i="1"/>
  <c r="CI187" i="1"/>
  <c r="CR187" i="1" s="1"/>
  <c r="CI226" i="1"/>
  <c r="CR226" i="1" s="1"/>
  <c r="CI228" i="1"/>
  <c r="CR228" i="1" s="1"/>
  <c r="CH173" i="1"/>
  <c r="CH172" i="1"/>
  <c r="CH234" i="1"/>
  <c r="CH244" i="1"/>
  <c r="CH252" i="1"/>
  <c r="K313" i="2"/>
  <c r="L312" i="2"/>
  <c r="K580" i="2"/>
  <c r="L580" i="2" s="1"/>
  <c r="L579" i="2"/>
  <c r="L98" i="2"/>
  <c r="K99" i="2"/>
  <c r="CI168" i="1" l="1"/>
  <c r="CR168" i="1" s="1"/>
  <c r="CI178" i="1"/>
  <c r="CR178" i="1" s="1"/>
  <c r="CI194" i="1"/>
  <c r="CR194" i="1" s="1"/>
  <c r="CI160" i="1"/>
  <c r="CR160" i="1" s="1"/>
  <c r="CI185" i="1"/>
  <c r="CR185" i="1" s="1"/>
  <c r="CI217" i="1"/>
  <c r="CR217" i="1" s="1"/>
  <c r="CI253" i="1"/>
  <c r="CR253" i="1" s="1"/>
  <c r="CI208" i="1"/>
  <c r="CR208" i="1" s="1"/>
  <c r="CI210" i="1"/>
  <c r="CR210" i="1" s="1"/>
  <c r="CI235" i="1"/>
  <c r="CR235" i="1" s="1"/>
  <c r="CI203" i="1"/>
  <c r="CR203" i="1" s="1"/>
  <c r="CI201" i="1"/>
  <c r="CR201" i="1" s="1"/>
  <c r="CI244" i="1"/>
  <c r="CR244" i="1" s="1"/>
  <c r="CI172" i="1"/>
  <c r="CR172" i="1" s="1"/>
  <c r="CI173" i="1"/>
  <c r="CR173" i="1" s="1"/>
  <c r="CI252" i="1"/>
  <c r="CR252" i="1" s="1"/>
  <c r="CI234" i="1"/>
  <c r="CR234" i="1" s="1"/>
  <c r="K100" i="2"/>
  <c r="L99" i="2"/>
  <c r="L313" i="2"/>
  <c r="K314" i="2"/>
  <c r="K315" i="2" l="1"/>
  <c r="L314" i="2"/>
  <c r="K101" i="2"/>
  <c r="L100" i="2"/>
  <c r="L101" i="2" l="1"/>
  <c r="K102" i="2"/>
  <c r="K316" i="2"/>
  <c r="L315" i="2"/>
  <c r="K317" i="2" l="1"/>
  <c r="L316" i="2"/>
  <c r="K103" i="2"/>
  <c r="L102" i="2"/>
  <c r="L103" i="2" l="1"/>
  <c r="K104" i="2"/>
  <c r="K318" i="2"/>
  <c r="L317" i="2"/>
  <c r="L318" i="2" l="1"/>
  <c r="K319" i="2"/>
  <c r="L104" i="2"/>
  <c r="K105" i="2"/>
  <c r="L319" i="2" l="1"/>
  <c r="K320" i="2"/>
  <c r="K106" i="2"/>
  <c r="L105" i="2"/>
  <c r="K321" i="2" l="1"/>
  <c r="L320" i="2"/>
  <c r="L106" i="2"/>
  <c r="K107" i="2"/>
  <c r="K108" i="2" l="1"/>
  <c r="L107" i="2"/>
  <c r="L321" i="2"/>
  <c r="K322" i="2"/>
  <c r="K323" i="2" l="1"/>
  <c r="L322" i="2"/>
  <c r="K109" i="2"/>
  <c r="L108" i="2"/>
  <c r="L109" i="2" l="1"/>
  <c r="K110" i="2"/>
  <c r="K324" i="2"/>
  <c r="L323" i="2"/>
  <c r="K325" i="2" l="1"/>
  <c r="L324" i="2"/>
  <c r="K111" i="2"/>
  <c r="L110" i="2"/>
  <c r="L111" i="2" l="1"/>
  <c r="K112" i="2"/>
  <c r="K326" i="2"/>
  <c r="L325" i="2"/>
  <c r="L326" i="2" l="1"/>
  <c r="K327" i="2"/>
  <c r="K113" i="2"/>
  <c r="L112" i="2"/>
  <c r="K114" i="2" l="1"/>
  <c r="L113" i="2"/>
  <c r="L327" i="2"/>
  <c r="K328" i="2"/>
  <c r="K329" i="2" l="1"/>
  <c r="L328" i="2"/>
  <c r="L114" i="2"/>
  <c r="K115" i="2"/>
  <c r="K116" i="2" l="1"/>
  <c r="L115" i="2"/>
  <c r="L329" i="2"/>
  <c r="K330" i="2"/>
  <c r="K331" i="2" l="1"/>
  <c r="L330" i="2"/>
  <c r="L116" i="2"/>
  <c r="K117" i="2"/>
  <c r="K118" i="2" l="1"/>
  <c r="L117" i="2"/>
  <c r="K332" i="2"/>
  <c r="L331" i="2"/>
  <c r="K333" i="2" l="1"/>
  <c r="L332" i="2"/>
  <c r="K119" i="2"/>
  <c r="L118" i="2"/>
  <c r="L119" i="2" l="1"/>
  <c r="K120" i="2"/>
  <c r="K334" i="2"/>
  <c r="L333" i="2"/>
  <c r="L334" i="2" l="1"/>
  <c r="K335" i="2"/>
  <c r="K121" i="2"/>
  <c r="L120" i="2"/>
  <c r="K122" i="2" l="1"/>
  <c r="L121" i="2"/>
  <c r="L335" i="2"/>
  <c r="K336" i="2"/>
  <c r="K337" i="2" l="1"/>
  <c r="L336" i="2"/>
  <c r="L122" i="2"/>
  <c r="K123" i="2"/>
  <c r="K124" i="2" l="1"/>
  <c r="L123" i="2"/>
  <c r="L337" i="2"/>
  <c r="K338" i="2"/>
  <c r="K339" i="2" l="1"/>
  <c r="L338" i="2"/>
  <c r="L124" i="2"/>
  <c r="K125" i="2"/>
  <c r="K126" i="2" l="1"/>
  <c r="L125" i="2"/>
  <c r="K340" i="2"/>
  <c r="L339" i="2"/>
  <c r="K341" i="2" l="1"/>
  <c r="L340" i="2"/>
  <c r="K127" i="2"/>
  <c r="L126" i="2"/>
  <c r="L127" i="2" l="1"/>
  <c r="K128" i="2"/>
  <c r="K342" i="2"/>
  <c r="L341" i="2"/>
  <c r="L342" i="2" l="1"/>
  <c r="K343" i="2"/>
  <c r="K129" i="2"/>
  <c r="L128" i="2"/>
  <c r="K130" i="2" l="1"/>
  <c r="L129" i="2"/>
  <c r="L343" i="2"/>
  <c r="K344" i="2"/>
  <c r="K345" i="2" l="1"/>
  <c r="L344" i="2"/>
  <c r="L130" i="2"/>
  <c r="K131" i="2"/>
  <c r="K132" i="2" l="1"/>
  <c r="L131" i="2"/>
  <c r="L345" i="2"/>
  <c r="K346" i="2"/>
  <c r="K347" i="2" l="1"/>
  <c r="L346" i="2"/>
  <c r="L132" i="2"/>
  <c r="K133" i="2"/>
  <c r="K134" i="2" l="1"/>
  <c r="L133" i="2"/>
  <c r="K348" i="2"/>
  <c r="L347" i="2"/>
  <c r="K349" i="2" l="1"/>
  <c r="L348" i="2"/>
  <c r="K135" i="2"/>
  <c r="L134" i="2"/>
  <c r="L135" i="2" l="1"/>
  <c r="K136" i="2"/>
  <c r="K350" i="2"/>
  <c r="L349" i="2"/>
  <c r="L350" i="2" l="1"/>
  <c r="K351" i="2"/>
  <c r="K137" i="2"/>
  <c r="L136" i="2"/>
  <c r="L351" i="2" l="1"/>
  <c r="K352" i="2"/>
  <c r="K138" i="2"/>
  <c r="L137" i="2"/>
  <c r="L138" i="2" l="1"/>
  <c r="K139" i="2"/>
  <c r="K353" i="2"/>
  <c r="L352" i="2"/>
  <c r="L353" i="2" l="1"/>
  <c r="K354" i="2"/>
  <c r="K140" i="2"/>
  <c r="L139" i="2"/>
  <c r="L140" i="2" l="1"/>
  <c r="K141" i="2"/>
  <c r="K355" i="2"/>
  <c r="L354" i="2"/>
  <c r="K356" i="2" l="1"/>
  <c r="L355" i="2"/>
  <c r="K142" i="2"/>
  <c r="L141" i="2"/>
  <c r="K143" i="2" l="1"/>
  <c r="L142" i="2"/>
  <c r="K357" i="2"/>
  <c r="L356" i="2"/>
  <c r="K358" i="2" l="1"/>
  <c r="L357" i="2"/>
  <c r="L143" i="2"/>
  <c r="K144" i="2"/>
  <c r="K145" i="2" l="1"/>
  <c r="L144" i="2"/>
  <c r="L358" i="2"/>
  <c r="K359" i="2"/>
  <c r="L359" i="2" l="1"/>
  <c r="K360" i="2"/>
  <c r="K146" i="2"/>
  <c r="L145" i="2"/>
  <c r="L146" i="2" l="1"/>
  <c r="K147" i="2"/>
  <c r="K361" i="2"/>
  <c r="L360" i="2"/>
  <c r="L361" i="2" l="1"/>
  <c r="K362" i="2"/>
  <c r="K148" i="2"/>
  <c r="L147" i="2"/>
  <c r="L148" i="2" l="1"/>
  <c r="K149" i="2"/>
  <c r="K363" i="2"/>
  <c r="L362" i="2"/>
  <c r="K364" i="2" l="1"/>
  <c r="L363" i="2"/>
  <c r="K150" i="2"/>
  <c r="L149" i="2"/>
  <c r="K151" i="2" l="1"/>
  <c r="L150" i="2"/>
  <c r="K365" i="2"/>
  <c r="L364" i="2"/>
  <c r="K366" i="2" l="1"/>
  <c r="L365" i="2"/>
  <c r="L151" i="2"/>
  <c r="K152" i="2"/>
  <c r="K153" i="2" l="1"/>
  <c r="L152" i="2"/>
  <c r="L366" i="2"/>
  <c r="K367" i="2"/>
  <c r="L367" i="2" l="1"/>
  <c r="K368" i="2"/>
  <c r="K154" i="2"/>
  <c r="L153" i="2"/>
  <c r="K369" i="2" l="1"/>
  <c r="L368" i="2"/>
  <c r="L154" i="2"/>
  <c r="K155" i="2"/>
  <c r="K156" i="2" l="1"/>
  <c r="L155" i="2"/>
  <c r="L369" i="2"/>
  <c r="K370" i="2"/>
  <c r="K371" i="2" l="1"/>
  <c r="L370" i="2"/>
  <c r="L156" i="2"/>
  <c r="K157" i="2"/>
  <c r="K158" i="2" l="1"/>
  <c r="L157" i="2"/>
  <c r="K372" i="2"/>
  <c r="L371" i="2"/>
  <c r="K373" i="2" l="1"/>
  <c r="L372" i="2"/>
  <c r="K159" i="2"/>
  <c r="L158" i="2"/>
  <c r="L159" i="2" l="1"/>
  <c r="K160" i="2"/>
  <c r="K374" i="2"/>
  <c r="L373" i="2"/>
  <c r="L374" i="2" l="1"/>
  <c r="K375" i="2"/>
  <c r="K161" i="2"/>
  <c r="L160" i="2"/>
  <c r="K162" i="2" l="1"/>
  <c r="L161" i="2"/>
  <c r="L375" i="2"/>
  <c r="K376" i="2"/>
  <c r="K377" i="2" l="1"/>
  <c r="L376" i="2"/>
  <c r="L162" i="2"/>
  <c r="K163" i="2"/>
  <c r="K164" i="2" l="1"/>
  <c r="L163" i="2"/>
  <c r="L377" i="2"/>
  <c r="K378" i="2"/>
  <c r="K379" i="2" l="1"/>
  <c r="L378" i="2"/>
  <c r="L164" i="2"/>
  <c r="K165" i="2"/>
  <c r="K166" i="2" l="1"/>
  <c r="L165" i="2"/>
  <c r="K380" i="2"/>
  <c r="L379" i="2"/>
  <c r="K381" i="2" l="1"/>
  <c r="L380" i="2"/>
  <c r="K167" i="2"/>
  <c r="L166" i="2"/>
  <c r="L167" i="2" l="1"/>
  <c r="K168" i="2"/>
  <c r="K382" i="2"/>
  <c r="L381" i="2"/>
  <c r="L382" i="2" l="1"/>
  <c r="K383" i="2"/>
  <c r="K169" i="2"/>
  <c r="L168" i="2"/>
  <c r="L383" i="2" l="1"/>
  <c r="K384" i="2"/>
  <c r="K170" i="2"/>
  <c r="L169" i="2"/>
  <c r="K385" i="2" l="1"/>
  <c r="L384" i="2"/>
  <c r="L170" i="2"/>
  <c r="K171" i="2"/>
  <c r="K172" i="2" l="1"/>
  <c r="L171" i="2"/>
  <c r="K386" i="2"/>
  <c r="L385" i="2"/>
  <c r="K387" i="2" l="1"/>
  <c r="L386" i="2"/>
  <c r="K173" i="2"/>
  <c r="L172" i="2"/>
  <c r="L173" i="2" l="1"/>
  <c r="K174" i="2"/>
  <c r="K388" i="2"/>
  <c r="L388" i="2" s="1"/>
  <c r="L387" i="2"/>
  <c r="L174" i="2" l="1"/>
  <c r="K175" i="2"/>
  <c r="K176" i="2" l="1"/>
  <c r="L175" i="2"/>
  <c r="K177" i="2" l="1"/>
  <c r="L176" i="2"/>
  <c r="L177" i="2" l="1"/>
  <c r="K178" i="2"/>
  <c r="K179" i="2" l="1"/>
  <c r="L178" i="2"/>
  <c r="K180" i="2" l="1"/>
  <c r="L179" i="2"/>
  <c r="K181" i="2" l="1"/>
  <c r="L180" i="2"/>
  <c r="K182" i="2" l="1"/>
  <c r="L181" i="2"/>
  <c r="L182" i="2" l="1"/>
  <c r="K183" i="2"/>
  <c r="K184" i="2" l="1"/>
  <c r="L183" i="2"/>
  <c r="K185" i="2" l="1"/>
  <c r="L184" i="2"/>
  <c r="L185" i="2" l="1"/>
  <c r="K186" i="2"/>
  <c r="L186" i="2" l="1"/>
  <c r="K187" i="2"/>
  <c r="K188" i="2" l="1"/>
  <c r="L187" i="2"/>
  <c r="K189" i="2" l="1"/>
  <c r="L188" i="2"/>
  <c r="L189" i="2" l="1"/>
  <c r="K190" i="2"/>
  <c r="L190" i="2" l="1"/>
  <c r="K191" i="2"/>
  <c r="K192" i="2" l="1"/>
  <c r="L191" i="2"/>
  <c r="K193" i="2" l="1"/>
  <c r="L192" i="2"/>
  <c r="L193" i="2" l="1"/>
  <c r="K194" i="2"/>
  <c r="K195" i="2" l="1"/>
  <c r="L194" i="2"/>
  <c r="K196" i="2" l="1"/>
  <c r="L196" i="2" s="1"/>
  <c r="L195" i="2"/>
  <c r="DD170" i="1"/>
  <c r="DB210" i="1"/>
  <c r="CY206" i="1"/>
  <c r="DB233" i="1"/>
  <c r="DD217" i="1"/>
  <c r="CX237" i="1"/>
  <c r="CY249" i="1"/>
  <c r="CX248" i="1"/>
  <c r="DB197" i="1"/>
  <c r="CZ170" i="1"/>
  <c r="CZ216" i="1"/>
  <c r="DB218" i="1"/>
  <c r="DC255" i="1"/>
  <c r="CZ224" i="1"/>
  <c r="DB220" i="1"/>
  <c r="DB183" i="1"/>
  <c r="CX158" i="1"/>
  <c r="DC220" i="1"/>
  <c r="DC156" i="1"/>
  <c r="CZ236" i="1"/>
  <c r="CZ171" i="1"/>
  <c r="DD240" i="1"/>
  <c r="CY205" i="1"/>
  <c r="CX179" i="1"/>
  <c r="DC238" i="1"/>
  <c r="DD200" i="1"/>
  <c r="DC223" i="1"/>
  <c r="DC250" i="1"/>
  <c r="CY197" i="1"/>
  <c r="CY207" i="1"/>
  <c r="CY185" i="1"/>
  <c r="CY160" i="1"/>
  <c r="DD191" i="1"/>
  <c r="DB239" i="1"/>
  <c r="DC177" i="1"/>
  <c r="CY210" i="1"/>
  <c r="DB223" i="1"/>
  <c r="CZ168" i="1"/>
  <c r="CY194" i="1"/>
  <c r="CZ238" i="1"/>
  <c r="DD169" i="1"/>
  <c r="CY180" i="1"/>
  <c r="CZ187" i="1"/>
  <c r="CX200" i="1"/>
  <c r="CY168" i="1"/>
  <c r="CZ241" i="1"/>
  <c r="CX176" i="1"/>
  <c r="DB224" i="1"/>
  <c r="CY219" i="1"/>
  <c r="CZ176" i="1"/>
  <c r="DD219" i="1"/>
  <c r="CY241" i="1"/>
  <c r="CY186" i="1"/>
  <c r="CX207" i="1"/>
  <c r="DD182" i="1"/>
  <c r="CZ184" i="1"/>
  <c r="CX256" i="1"/>
  <c r="CZ181" i="1"/>
  <c r="CZ221" i="1"/>
  <c r="CX201" i="1"/>
  <c r="DD159" i="1"/>
  <c r="CX221" i="1"/>
  <c r="CZ220" i="1"/>
  <c r="DB180" i="1"/>
  <c r="CX209" i="1"/>
  <c r="CX253" i="1"/>
  <c r="CZ199" i="1"/>
  <c r="DC197" i="1"/>
  <c r="CX184" i="1"/>
  <c r="DC203" i="1"/>
  <c r="CY229" i="1"/>
  <c r="CZ225" i="1"/>
  <c r="DB173" i="1"/>
  <c r="DC198" i="1"/>
  <c r="CX195" i="1"/>
  <c r="DC163" i="1"/>
  <c r="DC184" i="1"/>
  <c r="DC174" i="1"/>
  <c r="DD233" i="1"/>
  <c r="CX206" i="1"/>
  <c r="DB248" i="1"/>
  <c r="CY165" i="1"/>
  <c r="CX156" i="1"/>
  <c r="DB178" i="1"/>
  <c r="CX255" i="1"/>
  <c r="CY244" i="1"/>
  <c r="CY239" i="1"/>
  <c r="CY211" i="1"/>
  <c r="CY214" i="1"/>
  <c r="DB217" i="1"/>
  <c r="DC162" i="1"/>
  <c r="DB219" i="1"/>
  <c r="DB191" i="1"/>
  <c r="CY203" i="1"/>
  <c r="CX242" i="1"/>
  <c r="CX194" i="1"/>
  <c r="DD187" i="1"/>
  <c r="CZ203" i="1"/>
  <c r="DD250" i="1"/>
  <c r="CZ232" i="1"/>
  <c r="CX181" i="1"/>
  <c r="DC233" i="1"/>
  <c r="DB188" i="1"/>
  <c r="DD225" i="1"/>
  <c r="DC256" i="1"/>
  <c r="CZ246" i="1"/>
  <c r="DC164" i="1"/>
  <c r="DC235" i="1"/>
  <c r="CZ159" i="1"/>
  <c r="DC247" i="1"/>
  <c r="DB253" i="1"/>
  <c r="DB177" i="1"/>
  <c r="CX226" i="1"/>
  <c r="CY248" i="1"/>
  <c r="DD226" i="1"/>
  <c r="CY169" i="1"/>
  <c r="DB161" i="1"/>
  <c r="CZ172" i="1"/>
  <c r="DB162" i="1"/>
  <c r="CX236" i="1"/>
  <c r="CZ252" i="1"/>
  <c r="DC244" i="1"/>
  <c r="DD184" i="1"/>
  <c r="DB159" i="1"/>
  <c r="CZ201" i="1"/>
  <c r="CY177" i="1"/>
  <c r="CY242" i="1"/>
  <c r="DD204" i="1"/>
  <c r="DC248" i="1"/>
  <c r="CZ166" i="1"/>
  <c r="DD171" i="1"/>
  <c r="CX243" i="1"/>
  <c r="CX204" i="1"/>
  <c r="DB182" i="1"/>
  <c r="DB166" i="1"/>
  <c r="DD168" i="1"/>
  <c r="CX245" i="1"/>
  <c r="CY234" i="1"/>
  <c r="CY247" i="1"/>
  <c r="CY233" i="1"/>
  <c r="DD185" i="1"/>
  <c r="DC165" i="1"/>
  <c r="CX170" i="1"/>
  <c r="DB163" i="1"/>
  <c r="CZ156" i="1"/>
  <c r="CX249" i="1"/>
  <c r="CX234" i="1"/>
  <c r="DD232" i="1"/>
  <c r="CY236" i="1"/>
  <c r="DB196" i="1"/>
  <c r="DD253" i="1"/>
  <c r="CY227" i="1"/>
  <c r="CX240" i="1"/>
  <c r="CX173" i="1"/>
  <c r="CX160" i="1"/>
  <c r="CZ205" i="1"/>
  <c r="CX228" i="1"/>
  <c r="DD172" i="1"/>
  <c r="DD201" i="1"/>
  <c r="CZ200" i="1"/>
  <c r="DD215" i="1"/>
  <c r="DD251" i="1"/>
  <c r="DD209" i="1"/>
  <c r="CX180" i="1"/>
  <c r="CZ228" i="1"/>
  <c r="CY162" i="1"/>
  <c r="CY200" i="1"/>
  <c r="DB252" i="1"/>
  <c r="CZ195" i="1"/>
  <c r="CX230" i="1"/>
  <c r="DD186" i="1"/>
  <c r="DD158" i="1"/>
  <c r="CZ240" i="1"/>
  <c r="DB198" i="1"/>
  <c r="CY245" i="1"/>
  <c r="CZ175" i="1"/>
  <c r="DC181" i="1"/>
  <c r="CX241" i="1"/>
  <c r="DC236" i="1"/>
  <c r="DD221" i="1"/>
  <c r="DB168" i="1"/>
  <c r="DD222" i="1"/>
  <c r="DD237" i="1"/>
  <c r="DC202" i="1"/>
  <c r="CZ230" i="1"/>
  <c r="CY228" i="1"/>
  <c r="DD249" i="1"/>
  <c r="DB200" i="1"/>
  <c r="DC160" i="1"/>
  <c r="DC232" i="1"/>
  <c r="CX227" i="1"/>
  <c r="DC229" i="1"/>
  <c r="DD208" i="1"/>
  <c r="CZ217" i="1"/>
  <c r="CX239" i="1"/>
  <c r="CY159" i="1"/>
  <c r="DC219" i="1"/>
  <c r="CX191" i="1"/>
  <c r="DB199" i="1"/>
  <c r="DC183" i="1"/>
  <c r="DC217" i="1"/>
  <c r="DD160" i="1"/>
  <c r="DC249" i="1"/>
  <c r="DB176" i="1"/>
  <c r="DD173" i="1"/>
  <c r="CZ210" i="1"/>
  <c r="CY218" i="1"/>
  <c r="DB243" i="1"/>
  <c r="CX198" i="1"/>
  <c r="CY187" i="1"/>
  <c r="CY252" i="1"/>
  <c r="CX199" i="1"/>
  <c r="DC224" i="1"/>
  <c r="DD230" i="1"/>
  <c r="DC222" i="1"/>
  <c r="CX196" i="1"/>
  <c r="CX212" i="1"/>
  <c r="DB209" i="1"/>
  <c r="CZ218" i="1"/>
  <c r="DB184" i="1"/>
  <c r="CX157" i="1"/>
  <c r="DB193" i="1"/>
  <c r="CX208" i="1"/>
  <c r="DB164" i="1"/>
  <c r="DD239" i="1"/>
  <c r="DC208" i="1"/>
  <c r="K159" i="1"/>
  <c r="CX186" i="1"/>
  <c r="DC228" i="1"/>
  <c r="DB222" i="1"/>
  <c r="DB170" i="1"/>
  <c r="CX244" i="1"/>
  <c r="CY176" i="1"/>
  <c r="CZ253" i="1"/>
  <c r="BK112" i="1"/>
  <c r="BJ112" i="1"/>
  <c r="CY190" i="1"/>
  <c r="CZ161" i="1"/>
  <c r="CZ222" i="1"/>
  <c r="DD189" i="1"/>
  <c r="DD229" i="1"/>
  <c r="DB169" i="1"/>
  <c r="DC168" i="1"/>
  <c r="DB175" i="1"/>
  <c r="CX168" i="1"/>
  <c r="DD174" i="1"/>
  <c r="DB212" i="1"/>
  <c r="CZ207" i="1"/>
  <c r="CX162" i="1"/>
  <c r="DB203" i="1"/>
  <c r="CZ219" i="1"/>
  <c r="CY212" i="1"/>
  <c r="CX203" i="1"/>
  <c r="CX175" i="1"/>
  <c r="CZ212" i="1"/>
  <c r="CX251" i="1"/>
  <c r="CZ169" i="1"/>
  <c r="CZ206" i="1"/>
  <c r="DD178" i="1"/>
  <c r="DC169" i="1"/>
  <c r="DD223" i="1"/>
  <c r="CX232" i="1"/>
  <c r="DB204" i="1"/>
  <c r="CY158" i="1"/>
  <c r="DB186" i="1"/>
  <c r="DB205" i="1"/>
  <c r="CX229" i="1"/>
  <c r="DB165" i="1"/>
  <c r="DB172" i="1"/>
  <c r="DD235" i="1"/>
  <c r="DB157" i="1"/>
  <c r="CZ250" i="1"/>
  <c r="DB208" i="1"/>
  <c r="DD157" i="1"/>
  <c r="CZ183" i="1"/>
  <c r="CX250" i="1"/>
  <c r="DC201" i="1"/>
  <c r="CZ209" i="1"/>
  <c r="CX224" i="1"/>
  <c r="CZ192" i="1"/>
  <c r="DB215" i="1"/>
  <c r="CX185" i="1"/>
  <c r="CY217" i="1"/>
  <c r="DD236" i="1"/>
  <c r="CZ213" i="1"/>
  <c r="CZ226" i="1"/>
  <c r="CZ190" i="1"/>
  <c r="CY246" i="1"/>
  <c r="DC212" i="1"/>
  <c r="DD216" i="1"/>
  <c r="CZ160" i="1"/>
  <c r="DC205" i="1"/>
  <c r="DC186" i="1"/>
  <c r="DD244" i="1"/>
  <c r="CZ189" i="1"/>
  <c r="CY195" i="1"/>
  <c r="CZ202" i="1"/>
  <c r="CZ179" i="1"/>
  <c r="CZ196" i="1"/>
  <c r="DC173" i="1"/>
  <c r="CZ215" i="1"/>
  <c r="DC167" i="1"/>
  <c r="DB174" i="1"/>
  <c r="DD224" i="1"/>
  <c r="DB231" i="1"/>
  <c r="CX187" i="1"/>
  <c r="CY240" i="1"/>
  <c r="CZ244" i="1"/>
  <c r="DD243" i="1"/>
  <c r="CY231" i="1"/>
  <c r="CZ229" i="1"/>
  <c r="DC209" i="1"/>
  <c r="CY216" i="1"/>
  <c r="DD196" i="1"/>
  <c r="CX188" i="1"/>
  <c r="CX174" i="1"/>
  <c r="CY170" i="1"/>
  <c r="CY255" i="1"/>
  <c r="DB247" i="1"/>
  <c r="CZ178" i="1"/>
  <c r="CZ180" i="1"/>
  <c r="CY172" i="1"/>
  <c r="CY221" i="1"/>
  <c r="CY230" i="1"/>
  <c r="CY183" i="1"/>
  <c r="DD242" i="1"/>
  <c r="CZ177" i="1"/>
  <c r="DD218" i="1"/>
  <c r="CX159" i="1"/>
  <c r="DD166" i="1"/>
  <c r="DC200" i="1"/>
  <c r="DC195" i="1"/>
  <c r="CZ231" i="1"/>
  <c r="DC178" i="1"/>
  <c r="CY225" i="1"/>
  <c r="DC230" i="1"/>
  <c r="DC166" i="1"/>
  <c r="DD183" i="1"/>
  <c r="DD194" i="1"/>
  <c r="CX164" i="1"/>
  <c r="CY202" i="1"/>
  <c r="CY213" i="1"/>
  <c r="DB251" i="1"/>
  <c r="DD205" i="1"/>
  <c r="DC227" i="1"/>
  <c r="CY220" i="1"/>
  <c r="CX246" i="1"/>
  <c r="DD162" i="1"/>
  <c r="DC175" i="1"/>
  <c r="DD203" i="1"/>
  <c r="CY174" i="1"/>
  <c r="CZ254" i="1"/>
  <c r="CX178" i="1"/>
  <c r="DD206" i="1"/>
  <c r="CY243" i="1"/>
  <c r="DD248" i="1"/>
  <c r="DB246" i="1"/>
  <c r="DB229" i="1"/>
  <c r="CY157" i="1"/>
  <c r="DB230" i="1"/>
  <c r="CX218" i="1"/>
  <c r="DB232" i="1"/>
  <c r="DD195" i="1"/>
  <c r="DD192" i="1"/>
  <c r="DC211" i="1"/>
  <c r="CY201" i="1"/>
  <c r="CZ256" i="1"/>
  <c r="CY223" i="1"/>
  <c r="DD161" i="1"/>
  <c r="DB189" i="1"/>
  <c r="DB238" i="1"/>
  <c r="DD246" i="1"/>
  <c r="DB241" i="1"/>
  <c r="CX225" i="1"/>
  <c r="CZ165" i="1"/>
  <c r="DB255" i="1"/>
  <c r="DD252" i="1"/>
  <c r="CX192" i="1"/>
  <c r="CY171" i="1"/>
  <c r="CZ227" i="1"/>
  <c r="DD198" i="1"/>
  <c r="CX163" i="1"/>
  <c r="CY184" i="1"/>
  <c r="DB171" i="1"/>
  <c r="CX182" i="1"/>
  <c r="DC180" i="1"/>
  <c r="DB207" i="1"/>
  <c r="CY250" i="1"/>
  <c r="CX183" i="1"/>
  <c r="CX167" i="1"/>
  <c r="CX233" i="1"/>
  <c r="CY237" i="1"/>
  <c r="DB240" i="1"/>
  <c r="CY156" i="1"/>
  <c r="CX220" i="1"/>
  <c r="DB234" i="1"/>
  <c r="CZ164" i="1"/>
  <c r="CX238" i="1"/>
  <c r="DC193" i="1"/>
  <c r="DB256" i="1"/>
  <c r="CX215" i="1"/>
  <c r="DC199" i="1"/>
  <c r="DB242" i="1"/>
  <c r="CZ204" i="1"/>
  <c r="DB202" i="1"/>
  <c r="DD228" i="1"/>
  <c r="DC216" i="1"/>
  <c r="CX254" i="1"/>
  <c r="DC161" i="1"/>
  <c r="DD180" i="1"/>
  <c r="DB158" i="1"/>
  <c r="CZ197" i="1"/>
  <c r="CZ186" i="1"/>
  <c r="CZ174" i="1"/>
  <c r="DD256" i="1"/>
  <c r="CZ234" i="1"/>
  <c r="CZ194" i="1"/>
  <c r="DD238" i="1"/>
  <c r="CZ214" i="1"/>
  <c r="DD197" i="1"/>
  <c r="CX210" i="1"/>
  <c r="CX216" i="1"/>
  <c r="CZ158" i="1"/>
  <c r="CY178" i="1"/>
  <c r="CY254" i="1"/>
  <c r="DD231" i="1"/>
  <c r="CY173" i="1"/>
  <c r="DD214" i="1"/>
  <c r="CY161" i="1"/>
  <c r="CX205" i="1"/>
  <c r="DD163" i="1"/>
  <c r="DD211" i="1"/>
  <c r="DB254" i="1"/>
  <c r="DD207" i="1"/>
  <c r="CY199" i="1"/>
  <c r="DB190" i="1"/>
  <c r="DC159" i="1"/>
  <c r="DD177" i="1"/>
  <c r="DD212" i="1"/>
  <c r="DD254" i="1"/>
  <c r="DC171" i="1"/>
  <c r="DB167" i="1"/>
  <c r="CZ191" i="1"/>
  <c r="CZ182" i="1"/>
  <c r="DB250" i="1"/>
  <c r="DB249" i="1"/>
  <c r="CY226" i="1"/>
  <c r="CY235" i="1"/>
  <c r="DC226" i="1"/>
  <c r="DD245" i="1"/>
  <c r="DB211" i="1"/>
  <c r="DC204" i="1"/>
  <c r="CX222" i="1"/>
  <c r="CX213" i="1"/>
  <c r="DC254" i="1"/>
  <c r="CX219" i="1"/>
  <c r="DC246" i="1"/>
  <c r="CZ248" i="1"/>
  <c r="CZ193" i="1"/>
  <c r="DD165" i="1"/>
  <c r="DD176" i="1"/>
  <c r="DD202" i="1"/>
  <c r="DD210" i="1"/>
  <c r="DC231" i="1"/>
  <c r="CX165" i="1"/>
  <c r="DD241" i="1"/>
  <c r="CX214" i="1"/>
  <c r="CX177" i="1"/>
  <c r="CX231" i="1"/>
  <c r="CY191" i="1"/>
  <c r="DD175" i="1"/>
  <c r="DB160" i="1"/>
  <c r="CZ167" i="1"/>
  <c r="DC241" i="1"/>
  <c r="CX211" i="1"/>
  <c r="DC191" i="1"/>
  <c r="CZ235" i="1"/>
  <c r="CX193" i="1"/>
  <c r="DD190" i="1"/>
  <c r="CY192" i="1"/>
  <c r="DC239" i="1"/>
  <c r="CY164" i="1"/>
  <c r="CX172" i="1"/>
  <c r="DB226" i="1"/>
  <c r="DD220" i="1"/>
  <c r="CZ163" i="1"/>
  <c r="CX189" i="1"/>
  <c r="CX190" i="1"/>
  <c r="DC206" i="1"/>
  <c r="DC234" i="1"/>
  <c r="DB181" i="1"/>
  <c r="DC253" i="1"/>
  <c r="CZ242" i="1"/>
  <c r="DD247" i="1"/>
  <c r="CY238" i="1"/>
  <c r="CY204" i="1"/>
  <c r="DC207" i="1"/>
  <c r="CX169" i="1"/>
  <c r="DC176" i="1"/>
  <c r="DC194" i="1"/>
  <c r="DB237" i="1"/>
  <c r="DC221" i="1"/>
  <c r="CZ173" i="1"/>
  <c r="CY179" i="1"/>
  <c r="CX166" i="1"/>
  <c r="CZ223" i="1"/>
  <c r="DD193" i="1"/>
  <c r="CZ249" i="1"/>
  <c r="CZ185" i="1"/>
  <c r="DD213" i="1"/>
  <c r="DB192" i="1"/>
  <c r="CZ208" i="1"/>
  <c r="CX217" i="1"/>
  <c r="CY222" i="1"/>
  <c r="CZ233" i="1"/>
  <c r="DC192" i="1"/>
  <c r="DC251" i="1"/>
  <c r="DD156" i="1"/>
  <c r="CZ237" i="1"/>
  <c r="CZ251" i="1"/>
  <c r="DD179" i="1"/>
  <c r="DC237" i="1"/>
  <c r="DB236" i="1"/>
  <c r="DC252" i="1"/>
  <c r="CY232" i="1"/>
  <c r="DC158" i="1"/>
  <c r="DC196" i="1"/>
  <c r="CZ198" i="1"/>
  <c r="CX252" i="1"/>
  <c r="CZ245" i="1"/>
  <c r="CZ255" i="1"/>
  <c r="CZ188" i="1"/>
  <c r="CY193" i="1"/>
  <c r="DB195" i="1"/>
  <c r="DB185" i="1"/>
  <c r="CY209" i="1"/>
  <c r="DB245" i="1"/>
  <c r="CZ162" i="1"/>
  <c r="DC189" i="1"/>
  <c r="DC243" i="1"/>
  <c r="DC190" i="1"/>
  <c r="CX161" i="1"/>
  <c r="DB194" i="1"/>
  <c r="CX197" i="1"/>
  <c r="DC182" i="1"/>
  <c r="CY188" i="1"/>
  <c r="CZ247" i="1"/>
  <c r="DB228" i="1"/>
  <c r="DB216" i="1"/>
  <c r="CZ211" i="1"/>
  <c r="CX171" i="1"/>
  <c r="CY251" i="1"/>
  <c r="CY253" i="1"/>
  <c r="DC187" i="1"/>
  <c r="DB156" i="1"/>
  <c r="DC170" i="1"/>
  <c r="CZ239" i="1"/>
  <c r="DB201" i="1"/>
  <c r="CY167" i="1"/>
  <c r="CY198" i="1"/>
  <c r="DC210" i="1"/>
  <c r="CZ157" i="1"/>
  <c r="CY196" i="1"/>
  <c r="CY215" i="1"/>
  <c r="DB225" i="1"/>
  <c r="DB244" i="1"/>
  <c r="CY189" i="1"/>
  <c r="DC214" i="1"/>
  <c r="CY182" i="1"/>
  <c r="DD234" i="1"/>
  <c r="DB235" i="1"/>
  <c r="DD164" i="1"/>
  <c r="DC245" i="1"/>
  <c r="DC215" i="1"/>
  <c r="CY181" i="1"/>
  <c r="DB179" i="1"/>
  <c r="DC240" i="1"/>
  <c r="DC185" i="1"/>
  <c r="DC179" i="1"/>
  <c r="DB213" i="1"/>
  <c r="DB187" i="1"/>
  <c r="CZ243" i="1"/>
  <c r="DB221" i="1"/>
  <c r="DD181" i="1"/>
  <c r="CX235" i="1"/>
  <c r="DC157" i="1"/>
  <c r="DC225" i="1"/>
  <c r="DC242" i="1"/>
  <c r="DC218" i="1"/>
  <c r="DD255" i="1"/>
  <c r="CY224" i="1"/>
  <c r="CY163" i="1"/>
  <c r="CY256" i="1"/>
  <c r="DD188" i="1"/>
  <c r="DB227" i="1"/>
  <c r="DB214" i="1"/>
  <c r="DD227" i="1"/>
  <c r="CX202" i="1"/>
  <c r="DC188" i="1"/>
  <c r="DD167" i="1"/>
  <c r="CX247" i="1"/>
  <c r="DD199" i="1"/>
  <c r="CY175" i="1"/>
  <c r="DC172" i="1"/>
  <c r="CY208" i="1"/>
  <c r="CX223" i="1"/>
  <c r="DB206" i="1"/>
  <c r="CY166" i="1"/>
  <c r="DC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Rook, Jacob</author>
    <author>Timothy Hegarty</author>
  </authors>
  <commentList>
    <comment ref="F6" authorId="0" shapeId="0" xr:uid="{A08F4E13-5D83-45D5-872C-39198B011208}">
      <text>
        <r>
          <rPr>
            <b/>
            <u/>
            <sz val="9"/>
            <color indexed="81"/>
            <rFont val="Tahoma"/>
            <family val="2"/>
          </rPr>
          <t>Input Voltage - Min:</t>
        </r>
        <r>
          <rPr>
            <b/>
            <sz val="9"/>
            <color indexed="81"/>
            <rFont val="Tahoma"/>
            <family val="2"/>
          </rPr>
          <t xml:space="preserve">
</t>
        </r>
        <r>
          <rPr>
            <sz val="9"/>
            <color indexed="81"/>
            <rFont val="Tahoma"/>
            <family val="2"/>
          </rPr>
          <t>Minimum input voltage.</t>
        </r>
        <r>
          <rPr>
            <b/>
            <sz val="9"/>
            <color indexed="81"/>
            <rFont val="Tahoma"/>
            <family val="2"/>
          </rPr>
          <t xml:space="preserve">
Text in  cell is flag red if:
</t>
        </r>
        <r>
          <rPr>
            <sz val="9"/>
            <color indexed="81"/>
            <rFont val="Tahoma"/>
            <family val="2"/>
          </rPr>
          <t>The minimum input voltage is not in the 3.5 V to 40 V input range.</t>
        </r>
      </text>
    </comment>
    <comment ref="F7" authorId="0" shapeId="0" xr:uid="{AECA0331-2390-472D-BEEB-8C4A92C2C803}">
      <text>
        <r>
          <rPr>
            <b/>
            <sz val="9"/>
            <color rgb="FF000000"/>
            <rFont val="Tahoma"/>
            <family val="2"/>
          </rPr>
          <t xml:space="preserve">Input Voltage - Max:
</t>
        </r>
        <r>
          <rPr>
            <sz val="9"/>
            <color rgb="FF000000"/>
            <rFont val="Tahoma"/>
            <family val="2"/>
          </rPr>
          <t>Nominal input voltage.</t>
        </r>
        <r>
          <rPr>
            <b/>
            <sz val="9"/>
            <color rgb="FF000000"/>
            <rFont val="Tahoma"/>
            <family val="2"/>
          </rPr>
          <t xml:space="preserve">
</t>
        </r>
        <r>
          <rPr>
            <b/>
            <sz val="9"/>
            <color rgb="FF000000"/>
            <rFont val="Tahoma"/>
            <family val="2"/>
          </rPr>
          <t xml:space="preserve">
</t>
        </r>
        <r>
          <rPr>
            <b/>
            <sz val="9"/>
            <color rgb="FF000000"/>
            <rFont val="Tahoma"/>
            <family val="2"/>
          </rPr>
          <t xml:space="preserve">Text in  cell is flag red if:
</t>
        </r>
        <r>
          <rPr>
            <sz val="9"/>
            <color rgb="FF000000"/>
            <rFont val="Tahoma"/>
            <family val="2"/>
          </rPr>
          <t>The nominal input voltage is not in the 3.5 V to 40 V input range or it is not in between the entered min and max.</t>
        </r>
      </text>
    </comment>
    <comment ref="F8" authorId="0" shapeId="0" xr:uid="{560E3F37-9B18-498E-8C39-4A20CB29D7A5}">
      <text>
        <r>
          <rPr>
            <b/>
            <u/>
            <sz val="9"/>
            <color indexed="81"/>
            <rFont val="Tahoma"/>
            <family val="2"/>
          </rPr>
          <t xml:space="preserve">Input Voltage - Max:
</t>
        </r>
        <r>
          <rPr>
            <sz val="9"/>
            <color indexed="81"/>
            <rFont val="Tahoma"/>
            <family val="2"/>
          </rPr>
          <t xml:space="preserve">Maximum input voltage.
</t>
        </r>
        <r>
          <rPr>
            <b/>
            <sz val="9"/>
            <color indexed="81"/>
            <rFont val="Tahoma"/>
            <family val="2"/>
          </rPr>
          <t xml:space="preserve">
Text in  cell is flag red if:
</t>
        </r>
        <r>
          <rPr>
            <sz val="9"/>
            <color indexed="81"/>
            <rFont val="Tahoma"/>
            <family val="2"/>
          </rPr>
          <t>The maximum input voltage is not in the 3.5 V to 40 V input range.</t>
        </r>
      </text>
    </comment>
    <comment ref="F9" authorId="0" shapeId="0" xr:uid="{552B32B1-661F-4441-9065-58CCB2859DFE}">
      <text>
        <r>
          <rPr>
            <b/>
            <u/>
            <sz val="9"/>
            <color rgb="FF000000"/>
            <rFont val="Tahoma"/>
            <family val="2"/>
          </rPr>
          <t xml:space="preserve">Battery Voltage:
</t>
        </r>
        <r>
          <rPr>
            <sz val="9"/>
            <color rgb="FF000000"/>
            <rFont val="Tahoma"/>
            <family val="2"/>
          </rPr>
          <t xml:space="preserve">Battery charge voltage.
</t>
        </r>
        <r>
          <rPr>
            <sz val="9"/>
            <color rgb="FF000000"/>
            <rFont val="Tahoma"/>
            <family val="2"/>
          </rPr>
          <t xml:space="preserve">
</t>
        </r>
        <r>
          <rPr>
            <b/>
            <sz val="9"/>
            <color rgb="FF000000"/>
            <rFont val="Tahoma"/>
            <family val="2"/>
          </rPr>
          <t xml:space="preserve">Text in the cell is flagged red if:
</t>
        </r>
        <r>
          <rPr>
            <sz val="9"/>
            <color rgb="FF000000"/>
            <rFont val="Tahoma"/>
            <family val="2"/>
          </rPr>
          <t xml:space="preserve">The voltage is outside the battery regulation range of 5 V to 23 V. </t>
        </r>
      </text>
    </comment>
    <comment ref="F10" authorId="0" shapeId="0" xr:uid="{83830970-19B9-4191-B782-DACC6945DB26}">
      <text>
        <r>
          <rPr>
            <b/>
            <u/>
            <sz val="9"/>
            <color rgb="FF000000"/>
            <rFont val="Tahoma"/>
            <family val="2"/>
          </rPr>
          <t xml:space="preserve">Full Load Output Current:
</t>
        </r>
        <r>
          <rPr>
            <sz val="9"/>
            <color rgb="FF000000"/>
            <rFont val="Tahoma"/>
            <family val="2"/>
          </rPr>
          <t xml:space="preserve">The Full Load Output current is the sum of the maximum charge current and maximum system load current. </t>
        </r>
      </text>
    </comment>
    <comment ref="F13" authorId="0" shapeId="0" xr:uid="{2239DE73-466B-42C5-BBD2-402D8A13849E}">
      <text>
        <r>
          <rPr>
            <b/>
            <u/>
            <sz val="9"/>
            <color rgb="FF000000"/>
            <rFont val="Tahoma"/>
            <family val="2"/>
          </rPr>
          <t>Desired Switching Frequency:</t>
        </r>
        <r>
          <rPr>
            <sz val="9"/>
            <color rgb="FF000000"/>
            <rFont val="Tahoma"/>
            <family val="2"/>
          </rPr>
          <t xml:space="preserve">
</t>
        </r>
        <r>
          <rPr>
            <sz val="9"/>
            <color rgb="FF000000"/>
            <rFont val="Tahoma"/>
            <family val="2"/>
          </rPr>
          <t xml:space="preserve">The device switching frequency can be programmed between 200 kHz to 600 kHz using a resistor from the FSW_SYNC pin to PGND. Enter Desired Switching Frequency to get the recommended Switching Frequency Resistor needed for that switching frequency.
</t>
        </r>
        <r>
          <rPr>
            <sz val="9"/>
            <color rgb="FF000000"/>
            <rFont val="Tahoma"/>
            <family val="2"/>
          </rPr>
          <t xml:space="preserve">
</t>
        </r>
        <r>
          <rPr>
            <b/>
            <sz val="9"/>
            <color rgb="FF000000"/>
            <rFont val="Tahoma"/>
            <family val="2"/>
          </rPr>
          <t>Note:</t>
        </r>
        <r>
          <rPr>
            <sz val="9"/>
            <color rgb="FF000000"/>
            <rFont val="Tahoma"/>
            <family val="2"/>
          </rPr>
          <t xml:space="preserve"> Calculations that require the Switching Frequency will use the </t>
        </r>
        <r>
          <rPr>
            <u/>
            <sz val="9"/>
            <color rgb="FF000000"/>
            <rFont val="Tahoma"/>
            <family val="2"/>
          </rPr>
          <t>Recognized Switching Frequency</t>
        </r>
        <r>
          <rPr>
            <sz val="9"/>
            <color rgb="FF000000"/>
            <rFont val="Tahoma"/>
            <family val="2"/>
          </rPr>
          <t xml:space="preserve"> </t>
        </r>
        <r>
          <rPr>
            <b/>
            <sz val="9"/>
            <color rgb="FF000000"/>
            <rFont val="Tahoma"/>
            <family val="2"/>
          </rPr>
          <t>not</t>
        </r>
        <r>
          <rPr>
            <sz val="9"/>
            <color rgb="FF000000"/>
            <rFont val="Tahoma"/>
            <family val="2"/>
          </rPr>
          <t xml:space="preserve"> the </t>
        </r>
        <r>
          <rPr>
            <u/>
            <sz val="9"/>
            <color rgb="FF000000"/>
            <rFont val="Tahoma"/>
            <family val="2"/>
          </rPr>
          <t>Desired Switching Frequency</t>
        </r>
        <r>
          <rPr>
            <sz val="9"/>
            <color rgb="FF000000"/>
            <rFont val="Tahoma"/>
            <family val="2"/>
          </rPr>
          <t xml:space="preserve">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Desired Switching Frequency is outside the operating switching frequency range of 200 kHz to 600 kHz.</t>
        </r>
      </text>
    </comment>
    <comment ref="F14" authorId="0" shapeId="0" xr:uid="{DBE3A63F-45EF-4F1E-BD2B-5D70F397330E}">
      <text>
        <r>
          <rPr>
            <b/>
            <u/>
            <sz val="9"/>
            <color rgb="FF000000"/>
            <rFont val="Tahoma"/>
            <family val="2"/>
          </rPr>
          <t>Recommended Switching Frequency Resistor:</t>
        </r>
        <r>
          <rPr>
            <b/>
            <sz val="9"/>
            <color rgb="FF000000"/>
            <rFont val="Tahoma"/>
            <family val="2"/>
          </rPr>
          <t xml:space="preserve">
</t>
        </r>
        <r>
          <rPr>
            <sz val="9"/>
            <color rgb="FF000000"/>
            <rFont val="Tahoma"/>
            <family val="2"/>
          </rPr>
          <t>The device switching frequency can be programmed between 200 kHz to 600 kHz using a resistor from the FSW_SYNC pin to PGND. The R</t>
        </r>
        <r>
          <rPr>
            <vertAlign val="subscript"/>
            <sz val="9"/>
            <color rgb="FF000000"/>
            <rFont val="Tahoma"/>
            <family val="2"/>
          </rPr>
          <t>FSW</t>
        </r>
        <r>
          <rPr>
            <sz val="9"/>
            <color rgb="FF000000"/>
            <rFont val="Tahoma"/>
            <family val="2"/>
          </rPr>
          <t xml:space="preserve"> resistor is related to the nominal switching frequency (F</t>
        </r>
        <r>
          <rPr>
            <vertAlign val="subscript"/>
            <sz val="9"/>
            <color rgb="FF000000"/>
            <rFont val="Tahoma"/>
            <family val="2"/>
          </rPr>
          <t>SW</t>
        </r>
        <r>
          <rPr>
            <sz val="9"/>
            <color rgb="FF000000"/>
            <rFont val="Tahoma"/>
            <family val="2"/>
          </rPr>
          <t xml:space="preserve">) by the equation:
</t>
        </r>
        <r>
          <rPr>
            <sz val="9"/>
            <color rgb="FF000000"/>
            <rFont val="Tahoma"/>
            <family val="2"/>
          </rPr>
          <t xml:space="preserve">
</t>
        </r>
        <r>
          <rPr>
            <b/>
            <sz val="9"/>
            <color rgb="FF000000"/>
            <rFont val="Tahoma"/>
            <family val="2"/>
          </rPr>
          <t>R</t>
        </r>
        <r>
          <rPr>
            <b/>
            <vertAlign val="subscript"/>
            <sz val="9"/>
            <color rgb="FF000000"/>
            <rFont val="Tahoma"/>
            <family val="2"/>
          </rPr>
          <t xml:space="preserve">FSW </t>
        </r>
        <r>
          <rPr>
            <b/>
            <sz val="9"/>
            <color rgb="FF000000"/>
            <rFont val="Tahoma"/>
            <family val="2"/>
          </rPr>
          <t>= 1/(10*(F</t>
        </r>
        <r>
          <rPr>
            <b/>
            <vertAlign val="subscript"/>
            <sz val="9"/>
            <color rgb="FF000000"/>
            <rFont val="Tahoma"/>
            <family val="2"/>
          </rPr>
          <t>SW</t>
        </r>
        <r>
          <rPr>
            <b/>
            <sz val="9"/>
            <color rgb="FF000000"/>
            <rFont val="Tahoma"/>
            <family val="2"/>
          </rPr>
          <t>*5*10^-12 - 500*10^-9) )</t>
        </r>
      </text>
    </comment>
    <comment ref="F15" authorId="0" shapeId="0" xr:uid="{6B0E1F8B-C145-4209-9F55-E20DACAE3C55}">
      <text>
        <r>
          <rPr>
            <b/>
            <u/>
            <sz val="9"/>
            <color rgb="FF000000"/>
            <rFont val="Tahoma"/>
            <family val="2"/>
          </rPr>
          <t>Selected Switching Frequency Resistor:</t>
        </r>
        <r>
          <rPr>
            <b/>
            <sz val="9"/>
            <color rgb="FF000000"/>
            <rFont val="Tahoma"/>
            <family val="2"/>
          </rPr>
          <t xml:space="preserve">
</t>
        </r>
        <r>
          <rPr>
            <sz val="9"/>
            <color rgb="FF000000"/>
            <rFont val="Tahoma"/>
            <family val="2"/>
          </rPr>
          <t xml:space="preserve">Resistor placed between FSW_SYNC to PGND pin.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entered resistance is not in between 40 kΩ to 200 kΩ.</t>
        </r>
      </text>
    </comment>
    <comment ref="F16" authorId="0" shapeId="0" xr:uid="{B1686199-44C5-464E-94D7-68CFED0DDF97}">
      <text>
        <r>
          <rPr>
            <b/>
            <u/>
            <sz val="9"/>
            <color rgb="FF000000"/>
            <rFont val="Tahoma"/>
            <family val="2"/>
          </rPr>
          <t xml:space="preserve">Recognized Switching Frequency:
</t>
        </r>
        <r>
          <rPr>
            <sz val="9"/>
            <color rgb="FF000000"/>
            <rFont val="Tahoma"/>
            <family val="2"/>
          </rPr>
          <t xml:space="preserve">Recognized Switching Frequency based off the Selected Switching Frequency Resistor.
</t>
        </r>
        <r>
          <rPr>
            <sz val="9"/>
            <color rgb="FF000000"/>
            <rFont val="Tahoma"/>
            <family val="2"/>
          </rPr>
          <t xml:space="preserve">
</t>
        </r>
        <r>
          <rPr>
            <b/>
            <sz val="9"/>
            <color rgb="FF000000"/>
            <rFont val="Tahoma"/>
            <family val="2"/>
          </rPr>
          <t>Note:</t>
        </r>
        <r>
          <rPr>
            <sz val="9"/>
            <color rgb="FF000000"/>
            <rFont val="Tahoma"/>
            <family val="2"/>
          </rPr>
          <t xml:space="preserve"> The Recognized Switching Frequency is used for all of the calculations that require the Switching Frequency.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The Recognized Switching Frequency does not match the Desired Switching Frequency.</t>
        </r>
      </text>
    </comment>
    <comment ref="F17" authorId="0" shapeId="0" xr:uid="{7140F9B9-C271-46EA-B60F-A32D91AD8BB8}">
      <text>
        <r>
          <rPr>
            <b/>
            <u/>
            <sz val="9"/>
            <color indexed="81"/>
            <rFont val="Tahoma"/>
            <family val="2"/>
          </rPr>
          <t>Duty Cycle Limitation:</t>
        </r>
        <r>
          <rPr>
            <b/>
            <sz val="9"/>
            <color indexed="81"/>
            <rFont val="Tahoma"/>
            <family val="2"/>
          </rPr>
          <t xml:space="preserve">
</t>
        </r>
        <r>
          <rPr>
            <sz val="9"/>
            <color indexed="81"/>
            <rFont val="Tahoma"/>
            <family val="2"/>
          </rPr>
          <t>During boost mode operation, the HS FET is forced to turn on for 225ns in each switching cycle to ensure inductor energy is delivered to the output, effectively limiting the maximum boosting ratio. 
For, example, when the device is configured to switch at 500 kHz, the switching period is 2us, yielding a duty cycle limit of (1-225ns/2us) = 88.75%. 
Given a 5V input, this translates to a maximum 44V output assuming 100% efficiency. The true output will be lower than this ideal limit. At lower switching frequencies, the maximum duty cycle increases, making the limitation less significant.</t>
        </r>
        <r>
          <rPr>
            <sz val="9"/>
            <color indexed="81"/>
            <rFont val="Tahoma"/>
            <family val="2"/>
          </rPr>
          <t xml:space="preserve">
</t>
        </r>
      </text>
    </comment>
    <comment ref="F18" authorId="0" shapeId="0" xr:uid="{53AF9208-79B4-4A55-A643-619646137FE0}">
      <text>
        <r>
          <rPr>
            <b/>
            <u/>
            <sz val="9"/>
            <color rgb="FF000000"/>
            <rFont val="Tahoma"/>
            <family val="2"/>
          </rPr>
          <t>Boost Output Limitation at V</t>
        </r>
        <r>
          <rPr>
            <b/>
            <u/>
            <vertAlign val="subscript"/>
            <sz val="9"/>
            <color rgb="FF000000"/>
            <rFont val="Tahoma"/>
            <family val="2"/>
          </rPr>
          <t>AC(min)</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AC(min)</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AC(min)</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19" authorId="0" shapeId="0" xr:uid="{C70347DD-0D27-47C5-9E81-84093A1B24B9}">
      <text>
        <r>
          <rPr>
            <b/>
            <u/>
            <sz val="9"/>
            <color rgb="FF000000"/>
            <rFont val="Tahoma"/>
            <family val="2"/>
          </rPr>
          <t>Boost Output Limitation at V</t>
        </r>
        <r>
          <rPr>
            <b/>
            <u/>
            <vertAlign val="subscript"/>
            <sz val="9"/>
            <color rgb="FF000000"/>
            <rFont val="Tahoma"/>
            <family val="2"/>
          </rPr>
          <t>AC(nom)</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AC(nom)</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AC(nom)</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20" authorId="0" shapeId="0" xr:uid="{7B52F920-E567-4040-A67C-89776EBE8EE5}">
      <text>
        <r>
          <rPr>
            <b/>
            <u/>
            <sz val="9"/>
            <color rgb="FF000000"/>
            <rFont val="Tahoma"/>
            <family val="2"/>
          </rPr>
          <t>Boost Output Limitation at V</t>
        </r>
        <r>
          <rPr>
            <b/>
            <u/>
            <vertAlign val="subscript"/>
            <sz val="9"/>
            <color rgb="FF000000"/>
            <rFont val="Tahoma"/>
            <family val="2"/>
          </rPr>
          <t>AC(max)</t>
        </r>
        <r>
          <rPr>
            <b/>
            <u/>
            <sz val="9"/>
            <color rgb="FF000000"/>
            <rFont val="Tahoma"/>
            <family val="2"/>
          </rPr>
          <t>:</t>
        </r>
        <r>
          <rPr>
            <sz val="9"/>
            <color rgb="FF000000"/>
            <rFont val="Tahoma"/>
            <family val="2"/>
          </rPr>
          <t xml:space="preserve">
</t>
        </r>
        <r>
          <rPr>
            <sz val="9"/>
            <color rgb="FF000000"/>
            <rFont val="Tahoma"/>
            <family val="2"/>
          </rPr>
          <t>Maximum boost output voltage based off the Duty Cycle Limitation at the V</t>
        </r>
        <r>
          <rPr>
            <vertAlign val="subscript"/>
            <sz val="9"/>
            <color rgb="FF000000"/>
            <rFont val="Tahoma"/>
            <family val="2"/>
          </rPr>
          <t>AC(max)</t>
        </r>
        <r>
          <rPr>
            <sz val="9"/>
            <color rgb="FF000000"/>
            <rFont val="Tahoma"/>
            <family val="2"/>
          </rPr>
          <t xml:space="preserve"> voltage. 
</t>
        </r>
        <r>
          <rPr>
            <sz val="9"/>
            <color rgb="FF000000"/>
            <rFont val="Tahoma"/>
            <family val="2"/>
          </rPr>
          <t xml:space="preserve">
</t>
        </r>
        <r>
          <rPr>
            <sz val="9"/>
            <color rgb="FF000000"/>
            <rFont val="Tahoma"/>
            <family val="2"/>
          </rPr>
          <t>If V</t>
        </r>
        <r>
          <rPr>
            <vertAlign val="subscript"/>
            <sz val="9"/>
            <color rgb="FF000000"/>
            <rFont val="Tahoma"/>
            <family val="2"/>
          </rPr>
          <t>AC(max)</t>
        </r>
        <r>
          <rPr>
            <sz val="9"/>
            <color rgb="FF000000"/>
            <rFont val="Tahoma"/>
            <family val="2"/>
          </rPr>
          <t xml:space="preserve"> is higher than the Battery Voltage, then this voltage does not apply to the Boost Output Limitation and the cell will display "N/A".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Boost Output Limitation Voltage is lower than the Battery Voltage. 
</t>
        </r>
        <r>
          <rPr>
            <sz val="9"/>
            <color rgb="FF000000"/>
            <rFont val="Tahoma"/>
            <family val="2"/>
          </rPr>
          <t xml:space="preserve">
</t>
        </r>
      </text>
    </comment>
    <comment ref="F23" authorId="0" shapeId="0" xr:uid="{347297A4-C0F3-4BE0-A4ED-1ADC8EA83674}">
      <text>
        <r>
          <rPr>
            <b/>
            <u/>
            <sz val="9"/>
            <color rgb="FF000000"/>
            <rFont val="Tahoma"/>
            <family val="2"/>
          </rPr>
          <t xml:space="preserve">Maximum Average Inductor Current:
</t>
        </r>
        <r>
          <rPr>
            <sz val="9"/>
            <color rgb="FF000000"/>
            <rFont val="Tahoma"/>
            <family val="2"/>
          </rPr>
          <t xml:space="preserve">The maximum average inductor current occurs at the minimum input voltage and maximum load current:
</t>
        </r>
        <r>
          <rPr>
            <sz val="9"/>
            <color rgb="FF000000"/>
            <rFont val="Tahoma"/>
            <family val="2"/>
          </rPr>
          <t xml:space="preserve">
</t>
        </r>
        <r>
          <rPr>
            <b/>
            <sz val="9"/>
            <color rgb="FF000000"/>
            <rFont val="Tahoma"/>
            <family val="2"/>
          </rPr>
          <t>I</t>
        </r>
        <r>
          <rPr>
            <b/>
            <vertAlign val="subscript"/>
            <sz val="9"/>
            <color rgb="FF000000"/>
            <rFont val="Tahoma"/>
            <family val="2"/>
          </rPr>
          <t>L(MAX)</t>
        </r>
        <r>
          <rPr>
            <b/>
            <sz val="9"/>
            <color rgb="FF000000"/>
            <rFont val="Tahoma"/>
            <family val="2"/>
          </rPr>
          <t>=V</t>
        </r>
        <r>
          <rPr>
            <b/>
            <vertAlign val="subscript"/>
            <sz val="9"/>
            <color rgb="FF000000"/>
            <rFont val="Tahoma"/>
            <family val="2"/>
          </rPr>
          <t>BAT</t>
        </r>
        <r>
          <rPr>
            <b/>
            <sz val="9"/>
            <color rgb="FF000000"/>
            <rFont val="Tahoma"/>
            <family val="2"/>
          </rPr>
          <t>*I</t>
        </r>
        <r>
          <rPr>
            <b/>
            <vertAlign val="subscript"/>
            <sz val="9"/>
            <color rgb="FF000000"/>
            <rFont val="Tahoma"/>
            <family val="2"/>
          </rPr>
          <t>OUT(MAX)</t>
        </r>
        <r>
          <rPr>
            <b/>
            <sz val="9"/>
            <color rgb="FF000000"/>
            <rFont val="Tahoma"/>
            <family val="2"/>
          </rPr>
          <t>/(</t>
        </r>
        <r>
          <rPr>
            <b/>
            <sz val="9"/>
            <color rgb="FF000000"/>
            <rFont val="Tahoma"/>
            <family val="2"/>
          </rPr>
          <t>ⴄ</t>
        </r>
        <r>
          <rPr>
            <b/>
            <sz val="9"/>
            <color rgb="FF000000"/>
            <rFont val="Tahoma"/>
            <family val="2"/>
          </rPr>
          <t>*V</t>
        </r>
        <r>
          <rPr>
            <b/>
            <vertAlign val="subscript"/>
            <sz val="9"/>
            <color rgb="FF000000"/>
            <rFont val="Tahoma"/>
            <family val="2"/>
          </rPr>
          <t>AC(MIN)</t>
        </r>
        <r>
          <rPr>
            <b/>
            <sz val="9"/>
            <color rgb="FF000000"/>
            <rFont val="Tahoma"/>
            <family val="2"/>
          </rPr>
          <t>)</t>
        </r>
      </text>
    </comment>
    <comment ref="F24" authorId="0" shapeId="0" xr:uid="{A40E549E-8AC8-4651-92AE-7EC20D27A18F}">
      <text>
        <r>
          <rPr>
            <b/>
            <sz val="9"/>
            <color rgb="FF000000"/>
            <rFont val="Tahoma"/>
            <family val="2"/>
          </rPr>
          <t xml:space="preserve">Selected Inductor Saturation Current:
</t>
        </r>
        <r>
          <rPr>
            <sz val="9"/>
            <color rgb="FF000000"/>
            <rFont val="Tahoma"/>
            <family val="2"/>
          </rPr>
          <t xml:space="preserve">Saturation current of the inductor that the users intends on using. The Saturation current should be higher than the Maximum Average Inductor Current. 
</t>
        </r>
        <r>
          <rPr>
            <sz val="9"/>
            <color rgb="FF000000"/>
            <rFont val="Tahoma"/>
            <family val="2"/>
          </rPr>
          <t xml:space="preserve">
</t>
        </r>
        <r>
          <rPr>
            <sz val="9"/>
            <color rgb="FF000000"/>
            <rFont val="Tahoma"/>
            <family val="2"/>
          </rPr>
          <t xml:space="preserve">The Maximum Average Inductor Current can be reduced by changing the Operating Specifications. 
</t>
        </r>
        <r>
          <rPr>
            <sz val="9"/>
            <color rgb="FF000000"/>
            <rFont val="Tahoma"/>
            <family val="2"/>
          </rPr>
          <t xml:space="preserve">
</t>
        </r>
        <r>
          <rPr>
            <b/>
            <sz val="9"/>
            <color rgb="FF000000"/>
            <rFont val="Tahoma"/>
            <family val="2"/>
          </rPr>
          <t xml:space="preserve">Text in cell is flagged red if:
</t>
        </r>
        <r>
          <rPr>
            <sz val="9"/>
            <color rgb="FF000000"/>
            <rFont val="Tahoma"/>
            <family val="2"/>
          </rPr>
          <t>The Selected Inductor Saturation Current is less than the Maximum Average Inductor Current.</t>
        </r>
      </text>
    </comment>
    <comment ref="F25" authorId="0" shapeId="0" xr:uid="{A167B101-7FDB-4A08-A48F-98E654BBA149}">
      <text>
        <r>
          <rPr>
            <b/>
            <u/>
            <sz val="9"/>
            <color rgb="FF000000"/>
            <rFont val="Tahoma"/>
            <family val="2"/>
          </rPr>
          <t>Minimum Inductance:</t>
        </r>
        <r>
          <rPr>
            <sz val="9"/>
            <color rgb="FF000000"/>
            <rFont val="Tahoma"/>
            <family val="2"/>
          </rPr>
          <t xml:space="preserve">
</t>
        </r>
        <r>
          <rPr>
            <sz val="9"/>
            <color rgb="FF000000"/>
            <rFont val="Tahoma"/>
            <family val="2"/>
          </rPr>
          <t>Higher switching frequency allows the use of smaller inductor and capacitor values. Inductor Saturation Current should be higher than the Maximum Average Inductor Current I</t>
        </r>
        <r>
          <rPr>
            <vertAlign val="subscript"/>
            <sz val="9"/>
            <color rgb="FF000000"/>
            <rFont val="Tahoma"/>
            <family val="2"/>
          </rPr>
          <t>L(max)</t>
        </r>
        <r>
          <rPr>
            <sz val="9"/>
            <color rgb="FF000000"/>
            <rFont val="Tahoma"/>
            <family val="2"/>
          </rPr>
          <t xml:space="preserve"> plus half the Maximum Ripple Current I</t>
        </r>
        <r>
          <rPr>
            <vertAlign val="subscript"/>
            <sz val="9"/>
            <color rgb="FF000000"/>
            <rFont val="Tahoma"/>
            <family val="2"/>
          </rPr>
          <t>Ripple(max)</t>
        </r>
        <r>
          <rPr>
            <sz val="9"/>
            <color rgb="FF000000"/>
            <rFont val="Tahoma"/>
            <family val="2"/>
          </rPr>
          <t xml:space="preserve">. 
</t>
        </r>
        <r>
          <rPr>
            <sz val="9"/>
            <color rgb="FF000000"/>
            <rFont val="Tahoma"/>
            <family val="2"/>
          </rPr>
          <t xml:space="preserve">
</t>
        </r>
        <r>
          <rPr>
            <sz val="9"/>
            <color rgb="FF000000"/>
            <rFont val="Tahoma"/>
            <family val="2"/>
          </rPr>
          <t xml:space="preserve">It is recommended to use an Inductor with and Inductance between 2.2 - 15 µH.
</t>
        </r>
        <r>
          <rPr>
            <sz val="9"/>
            <color rgb="FF000000"/>
            <rFont val="Tahoma"/>
            <family val="2"/>
          </rPr>
          <t xml:space="preserve">
</t>
        </r>
        <r>
          <rPr>
            <b/>
            <sz val="9"/>
            <color rgb="FF000000"/>
            <rFont val="Tahoma"/>
            <family val="2"/>
          </rPr>
          <t>I</t>
        </r>
        <r>
          <rPr>
            <b/>
            <vertAlign val="subscript"/>
            <sz val="9"/>
            <color rgb="FF000000"/>
            <rFont val="Tahoma"/>
            <family val="2"/>
          </rPr>
          <t>SAT</t>
        </r>
        <r>
          <rPr>
            <b/>
            <sz val="9"/>
            <color rgb="FF000000"/>
            <rFont val="Tahoma"/>
            <family val="2"/>
          </rPr>
          <t xml:space="preserve"> ≥ I</t>
        </r>
        <r>
          <rPr>
            <b/>
            <vertAlign val="subscript"/>
            <sz val="9"/>
            <color rgb="FF000000"/>
            <rFont val="Tahoma"/>
            <family val="2"/>
          </rPr>
          <t>L(max)</t>
        </r>
        <r>
          <rPr>
            <b/>
            <sz val="9"/>
            <color rgb="FF000000"/>
            <rFont val="Tahoma"/>
            <family val="2"/>
          </rPr>
          <t xml:space="preserve"> + 0.5 * I</t>
        </r>
        <r>
          <rPr>
            <b/>
            <vertAlign val="subscript"/>
            <sz val="9"/>
            <color rgb="FF000000"/>
            <rFont val="Tahoma"/>
            <family val="2"/>
          </rPr>
          <t>Ripple(max)</t>
        </r>
        <r>
          <rPr>
            <sz val="9"/>
            <color rgb="FF000000"/>
            <rFont val="Tahoma"/>
            <family val="2"/>
          </rPr>
          <t xml:space="preserve">
</t>
        </r>
        <r>
          <rPr>
            <sz val="9"/>
            <color rgb="FF000000"/>
            <rFont val="Tahoma"/>
            <family val="2"/>
          </rPr>
          <t xml:space="preserve">
</t>
        </r>
        <r>
          <rPr>
            <sz val="9"/>
            <color rgb="FF000000"/>
            <rFont val="Tahoma"/>
            <family val="2"/>
          </rPr>
          <t>The inductor ripple current in buck operation depends on input voltage (V</t>
        </r>
        <r>
          <rPr>
            <vertAlign val="subscript"/>
            <sz val="9"/>
            <color rgb="FF000000"/>
            <rFont val="Tahoma"/>
            <family val="2"/>
          </rPr>
          <t>AC</t>
        </r>
        <r>
          <rPr>
            <sz val="9"/>
            <color rgb="FF000000"/>
            <rFont val="Tahoma"/>
            <family val="2"/>
          </rPr>
          <t>), duty cycle (D</t>
        </r>
        <r>
          <rPr>
            <vertAlign val="subscript"/>
            <sz val="9"/>
            <color rgb="FF000000"/>
            <rFont val="Tahoma"/>
            <family val="2"/>
          </rPr>
          <t>Buck</t>
        </r>
        <r>
          <rPr>
            <sz val="9"/>
            <color rgb="FF000000"/>
            <rFont val="Tahoma"/>
            <family val="2"/>
          </rPr>
          <t xml:space="preserve"> = V</t>
        </r>
        <r>
          <rPr>
            <vertAlign val="subscript"/>
            <sz val="9"/>
            <color rgb="FF000000"/>
            <rFont val="Tahoma"/>
            <family val="2"/>
          </rPr>
          <t>BAT</t>
        </r>
        <r>
          <rPr>
            <sz val="9"/>
            <color rgb="FF000000"/>
            <rFont val="Tahoma"/>
            <family val="2"/>
          </rPr>
          <t>/V</t>
        </r>
        <r>
          <rPr>
            <vertAlign val="subscript"/>
            <sz val="9"/>
            <color rgb="FF000000"/>
            <rFont val="Tahoma"/>
            <family val="2"/>
          </rPr>
          <t>AC</t>
        </r>
        <r>
          <rPr>
            <sz val="9"/>
            <color rgb="FF000000"/>
            <rFont val="Tahoma"/>
            <family val="2"/>
          </rPr>
          <t>), switching frequency (F</t>
        </r>
        <r>
          <rPr>
            <vertAlign val="subscript"/>
            <sz val="9"/>
            <color rgb="FF000000"/>
            <rFont val="Tahoma"/>
            <family val="2"/>
          </rPr>
          <t>SW</t>
        </r>
        <r>
          <rPr>
            <sz val="9"/>
            <color rgb="FF000000"/>
            <rFont val="Tahoma"/>
            <family val="2"/>
          </rPr>
          <t xml:space="preserve">) and inductance (L).
</t>
        </r>
        <r>
          <rPr>
            <sz val="9"/>
            <color rgb="FF000000"/>
            <rFont val="Tahoma"/>
            <family val="2"/>
          </rPr>
          <t xml:space="preserve">
</t>
        </r>
        <r>
          <rPr>
            <b/>
            <sz val="9"/>
            <color rgb="FF000000"/>
            <rFont val="Tahoma"/>
            <family val="2"/>
          </rPr>
          <t>I</t>
        </r>
        <r>
          <rPr>
            <b/>
            <vertAlign val="subscript"/>
            <sz val="9"/>
            <color rgb="FF000000"/>
            <rFont val="Tahoma"/>
            <family val="2"/>
          </rPr>
          <t>Ripple_Buck</t>
        </r>
        <r>
          <rPr>
            <b/>
            <sz val="9"/>
            <color rgb="FF000000"/>
            <rFont val="Tahoma"/>
            <family val="2"/>
          </rPr>
          <t xml:space="preserve"> = V</t>
        </r>
        <r>
          <rPr>
            <b/>
            <vertAlign val="subscript"/>
            <sz val="9"/>
            <color rgb="FF000000"/>
            <rFont val="Tahoma"/>
            <family val="2"/>
          </rPr>
          <t>AC</t>
        </r>
        <r>
          <rPr>
            <b/>
            <sz val="9"/>
            <color rgb="FF000000"/>
            <rFont val="Tahoma"/>
            <family val="2"/>
          </rPr>
          <t>*D</t>
        </r>
        <r>
          <rPr>
            <b/>
            <vertAlign val="subscript"/>
            <sz val="9"/>
            <color rgb="FF000000"/>
            <rFont val="Tahoma"/>
            <family val="2"/>
          </rPr>
          <t>Buck</t>
        </r>
        <r>
          <rPr>
            <b/>
            <sz val="9"/>
            <color rgb="FF000000"/>
            <rFont val="Tahoma"/>
            <family val="2"/>
          </rPr>
          <t>*(1-D</t>
        </r>
        <r>
          <rPr>
            <b/>
            <vertAlign val="subscript"/>
            <sz val="9"/>
            <color rgb="FF000000"/>
            <rFont val="Tahoma"/>
            <family val="2"/>
          </rPr>
          <t>Buck</t>
        </r>
        <r>
          <rPr>
            <b/>
            <sz val="9"/>
            <color rgb="FF000000"/>
            <rFont val="Tahoma"/>
            <family val="2"/>
          </rPr>
          <t>)/(F</t>
        </r>
        <r>
          <rPr>
            <b/>
            <vertAlign val="subscript"/>
            <sz val="9"/>
            <color rgb="FF000000"/>
            <rFont val="Tahoma"/>
            <family val="2"/>
          </rPr>
          <t>SW</t>
        </r>
        <r>
          <rPr>
            <b/>
            <sz val="9"/>
            <color rgb="FF000000"/>
            <rFont val="Tahoma"/>
            <family val="2"/>
          </rPr>
          <t>*L)</t>
        </r>
        <r>
          <rPr>
            <sz val="9"/>
            <color rgb="FF000000"/>
            <rFont val="Tahoma"/>
            <family val="2"/>
          </rPr>
          <t xml:space="preserve">
</t>
        </r>
        <r>
          <rPr>
            <sz val="9"/>
            <color rgb="FF000000"/>
            <rFont val="Tahoma"/>
            <family val="2"/>
          </rPr>
          <t xml:space="preserve">
</t>
        </r>
        <r>
          <rPr>
            <sz val="9"/>
            <color rgb="FF000000"/>
            <rFont val="Tahoma"/>
            <family val="2"/>
          </rPr>
          <t>During boost operation, the duty cycle is: D</t>
        </r>
        <r>
          <rPr>
            <vertAlign val="subscript"/>
            <sz val="9"/>
            <color rgb="FF000000"/>
            <rFont val="Tahoma"/>
            <family val="2"/>
          </rPr>
          <t>Boost</t>
        </r>
        <r>
          <rPr>
            <sz val="9"/>
            <color rgb="FF000000"/>
            <rFont val="Tahoma"/>
            <family val="2"/>
          </rPr>
          <t xml:space="preserve"> = 1 - (V</t>
        </r>
        <r>
          <rPr>
            <vertAlign val="subscript"/>
            <sz val="9"/>
            <color rgb="FF000000"/>
            <rFont val="Tahoma"/>
            <family val="2"/>
          </rPr>
          <t>AC</t>
        </r>
        <r>
          <rPr>
            <sz val="9"/>
            <color rgb="FF000000"/>
            <rFont val="Tahoma"/>
            <family val="2"/>
          </rPr>
          <t>/V</t>
        </r>
        <r>
          <rPr>
            <vertAlign val="subscript"/>
            <sz val="9"/>
            <color rgb="FF000000"/>
            <rFont val="Tahoma"/>
            <family val="2"/>
          </rPr>
          <t>BAT</t>
        </r>
        <r>
          <rPr>
            <sz val="9"/>
            <color rgb="FF000000"/>
            <rFont val="Tahoma"/>
            <family val="2"/>
          </rPr>
          <t xml:space="preserve">). The inductor ripple current is:
</t>
        </r>
        <r>
          <rPr>
            <sz val="9"/>
            <color rgb="FF000000"/>
            <rFont val="Tahoma"/>
            <family val="2"/>
          </rPr>
          <t xml:space="preserve">
</t>
        </r>
        <r>
          <rPr>
            <b/>
            <sz val="9"/>
            <color rgb="FF000000"/>
            <rFont val="Tahoma"/>
            <family val="2"/>
          </rPr>
          <t>I</t>
        </r>
        <r>
          <rPr>
            <b/>
            <vertAlign val="subscript"/>
            <sz val="9"/>
            <color rgb="FF000000"/>
            <rFont val="Tahoma"/>
            <family val="2"/>
          </rPr>
          <t>Ripple_Boost</t>
        </r>
        <r>
          <rPr>
            <b/>
            <sz val="9"/>
            <color rgb="FF000000"/>
            <rFont val="Tahoma"/>
            <family val="2"/>
          </rPr>
          <t xml:space="preserve"> = V</t>
        </r>
        <r>
          <rPr>
            <b/>
            <vertAlign val="subscript"/>
            <sz val="9"/>
            <color rgb="FF000000"/>
            <rFont val="Tahoma"/>
            <family val="2"/>
          </rPr>
          <t>AC</t>
        </r>
        <r>
          <rPr>
            <b/>
            <sz val="9"/>
            <color rgb="FF000000"/>
            <rFont val="Tahoma"/>
            <family val="2"/>
          </rPr>
          <t>*D</t>
        </r>
        <r>
          <rPr>
            <b/>
            <vertAlign val="subscript"/>
            <sz val="9"/>
            <color rgb="FF000000"/>
            <rFont val="Tahoma"/>
            <family val="2"/>
          </rPr>
          <t>Boost</t>
        </r>
        <r>
          <rPr>
            <b/>
            <sz val="9"/>
            <color rgb="FF000000"/>
            <rFont val="Tahoma"/>
            <family val="2"/>
          </rPr>
          <t>/(F</t>
        </r>
        <r>
          <rPr>
            <b/>
            <vertAlign val="subscript"/>
            <sz val="9"/>
            <color rgb="FF000000"/>
            <rFont val="Tahoma"/>
            <family val="2"/>
          </rPr>
          <t>SW</t>
        </r>
        <r>
          <rPr>
            <b/>
            <sz val="9"/>
            <color rgb="FF000000"/>
            <rFont val="Tahoma"/>
            <family val="2"/>
          </rPr>
          <t>*L)</t>
        </r>
        <r>
          <rPr>
            <sz val="9"/>
            <color rgb="FF000000"/>
            <rFont val="Tahoma"/>
            <family val="2"/>
          </rPr>
          <t xml:space="preserve">
</t>
        </r>
        <r>
          <rPr>
            <sz val="9"/>
            <color rgb="FF000000"/>
            <rFont val="Tahoma"/>
            <family val="2"/>
          </rPr>
          <t xml:space="preserve">
</t>
        </r>
        <r>
          <rPr>
            <sz val="9"/>
            <color rgb="FF000000"/>
            <rFont val="Tahoma"/>
            <family val="2"/>
          </rPr>
          <t xml:space="preserve">The maximum inductor ripple current happens with D = 0.5 or close to 0.5. 
</t>
        </r>
        <r>
          <rPr>
            <sz val="9"/>
            <color rgb="FF000000"/>
            <rFont val="Tahoma"/>
            <family val="2"/>
          </rPr>
          <t xml:space="preserve">
</t>
        </r>
        <r>
          <rPr>
            <sz val="9"/>
            <color rgb="FF000000"/>
            <rFont val="Tahoma"/>
            <family val="2"/>
          </rPr>
          <t xml:space="preserve">Usually inductor ripple is designed in the range of (20-40%) maximum charging current as a trade-off between inductor size and efficiency for practical design.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The minimum inductance is not within the recommended inductance range.
</t>
        </r>
        <r>
          <rPr>
            <sz val="9"/>
            <color rgb="FF000000"/>
            <rFont val="Tahoma"/>
            <family val="2"/>
          </rPr>
          <t xml:space="preserve">
</t>
        </r>
        <r>
          <rPr>
            <b/>
            <sz val="9"/>
            <color rgb="FF000000"/>
            <rFont val="Tahoma"/>
            <family val="2"/>
          </rPr>
          <t>Text in cell shows "ERROR" if:</t>
        </r>
        <r>
          <rPr>
            <sz val="9"/>
            <color rgb="FF000000"/>
            <rFont val="Tahoma"/>
            <family val="2"/>
          </rPr>
          <t xml:space="preserve">
</t>
        </r>
        <r>
          <rPr>
            <sz val="9"/>
            <color rgb="FF000000"/>
            <rFont val="Tahoma"/>
            <family val="2"/>
          </rPr>
          <t>The Selected Inductor Saturation Current is lower than the Maximum Average Inductor Current.</t>
        </r>
      </text>
    </comment>
    <comment ref="F26" authorId="0" shapeId="0" xr:uid="{E79C7901-4AA5-4544-896B-2B9DE4C25F82}">
      <text>
        <r>
          <rPr>
            <b/>
            <u/>
            <sz val="9"/>
            <color rgb="FF000000"/>
            <rFont val="Tahoma"/>
            <family val="2"/>
          </rPr>
          <t xml:space="preserve">Selected Inductance:
</t>
        </r>
        <r>
          <rPr>
            <sz val="9"/>
            <color rgb="FF000000"/>
            <rFont val="Tahoma"/>
            <family val="2"/>
          </rPr>
          <t xml:space="preserve">Recommended to use the Recommended Inductance for the most efficient use of the charger.
</t>
        </r>
        <r>
          <rPr>
            <sz val="9"/>
            <color rgb="FF000000"/>
            <rFont val="Tahoma"/>
            <family val="2"/>
          </rPr>
          <t xml:space="preserve">
</t>
        </r>
        <r>
          <rPr>
            <b/>
            <sz val="9"/>
            <color rgb="FF000000"/>
            <rFont val="Tahoma"/>
            <family val="2"/>
          </rPr>
          <t xml:space="preserve">Text in cell is flagged red if:
</t>
        </r>
        <r>
          <rPr>
            <sz val="9"/>
            <color rgb="FF000000"/>
            <rFont val="Tahoma"/>
            <family val="2"/>
          </rPr>
          <t>Value is less than Minimum Inductance.</t>
        </r>
      </text>
    </comment>
    <comment ref="F27" authorId="1" shapeId="0" xr:uid="{6361F962-34B5-49AB-83C6-EDB5DF251972}">
      <text>
        <r>
          <rPr>
            <b/>
            <u/>
            <sz val="9"/>
            <color rgb="FF000000"/>
            <rFont val="Tahoma"/>
            <family val="2"/>
          </rPr>
          <t>Recommended Inductor DCR</t>
        </r>
        <r>
          <rPr>
            <b/>
            <sz val="9"/>
            <color rgb="FF000000"/>
            <rFont val="Tahoma"/>
            <family val="2"/>
          </rPr>
          <t xml:space="preserve">:
</t>
        </r>
        <r>
          <rPr>
            <sz val="9"/>
            <color rgb="FF000000"/>
            <rFont val="Tahoma"/>
            <family val="2"/>
          </rPr>
          <t>The recommended inductor DCR range is 5mohm~25mohm. Inductor DCR beyond this range may hold system stability risk which is not recommended.</t>
        </r>
      </text>
    </comment>
    <comment ref="F28" authorId="1" shapeId="0" xr:uid="{EC6666E0-DD1A-4914-94AB-4879A66A8B81}">
      <text>
        <r>
          <rPr>
            <b/>
            <u/>
            <sz val="9"/>
            <color rgb="FF000000"/>
            <rFont val="Tahoma"/>
            <family val="2"/>
          </rPr>
          <t>Recommended Inductor DCR</t>
        </r>
        <r>
          <rPr>
            <b/>
            <sz val="9"/>
            <color rgb="FF000000"/>
            <rFont val="Tahoma"/>
            <family val="2"/>
          </rPr>
          <t xml:space="preserve">:
</t>
        </r>
        <r>
          <rPr>
            <sz val="9"/>
            <color rgb="FF000000"/>
            <rFont val="Tahoma"/>
            <family val="2"/>
          </rPr>
          <t>The recommended inductor DCR range is 5mohm~25mohm. Inductor DCR beyond this range may hold system stability risk which is not recommended.</t>
        </r>
      </text>
    </comment>
    <comment ref="F29" authorId="0" shapeId="0" xr:uid="{40E1B18A-AD79-44FD-848B-3621C44CDAE2}">
      <text>
        <r>
          <rPr>
            <b/>
            <u/>
            <sz val="9"/>
            <color rgb="FF000000"/>
            <rFont val="Tahoma"/>
            <family val="2"/>
          </rPr>
          <t xml:space="preserve">Selected Inductor DCR:
</t>
        </r>
        <r>
          <rPr>
            <sz val="9"/>
            <color rgb="FF000000"/>
            <rFont val="Tahoma"/>
            <family val="2"/>
          </rPr>
          <t xml:space="preserve">The recommended inductor DCR range is 5~25 mΩ for each phase. Inductor DCR beyond this range may hold system stability risk which is not recommended.
</t>
        </r>
        <r>
          <rPr>
            <sz val="9"/>
            <color rgb="FF000000"/>
            <rFont val="Tahoma"/>
            <family val="2"/>
          </rPr>
          <t xml:space="preserve">
</t>
        </r>
        <r>
          <rPr>
            <b/>
            <sz val="9"/>
            <color rgb="FF000000"/>
            <rFont val="Tahoma"/>
            <family val="2"/>
          </rPr>
          <t xml:space="preserve">Text in cell is flagged red if:
</t>
        </r>
        <r>
          <rPr>
            <sz val="9"/>
            <color rgb="FF000000"/>
            <rFont val="Tahoma"/>
            <family val="2"/>
          </rPr>
          <t xml:space="preserve">Value is outside the recommended range.
</t>
        </r>
      </text>
    </comment>
    <comment ref="F36" authorId="0" shapeId="0" xr:uid="{9F8F1260-B798-45E8-8B61-1E8AF21B5534}">
      <text>
        <r>
          <rPr>
            <b/>
            <u/>
            <sz val="9"/>
            <color rgb="FF000000"/>
            <rFont val="Tahoma"/>
            <family val="2"/>
          </rPr>
          <t xml:space="preserve">Peak Inductor Current:
</t>
        </r>
        <r>
          <rPr>
            <sz val="9"/>
            <color rgb="FF000000"/>
            <rFont val="Tahoma"/>
            <family val="2"/>
          </rPr>
          <t xml:space="preserve">The peak inductor current occurs at minimum input voltage and is given by:
</t>
        </r>
        <r>
          <rPr>
            <sz val="9"/>
            <color rgb="FF000000"/>
            <rFont val="Tahoma"/>
            <family val="2"/>
          </rPr>
          <t xml:space="preserve">
</t>
        </r>
        <r>
          <rPr>
            <b/>
            <sz val="9"/>
            <color rgb="FF000000"/>
            <rFont val="Tahoma"/>
            <family val="2"/>
          </rPr>
          <t>I</t>
        </r>
        <r>
          <rPr>
            <b/>
            <vertAlign val="subscript"/>
            <sz val="9"/>
            <color rgb="FF000000"/>
            <rFont val="Tahoma"/>
            <family val="2"/>
          </rPr>
          <t>L(PEAK)</t>
        </r>
        <r>
          <rPr>
            <b/>
            <sz val="9"/>
            <color rgb="FF000000"/>
            <rFont val="Tahoma"/>
            <family val="2"/>
          </rPr>
          <t>=I</t>
        </r>
        <r>
          <rPr>
            <b/>
            <vertAlign val="subscript"/>
            <sz val="9"/>
            <color rgb="FF000000"/>
            <rFont val="Tahoma"/>
            <family val="2"/>
          </rPr>
          <t>L(MAX)</t>
        </r>
        <r>
          <rPr>
            <b/>
            <sz val="9"/>
            <color rgb="FF000000"/>
            <rFont val="Tahoma"/>
            <family val="2"/>
          </rPr>
          <t>+V</t>
        </r>
        <r>
          <rPr>
            <b/>
            <vertAlign val="subscript"/>
            <sz val="9"/>
            <color rgb="FF000000"/>
            <rFont val="Tahoma"/>
            <family val="2"/>
          </rPr>
          <t>IN(MIN)</t>
        </r>
        <r>
          <rPr>
            <b/>
            <sz val="9"/>
            <color rgb="FF000000"/>
            <rFont val="Tahoma"/>
            <family val="2"/>
          </rPr>
          <t>*(V</t>
        </r>
        <r>
          <rPr>
            <b/>
            <vertAlign val="subscript"/>
            <sz val="9"/>
            <color rgb="FF000000"/>
            <rFont val="Tahoma"/>
            <family val="2"/>
          </rPr>
          <t>OUT</t>
        </r>
        <r>
          <rPr>
            <b/>
            <sz val="9"/>
            <color rgb="FF000000"/>
            <rFont val="Tahoma"/>
            <family val="2"/>
          </rPr>
          <t>-V</t>
        </r>
        <r>
          <rPr>
            <b/>
            <vertAlign val="subscript"/>
            <sz val="9"/>
            <color rgb="FF000000"/>
            <rFont val="Tahoma"/>
            <family val="2"/>
          </rPr>
          <t>IN(MIN)</t>
        </r>
        <r>
          <rPr>
            <b/>
            <sz val="9"/>
            <color rgb="FF000000"/>
            <rFont val="Tahoma"/>
            <family val="2"/>
          </rPr>
          <t>)/(2*L*F</t>
        </r>
        <r>
          <rPr>
            <b/>
            <vertAlign val="subscript"/>
            <sz val="9"/>
            <color rgb="FF000000"/>
            <rFont val="Tahoma"/>
            <family val="2"/>
          </rPr>
          <t>SW</t>
        </r>
        <r>
          <rPr>
            <b/>
            <sz val="9"/>
            <color rgb="FF000000"/>
            <rFont val="Tahoma"/>
            <family val="2"/>
          </rPr>
          <t>*V</t>
        </r>
        <r>
          <rPr>
            <b/>
            <vertAlign val="subscript"/>
            <sz val="9"/>
            <color rgb="FF000000"/>
            <rFont val="Tahoma"/>
            <family val="2"/>
          </rPr>
          <t>OUT</t>
        </r>
        <r>
          <rPr>
            <b/>
            <sz val="9"/>
            <color rgb="FF000000"/>
            <rFont val="Tahoma"/>
            <family val="2"/>
          </rPr>
          <t>)</t>
        </r>
      </text>
    </comment>
    <comment ref="F39" authorId="0" shapeId="0" xr:uid="{411C585F-6A77-4313-B1CF-A49234BE088F}">
      <text>
        <r>
          <rPr>
            <b/>
            <u/>
            <sz val="9"/>
            <color rgb="FF000000"/>
            <rFont val="Tahoma"/>
            <family val="2"/>
          </rPr>
          <t xml:space="preserve">Recommended Input Current Sense Resistor:
</t>
        </r>
        <r>
          <rPr>
            <sz val="9"/>
            <color rgb="FF000000"/>
            <rFont val="Tahoma"/>
            <family val="2"/>
          </rPr>
          <t xml:space="preserve">The input current sense resistor between ACP and ACN is typically 2 mΩ, but can be increased to achieve better accuracy at lower sensed currents. In USB-PD EPR applications, a 5-mΩ sense resistor is recommended to achieve programmability in a 50 mA/step. 
</t>
        </r>
        <r>
          <rPr>
            <sz val="9"/>
            <color rgb="FF000000"/>
            <rFont val="Tahoma"/>
            <family val="2"/>
          </rPr>
          <t xml:space="preserve">
</t>
        </r>
        <r>
          <rPr>
            <sz val="9"/>
            <color rgb="FF000000"/>
            <rFont val="Tahoma"/>
            <family val="2"/>
          </rPr>
          <t>In addition, if input current limit function is not desired, ACP and ACN may be shorted together. A filter network is recommended as shown in section 8.2 Typical Application.</t>
        </r>
      </text>
    </comment>
    <comment ref="F40" authorId="0" shapeId="0" xr:uid="{DE142475-538D-44F9-A886-E55D4FC7DCAD}">
      <text>
        <r>
          <rPr>
            <b/>
            <u/>
            <sz val="9"/>
            <color indexed="81"/>
            <rFont val="Tahoma"/>
            <family val="2"/>
          </rPr>
          <t xml:space="preserve">Selected Input Current Sense Resistor:
</t>
        </r>
        <r>
          <rPr>
            <sz val="9"/>
            <color indexed="81"/>
            <rFont val="Tahoma"/>
            <family val="2"/>
          </rPr>
          <t xml:space="preserve">Enter selected Input Current Sense Resistor. If  the input current limit function is not desired, enter 0 into the cell.
</t>
        </r>
      </text>
    </comment>
    <comment ref="F41" authorId="0" shapeId="0" xr:uid="{C460B828-7ABD-4445-90F9-F39A7FF9EBB4}">
      <text>
        <r>
          <rPr>
            <b/>
            <u/>
            <sz val="9"/>
            <color indexed="81"/>
            <rFont val="Tahoma"/>
            <family val="2"/>
          </rPr>
          <t xml:space="preserve">Maximum Input Current Limit:
</t>
        </r>
        <r>
          <rPr>
            <sz val="9"/>
            <color indexed="81"/>
            <rFont val="Tahoma"/>
            <family val="2"/>
          </rPr>
          <t xml:space="preserve">The Maximum Input Current Limit is based on the Selected Input Current Sense Resistor. When using a 2-mΩ resistor, the input current limit range is from 1 A to 50 A with 125 mA/step. 
A larger sense resistor provides a larger sense voltage and higher regulation accuracy, but at the expense of higher conduction loss. For example, using a 5-mΩ resistor yields programmability from 400 mA to 20 A with 50 mA/step.
Maximum Input Current Limit is set with the following equation:
</t>
        </r>
        <r>
          <rPr>
            <b/>
            <sz val="9"/>
            <color indexed="81"/>
            <rFont val="Tahoma"/>
            <family val="2"/>
          </rPr>
          <t>I</t>
        </r>
        <r>
          <rPr>
            <b/>
            <vertAlign val="subscript"/>
            <sz val="9"/>
            <color indexed="81"/>
            <rFont val="Tahoma"/>
            <family val="2"/>
          </rPr>
          <t>AC_MAX(max)</t>
        </r>
        <r>
          <rPr>
            <b/>
            <sz val="9"/>
            <color indexed="81"/>
            <rFont val="Tahoma"/>
            <family val="2"/>
          </rPr>
          <t xml:space="preserve"> = 50 A * 2 mΩ/R</t>
        </r>
        <r>
          <rPr>
            <b/>
            <vertAlign val="subscript"/>
            <sz val="9"/>
            <color indexed="81"/>
            <rFont val="Tahoma"/>
            <family val="2"/>
          </rPr>
          <t>AC_SNS</t>
        </r>
      </text>
    </comment>
    <comment ref="F42" authorId="0" shapeId="0" xr:uid="{CD7D536A-CFE2-487D-8AD9-08B7D6D79F7F}">
      <text>
        <r>
          <rPr>
            <b/>
            <u/>
            <sz val="9"/>
            <color rgb="FF000000"/>
            <rFont val="Tahoma"/>
            <family val="2"/>
          </rPr>
          <t xml:space="preserve">Input Current Resolution:
</t>
        </r>
        <r>
          <rPr>
            <sz val="9"/>
            <color rgb="FF000000"/>
            <rFont val="Tahoma"/>
            <family val="2"/>
          </rPr>
          <t xml:space="preserve">The Maximum Input Current Limit is based on the Selected Input Current Sense Resistor. When using a 2-mΩ resistor, the input current limit range is from 1 A to 50 A with 125 mA/step. 
</t>
        </r>
        <r>
          <rPr>
            <sz val="9"/>
            <color rgb="FF000000"/>
            <rFont val="Tahoma"/>
            <family val="2"/>
          </rPr>
          <t xml:space="preserve">
</t>
        </r>
        <r>
          <rPr>
            <sz val="9"/>
            <color rgb="FF000000"/>
            <rFont val="Tahoma"/>
            <family val="2"/>
          </rPr>
          <t xml:space="preserve">A larger sense resistor provides a larger sense voltage and higher regulation accuracy, but at the expense of higher conduction loss. For example, using a 5-mΩ resistor yields programmability from 400 mA to 20 A with 50 mA/step.
</t>
        </r>
        <r>
          <rPr>
            <sz val="9"/>
            <color rgb="FF000000"/>
            <rFont val="Tahoma"/>
            <family val="2"/>
          </rPr>
          <t xml:space="preserve">
</t>
        </r>
        <r>
          <rPr>
            <sz val="9"/>
            <color rgb="FF000000"/>
            <rFont val="Tahoma"/>
            <family val="2"/>
          </rPr>
          <t xml:space="preserve">Maximum Input Current Limit is set with the following equation:
</t>
        </r>
        <r>
          <rPr>
            <sz val="9"/>
            <color rgb="FF000000"/>
            <rFont val="Tahoma"/>
            <family val="2"/>
          </rPr>
          <t xml:space="preserve">
</t>
        </r>
        <r>
          <rPr>
            <b/>
            <sz val="9"/>
            <color rgb="FF000000"/>
            <rFont val="Tahoma"/>
            <family val="2"/>
          </rPr>
          <t>I</t>
        </r>
        <r>
          <rPr>
            <b/>
            <vertAlign val="subscript"/>
            <sz val="9"/>
            <color rgb="FF000000"/>
            <rFont val="Tahoma"/>
            <family val="2"/>
          </rPr>
          <t>AC_MAX(∆)</t>
        </r>
        <r>
          <rPr>
            <b/>
            <sz val="9"/>
            <color rgb="FF000000"/>
            <rFont val="Tahoma"/>
            <family val="2"/>
          </rPr>
          <t xml:space="preserve"> = 125 mA/step * 2 mΩ/R</t>
        </r>
        <r>
          <rPr>
            <b/>
            <vertAlign val="subscript"/>
            <sz val="9"/>
            <color rgb="FF000000"/>
            <rFont val="Tahoma"/>
            <family val="2"/>
          </rPr>
          <t>AC_SNS</t>
        </r>
      </text>
    </comment>
    <comment ref="F43" authorId="0" shapeId="0" xr:uid="{F57F49D2-E933-4F18-B2E0-45D759A4771C}">
      <text>
        <r>
          <rPr>
            <b/>
            <u/>
            <sz val="9"/>
            <color rgb="FF000000"/>
            <rFont val="Tahoma"/>
            <family val="2"/>
          </rPr>
          <t xml:space="preserve">Desired Input Current Limit:
</t>
        </r>
        <r>
          <rPr>
            <sz val="9"/>
            <color rgb="FF000000"/>
            <rFont val="Tahoma"/>
            <family val="2"/>
          </rPr>
          <t>To set the maximum input current using the IIN pin, a pull-down resistor to PGND is used. When using a 2-mΩ R</t>
        </r>
        <r>
          <rPr>
            <vertAlign val="subscript"/>
            <sz val="9"/>
            <color rgb="FF000000"/>
            <rFont val="Tahoma"/>
            <family val="2"/>
          </rPr>
          <t>AC_SNS</t>
        </r>
        <r>
          <rPr>
            <sz val="9"/>
            <color rgb="FF000000"/>
            <rFont val="Tahoma"/>
            <family val="2"/>
          </rPr>
          <t xml:space="preserve"> resistor, the input current limit is controlled by: 
</t>
        </r>
        <r>
          <rPr>
            <sz val="9"/>
            <color rgb="FF000000"/>
            <rFont val="Tahoma"/>
            <family val="2"/>
          </rPr>
          <t xml:space="preserve">
</t>
        </r>
        <r>
          <rPr>
            <b/>
            <sz val="9"/>
            <color rgb="FF000000"/>
            <rFont val="Tahoma"/>
            <family val="2"/>
          </rPr>
          <t>I</t>
        </r>
        <r>
          <rPr>
            <b/>
            <vertAlign val="subscript"/>
            <sz val="9"/>
            <color rgb="FF000000"/>
            <rFont val="Tahoma"/>
            <family val="2"/>
          </rPr>
          <t>AC_MAX</t>
        </r>
        <r>
          <rPr>
            <b/>
            <sz val="9"/>
            <color rgb="FF000000"/>
            <rFont val="Tahoma"/>
            <family val="2"/>
          </rPr>
          <t xml:space="preserve"> = K</t>
        </r>
        <r>
          <rPr>
            <b/>
            <vertAlign val="subscript"/>
            <sz val="9"/>
            <color rgb="FF000000"/>
            <rFont val="Tahoma"/>
            <family val="2"/>
          </rPr>
          <t>ILIM</t>
        </r>
        <r>
          <rPr>
            <b/>
            <sz val="9"/>
            <color rgb="FF000000"/>
            <rFont val="Tahoma"/>
            <family val="2"/>
          </rPr>
          <t xml:space="preserve"> / R</t>
        </r>
        <r>
          <rPr>
            <b/>
            <vertAlign val="subscript"/>
            <sz val="9"/>
            <color rgb="FF000000"/>
            <rFont val="Tahoma"/>
            <family val="2"/>
          </rPr>
          <t>IIN</t>
        </r>
        <r>
          <rPr>
            <b/>
            <sz val="9"/>
            <color rgb="FF000000"/>
            <rFont val="Tahoma"/>
            <family val="2"/>
          </rPr>
          <t xml:space="preserve">
</t>
        </r>
        <r>
          <rPr>
            <b/>
            <sz val="9"/>
            <color rgb="FF000000"/>
            <rFont val="Tahoma"/>
            <family val="2"/>
          </rPr>
          <t xml:space="preserve">
</t>
        </r>
        <r>
          <rPr>
            <b/>
            <sz val="9"/>
            <color rgb="FF000000"/>
            <rFont val="Tahoma"/>
            <family val="2"/>
          </rPr>
          <t>K</t>
        </r>
        <r>
          <rPr>
            <b/>
            <vertAlign val="subscript"/>
            <sz val="9"/>
            <color rgb="FF000000"/>
            <rFont val="Tahoma"/>
            <family val="2"/>
          </rPr>
          <t>ILIM</t>
        </r>
        <r>
          <rPr>
            <b/>
            <sz val="9"/>
            <color rgb="FF000000"/>
            <rFont val="Tahoma"/>
            <family val="2"/>
          </rPr>
          <t xml:space="preserve"> = 50 A-kΩ *2-mΩ/R</t>
        </r>
        <r>
          <rPr>
            <b/>
            <vertAlign val="subscript"/>
            <sz val="9"/>
            <color rgb="FF000000"/>
            <rFont val="Tahoma"/>
            <family val="2"/>
          </rPr>
          <t>AC_SNS</t>
        </r>
        <r>
          <rPr>
            <sz val="9"/>
            <color rgb="FF000000"/>
            <rFont val="Tahoma"/>
            <family val="2"/>
          </rPr>
          <t xml:space="preserve">
</t>
        </r>
        <r>
          <rPr>
            <sz val="9"/>
            <color rgb="FF000000"/>
            <rFont val="Tahoma"/>
            <family val="2"/>
          </rPr>
          <t xml:space="preserve">
</t>
        </r>
        <r>
          <rPr>
            <sz val="9"/>
            <color rgb="FF000000"/>
            <rFont val="Tahoma"/>
            <family val="2"/>
          </rPr>
          <t>The actual input current limit is the lower value between IIN pin setting and register setting (IAC_DPM). For example, if the register setting is 20 A, and IIN pin has a 5-kΩ resistor (K</t>
        </r>
        <r>
          <rPr>
            <vertAlign val="subscript"/>
            <sz val="9"/>
            <color rgb="FF000000"/>
            <rFont val="Tahoma"/>
            <family val="2"/>
          </rPr>
          <t>ILIM</t>
        </r>
        <r>
          <rPr>
            <sz val="9"/>
            <color rgb="FF000000"/>
            <rFont val="Tahoma"/>
            <family val="2"/>
          </rPr>
          <t xml:space="preserve"> = 50 A-kΩ) to ground for 10 A, the actual input current limit is 10 A.
</t>
        </r>
        <r>
          <rPr>
            <sz val="9"/>
            <color rgb="FF000000"/>
            <rFont val="Tahoma"/>
            <family val="2"/>
          </rPr>
          <t xml:space="preserve">
</t>
        </r>
        <r>
          <rPr>
            <sz val="9"/>
            <color rgb="FF000000"/>
            <rFont val="Tahoma"/>
            <family val="2"/>
          </rPr>
          <t>The IIN pin can also be used to monitor input current. The voltage on IIN pin (V</t>
        </r>
        <r>
          <rPr>
            <vertAlign val="subscript"/>
            <sz val="9"/>
            <color rgb="FF000000"/>
            <rFont val="Tahoma"/>
            <family val="2"/>
          </rPr>
          <t>IIN</t>
        </r>
        <r>
          <rPr>
            <sz val="9"/>
            <color rgb="FF000000"/>
            <rFont val="Tahoma"/>
            <family val="2"/>
          </rPr>
          <t xml:space="preserve">) is proportional to the input current. Pin voltage can be used to monitor input current with the following relationship:
</t>
        </r>
        <r>
          <rPr>
            <sz val="9"/>
            <color rgb="FF000000"/>
            <rFont val="Tahoma"/>
            <family val="2"/>
          </rPr>
          <t xml:space="preserve">
</t>
        </r>
        <r>
          <rPr>
            <b/>
            <sz val="9"/>
            <color rgb="FF000000"/>
            <rFont val="Tahoma"/>
            <family val="2"/>
          </rPr>
          <t>I</t>
        </r>
        <r>
          <rPr>
            <b/>
            <vertAlign val="subscript"/>
            <sz val="9"/>
            <color rgb="FF000000"/>
            <rFont val="Tahoma"/>
            <family val="2"/>
          </rPr>
          <t>AC</t>
        </r>
        <r>
          <rPr>
            <b/>
            <sz val="9"/>
            <color rgb="FF000000"/>
            <rFont val="Tahoma"/>
            <family val="2"/>
          </rPr>
          <t xml:space="preserve"> = K</t>
        </r>
        <r>
          <rPr>
            <b/>
            <vertAlign val="subscript"/>
            <sz val="9"/>
            <color rgb="FF000000"/>
            <rFont val="Tahoma"/>
            <family val="2"/>
          </rPr>
          <t>ILIM</t>
        </r>
        <r>
          <rPr>
            <b/>
            <sz val="9"/>
            <color rgb="FF000000"/>
            <rFont val="Tahoma"/>
            <family val="2"/>
          </rPr>
          <t xml:space="preserve"> * V</t>
        </r>
        <r>
          <rPr>
            <b/>
            <vertAlign val="subscript"/>
            <sz val="9"/>
            <color rgb="FF000000"/>
            <rFont val="Tahoma"/>
            <family val="2"/>
          </rPr>
          <t>IIN</t>
        </r>
        <r>
          <rPr>
            <b/>
            <sz val="9"/>
            <color rgb="FF000000"/>
            <rFont val="Tahoma"/>
            <family val="2"/>
          </rPr>
          <t xml:space="preserve"> / (R</t>
        </r>
        <r>
          <rPr>
            <b/>
            <vertAlign val="subscript"/>
            <sz val="9"/>
            <color rgb="FF000000"/>
            <rFont val="Tahoma"/>
            <family val="2"/>
          </rPr>
          <t>IIN</t>
        </r>
        <r>
          <rPr>
            <b/>
            <sz val="9"/>
            <color rgb="FF000000"/>
            <rFont val="Tahoma"/>
            <family val="2"/>
          </rPr>
          <t xml:space="preserve"> * V</t>
        </r>
        <r>
          <rPr>
            <b/>
            <vertAlign val="subscript"/>
            <sz val="9"/>
            <color rgb="FF000000"/>
            <rFont val="Tahoma"/>
            <family val="2"/>
          </rPr>
          <t>REF_ILIM_HIZ</t>
        </r>
        <r>
          <rPr>
            <b/>
            <sz val="9"/>
            <color rgb="FF000000"/>
            <rFont val="Tahoma"/>
            <family val="2"/>
          </rPr>
          <t xml:space="preserve">)
</t>
        </r>
        <r>
          <rPr>
            <b/>
            <sz val="9"/>
            <color rgb="FF000000"/>
            <rFont val="Tahoma"/>
            <family val="2"/>
          </rPr>
          <t xml:space="preserve">
</t>
        </r>
        <r>
          <rPr>
            <sz val="9"/>
            <color rgb="FF000000"/>
            <rFont val="Tahoma"/>
            <family val="2"/>
          </rPr>
          <t>If IIN pin is shorted, the input current limit is set by the IAC_DPM register. If hardware input current limit function is not needed, it is recommended to short this pin to GND. If IIN pin is pulled above V</t>
        </r>
        <r>
          <rPr>
            <vertAlign val="subscript"/>
            <sz val="9"/>
            <color rgb="FF000000"/>
            <rFont val="Tahoma"/>
            <family val="2"/>
          </rPr>
          <t>IH_ILIM_HIZ</t>
        </r>
        <r>
          <rPr>
            <sz val="9"/>
            <color rgb="FF000000"/>
            <rFont val="Tahoma"/>
            <family val="2"/>
          </rPr>
          <t>, the device enters HIZ mode. The IIN pin function can be disabled by setting the EN_IIN_PIN bit to 0. When the pin is disabled, input current limit and monitoring functions as well as HIZ mode control via the pin are not available.</t>
        </r>
      </text>
    </comment>
    <comment ref="F45" authorId="0" shapeId="0" xr:uid="{E55498C5-FC41-47D3-AE23-03F051AAB86D}">
      <text>
        <r>
          <rPr>
            <b/>
            <u/>
            <sz val="9"/>
            <color rgb="FF000000"/>
            <rFont val="Tahoma"/>
            <family val="2"/>
          </rPr>
          <t xml:space="preserve">Selected Input Pull-down Resistor:
</t>
        </r>
        <r>
          <rPr>
            <sz val="9"/>
            <color rgb="FF000000"/>
            <rFont val="Tahoma"/>
            <family val="2"/>
          </rPr>
          <t xml:space="preserve">Enter Selected Input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Entered Selected Input Pull-down Resistor is not between 1 kΩ and 50 kΩ.</t>
        </r>
      </text>
    </comment>
    <comment ref="F46" authorId="0" shapeId="0" xr:uid="{1AA9770D-450E-44C4-A519-A30BA370CB54}">
      <text>
        <r>
          <rPr>
            <b/>
            <u/>
            <sz val="9"/>
            <color rgb="FF000000"/>
            <rFont val="Tahoma"/>
            <family val="2"/>
          </rPr>
          <t xml:space="preserve">Recognized Input Current Limit:
</t>
        </r>
        <r>
          <rPr>
            <sz val="9"/>
            <color rgb="FF000000"/>
            <rFont val="Tahoma"/>
            <family val="2"/>
          </rPr>
          <t xml:space="preserve">Recognized Input Current Limit based off the Selected Input Current Sense Resistor and Selected Input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Current Limit is not within </t>
        </r>
        <r>
          <rPr>
            <sz val="9"/>
            <color rgb="FF000000"/>
            <rFont val="Tahoma"/>
            <family val="2"/>
          </rPr>
          <t>±</t>
        </r>
        <r>
          <rPr>
            <sz val="9"/>
            <color rgb="FF000000"/>
            <rFont val="Tahoma"/>
            <family val="2"/>
          </rPr>
          <t>5% of Desired Input Current Limit.</t>
        </r>
      </text>
    </comment>
    <comment ref="F49" authorId="0" shapeId="0" xr:uid="{B1BDFD68-5B27-47A1-B069-1067171AE1B5}">
      <text>
        <r>
          <rPr>
            <b/>
            <u/>
            <sz val="9"/>
            <color rgb="FF000000"/>
            <rFont val="Tahoma"/>
            <family val="2"/>
          </rPr>
          <t xml:space="preserve">Battery Current Sense Resistor:
</t>
        </r>
        <r>
          <rPr>
            <sz val="9"/>
            <color rgb="FF000000"/>
            <rFont val="Tahoma"/>
            <family val="2"/>
          </rPr>
          <t xml:space="preserve">The battery current sense resistor between SRP and SRN is fixed at 5 mΩ; using a different value is not recommended.
</t>
        </r>
      </text>
    </comment>
    <comment ref="F50" authorId="0" shapeId="0" xr:uid="{44028D73-9FFF-4A2E-AF33-C27AAF122E9A}">
      <text>
        <r>
          <rPr>
            <b/>
            <u/>
            <sz val="9"/>
            <color indexed="81"/>
            <rFont val="Tahoma"/>
            <family val="2"/>
          </rPr>
          <t xml:space="preserve">Maximum Output Current Limit:
</t>
        </r>
        <r>
          <rPr>
            <sz val="9"/>
            <color indexed="81"/>
            <rFont val="Tahoma"/>
            <family val="2"/>
          </rPr>
          <t xml:space="preserve">Maximum Input Current Limit is fixed at 20 A. </t>
        </r>
      </text>
    </comment>
    <comment ref="F51" authorId="0" shapeId="0" xr:uid="{20054DBB-810D-4864-BE37-F20E5B862F07}">
      <text>
        <r>
          <rPr>
            <b/>
            <u/>
            <sz val="9"/>
            <color rgb="FF000000"/>
            <rFont val="Tahoma"/>
            <family val="2"/>
          </rPr>
          <t xml:space="preserve">Output Current Resolution:
</t>
        </r>
        <r>
          <rPr>
            <sz val="9"/>
            <color rgb="FF000000"/>
            <rFont val="Tahoma"/>
            <family val="2"/>
          </rPr>
          <t>Output Current Resolution is fixed at 50 mA/step.</t>
        </r>
      </text>
    </comment>
    <comment ref="F52" authorId="0" shapeId="0" xr:uid="{B6FB0578-23DE-4526-B3E4-CEA82A127D43}">
      <text>
        <r>
          <rPr>
            <b/>
            <u/>
            <sz val="9"/>
            <color rgb="FF000000"/>
            <rFont val="Tahoma"/>
            <family val="2"/>
          </rPr>
          <t xml:space="preserve">Recommended Input Current Sense Resistor:
</t>
        </r>
        <r>
          <rPr>
            <sz val="9"/>
            <color rgb="FF000000"/>
            <rFont val="Tahoma"/>
            <family val="2"/>
          </rPr>
          <t xml:space="preserve">The input current sense resistor between ACP and ACN is typically 2 mΩ, but can be increased to achieve better accuracy at lower sensed currents. In USB-PD EPR applications, a 5-mΩ sense resistor is recommended to achieve programmability in a 50 mA/step. 
</t>
        </r>
        <r>
          <rPr>
            <sz val="9"/>
            <color rgb="FF000000"/>
            <rFont val="Tahoma"/>
            <family val="2"/>
          </rPr>
          <t xml:space="preserve">
</t>
        </r>
        <r>
          <rPr>
            <sz val="9"/>
            <color rgb="FF000000"/>
            <rFont val="Tahoma"/>
            <family val="2"/>
          </rPr>
          <t>In addition, if input current limit function is not desired, ACP and ACN may be shorted together. A filter network is recommended as shown in section 8.2 Typical Application.</t>
        </r>
      </text>
    </comment>
    <comment ref="F54" authorId="0" shapeId="0" xr:uid="{2E15EFC7-1DD6-4F5B-B178-CE69725A10D3}">
      <text>
        <r>
          <rPr>
            <b/>
            <u/>
            <sz val="9"/>
            <color rgb="FF000000"/>
            <rFont val="Tahoma"/>
            <family val="2"/>
          </rPr>
          <t xml:space="preserve">Selected Output Pull-down Resistor:
</t>
        </r>
        <r>
          <rPr>
            <sz val="9"/>
            <color rgb="FF000000"/>
            <rFont val="Tahoma"/>
            <family val="2"/>
          </rPr>
          <t xml:space="preserve">Enter Selected Output Pull-down Resistor.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Entered Selected Output Pull-down Resistor is not between 1 kΩ and 50 kΩ.</t>
        </r>
      </text>
    </comment>
    <comment ref="F55" authorId="0" shapeId="0" xr:uid="{B7D38879-E308-4882-B3EC-29F96E0F006F}">
      <text>
        <r>
          <rPr>
            <b/>
            <u/>
            <sz val="9"/>
            <color indexed="81"/>
            <rFont val="Tahoma"/>
            <family val="2"/>
          </rPr>
          <t xml:space="preserve">Recognized Output Current Limit:
</t>
        </r>
        <r>
          <rPr>
            <sz val="9"/>
            <color indexed="81"/>
            <rFont val="Tahoma"/>
            <family val="2"/>
          </rPr>
          <t xml:space="preserve">Recognized Output Current Limit based off the Battery Current Sense Resistor and Selected Output Pull-down Resistor. 
</t>
        </r>
        <r>
          <rPr>
            <b/>
            <sz val="9"/>
            <color indexed="81"/>
            <rFont val="Tahoma"/>
            <family val="2"/>
          </rPr>
          <t>Text in cell is flagged red if:</t>
        </r>
        <r>
          <rPr>
            <sz val="9"/>
            <color indexed="81"/>
            <rFont val="Tahoma"/>
            <family val="2"/>
          </rPr>
          <t xml:space="preserve">
The Recognized Output Current Limit is not within ±5% of Desired Output Current Limit.</t>
        </r>
      </text>
    </comment>
    <comment ref="F58" authorId="0" shapeId="0" xr:uid="{C1F68868-BEEC-4AC4-9E18-B244905D72A6}">
      <text>
        <r>
          <rPr>
            <b/>
            <u/>
            <sz val="9"/>
            <color rgb="FF000000"/>
            <rFont val="Tahoma"/>
            <family val="2"/>
          </rPr>
          <t xml:space="preserve">Desired Input Overvoltage Limit:
</t>
        </r>
        <r>
          <rPr>
            <sz val="9"/>
            <color rgb="FF000000"/>
            <rFont val="Tahoma"/>
            <family val="2"/>
          </rPr>
          <t>The input operating window is programmed via the ACUV and ACOV pins using a three-resistor divider from V</t>
        </r>
        <r>
          <rPr>
            <vertAlign val="subscript"/>
            <sz val="9"/>
            <color rgb="FF000000"/>
            <rFont val="Tahoma"/>
            <family val="2"/>
          </rPr>
          <t>AC</t>
        </r>
        <r>
          <rPr>
            <sz val="9"/>
            <color rgb="FF000000"/>
            <rFont val="Tahoma"/>
            <family val="2"/>
          </rPr>
          <t xml:space="preserve"> to PGND. When the input voltage is outside the programmed window, the device automatically stops switching, and the PG pin pulls HIGH.
</t>
        </r>
        <r>
          <rPr>
            <sz val="9"/>
            <color rgb="FF000000"/>
            <rFont val="Tahoma"/>
            <family val="2"/>
          </rPr>
          <t xml:space="preserve">
</t>
        </r>
        <r>
          <rPr>
            <b/>
            <sz val="9"/>
            <color rgb="FF000000"/>
            <rFont val="Tahoma"/>
            <family val="2"/>
          </rPr>
          <t>Note:</t>
        </r>
        <r>
          <rPr>
            <sz val="9"/>
            <color rgb="FF000000"/>
            <rFont val="Tahoma"/>
            <family val="2"/>
          </rPr>
          <t xml:space="preserve"> The device also features an internal over-voltage protection preset at V</t>
        </r>
        <r>
          <rPr>
            <vertAlign val="subscript"/>
            <sz val="9"/>
            <color rgb="FF000000"/>
            <rFont val="Tahoma"/>
            <family val="2"/>
          </rPr>
          <t>VAC_INT_OV</t>
        </r>
        <r>
          <rPr>
            <sz val="9"/>
            <color rgb="FF000000"/>
            <rFont val="Tahoma"/>
            <family val="2"/>
          </rPr>
          <t>. When the input voltage rises above the lower of these two thresholds, the device disables the charger.</t>
        </r>
      </text>
    </comment>
    <comment ref="F59" authorId="0" shapeId="0" xr:uid="{89017203-5ED3-4165-AE58-8201DF9F379A}">
      <text>
        <r>
          <rPr>
            <b/>
            <u/>
            <sz val="9"/>
            <color rgb="FF000000"/>
            <rFont val="Tahoma"/>
            <family val="2"/>
          </rPr>
          <t xml:space="preserve">Desired Input Undervoltage Limit:
</t>
        </r>
        <r>
          <rPr>
            <sz val="9"/>
            <color rgb="FF000000"/>
            <rFont val="Tahoma"/>
            <family val="2"/>
          </rPr>
          <t>The input operating window is programmed via the ACUV and ACOV pins using a three-resistor divider from V</t>
        </r>
        <r>
          <rPr>
            <vertAlign val="subscript"/>
            <sz val="9"/>
            <color rgb="FF000000"/>
            <rFont val="Tahoma"/>
            <family val="2"/>
          </rPr>
          <t>AC</t>
        </r>
        <r>
          <rPr>
            <sz val="9"/>
            <color rgb="FF000000"/>
            <rFont val="Tahoma"/>
            <family val="2"/>
          </rPr>
          <t xml:space="preserve"> to PGND. When the input voltage is outside the programmed window, the device automatically stops switching, and the PG pin pulls HIGH.
</t>
        </r>
        <r>
          <rPr>
            <sz val="9"/>
            <color rgb="FF000000"/>
            <rFont val="Tahoma"/>
            <family val="2"/>
          </rPr>
          <t xml:space="preserve">
</t>
        </r>
        <r>
          <rPr>
            <b/>
            <sz val="9"/>
            <color rgb="FF000000"/>
            <rFont val="Tahoma"/>
            <family val="2"/>
          </rPr>
          <t>Note:</t>
        </r>
        <r>
          <rPr>
            <sz val="9"/>
            <color rgb="FF000000"/>
            <rFont val="Tahoma"/>
            <family val="2"/>
          </rPr>
          <t xml:space="preserve"> If VAC_DPM register is programmed to a value higher than POR, the device regulates the V</t>
        </r>
        <r>
          <rPr>
            <vertAlign val="subscript"/>
            <sz val="9"/>
            <color rgb="FF000000"/>
            <rFont val="Tahoma"/>
            <family val="2"/>
          </rPr>
          <t>AC</t>
        </r>
        <r>
          <rPr>
            <sz val="9"/>
            <color rgb="FF000000"/>
            <rFont val="Tahoma"/>
            <family val="2"/>
          </rPr>
          <t xml:space="preserve"> voltage to the higher of VAC_DPM register or V</t>
        </r>
        <r>
          <rPr>
            <vertAlign val="subscript"/>
            <sz val="9"/>
            <color rgb="FF000000"/>
            <rFont val="Tahoma"/>
            <family val="2"/>
          </rPr>
          <t>ACUV_DPM</t>
        </r>
        <r>
          <rPr>
            <sz val="9"/>
            <color rgb="FF000000"/>
            <rFont val="Tahoma"/>
            <family val="2"/>
          </rPr>
          <t xml:space="preserve"> pin voltage. </t>
        </r>
      </text>
    </comment>
    <comment ref="F60" authorId="0" shapeId="0" xr:uid="{C067F047-8D22-46D2-91C0-317F81166323}">
      <text>
        <r>
          <rPr>
            <b/>
            <u/>
            <sz val="9"/>
            <color indexed="81"/>
            <rFont val="Tahoma"/>
            <family val="2"/>
          </rPr>
          <t>Recommended Top Resister:</t>
        </r>
        <r>
          <rPr>
            <u/>
            <sz val="9"/>
            <color indexed="81"/>
            <rFont val="Tahoma"/>
            <family val="2"/>
          </rPr>
          <t xml:space="preserve">
</t>
        </r>
        <r>
          <rPr>
            <sz val="9"/>
            <color indexed="81"/>
            <rFont val="Tahoma"/>
            <family val="2"/>
          </rPr>
          <t>The top resistor, R</t>
        </r>
        <r>
          <rPr>
            <vertAlign val="subscript"/>
            <sz val="9"/>
            <color indexed="81"/>
            <rFont val="Tahoma"/>
            <family val="2"/>
          </rPr>
          <t>AC1</t>
        </r>
        <r>
          <rPr>
            <sz val="9"/>
            <color indexed="81"/>
            <rFont val="Tahoma"/>
            <family val="2"/>
          </rPr>
          <t xml:space="preserve"> is typically selected as 1,000 kΩ to minimize the input voltage leakage current. The internal reference for the over-voltage threshold (VREF_ACOV) is 1.2 V. The internal reference for the under-voltage threshold (VREF_ACUV) is 1.1 V. 
The resistor divider required can be calculated as follows:
</t>
        </r>
        <r>
          <rPr>
            <b/>
            <sz val="9"/>
            <color indexed="81"/>
            <rFont val="Tahoma"/>
            <family val="2"/>
          </rPr>
          <t>V</t>
        </r>
        <r>
          <rPr>
            <b/>
            <vertAlign val="subscript"/>
            <sz val="9"/>
            <color indexed="81"/>
            <rFont val="Tahoma"/>
            <family val="2"/>
          </rPr>
          <t>VACOVP</t>
        </r>
        <r>
          <rPr>
            <b/>
            <sz val="9"/>
            <color indexed="81"/>
            <rFont val="Tahoma"/>
            <family val="2"/>
          </rPr>
          <t xml:space="preserve"> = 1.2V(R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AC3</t>
        </r>
        <r>
          <rPr>
            <b/>
            <sz val="9"/>
            <color indexed="81"/>
            <rFont val="Tahoma"/>
            <family val="2"/>
          </rPr>
          <t xml:space="preserve">
V</t>
        </r>
        <r>
          <rPr>
            <b/>
            <vertAlign val="subscript"/>
            <sz val="9"/>
            <color indexed="81"/>
            <rFont val="Tahoma"/>
            <family val="2"/>
          </rPr>
          <t>VACUVP</t>
        </r>
        <r>
          <rPr>
            <b/>
            <sz val="9"/>
            <color indexed="81"/>
            <rFont val="Tahoma"/>
            <family val="2"/>
          </rPr>
          <t xml:space="preserve"> = 1.1V(R</t>
        </r>
        <r>
          <rPr>
            <b/>
            <vertAlign val="subscript"/>
            <sz val="9"/>
            <color indexed="81"/>
            <rFont val="Tahoma"/>
            <family val="2"/>
          </rPr>
          <t>AC1</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)/(R</t>
        </r>
        <r>
          <rPr>
            <b/>
            <vertAlign val="subscript"/>
            <sz val="9"/>
            <color indexed="81"/>
            <rFont val="Tahoma"/>
            <family val="2"/>
          </rPr>
          <t>AC2</t>
        </r>
        <r>
          <rPr>
            <b/>
            <sz val="9"/>
            <color indexed="81"/>
            <rFont val="Tahoma"/>
            <family val="2"/>
          </rPr>
          <t>+R</t>
        </r>
        <r>
          <rPr>
            <b/>
            <vertAlign val="subscript"/>
            <sz val="9"/>
            <color indexed="81"/>
            <rFont val="Tahoma"/>
            <family val="2"/>
          </rPr>
          <t>AC3</t>
        </r>
        <r>
          <rPr>
            <b/>
            <sz val="9"/>
            <color indexed="81"/>
            <rFont val="Tahoma"/>
            <family val="2"/>
          </rPr>
          <t>)</t>
        </r>
      </text>
    </comment>
    <comment ref="F61" authorId="0" shapeId="0" xr:uid="{67ABC96D-AD36-4B21-B271-4D83A1788047}">
      <text>
        <r>
          <rPr>
            <b/>
            <u/>
            <sz val="9"/>
            <color rgb="FF000000"/>
            <rFont val="Tahoma"/>
            <family val="2"/>
          </rPr>
          <t>Recommended Middle Resister:</t>
        </r>
        <r>
          <rPr>
            <u/>
            <sz val="9"/>
            <color rgb="FF000000"/>
            <rFont val="Tahoma"/>
            <family val="2"/>
          </rPr>
          <t xml:space="preserve">
</t>
        </r>
        <r>
          <rPr>
            <sz val="9"/>
            <color rgb="FF000000"/>
            <rFont val="Tahoma"/>
            <family val="2"/>
          </rPr>
          <t xml:space="preserve">The resistor divider required can be calculated as follows:
</t>
        </r>
        <r>
          <rPr>
            <sz val="9"/>
            <color rgb="FF000000"/>
            <rFont val="Tahoma"/>
            <family val="2"/>
          </rPr>
          <t xml:space="preserve">
</t>
        </r>
        <r>
          <rPr>
            <b/>
            <sz val="9"/>
            <color rgb="FF000000"/>
            <rFont val="Tahoma"/>
            <family val="2"/>
          </rPr>
          <t>V</t>
        </r>
        <r>
          <rPr>
            <b/>
            <vertAlign val="subscript"/>
            <sz val="9"/>
            <color rgb="FF000000"/>
            <rFont val="Tahoma"/>
            <family val="2"/>
          </rPr>
          <t>VACOVP</t>
        </r>
        <r>
          <rPr>
            <b/>
            <sz val="9"/>
            <color rgb="FF000000"/>
            <rFont val="Tahoma"/>
            <family val="2"/>
          </rPr>
          <t xml:space="preserve"> = 1.2V(R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AC3</t>
        </r>
        <r>
          <rPr>
            <b/>
            <sz val="9"/>
            <color rgb="FF000000"/>
            <rFont val="Tahoma"/>
            <family val="2"/>
          </rPr>
          <t xml:space="preserve">
</t>
        </r>
        <r>
          <rPr>
            <b/>
            <sz val="9"/>
            <color rgb="FF000000"/>
            <rFont val="Tahoma"/>
            <family val="2"/>
          </rPr>
          <t xml:space="preserve">
</t>
        </r>
        <r>
          <rPr>
            <b/>
            <sz val="9"/>
            <color rgb="FF000000"/>
            <rFont val="Tahoma"/>
            <family val="2"/>
          </rPr>
          <t>V</t>
        </r>
        <r>
          <rPr>
            <b/>
            <vertAlign val="subscript"/>
            <sz val="9"/>
            <color rgb="FF000000"/>
            <rFont val="Tahoma"/>
            <family val="2"/>
          </rPr>
          <t>VACUVP</t>
        </r>
        <r>
          <rPr>
            <b/>
            <sz val="9"/>
            <color rgb="FF000000"/>
            <rFont val="Tahoma"/>
            <family val="2"/>
          </rPr>
          <t xml:space="preserve"> = 1.1V(R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t>
        </r>
      </text>
    </comment>
    <comment ref="F62" authorId="0" shapeId="0" xr:uid="{4CEDAF32-4105-4C82-8AF3-425855FC52EF}">
      <text>
        <r>
          <rPr>
            <b/>
            <u/>
            <sz val="9"/>
            <color rgb="FF000000"/>
            <rFont val="Tahoma"/>
            <family val="2"/>
          </rPr>
          <t>Recommended Bottom Resister:</t>
        </r>
        <r>
          <rPr>
            <u/>
            <sz val="9"/>
            <color rgb="FF000000"/>
            <rFont val="Tahoma"/>
            <family val="2"/>
          </rPr>
          <t xml:space="preserve">
</t>
        </r>
        <r>
          <rPr>
            <sz val="9"/>
            <color rgb="FF000000"/>
            <rFont val="Tahoma"/>
            <family val="2"/>
          </rPr>
          <t xml:space="preserve">The resistor divider required can be calculated as follows:
</t>
        </r>
        <r>
          <rPr>
            <sz val="9"/>
            <color rgb="FF000000"/>
            <rFont val="Tahoma"/>
            <family val="2"/>
          </rPr>
          <t xml:space="preserve">
</t>
        </r>
        <r>
          <rPr>
            <b/>
            <sz val="9"/>
            <color rgb="FF000000"/>
            <rFont val="Tahoma"/>
            <family val="2"/>
          </rPr>
          <t>V</t>
        </r>
        <r>
          <rPr>
            <b/>
            <vertAlign val="subscript"/>
            <sz val="9"/>
            <color rgb="FF000000"/>
            <rFont val="Tahoma"/>
            <family val="2"/>
          </rPr>
          <t>VACOVP</t>
        </r>
        <r>
          <rPr>
            <b/>
            <sz val="9"/>
            <color rgb="FF000000"/>
            <rFont val="Tahoma"/>
            <family val="2"/>
          </rPr>
          <t xml:space="preserve"> = 1.2V(R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AC3</t>
        </r>
        <r>
          <rPr>
            <b/>
            <sz val="9"/>
            <color rgb="FF000000"/>
            <rFont val="Tahoma"/>
            <family val="2"/>
          </rPr>
          <t xml:space="preserve">
</t>
        </r>
        <r>
          <rPr>
            <b/>
            <sz val="9"/>
            <color rgb="FF000000"/>
            <rFont val="Tahoma"/>
            <family val="2"/>
          </rPr>
          <t xml:space="preserve">
</t>
        </r>
        <r>
          <rPr>
            <b/>
            <sz val="9"/>
            <color rgb="FF000000"/>
            <rFont val="Tahoma"/>
            <family val="2"/>
          </rPr>
          <t>V</t>
        </r>
        <r>
          <rPr>
            <b/>
            <vertAlign val="subscript"/>
            <sz val="9"/>
            <color rgb="FF000000"/>
            <rFont val="Tahoma"/>
            <family val="2"/>
          </rPr>
          <t>VACUVP</t>
        </r>
        <r>
          <rPr>
            <b/>
            <sz val="9"/>
            <color rgb="FF000000"/>
            <rFont val="Tahoma"/>
            <family val="2"/>
          </rPr>
          <t xml:space="preserve"> = 1.1V(R</t>
        </r>
        <r>
          <rPr>
            <b/>
            <vertAlign val="subscript"/>
            <sz val="9"/>
            <color rgb="FF000000"/>
            <rFont val="Tahoma"/>
            <family val="2"/>
          </rPr>
          <t>AC1</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)/(R</t>
        </r>
        <r>
          <rPr>
            <b/>
            <vertAlign val="subscript"/>
            <sz val="9"/>
            <color rgb="FF000000"/>
            <rFont val="Tahoma"/>
            <family val="2"/>
          </rPr>
          <t>AC2</t>
        </r>
        <r>
          <rPr>
            <b/>
            <sz val="9"/>
            <color rgb="FF000000"/>
            <rFont val="Tahoma"/>
            <family val="2"/>
          </rPr>
          <t>+R</t>
        </r>
        <r>
          <rPr>
            <b/>
            <vertAlign val="subscript"/>
            <sz val="9"/>
            <color rgb="FF000000"/>
            <rFont val="Tahoma"/>
            <family val="2"/>
          </rPr>
          <t>AC3</t>
        </r>
        <r>
          <rPr>
            <b/>
            <sz val="9"/>
            <color rgb="FF000000"/>
            <rFont val="Tahoma"/>
            <family val="2"/>
          </rPr>
          <t>)</t>
        </r>
      </text>
    </comment>
    <comment ref="F66" authorId="0" shapeId="0" xr:uid="{52E8F071-2B4C-4968-AFFC-7BCAB634FF22}">
      <text>
        <r>
          <rPr>
            <b/>
            <u/>
            <sz val="9"/>
            <color rgb="FF000000"/>
            <rFont val="Tahoma"/>
            <family val="2"/>
          </rPr>
          <t xml:space="preserve">Recognized Input Overvoltage Limit:
</t>
        </r>
        <r>
          <rPr>
            <sz val="9"/>
            <color rgb="FF000000"/>
            <rFont val="Tahoma"/>
            <family val="2"/>
          </rPr>
          <t>Recognized Input Overvoltage Limit based off R</t>
        </r>
        <r>
          <rPr>
            <vertAlign val="subscript"/>
            <sz val="9"/>
            <color rgb="FF000000"/>
            <rFont val="Tahoma"/>
            <family val="2"/>
          </rPr>
          <t>AC1</t>
        </r>
        <r>
          <rPr>
            <sz val="9"/>
            <color rgb="FF000000"/>
            <rFont val="Tahoma"/>
            <family val="2"/>
          </rPr>
          <t>, R</t>
        </r>
        <r>
          <rPr>
            <vertAlign val="subscript"/>
            <sz val="9"/>
            <color rgb="FF000000"/>
            <rFont val="Tahoma"/>
            <family val="2"/>
          </rPr>
          <t>AC2</t>
        </r>
        <r>
          <rPr>
            <sz val="9"/>
            <color rgb="FF000000"/>
            <rFont val="Tahoma"/>
            <family val="2"/>
          </rPr>
          <t>, and R</t>
        </r>
        <r>
          <rPr>
            <vertAlign val="subscript"/>
            <sz val="9"/>
            <color rgb="FF000000"/>
            <rFont val="Tahoma"/>
            <family val="2"/>
          </rPr>
          <t>AC3</t>
        </r>
        <r>
          <rPr>
            <sz val="9"/>
            <color rgb="FF000000"/>
            <rFont val="Tahoma"/>
            <family val="2"/>
          </rPr>
          <t xml:space="preserve">.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Overvoltage Limit is not within </t>
        </r>
        <r>
          <rPr>
            <sz val="9"/>
            <color rgb="FF000000"/>
            <rFont val="Tahoma"/>
            <family val="2"/>
          </rPr>
          <t>±</t>
        </r>
        <r>
          <rPr>
            <sz val="9"/>
            <color rgb="FF000000"/>
            <rFont val="Tahoma"/>
            <family val="2"/>
          </rPr>
          <t>5% of Desired Input Overvoltage Limit.</t>
        </r>
      </text>
    </comment>
    <comment ref="F67" authorId="0" shapeId="0" xr:uid="{46E90CD1-88B4-4679-A7E5-6B4971633007}">
      <text>
        <r>
          <rPr>
            <b/>
            <u/>
            <sz val="9"/>
            <color rgb="FF000000"/>
            <rFont val="Tahoma"/>
            <family val="2"/>
          </rPr>
          <t xml:space="preserve">Recognized Input Undervoltage Limit:
</t>
        </r>
        <r>
          <rPr>
            <sz val="9"/>
            <color rgb="FF000000"/>
            <rFont val="Tahoma"/>
            <family val="2"/>
          </rPr>
          <t>Recognized Input Undervoltage Limit based off R</t>
        </r>
        <r>
          <rPr>
            <vertAlign val="subscript"/>
            <sz val="9"/>
            <color rgb="FF000000"/>
            <rFont val="Tahoma"/>
            <family val="2"/>
          </rPr>
          <t>AC1</t>
        </r>
        <r>
          <rPr>
            <sz val="9"/>
            <color rgb="FF000000"/>
            <rFont val="Tahoma"/>
            <family val="2"/>
          </rPr>
          <t>, R</t>
        </r>
        <r>
          <rPr>
            <vertAlign val="subscript"/>
            <sz val="9"/>
            <color rgb="FF000000"/>
            <rFont val="Tahoma"/>
            <family val="2"/>
          </rPr>
          <t>AC2</t>
        </r>
        <r>
          <rPr>
            <sz val="9"/>
            <color rgb="FF000000"/>
            <rFont val="Tahoma"/>
            <family val="2"/>
          </rPr>
          <t>, and R</t>
        </r>
        <r>
          <rPr>
            <vertAlign val="subscript"/>
            <sz val="9"/>
            <color rgb="FF000000"/>
            <rFont val="Tahoma"/>
            <family val="2"/>
          </rPr>
          <t>AC3</t>
        </r>
        <r>
          <rPr>
            <sz val="9"/>
            <color rgb="FF000000"/>
            <rFont val="Tahoma"/>
            <family val="2"/>
          </rPr>
          <t xml:space="preserve">. 
</t>
        </r>
        <r>
          <rPr>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Input Undervoltage Limit is not within </t>
        </r>
        <r>
          <rPr>
            <sz val="9"/>
            <color rgb="FF000000"/>
            <rFont val="Tahoma"/>
            <family val="2"/>
          </rPr>
          <t>±</t>
        </r>
        <r>
          <rPr>
            <sz val="9"/>
            <color rgb="FF000000"/>
            <rFont val="Tahoma"/>
            <family val="2"/>
          </rPr>
          <t>5% of Desired Input Undervoltage Limit.</t>
        </r>
      </text>
    </comment>
    <comment ref="F70" authorId="0" shapeId="0" xr:uid="{E019C1C6-B088-41AE-B988-92C5A04A7687}">
      <text>
        <r>
          <rPr>
            <b/>
            <u/>
            <sz val="9"/>
            <color rgb="FF000000"/>
            <rFont val="Tahoma"/>
            <family val="2"/>
          </rPr>
          <t xml:space="preserve">Desired Battery Regulation Target:
</t>
        </r>
        <r>
          <rPr>
            <sz val="9"/>
            <color rgb="FF000000"/>
            <rFont val="Tahoma"/>
            <family val="2"/>
          </rPr>
          <t xml:space="preserve">The battery regulation voltage is programmed using a resistor divider to the FB pin. The default internal voltage reference is 1.536V, and can be changed via the VFB_REG register bits. The top of the resistor divider is recommended to be 249 kΩ.
</t>
        </r>
        <r>
          <rPr>
            <sz val="9"/>
            <color rgb="FF000000"/>
            <rFont val="Tahoma"/>
            <family val="2"/>
          </rPr>
          <t xml:space="preserve">
</t>
        </r>
        <r>
          <rPr>
            <sz val="9"/>
            <color rgb="FF000000"/>
            <rFont val="Tahoma"/>
            <family val="2"/>
          </rPr>
          <t xml:space="preserve">The bottom resistor can be calculated as:
</t>
        </r>
        <r>
          <rPr>
            <sz val="9"/>
            <color rgb="FF000000"/>
            <rFont val="Tahoma"/>
            <family val="2"/>
          </rPr>
          <t xml:space="preserve">
</t>
        </r>
        <r>
          <rPr>
            <b/>
            <sz val="9"/>
            <color rgb="FF000000"/>
            <rFont val="Tahoma"/>
            <family val="2"/>
          </rPr>
          <t>R</t>
        </r>
        <r>
          <rPr>
            <b/>
            <vertAlign val="subscript"/>
            <sz val="9"/>
            <color rgb="FF000000"/>
            <rFont val="Tahoma"/>
            <family val="2"/>
          </rPr>
          <t>FB_BOT</t>
        </r>
        <r>
          <rPr>
            <b/>
            <sz val="9"/>
            <color rgb="FF000000"/>
            <rFont val="Tahoma"/>
            <family val="2"/>
          </rPr>
          <t xml:space="preserve"> = (R</t>
        </r>
        <r>
          <rPr>
            <b/>
            <vertAlign val="subscript"/>
            <sz val="9"/>
            <color rgb="FF000000"/>
            <rFont val="Tahoma"/>
            <family val="2"/>
          </rPr>
          <t>FB_TOP</t>
        </r>
        <r>
          <rPr>
            <b/>
            <sz val="9"/>
            <color rgb="FF000000"/>
            <rFont val="Tahoma"/>
            <family val="2"/>
          </rPr>
          <t>* V</t>
        </r>
        <r>
          <rPr>
            <b/>
            <vertAlign val="subscript"/>
            <sz val="9"/>
            <color rgb="FF000000"/>
            <rFont val="Tahoma"/>
            <family val="2"/>
          </rPr>
          <t>FB</t>
        </r>
        <r>
          <rPr>
            <b/>
            <sz val="9"/>
            <color rgb="FF000000"/>
            <rFont val="Tahoma"/>
            <family val="2"/>
          </rPr>
          <t xml:space="preserve"> / (V</t>
        </r>
        <r>
          <rPr>
            <b/>
            <vertAlign val="subscript"/>
            <sz val="9"/>
            <color rgb="FF000000"/>
            <rFont val="Tahoma"/>
            <family val="2"/>
          </rPr>
          <t>BATREG</t>
        </r>
        <r>
          <rPr>
            <b/>
            <sz val="9"/>
            <color rgb="FF000000"/>
            <rFont val="Tahoma"/>
            <family val="2"/>
          </rPr>
          <t xml:space="preserve"> - V</t>
        </r>
        <r>
          <rPr>
            <b/>
            <vertAlign val="subscript"/>
            <sz val="9"/>
            <color rgb="FF000000"/>
            <rFont val="Tahoma"/>
            <family val="2"/>
          </rPr>
          <t>FB</t>
        </r>
        <r>
          <rPr>
            <b/>
            <sz val="9"/>
            <color rgb="FF000000"/>
            <rFont val="Tahoma"/>
            <family val="2"/>
          </rPr>
          <t>) ) + R</t>
        </r>
        <r>
          <rPr>
            <b/>
            <vertAlign val="subscript"/>
            <sz val="9"/>
            <color rgb="FF000000"/>
            <rFont val="Tahoma"/>
            <family val="2"/>
          </rPr>
          <t>FBG</t>
        </r>
        <r>
          <rPr>
            <sz val="9"/>
            <color rgb="FF000000"/>
            <rFont val="Tahoma"/>
            <family val="2"/>
          </rPr>
          <t xml:space="preserve">
</t>
        </r>
        <r>
          <rPr>
            <sz val="9"/>
            <color rgb="FF000000"/>
            <rFont val="Tahoma"/>
            <family val="2"/>
          </rPr>
          <t xml:space="preserve">
</t>
        </r>
        <r>
          <rPr>
            <sz val="9"/>
            <color rgb="FF000000"/>
            <rFont val="Tahoma"/>
            <family val="2"/>
          </rPr>
          <t xml:space="preserve">where:
</t>
        </r>
        <r>
          <rPr>
            <sz val="9"/>
            <color rgb="FF000000"/>
            <rFont val="Tahoma"/>
            <family val="2"/>
          </rPr>
          <t>V</t>
        </r>
        <r>
          <rPr>
            <vertAlign val="subscript"/>
            <sz val="9"/>
            <color rgb="FF000000"/>
            <rFont val="Tahoma"/>
            <family val="2"/>
          </rPr>
          <t>FB</t>
        </r>
        <r>
          <rPr>
            <sz val="9"/>
            <color rgb="FF000000"/>
            <rFont val="Tahoma"/>
            <family val="2"/>
          </rPr>
          <t xml:space="preserve"> is the target feedback voltage programmed through I2C (default 1.536V)
</t>
        </r>
        <r>
          <rPr>
            <sz val="9"/>
            <color rgb="FF000000"/>
            <rFont val="Tahoma"/>
            <family val="2"/>
          </rPr>
          <t>V</t>
        </r>
        <r>
          <rPr>
            <vertAlign val="subscript"/>
            <sz val="9"/>
            <color rgb="FF000000"/>
            <rFont val="Tahoma"/>
            <family val="2"/>
          </rPr>
          <t>BATREG</t>
        </r>
        <r>
          <rPr>
            <sz val="9"/>
            <color rgb="FF000000"/>
            <rFont val="Tahoma"/>
            <family val="2"/>
          </rPr>
          <t xml:space="preserve"> is the desired battery regulation target
</t>
        </r>
        <r>
          <rPr>
            <sz val="9"/>
            <color rgb="FF000000"/>
            <rFont val="Tahoma"/>
            <family val="2"/>
          </rPr>
          <t>R</t>
        </r>
        <r>
          <rPr>
            <vertAlign val="subscript"/>
            <sz val="9"/>
            <color rgb="FF000000"/>
            <rFont val="Tahoma"/>
            <family val="2"/>
          </rPr>
          <t>FBG</t>
        </r>
        <r>
          <rPr>
            <sz val="9"/>
            <color rgb="FF000000"/>
            <rFont val="Tahoma"/>
            <family val="2"/>
          </rPr>
          <t xml:space="preserve"> is the internal FBG pull-down resistor (33 Ω)
</t>
        </r>
        <r>
          <rPr>
            <sz val="9"/>
            <color rgb="FF000000"/>
            <rFont val="Tahoma"/>
            <family val="2"/>
          </rPr>
          <t xml:space="preserve">
</t>
        </r>
        <r>
          <rPr>
            <sz val="9"/>
            <color rgb="FF000000"/>
            <rFont val="Tahoma"/>
            <family val="2"/>
          </rPr>
          <t>Further fine-tuning of the regulation voltage can be achieved by changing the internal feedback reference (V</t>
        </r>
        <r>
          <rPr>
            <vertAlign val="subscript"/>
            <sz val="9"/>
            <color rgb="FF000000"/>
            <rFont val="Tahoma"/>
            <family val="2"/>
          </rPr>
          <t>FB</t>
        </r>
        <r>
          <rPr>
            <sz val="9"/>
            <color rgb="FF000000"/>
            <rFont val="Tahoma"/>
            <family val="2"/>
          </rPr>
          <t>).</t>
        </r>
      </text>
    </comment>
    <comment ref="F76" authorId="0" shapeId="0" xr:uid="{ABBB25A8-5587-4F44-A6B1-D8C4E95695A0}">
      <text>
        <r>
          <rPr>
            <b/>
            <u/>
            <sz val="9"/>
            <color rgb="FF000000"/>
            <rFont val="Tahoma"/>
            <family val="2"/>
          </rPr>
          <t xml:space="preserve">Selected Target Feedback Voltage:
</t>
        </r>
        <r>
          <rPr>
            <sz val="9"/>
            <color rgb="FF000000"/>
            <rFont val="Tahoma"/>
            <family val="2"/>
          </rPr>
          <t xml:space="preserve">The default internal voltage reference is 1.536 V, and can be changed via the VFB_REG register bits. 
</t>
        </r>
        <r>
          <rPr>
            <sz val="9"/>
            <color rgb="FF000000"/>
            <rFont val="Tahoma"/>
            <family val="2"/>
          </rPr>
          <t xml:space="preserve">
</t>
        </r>
        <r>
          <rPr>
            <sz val="9"/>
            <color rgb="FF000000"/>
            <rFont val="Tahoma"/>
            <family val="2"/>
          </rPr>
          <t xml:space="preserve">Range: 1.504 V to 1.566 V
</t>
        </r>
        <r>
          <rPr>
            <sz val="9"/>
            <color rgb="FF000000"/>
            <rFont val="Tahoma"/>
            <family val="2"/>
          </rPr>
          <t xml:space="preserve">Bit Step: 2 mV
</t>
        </r>
      </text>
    </comment>
    <comment ref="F77" authorId="0" shapeId="0" xr:uid="{865F7ED6-60EF-41C9-947F-B6E59284A208}">
      <text>
        <r>
          <rPr>
            <b/>
            <u/>
            <sz val="9"/>
            <color rgb="FF000000"/>
            <rFont val="Tahoma"/>
            <family val="2"/>
          </rPr>
          <t xml:space="preserve">Recognized Battery Regulation Target:
</t>
        </r>
        <r>
          <rPr>
            <sz val="9"/>
            <color rgb="FF000000"/>
            <rFont val="Tahoma"/>
            <family val="2"/>
          </rPr>
          <t xml:space="preserve">Recognized Battery Regulation Target based of the Selected Feedback Top and Bottom Resistors. 
</t>
        </r>
        <r>
          <rPr>
            <b/>
            <sz val="9"/>
            <color rgb="FF000000"/>
            <rFont val="Tahoma"/>
            <family val="2"/>
          </rPr>
          <t xml:space="preserve">
</t>
        </r>
        <r>
          <rPr>
            <b/>
            <sz val="9"/>
            <color rgb="FF000000"/>
            <rFont val="Tahoma"/>
            <family val="2"/>
          </rPr>
          <t>Text in cell is flagged red if:</t>
        </r>
        <r>
          <rPr>
            <sz val="9"/>
            <color rgb="FF000000"/>
            <rFont val="Tahoma"/>
            <family val="2"/>
          </rPr>
          <t xml:space="preserve">
</t>
        </r>
        <r>
          <rPr>
            <sz val="9"/>
            <color rgb="FF000000"/>
            <rFont val="Tahoma"/>
            <family val="2"/>
          </rPr>
          <t xml:space="preserve">The Recognized Battery Regulation Target is not within </t>
        </r>
        <r>
          <rPr>
            <sz val="9"/>
            <color rgb="FF000000"/>
            <rFont val="Tahoma"/>
            <family val="2"/>
          </rPr>
          <t>±</t>
        </r>
        <r>
          <rPr>
            <sz val="9"/>
            <color rgb="FF000000"/>
            <rFont val="Tahoma"/>
            <family val="2"/>
          </rPr>
          <t>0.5% of the Desired Battery Regulation Target.</t>
        </r>
      </text>
    </comment>
    <comment ref="A79" authorId="0" shapeId="0" xr:uid="{0B92D508-E951-4EE4-A8BF-686DF646A5B6}">
      <text>
        <r>
          <rPr>
            <b/>
            <u/>
            <sz val="9"/>
            <color rgb="FF000000"/>
            <rFont val="Tahoma"/>
            <family val="2"/>
          </rPr>
          <t>Thermistor Qualification:</t>
        </r>
        <r>
          <rPr>
            <sz val="9"/>
            <color rgb="FF000000"/>
            <rFont val="Tahoma"/>
            <family val="2"/>
          </rPr>
          <t xml:space="preserve">
</t>
        </r>
        <r>
          <rPr>
            <sz val="9"/>
            <color rgb="FF000000"/>
            <rFont val="Tahoma"/>
            <family val="2"/>
          </rPr>
          <t xml:space="preserve">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t>
        </r>
        <r>
          <rPr>
            <sz val="9"/>
            <color rgb="FF000000"/>
            <rFont val="Tahoma"/>
            <family val="2"/>
          </rPr>
          <t xml:space="preserve">
</t>
        </r>
        <r>
          <rPr>
            <sz val="9"/>
            <color rgb="FF000000"/>
            <rFont val="Tahoma"/>
            <family val="2"/>
          </rPr>
          <t xml:space="preserve">For further guidance, please refer to the </t>
        </r>
        <r>
          <rPr>
            <b/>
            <sz val="9"/>
            <color rgb="FF000000"/>
            <rFont val="Tahoma"/>
            <family val="2"/>
          </rPr>
          <t>7.3.4.7 Thermistor Qualification</t>
        </r>
        <r>
          <rPr>
            <sz val="9"/>
            <color rgb="FF000000"/>
            <rFont val="Tahoma"/>
            <family val="2"/>
          </rPr>
          <t xml:space="preserve"> section of the datasheet. </t>
        </r>
      </text>
    </comment>
    <comment ref="F80" authorId="0" shapeId="0" xr:uid="{33E9653D-0430-4808-9C73-89C6CD33291E}">
      <text>
        <r>
          <rPr>
            <b/>
            <u/>
            <sz val="9"/>
            <color rgb="FF000000"/>
            <rFont val="Tahoma"/>
            <family val="2"/>
          </rPr>
          <t>Selected Cold Temperature Threshold:</t>
        </r>
        <r>
          <rPr>
            <b/>
            <sz val="9"/>
            <color rgb="FF000000"/>
            <rFont val="Tahoma"/>
            <family val="2"/>
          </rPr>
          <t xml:space="preserve">
</t>
        </r>
        <r>
          <rPr>
            <sz val="9"/>
            <color rgb="FF000000"/>
            <rFont val="Tahoma"/>
            <family val="2"/>
          </rPr>
          <t xml:space="preserve">The Selected Cold Temperature Threshold is the T1 threshold that the charger will operate in. To set this value, set the TS_T1 bits in the REG0x1B TS_Charging_Threshold_Control Register.
</t>
        </r>
        <r>
          <rPr>
            <sz val="9"/>
            <color rgb="FF000000"/>
            <rFont val="Tahoma"/>
            <family val="2"/>
          </rPr>
          <t xml:space="preserve">
</t>
        </r>
        <r>
          <rPr>
            <sz val="9"/>
            <color rgb="FF000000"/>
            <rFont val="Tahoma"/>
            <family val="2"/>
          </rPr>
          <t>For further guidance on the Thermistor Qualification, please see the note on the "Step 8: Thermistor Qualification" cell.</t>
        </r>
      </text>
    </comment>
    <comment ref="F81" authorId="0" shapeId="0" xr:uid="{736AE559-90E8-4328-9066-F0ECA95F8209}">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82" authorId="0" shapeId="0" xr:uid="{835201C3-6CA3-4A5D-8DAD-0B98E1246C11}">
      <text>
        <r>
          <rPr>
            <b/>
            <u/>
            <sz val="9"/>
            <color indexed="81"/>
            <rFont val="Tahoma"/>
            <family val="2"/>
          </rPr>
          <t>Selected Thermistor Cold Resistance:</t>
        </r>
        <r>
          <rPr>
            <sz val="9"/>
            <color indexed="81"/>
            <rFont val="Tahoma"/>
            <family val="2"/>
          </rPr>
          <t xml:space="preserve">
Resistance of the chosen thermistor at the Selected Cold Temperature threshold. This can be found in the Thermistor's datasheet.</t>
        </r>
      </text>
    </comment>
    <comment ref="F83" authorId="0" shapeId="0" xr:uid="{055F69C6-E056-4F0F-B048-AD2FEADEBA9F}">
      <text>
        <r>
          <rPr>
            <b/>
            <u/>
            <sz val="9"/>
            <color indexed="81"/>
            <rFont val="Tahoma"/>
            <family val="2"/>
          </rPr>
          <t>Selected Thermistor Hot Resistance:</t>
        </r>
        <r>
          <rPr>
            <sz val="9"/>
            <color indexed="81"/>
            <rFont val="Tahoma"/>
            <family val="2"/>
          </rPr>
          <t xml:space="preserve">
Resistance of the chosen thermistor at the Selected Hot Temperature threshold. This can be found in the Thermistor's datasheet.</t>
        </r>
      </text>
    </comment>
    <comment ref="F84" authorId="0" shapeId="0" xr:uid="{C66E1830-2C68-4D29-BF39-B06EEA76BD88}">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5" authorId="0" shapeId="0" xr:uid="{4F7BEF7B-2B0B-4DB5-B489-A094351B7E1E}">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88" authorId="0" shapeId="0" xr:uid="{23428B91-2E50-459F-8EA6-65831174376C}">
      <text>
        <r>
          <rPr>
            <b/>
            <u/>
            <sz val="9"/>
            <color rgb="FF000000"/>
            <rFont val="Tahoma"/>
            <family val="2"/>
          </rPr>
          <t xml:space="preserve">Desired Operation:
</t>
        </r>
        <r>
          <rPr>
            <sz val="9"/>
            <color rgb="FF000000"/>
            <rFont val="Tahoma"/>
            <family val="2"/>
          </rPr>
          <t xml:space="preserve">The MODE pin can be used to configure the device as either a Buck-Boost or Buck-Only configuration. When configured as Buck-Only typical inductor value used must be provided to appropriately compensate the converter. 
</t>
        </r>
        <r>
          <rPr>
            <sz val="9"/>
            <color rgb="FF000000"/>
            <rFont val="Tahoma"/>
            <family val="2"/>
          </rPr>
          <t xml:space="preserve">
</t>
        </r>
        <r>
          <rPr>
            <sz val="9"/>
            <color rgb="FF000000"/>
            <rFont val="Tahoma"/>
            <family val="2"/>
          </rPr>
          <t xml:space="preserve">The Recommended MODE Resistance should be used to get the Desired Operation with the proper converter compensation for the Selected Inductance. 
</t>
        </r>
        <r>
          <rPr>
            <sz val="9"/>
            <color rgb="FF000000"/>
            <rFont val="Tahoma"/>
            <family val="2"/>
          </rPr>
          <t xml:space="preserve">
</t>
        </r>
        <r>
          <rPr>
            <sz val="9"/>
            <color rgb="FF000000"/>
            <rFont val="Tahoma"/>
            <family val="2"/>
          </rPr>
          <t xml:space="preserve">At POR, the device detects the MODE pin pull down resistance, then sets the device operating mode as shown below. The MODE pin resistance detection is only done one time at the device POR, after that, the charger will not sense the MODE pin voltage anymore. 
</t>
        </r>
        <r>
          <rPr>
            <sz val="9"/>
            <color rgb="FF000000"/>
            <rFont val="Tahoma"/>
            <family val="2"/>
          </rPr>
          <t xml:space="preserve">
</t>
        </r>
        <r>
          <rPr>
            <sz val="9"/>
            <color rgb="FF000000"/>
            <rFont val="Tahoma"/>
            <family val="2"/>
          </rPr>
          <t xml:space="preserve">Refer to section </t>
        </r>
        <r>
          <rPr>
            <b/>
            <sz val="9"/>
            <color rgb="FF000000"/>
            <rFont val="Tahoma"/>
            <family val="2"/>
          </rPr>
          <t>7.3.3.2 MODE Pin Configuration</t>
        </r>
        <r>
          <rPr>
            <sz val="9"/>
            <color rgb="FF000000"/>
            <rFont val="Tahoma"/>
            <family val="2"/>
          </rPr>
          <t xml:space="preserve"> of the datasheet for further guidance. </t>
        </r>
      </text>
    </comment>
    <comment ref="F93" authorId="0" shapeId="0" xr:uid="{C6337D27-3B49-4FDF-9588-B43C67F9FF18}">
      <text>
        <r>
          <rPr>
            <b/>
            <u/>
            <sz val="9"/>
            <color indexed="81"/>
            <rFont val="Tahoma"/>
            <family val="2"/>
          </rPr>
          <t xml:space="preserve">Recognized Operation:
</t>
        </r>
        <r>
          <rPr>
            <sz val="9"/>
            <color indexed="81"/>
            <rFont val="Tahoma"/>
            <family val="2"/>
          </rPr>
          <t xml:space="preserve">This is the Operation recognized after POR and is solely based off MODE Resistance. 
</t>
        </r>
        <r>
          <rPr>
            <b/>
            <sz val="9"/>
            <color indexed="81"/>
            <rFont val="Tahoma"/>
            <family val="2"/>
          </rPr>
          <t xml:space="preserve">Text in this cell is flagged red if:
</t>
        </r>
        <r>
          <rPr>
            <sz val="9"/>
            <color indexed="81"/>
            <rFont val="Tahoma"/>
            <family val="2"/>
          </rPr>
          <t xml:space="preserve">The value in the cell does not match the Desired Operation.
</t>
        </r>
        <r>
          <rPr>
            <b/>
            <sz val="9"/>
            <color indexed="81"/>
            <rFont val="Tahoma"/>
            <family val="2"/>
          </rPr>
          <t xml:space="preserve">Text in this cell is flagged Undefined if:
</t>
        </r>
        <r>
          <rPr>
            <sz val="9"/>
            <color indexed="81"/>
            <rFont val="Tahoma"/>
            <family val="2"/>
          </rPr>
          <t xml:space="preserve">MODE resistance fall in between two valid MODE resistance ranges that would result in an Undefined MODE. </t>
        </r>
      </text>
    </comment>
    <comment ref="F94" authorId="0" shapeId="0" xr:uid="{C1C3B86D-8ADC-40C3-9624-5AD7D6DB45F9}">
      <text>
        <r>
          <rPr>
            <b/>
            <u/>
            <sz val="9"/>
            <color indexed="81"/>
            <rFont val="Tahoma"/>
            <family val="2"/>
          </rPr>
          <t>Recognized Nominal Inductance:</t>
        </r>
        <r>
          <rPr>
            <sz val="9"/>
            <color indexed="81"/>
            <rFont val="Tahoma"/>
            <family val="2"/>
          </rPr>
          <t xml:space="preserve">
This is the Nominal Inductance recognized after POR and is solely based off MODE Resistance.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5" authorId="0" shapeId="0" xr:uid="{37232F35-6273-4CFB-92AF-A3D8A0A8B057}">
      <text>
        <r>
          <rPr>
            <b/>
            <u/>
            <sz val="9"/>
            <color indexed="81"/>
            <rFont val="Tahoma"/>
            <family val="2"/>
          </rPr>
          <t>Minimum Inductor DCR:</t>
        </r>
        <r>
          <rPr>
            <sz val="9"/>
            <color indexed="81"/>
            <rFont val="Tahoma"/>
            <family val="2"/>
          </rPr>
          <t xml:space="preserve">
This is the Minimum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Text in this cell is flagged Undefined if:</t>
        </r>
        <r>
          <rPr>
            <sz val="9"/>
            <color indexed="81"/>
            <rFont val="Tahoma"/>
            <family val="2"/>
          </rPr>
          <t xml:space="preserve">
MODE resistance fall in between two valid MODE resistance ranges that would result in an Undefined MODE. </t>
        </r>
      </text>
    </comment>
    <comment ref="F96" authorId="0" shapeId="0" xr:uid="{F0405EF6-8294-4456-8D9C-2EBC42833C65}">
      <text>
        <r>
          <rPr>
            <b/>
            <u/>
            <sz val="9"/>
            <color indexed="81"/>
            <rFont val="Tahoma"/>
            <family val="2"/>
          </rPr>
          <t>Maximum Inductor DCR:</t>
        </r>
        <r>
          <rPr>
            <sz val="9"/>
            <color indexed="81"/>
            <rFont val="Tahoma"/>
            <family val="2"/>
          </rPr>
          <t xml:space="preserve">
This is the Maximum Inductor DCR recommended for the Selected Inductance. 
</t>
        </r>
        <r>
          <rPr>
            <b/>
            <sz val="9"/>
            <color indexed="81"/>
            <rFont val="Tahoma"/>
            <family val="2"/>
          </rPr>
          <t xml:space="preserve">
Text in this cell is flagged red if:</t>
        </r>
        <r>
          <rPr>
            <sz val="9"/>
            <color indexed="81"/>
            <rFont val="Tahoma"/>
            <family val="2"/>
          </rPr>
          <t xml:space="preserve">
The MODE Resistance does not fall in between the recommended MODE Resistance range. If the MODE Resistance is not in this recommended range, then the converter will not be compensated properly.
</t>
        </r>
        <r>
          <rPr>
            <b/>
            <sz val="9"/>
            <color indexed="81"/>
            <rFont val="Tahoma"/>
            <family val="2"/>
          </rPr>
          <t xml:space="preserve">
Text in this cell is flagged Undefined if:</t>
        </r>
        <r>
          <rPr>
            <sz val="9"/>
            <color indexed="81"/>
            <rFont val="Tahoma"/>
            <family val="2"/>
          </rPr>
          <t xml:space="preserve">
MODE resistance fall in between two valid MODE resistance ranges that would result in an Undefined MODE. </t>
        </r>
      </text>
    </comment>
    <comment ref="F100" authorId="0" shapeId="0" xr:uid="{5CF4E940-827F-4361-8E05-1FC5C035B917}">
      <text>
        <r>
          <rPr>
            <b/>
            <u/>
            <sz val="9"/>
            <color rgb="FF000000"/>
            <rFont val="Tahoma"/>
            <family val="2"/>
          </rPr>
          <t>Input Capacitance:</t>
        </r>
        <r>
          <rPr>
            <sz val="9"/>
            <color rgb="FF000000"/>
            <rFont val="Tahoma"/>
            <family val="2"/>
          </rPr>
          <t xml:space="preserve">
</t>
        </r>
        <r>
          <rPr>
            <sz val="9"/>
            <color rgb="FF000000"/>
            <rFont val="Tahoma"/>
            <family val="2"/>
          </rPr>
          <t xml:space="preserve">Input capacitor should have enough ripple current rating to absorb input switching ripple current. The worse case RMS ripple current is half of the output when duty cycle is 0.5 in forward buck mode, or reverse boost mode. If the converter does not operate at 50% duty cycle, then worst case capacitor RMS current occurs where the duty cycle is closest to 50% and can be estimated by:
</t>
        </r>
        <r>
          <rPr>
            <b/>
            <sz val="9"/>
            <color rgb="FF000000"/>
            <rFont val="Tahoma"/>
            <family val="2"/>
          </rPr>
          <t xml:space="preserve">
</t>
        </r>
        <r>
          <rPr>
            <b/>
            <sz val="9"/>
            <color rgb="FF000000"/>
            <rFont val="Tahoma"/>
            <family val="2"/>
          </rPr>
          <t>I</t>
        </r>
        <r>
          <rPr>
            <b/>
            <vertAlign val="subscript"/>
            <sz val="9"/>
            <color rgb="FF000000"/>
            <rFont val="Tahoma"/>
            <family val="2"/>
          </rPr>
          <t>CIN</t>
        </r>
        <r>
          <rPr>
            <b/>
            <sz val="9"/>
            <color rgb="FF000000"/>
            <rFont val="Tahoma"/>
            <family val="2"/>
          </rPr>
          <t xml:space="preserve"> = I</t>
        </r>
        <r>
          <rPr>
            <b/>
            <vertAlign val="subscript"/>
            <sz val="9"/>
            <color rgb="FF000000"/>
            <rFont val="Tahoma"/>
            <family val="2"/>
          </rPr>
          <t>CHG</t>
        </r>
        <r>
          <rPr>
            <b/>
            <sz val="9"/>
            <color rgb="FF000000"/>
            <rFont val="Tahoma"/>
            <family val="2"/>
          </rPr>
          <t xml:space="preserve"> * sqrt(D*(1-D))</t>
        </r>
        <r>
          <rPr>
            <sz val="9"/>
            <color rgb="FF000000"/>
            <rFont val="Tahoma"/>
            <family val="2"/>
          </rPr>
          <t xml:space="preserve">
</t>
        </r>
        <r>
          <rPr>
            <sz val="9"/>
            <color rgb="FF000000"/>
            <rFont val="Tahoma"/>
            <family val="2"/>
          </rPr>
          <t xml:space="preserve">
</t>
        </r>
        <r>
          <rPr>
            <sz val="9"/>
            <color rgb="FF000000"/>
            <rFont val="Tahoma"/>
            <family val="2"/>
          </rPr>
          <t>A combination of ceramic and bulk capacitors should be used to provide a short path of high di/dt current and to reduce the voltage ripple. Ceramic capacitors should be placed close to the switching half-bridge. Given total bulk input capacitance, it is recommended to distribute equally on either side of R</t>
        </r>
        <r>
          <rPr>
            <vertAlign val="subscript"/>
            <sz val="9"/>
            <color rgb="FF000000"/>
            <rFont val="Tahoma"/>
            <family val="2"/>
          </rPr>
          <t>AC_SNS</t>
        </r>
        <r>
          <rPr>
            <sz val="9"/>
            <color rgb="FF000000"/>
            <rFont val="Tahoma"/>
            <family val="2"/>
          </rPr>
          <t xml:space="preserve">. 
</t>
        </r>
        <r>
          <rPr>
            <sz val="9"/>
            <color rgb="FF000000"/>
            <rFont val="Tahoma"/>
            <family val="2"/>
          </rPr>
          <t xml:space="preserve">
</t>
        </r>
        <r>
          <rPr>
            <b/>
            <sz val="9"/>
            <color rgb="FF000000"/>
            <rFont val="Tahoma"/>
            <family val="2"/>
          </rPr>
          <t>Text in this cell is flagged red if:</t>
        </r>
        <r>
          <rPr>
            <sz val="9"/>
            <color rgb="FF000000"/>
            <rFont val="Tahoma"/>
            <family val="2"/>
          </rPr>
          <t xml:space="preserve">
</t>
        </r>
        <r>
          <rPr>
            <sz val="9"/>
            <color rgb="FF000000"/>
            <rFont val="Tahoma"/>
            <family val="2"/>
          </rPr>
          <t xml:space="preserve">The value entered is </t>
        </r>
        <r>
          <rPr>
            <b/>
            <sz val="9"/>
            <color rgb="FF000000"/>
            <rFont val="Tahoma"/>
            <family val="2"/>
          </rPr>
          <t>below</t>
        </r>
        <r>
          <rPr>
            <sz val="9"/>
            <color rgb="FF000000"/>
            <rFont val="Tahoma"/>
            <family val="2"/>
          </rPr>
          <t xml:space="preserve"> the </t>
        </r>
        <r>
          <rPr>
            <b/>
            <sz val="9"/>
            <color rgb="FF000000"/>
            <rFont val="Tahoma"/>
            <family val="2"/>
          </rPr>
          <t>Minimum Input Capacitance</t>
        </r>
        <r>
          <rPr>
            <sz val="9"/>
            <color rgb="FF000000"/>
            <rFont val="Tahoma"/>
            <family val="2"/>
          </rPr>
          <t>.</t>
        </r>
      </text>
    </comment>
    <comment ref="F106" authorId="0" shapeId="0" xr:uid="{BFD71ABA-A541-46BF-87F8-C3AA3712215A}">
      <text>
        <r>
          <rPr>
            <b/>
            <u/>
            <sz val="9"/>
            <color rgb="FF000000"/>
            <rFont val="Tahoma"/>
            <family val="2"/>
          </rPr>
          <t xml:space="preserve">Output Capacitance:
</t>
        </r>
        <r>
          <rPr>
            <sz val="9"/>
            <color rgb="FF000000"/>
            <rFont val="Tahoma"/>
            <family val="2"/>
          </rPr>
          <t xml:space="preserve">In forward boost mode or reverse buck mode, the output capacitor conducts high ripple current. The output capacitor RMS ripple current is given by where the minimum VAC corresponds to the maximum capacitor current.
</t>
        </r>
        <r>
          <rPr>
            <sz val="9"/>
            <color rgb="FF000000"/>
            <rFont val="Tahoma"/>
            <family val="2"/>
          </rPr>
          <t xml:space="preserve">
</t>
        </r>
        <r>
          <rPr>
            <b/>
            <sz val="9"/>
            <color rgb="FF000000"/>
            <rFont val="Tahoma"/>
            <family val="2"/>
          </rPr>
          <t>I</t>
        </r>
        <r>
          <rPr>
            <b/>
            <vertAlign val="subscript"/>
            <sz val="9"/>
            <color rgb="FF000000"/>
            <rFont val="Tahoma"/>
            <family val="2"/>
          </rPr>
          <t>CBAT</t>
        </r>
        <r>
          <rPr>
            <b/>
            <sz val="9"/>
            <color rgb="FF000000"/>
            <rFont val="Tahoma"/>
            <family val="2"/>
          </rPr>
          <t xml:space="preserve"> = I</t>
        </r>
        <r>
          <rPr>
            <b/>
            <vertAlign val="subscript"/>
            <sz val="9"/>
            <color rgb="FF000000"/>
            <rFont val="Tahoma"/>
            <family val="2"/>
          </rPr>
          <t>BAT</t>
        </r>
        <r>
          <rPr>
            <b/>
            <sz val="9"/>
            <color rgb="FF000000"/>
            <rFont val="Tahoma"/>
            <family val="2"/>
          </rPr>
          <t xml:space="preserve"> * sqrt (V</t>
        </r>
        <r>
          <rPr>
            <b/>
            <vertAlign val="subscript"/>
            <sz val="9"/>
            <color rgb="FF000000"/>
            <rFont val="Tahoma"/>
            <family val="2"/>
          </rPr>
          <t>BAT</t>
        </r>
        <r>
          <rPr>
            <b/>
            <sz val="9"/>
            <color rgb="FF000000"/>
            <rFont val="Tahoma"/>
            <family val="2"/>
          </rPr>
          <t>/V</t>
        </r>
        <r>
          <rPr>
            <b/>
            <vertAlign val="subscript"/>
            <sz val="9"/>
            <color rgb="FF000000"/>
            <rFont val="Tahoma"/>
            <family val="2"/>
          </rPr>
          <t>AC</t>
        </r>
        <r>
          <rPr>
            <b/>
            <sz val="9"/>
            <color rgb="FF000000"/>
            <rFont val="Tahoma"/>
            <family val="2"/>
          </rPr>
          <t xml:space="preserve"> - 1)</t>
        </r>
        <r>
          <rPr>
            <sz val="9"/>
            <color rgb="FF000000"/>
            <rFont val="Tahoma"/>
            <family val="2"/>
          </rPr>
          <t xml:space="preserve">
</t>
        </r>
        <r>
          <rPr>
            <sz val="9"/>
            <color rgb="FF000000"/>
            <rFont val="Tahoma"/>
            <family val="2"/>
          </rPr>
          <t xml:space="preserve">
</t>
        </r>
        <r>
          <rPr>
            <sz val="9"/>
            <color rgb="FF000000"/>
            <rFont val="Tahoma"/>
            <family val="2"/>
          </rPr>
          <t xml:space="preserve">Output capacitor ESR causes an output voltage ripple given by:
</t>
        </r>
        <r>
          <rPr>
            <sz val="9"/>
            <color rgb="FF000000"/>
            <rFont val="Tahoma"/>
            <family val="2"/>
          </rPr>
          <t xml:space="preserve">
</t>
        </r>
        <r>
          <rPr>
            <b/>
            <sz val="9"/>
            <color rgb="FF000000"/>
            <rFont val="Tahoma"/>
            <family val="2"/>
          </rPr>
          <t>V</t>
        </r>
        <r>
          <rPr>
            <b/>
            <vertAlign val="subscript"/>
            <sz val="9"/>
            <color rgb="FF000000"/>
            <rFont val="Tahoma"/>
            <family val="2"/>
          </rPr>
          <t>RIPPLE(ESR)</t>
        </r>
        <r>
          <rPr>
            <b/>
            <sz val="9"/>
            <color rgb="FF000000"/>
            <rFont val="Tahoma"/>
            <family val="2"/>
          </rPr>
          <t xml:space="preserve"> = I</t>
        </r>
        <r>
          <rPr>
            <b/>
            <vertAlign val="subscript"/>
            <sz val="9"/>
            <color rgb="FF000000"/>
            <rFont val="Tahoma"/>
            <family val="2"/>
          </rPr>
          <t>BAT</t>
        </r>
        <r>
          <rPr>
            <b/>
            <sz val="9"/>
            <color rgb="FF000000"/>
            <rFont val="Tahoma"/>
            <family val="2"/>
          </rPr>
          <t xml:space="preserve"> * V</t>
        </r>
        <r>
          <rPr>
            <b/>
            <vertAlign val="subscript"/>
            <sz val="9"/>
            <color rgb="FF000000"/>
            <rFont val="Tahoma"/>
            <family val="2"/>
          </rPr>
          <t>BAT</t>
        </r>
        <r>
          <rPr>
            <b/>
            <sz val="9"/>
            <color rgb="FF000000"/>
            <rFont val="Tahoma"/>
            <family val="2"/>
          </rPr>
          <t>/V</t>
        </r>
        <r>
          <rPr>
            <b/>
            <vertAlign val="subscript"/>
            <sz val="9"/>
            <color rgb="FF000000"/>
            <rFont val="Tahoma"/>
            <family val="2"/>
          </rPr>
          <t>AC,min</t>
        </r>
        <r>
          <rPr>
            <b/>
            <sz val="9"/>
            <color rgb="FF000000"/>
            <rFont val="Tahoma"/>
            <family val="2"/>
          </rPr>
          <t xml:space="preserve"> * ESR</t>
        </r>
        <r>
          <rPr>
            <sz val="9"/>
            <color rgb="FF000000"/>
            <rFont val="Tahoma"/>
            <family val="2"/>
          </rPr>
          <t xml:space="preserve">
</t>
        </r>
        <r>
          <rPr>
            <sz val="9"/>
            <color rgb="FF000000"/>
            <rFont val="Tahoma"/>
            <family val="2"/>
          </rPr>
          <t xml:space="preserve">
</t>
        </r>
        <r>
          <rPr>
            <sz val="9"/>
            <color rgb="FF000000"/>
            <rFont val="Tahoma"/>
            <family val="2"/>
          </rPr>
          <t xml:space="preserve">The output capacitor causes a capacitive ripple voltage given by:
</t>
        </r>
        <r>
          <rPr>
            <sz val="9"/>
            <color rgb="FF000000"/>
            <rFont val="Tahoma"/>
            <family val="2"/>
          </rPr>
          <t xml:space="preserve">
</t>
        </r>
        <r>
          <rPr>
            <b/>
            <sz val="9"/>
            <color rgb="FF000000"/>
            <rFont val="Tahoma"/>
            <family val="2"/>
          </rPr>
          <t>V</t>
        </r>
        <r>
          <rPr>
            <b/>
            <vertAlign val="subscript"/>
            <sz val="9"/>
            <color rgb="FF000000"/>
            <rFont val="Tahoma"/>
            <family val="2"/>
          </rPr>
          <t>RIPPLE(CBAT)</t>
        </r>
        <r>
          <rPr>
            <b/>
            <sz val="9"/>
            <color rgb="FF000000"/>
            <rFont val="Tahoma"/>
            <family val="2"/>
          </rPr>
          <t xml:space="preserve"> = I</t>
        </r>
        <r>
          <rPr>
            <b/>
            <vertAlign val="subscript"/>
            <sz val="9"/>
            <color rgb="FF000000"/>
            <rFont val="Tahoma"/>
            <family val="2"/>
          </rPr>
          <t>BAT</t>
        </r>
        <r>
          <rPr>
            <b/>
            <sz val="9"/>
            <color rgb="FF000000"/>
            <rFont val="Tahoma"/>
            <family val="2"/>
          </rPr>
          <t xml:space="preserve"> * (1 - V</t>
        </r>
        <r>
          <rPr>
            <b/>
            <vertAlign val="subscript"/>
            <sz val="9"/>
            <color rgb="FF000000"/>
            <rFont val="Tahoma"/>
            <family val="2"/>
          </rPr>
          <t>AC,min</t>
        </r>
        <r>
          <rPr>
            <b/>
            <sz val="9"/>
            <color rgb="FF000000"/>
            <rFont val="Tahoma"/>
            <family val="2"/>
          </rPr>
          <t>/V</t>
        </r>
        <r>
          <rPr>
            <b/>
            <vertAlign val="subscript"/>
            <sz val="9"/>
            <color rgb="FF000000"/>
            <rFont val="Tahoma"/>
            <family val="2"/>
          </rPr>
          <t>BAT</t>
        </r>
        <r>
          <rPr>
            <b/>
            <sz val="9"/>
            <color rgb="FF000000"/>
            <rFont val="Tahoma"/>
            <family val="2"/>
          </rPr>
          <t>)/(C</t>
        </r>
        <r>
          <rPr>
            <b/>
            <vertAlign val="subscript"/>
            <sz val="9"/>
            <color rgb="FF000000"/>
            <rFont val="Tahoma"/>
            <family val="2"/>
          </rPr>
          <t>BAT</t>
        </r>
        <r>
          <rPr>
            <b/>
            <sz val="9"/>
            <color rgb="FF000000"/>
            <rFont val="Tahoma"/>
            <family val="2"/>
          </rPr>
          <t>*f</t>
        </r>
        <r>
          <rPr>
            <b/>
            <vertAlign val="subscript"/>
            <sz val="9"/>
            <color rgb="FF000000"/>
            <rFont val="Tahoma"/>
            <family val="2"/>
          </rPr>
          <t>SW</t>
        </r>
        <r>
          <rPr>
            <b/>
            <sz val="9"/>
            <color rgb="FF000000"/>
            <rFont val="Tahoma"/>
            <family val="2"/>
          </rPr>
          <t>)</t>
        </r>
        <r>
          <rPr>
            <sz val="9"/>
            <color rgb="FF000000"/>
            <rFont val="Tahoma"/>
            <family val="2"/>
          </rPr>
          <t xml:space="preserve">
</t>
        </r>
        <r>
          <rPr>
            <sz val="9"/>
            <color rgb="FF000000"/>
            <rFont val="Tahoma"/>
            <family val="2"/>
          </rPr>
          <t xml:space="preserve">
</t>
        </r>
        <r>
          <rPr>
            <sz val="9"/>
            <color rgb="FF000000"/>
            <rFont val="Tahoma"/>
            <family val="2"/>
          </rPr>
          <t>A combination of ceramic and bulk capacitors should be used to provide low ESR and high ripple current capacity. Ceramic capacitors should be placed close to the switching half-bridge. Given total bulk output capacitance, it is recommended to distribute equally on either side of R</t>
        </r>
        <r>
          <rPr>
            <vertAlign val="subscript"/>
            <sz val="9"/>
            <color rgb="FF000000"/>
            <rFont val="Tahoma"/>
            <family val="2"/>
          </rPr>
          <t>BAT_SNS</t>
        </r>
        <r>
          <rPr>
            <sz val="9"/>
            <color rgb="FF000000"/>
            <rFont val="Tahoma"/>
            <family val="2"/>
          </rPr>
          <t xml:space="preserve">. 
</t>
        </r>
        <r>
          <rPr>
            <b/>
            <u/>
            <sz val="9"/>
            <color rgb="FF000000"/>
            <rFont val="Tahoma"/>
            <family val="2"/>
          </rPr>
          <t xml:space="preserve">
</t>
        </r>
        <r>
          <rPr>
            <b/>
            <sz val="9"/>
            <color rgb="FF000000"/>
            <rFont val="Tahoma"/>
            <family val="2"/>
          </rPr>
          <t xml:space="preserve">Text in this cell is flagged red if:
</t>
        </r>
        <r>
          <rPr>
            <sz val="9"/>
            <color rgb="FF000000"/>
            <rFont val="Tahoma"/>
            <family val="2"/>
          </rPr>
          <t xml:space="preserve">The value entered is </t>
        </r>
        <r>
          <rPr>
            <b/>
            <sz val="9"/>
            <color rgb="FF000000"/>
            <rFont val="Tahoma"/>
            <family val="2"/>
          </rPr>
          <t>below</t>
        </r>
        <r>
          <rPr>
            <sz val="9"/>
            <color rgb="FF000000"/>
            <rFont val="Tahoma"/>
            <family val="2"/>
          </rPr>
          <t xml:space="preserve"> the </t>
        </r>
        <r>
          <rPr>
            <b/>
            <sz val="9"/>
            <color rgb="FF000000"/>
            <rFont val="Tahoma"/>
            <family val="2"/>
          </rPr>
          <t>Minimum Output Capacitance</t>
        </r>
        <r>
          <rPr>
            <u/>
            <sz val="9"/>
            <color rgb="FF000000"/>
            <rFont val="Tahoma"/>
            <family val="2"/>
          </rPr>
          <t>.</t>
        </r>
        <r>
          <rPr>
            <sz val="9"/>
            <color rgb="FF000000"/>
            <rFont val="Tahoma"/>
            <family val="2"/>
          </rPr>
          <t xml:space="preserve">
</t>
        </r>
      </text>
    </comment>
    <comment ref="A112" authorId="0" shapeId="0" xr:uid="{7C9C4550-A9B3-4FAC-ADCF-868BE7087268}">
      <text>
        <r>
          <rPr>
            <b/>
            <u/>
            <sz val="9"/>
            <color indexed="81"/>
            <rFont val="Tahoma"/>
            <family val="2"/>
          </rPr>
          <t xml:space="preserve">Efficiency / Power Loss Analyzer:
</t>
        </r>
        <r>
          <rPr>
            <sz val="9"/>
            <color indexed="81"/>
            <rFont val="Tahoma"/>
            <family val="2"/>
          </rPr>
          <t xml:space="preserve">The Efficiency / Power Loss Analyzer is not a 100% accurate tool. The purpose of the tool is to compare the relative efficiency with different components. </t>
        </r>
      </text>
    </comment>
    <comment ref="E119" authorId="0" shapeId="0" xr:uid="{A118CBAC-792D-411B-A7DA-5556946EAC29}">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19" authorId="0" shapeId="0" xr:uid="{D57E14FD-8D5F-4B5C-8E9C-62D221663C77}">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E122" authorId="0" shapeId="0" xr:uid="{63EC3039-583A-45C8-93C5-70D94F85C543}">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22" authorId="0" shapeId="0" xr:uid="{2BD75198-28AA-436A-BCBC-3639837DAC0D}">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E137" authorId="0" shapeId="0" xr:uid="{F3785C72-330C-4727-9158-6AB98790D5BE}">
      <text>
        <r>
          <rPr>
            <b/>
            <u/>
            <sz val="9"/>
            <color indexed="81"/>
            <rFont val="Tahoma"/>
            <family val="2"/>
          </rPr>
          <t>On-State Resistance V</t>
        </r>
        <r>
          <rPr>
            <b/>
            <u/>
            <vertAlign val="subscript"/>
            <sz val="9"/>
            <color indexed="81"/>
            <rFont val="Tahoma"/>
            <family val="2"/>
          </rPr>
          <t>gs</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R</t>
        </r>
        <r>
          <rPr>
            <vertAlign val="subscript"/>
            <sz val="9"/>
            <color indexed="81"/>
            <rFont val="Tahoma"/>
            <family val="2"/>
          </rPr>
          <t>DS(on)</t>
        </r>
        <r>
          <rPr>
            <sz val="9"/>
            <color indexed="81"/>
            <rFont val="Tahoma"/>
            <family val="2"/>
          </rPr>
          <t xml:space="preserve"> with the given Custom Gate Drive Voltage.</t>
        </r>
      </text>
    </comment>
    <comment ref="F137" authorId="0" shapeId="0" xr:uid="{E46F9B85-E94C-4C6A-99C0-30AFB8A1BAD5}">
      <text>
        <r>
          <rPr>
            <b/>
            <u/>
            <sz val="9"/>
            <color rgb="FF000000"/>
            <rFont val="Tahoma"/>
            <family val="2"/>
          </rPr>
          <t>On-State Resistance V</t>
        </r>
        <r>
          <rPr>
            <b/>
            <u/>
            <vertAlign val="subscript"/>
            <sz val="9"/>
            <color rgb="FF000000"/>
            <rFont val="Tahoma"/>
            <family val="2"/>
          </rPr>
          <t>gs</t>
        </r>
        <r>
          <rPr>
            <b/>
            <u/>
            <sz val="9"/>
            <color rgb="FF000000"/>
            <rFont val="Tahoma"/>
            <family val="2"/>
          </rPr>
          <t xml:space="preserve"> = Custom Voltage:
</t>
        </r>
        <r>
          <rPr>
            <sz val="9"/>
            <color rgb="FF000000"/>
            <rFont val="Tahoma"/>
            <family val="2"/>
          </rPr>
          <t>In order to compare the Custom MOSFET with the TI MOSFET Recommendation with a Custom Gate Drive Voltage, the user will need to enter a value for R</t>
        </r>
        <r>
          <rPr>
            <vertAlign val="subscript"/>
            <sz val="9"/>
            <color rgb="FF000000"/>
            <rFont val="Tahoma"/>
            <family val="2"/>
          </rPr>
          <t>DS(on)</t>
        </r>
        <r>
          <rPr>
            <sz val="9"/>
            <color rgb="FF000000"/>
            <rFont val="Tahoma"/>
            <family val="2"/>
          </rPr>
          <t xml:space="preserve"> with the given Custom Gate Drive Voltage.</t>
        </r>
      </text>
    </comment>
    <comment ref="E140" authorId="0" shapeId="0" xr:uid="{C0B84D91-9555-4934-82A3-6B5667BE485E}">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40" authorId="0" shapeId="0" xr:uid="{CBB72169-DBAB-4DAD-AE6C-4F84484E25F2}">
      <text>
        <r>
          <rPr>
            <b/>
            <u/>
            <sz val="9"/>
            <color indexed="81"/>
            <rFont val="Tahoma"/>
            <family val="2"/>
          </rPr>
          <t>Total Gate Charge Q</t>
        </r>
        <r>
          <rPr>
            <b/>
            <u/>
            <vertAlign val="subscript"/>
            <sz val="9"/>
            <color indexed="81"/>
            <rFont val="Tahoma"/>
            <family val="2"/>
          </rPr>
          <t>G</t>
        </r>
        <r>
          <rPr>
            <b/>
            <u/>
            <sz val="9"/>
            <color indexed="81"/>
            <rFont val="Tahoma"/>
            <family val="2"/>
          </rPr>
          <t xml:space="preserve"> = Custom Voltage:
</t>
        </r>
        <r>
          <rPr>
            <sz val="9"/>
            <color indexed="81"/>
            <rFont val="Tahoma"/>
            <family val="2"/>
          </rPr>
          <t>In order to compare the Custom MOSFET with the TI MOSFET Recommendation with a Custom Gate Drive Voltage, the user will need to enter a value for Q</t>
        </r>
        <r>
          <rPr>
            <vertAlign val="subscript"/>
            <sz val="9"/>
            <color indexed="81"/>
            <rFont val="Tahoma"/>
            <family val="2"/>
          </rPr>
          <t>G</t>
        </r>
        <r>
          <rPr>
            <sz val="9"/>
            <color indexed="81"/>
            <rFont val="Tahoma"/>
            <family val="2"/>
          </rPr>
          <t xml:space="preserve"> with the given Custom Gate Drive Voltage.</t>
        </r>
      </text>
    </comment>
    <comment ref="F152" authorId="0" shapeId="0" xr:uid="{E9DBE561-F8A7-4F0D-AF52-E1F8078CD771}">
      <text>
        <r>
          <rPr>
            <b/>
            <sz val="9"/>
            <color rgb="FF000000"/>
            <rFont val="Tahoma"/>
            <family val="2"/>
          </rPr>
          <t xml:space="preserve">Custom Gate Drive Voltage: 
</t>
        </r>
        <r>
          <rPr>
            <sz val="9"/>
            <color rgb="FF000000"/>
            <rFont val="Tahoma"/>
            <family val="2"/>
          </rPr>
          <t xml:space="preserve">In high-voltage applications, it is possible to directly provide the DRV_SUP voltage with an external supply up to 12 V to achieve higher switching efficiency. See </t>
        </r>
        <r>
          <rPr>
            <b/>
            <sz val="9"/>
            <color rgb="FF000000"/>
            <rFont val="Tahoma"/>
            <family val="2"/>
          </rPr>
          <t>Section 7.3.3.2</t>
        </r>
        <r>
          <rPr>
            <sz val="9"/>
            <color rgb="FF000000"/>
            <rFont val="Tahoma"/>
            <family val="2"/>
          </rPr>
          <t xml:space="preserve"> in the datasheet for more details.
</t>
        </r>
        <r>
          <rPr>
            <sz val="9"/>
            <color rgb="FF000000"/>
            <rFont val="Tahoma"/>
            <family val="2"/>
          </rPr>
          <t xml:space="preserve">
</t>
        </r>
        <r>
          <rPr>
            <sz val="9"/>
            <color rgb="FF000000"/>
            <rFont val="Tahoma"/>
            <family val="2"/>
          </rPr>
          <t>The user can enter their own Custom Gate Drive Voltage, but in order for them to see how this affects the efficiency curves, the user will need to enter the MOSFET R</t>
        </r>
        <r>
          <rPr>
            <vertAlign val="subscript"/>
            <sz val="9"/>
            <color rgb="FF000000"/>
            <rFont val="Tahoma"/>
            <family val="2"/>
          </rPr>
          <t>DS(on)</t>
        </r>
        <r>
          <rPr>
            <sz val="9"/>
            <color rgb="FF000000"/>
            <rFont val="Tahoma"/>
            <family val="2"/>
          </rPr>
          <t xml:space="preserve"> and Q</t>
        </r>
        <r>
          <rPr>
            <vertAlign val="subscript"/>
            <sz val="9"/>
            <color rgb="FF000000"/>
            <rFont val="Tahoma"/>
            <family val="2"/>
          </rPr>
          <t>G</t>
        </r>
        <r>
          <rPr>
            <sz val="9"/>
            <color rgb="FF000000"/>
            <rFont val="Tahoma"/>
            <family val="2"/>
          </rPr>
          <t xml:space="preserve"> for the MOSFET that they are using with that given gate drive.
</t>
        </r>
        <r>
          <rPr>
            <sz val="9"/>
            <color rgb="FF000000"/>
            <rFont val="Tahoma"/>
            <family val="2"/>
          </rPr>
          <t xml:space="preserve">
</t>
        </r>
        <r>
          <rPr>
            <b/>
            <sz val="9"/>
            <color rgb="FF000000"/>
            <rFont val="Tahoma"/>
            <family val="2"/>
          </rPr>
          <t>Note:</t>
        </r>
        <r>
          <rPr>
            <sz val="9"/>
            <color rgb="FF000000"/>
            <rFont val="Tahoma"/>
            <family val="2"/>
          </rPr>
          <t xml:space="preserve"> If the user does not enter the data for their Custom Gate Drive Voltage, the tool will not be able to plot the estimated efficiency plots with the entered Custom Gate Drive Voltage. The user will need to get this data from empirical testing if the datasheet does not provide the data for their Custom Gate Drive Voltage.</t>
        </r>
      </text>
    </comment>
    <comment ref="A154" authorId="0" shapeId="0" xr:uid="{027B0E25-AE07-480B-9ACC-C6F1EF537977}">
      <text>
        <r>
          <rPr>
            <b/>
            <sz val="9"/>
            <color indexed="81"/>
            <rFont val="Tahoma"/>
            <family val="2"/>
          </rPr>
          <t xml:space="preserve">Efficiency / Power Loss Analyzer:
</t>
        </r>
        <r>
          <rPr>
            <sz val="9"/>
            <color indexed="81"/>
            <rFont val="Tahoma"/>
            <family val="2"/>
          </rPr>
          <t xml:space="preserve">This tool displays the </t>
        </r>
        <r>
          <rPr>
            <b/>
            <u/>
            <sz val="9"/>
            <color indexed="81"/>
            <rFont val="Tahoma"/>
            <family val="2"/>
          </rPr>
          <t>estimated</t>
        </r>
        <r>
          <rPr>
            <sz val="9"/>
            <color indexed="81"/>
            <rFont val="Tahoma"/>
            <family val="2"/>
          </rPr>
          <t xml:space="preserve"> efficiency curve with Selected Components / Operating Specifications and allows the user to compare how the efficiency curves will be affected with different Selected Components / Operating Specifications.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t>
        </r>
      </text>
    </comment>
    <comment ref="G157" authorId="0" shapeId="0" xr:uid="{A0B42E2A-C72E-47C1-834F-A57366CD22C1}">
      <text>
        <r>
          <rPr>
            <b/>
            <u/>
            <sz val="9"/>
            <color rgb="FF000000"/>
            <rFont val="Tahoma"/>
            <family val="2"/>
          </rPr>
          <t>MOSFET Selection:</t>
        </r>
        <r>
          <rPr>
            <sz val="9"/>
            <color rgb="FF000000"/>
            <rFont val="Tahoma"/>
            <family val="2"/>
          </rPr>
          <t xml:space="preserve">
</t>
        </r>
        <r>
          <rPr>
            <sz val="9"/>
            <color rgb="FF000000"/>
            <rFont val="Tahoma"/>
            <family val="2"/>
          </rPr>
          <t xml:space="preserve">The user can choose to plot the estimated efficiency curves using the TI Recommended MOSFET by selecting </t>
        </r>
        <r>
          <rPr>
            <b/>
            <sz val="9"/>
            <color rgb="FF000000"/>
            <rFont val="Tahoma"/>
            <family val="2"/>
          </rPr>
          <t xml:space="preserve">TI Recommendation </t>
        </r>
        <r>
          <rPr>
            <sz val="9"/>
            <color rgb="FF000000"/>
            <rFont val="Tahoma"/>
            <family val="2"/>
          </rPr>
          <t xml:space="preserve">or the user's Custom MOSFET by selecting </t>
        </r>
        <r>
          <rPr>
            <b/>
            <sz val="9"/>
            <color rgb="FF000000"/>
            <rFont val="Tahoma"/>
            <family val="2"/>
          </rPr>
          <t>Custom</t>
        </r>
        <r>
          <rPr>
            <sz val="9"/>
            <color rgb="FF000000"/>
            <rFont val="Tahoma"/>
            <family val="2"/>
          </rPr>
          <t xml:space="preserve">. The user can also plot the estimated efficiency curves for both MOSFETs by selecting </t>
        </r>
        <r>
          <rPr>
            <b/>
            <sz val="9"/>
            <color rgb="FF000000"/>
            <rFont val="Tahoma"/>
            <family val="2"/>
          </rPr>
          <t>Compare</t>
        </r>
        <r>
          <rPr>
            <sz val="9"/>
            <color rgb="FF000000"/>
            <rFont val="Tahoma"/>
            <family val="2"/>
          </rPr>
          <t xml:space="preserve">.
</t>
        </r>
        <r>
          <rPr>
            <sz val="9"/>
            <color rgb="FF000000"/>
            <rFont val="Tahoma"/>
            <family val="2"/>
          </rPr>
          <t xml:space="preserve">
</t>
        </r>
      </text>
    </comment>
    <comment ref="G158" authorId="0" shapeId="0" xr:uid="{8221FD47-9E6A-4F0B-BB21-2B8BA7646B58}">
      <text>
        <r>
          <rPr>
            <b/>
            <u/>
            <sz val="9"/>
            <color indexed="81"/>
            <rFont val="Tahoma"/>
            <family val="2"/>
          </rPr>
          <t>Selected Gate Drive Voltage:</t>
        </r>
        <r>
          <rPr>
            <sz val="9"/>
            <color indexed="81"/>
            <rFont val="Tahoma"/>
            <family val="2"/>
          </rPr>
          <t xml:space="preserve">
This is the Gate Drive Voltage used in the efficiency calculation. Only one Gate Drive voltage can be used at a time. To compare how the Gate Drive Voltages affect the efficiency curves, the user will need to save the efficiency data with the </t>
        </r>
        <r>
          <rPr>
            <b/>
            <sz val="9"/>
            <color indexed="81"/>
            <rFont val="Tahoma"/>
            <family val="2"/>
          </rPr>
          <t>Save Button</t>
        </r>
        <r>
          <rPr>
            <sz val="9"/>
            <color indexed="81"/>
            <rFont val="Tahoma"/>
            <family val="2"/>
          </rPr>
          <t>.
The MOSFET parameters shown below are pulled from the corresponded parameters entered above.</t>
        </r>
      </text>
    </comment>
    <comment ref="G159" authorId="0" shapeId="0" xr:uid="{A2C3A251-398E-49AB-96BD-982C382E69B0}">
      <text>
        <r>
          <rPr>
            <b/>
            <u/>
            <sz val="9"/>
            <color indexed="81"/>
            <rFont val="Tahoma"/>
            <family val="2"/>
          </rPr>
          <t>Save Button:</t>
        </r>
        <r>
          <rPr>
            <sz val="9"/>
            <color indexed="81"/>
            <rFont val="Tahoma"/>
            <family val="2"/>
          </rPr>
          <t xml:space="preserve">
Use the save button to save the current efficiency plots. To save the current plots, you will need to clear the previous plot by selecting </t>
        </r>
        <r>
          <rPr>
            <b/>
            <sz val="9"/>
            <color indexed="81"/>
            <rFont val="Tahoma"/>
            <family val="2"/>
          </rPr>
          <t>Clear Save</t>
        </r>
        <r>
          <rPr>
            <sz val="9"/>
            <color indexed="81"/>
            <rFont val="Tahoma"/>
            <family val="2"/>
          </rPr>
          <t xml:space="preserve"> then you will need to select </t>
        </r>
        <r>
          <rPr>
            <b/>
            <sz val="9"/>
            <color indexed="81"/>
            <rFont val="Tahoma"/>
            <family val="2"/>
          </rPr>
          <t>Save</t>
        </r>
        <r>
          <rPr>
            <sz val="9"/>
            <color indexed="81"/>
            <rFont val="Tahoma"/>
            <family val="2"/>
          </rPr>
          <t xml:space="preserve"> to save the current efficiency plots. 
Once you have the plots saved, you will be able to change the components to see how the efficiency plots will vary. 
</t>
        </r>
        <r>
          <rPr>
            <b/>
            <sz val="9"/>
            <color indexed="81"/>
            <rFont val="Tahoma"/>
            <family val="2"/>
          </rPr>
          <t>Disclaimer:</t>
        </r>
        <r>
          <rPr>
            <sz val="9"/>
            <color indexed="81"/>
            <rFont val="Tahoma"/>
            <family val="2"/>
          </rPr>
          <t xml:space="preserve"> The efficiency plots are for </t>
        </r>
        <r>
          <rPr>
            <b/>
            <u/>
            <sz val="9"/>
            <color indexed="81"/>
            <rFont val="Tahoma"/>
            <family val="2"/>
          </rPr>
          <t>relative comparison only</t>
        </r>
        <r>
          <rPr>
            <sz val="9"/>
            <color indexed="81"/>
            <rFont val="Tahoma"/>
            <family val="2"/>
          </rPr>
          <t xml:space="preserve"> and </t>
        </r>
        <r>
          <rPr>
            <b/>
            <u/>
            <sz val="9"/>
            <color indexed="81"/>
            <rFont val="Tahoma"/>
            <family val="2"/>
          </rPr>
          <t>do not</t>
        </r>
        <r>
          <rPr>
            <sz val="9"/>
            <color indexed="81"/>
            <rFont val="Tahoma"/>
            <family val="2"/>
          </rPr>
          <t xml:space="preserve"> represent the actual efficiency that will be seen from physical tests.
If you don't want to save the previous data, select </t>
        </r>
        <r>
          <rPr>
            <b/>
            <sz val="9"/>
            <color indexed="81"/>
            <rFont val="Tahoma"/>
            <family val="2"/>
          </rPr>
          <t>Clear Save</t>
        </r>
        <r>
          <rPr>
            <sz val="9"/>
            <color indexed="81"/>
            <rFont val="Tahoma"/>
            <family val="2"/>
          </rPr>
          <t xml:space="preserve">.
</t>
        </r>
        <r>
          <rPr>
            <b/>
            <sz val="9"/>
            <color indexed="81"/>
            <rFont val="Tahoma"/>
            <family val="2"/>
          </rPr>
          <t>Text in cell is flagged red if:</t>
        </r>
        <r>
          <rPr>
            <sz val="9"/>
            <color indexed="81"/>
            <rFont val="Tahoma"/>
            <family val="2"/>
          </rPr>
          <t xml:space="preserve">
The Full Load Output Current IOUT(max) is changed after selecting </t>
        </r>
        <r>
          <rPr>
            <b/>
            <sz val="9"/>
            <color indexed="81"/>
            <rFont val="Tahoma"/>
            <family val="2"/>
          </rPr>
          <t>Save</t>
        </r>
        <r>
          <rPr>
            <sz val="9"/>
            <color indexed="81"/>
            <rFont val="Tahoma"/>
            <family val="2"/>
          </rPr>
          <t>. The efficiency tool will not catch that you changed the range of IOUT and will not correct the data shown.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Rook, Jacob</author>
  </authors>
  <commentList>
    <comment ref="A5" authorId="0" shapeId="0" xr:uid="{C549DB87-4910-4A56-9645-D3EE0459D0A6}">
      <text>
        <r>
          <rPr>
            <b/>
            <u/>
            <sz val="9"/>
            <color indexed="81"/>
            <rFont val="Tahoma"/>
            <family val="2"/>
          </rPr>
          <t>Thermistor Qualification:</t>
        </r>
        <r>
          <rPr>
            <sz val="9"/>
            <color indexed="81"/>
            <rFont val="Tahoma"/>
            <family val="2"/>
          </rPr>
          <t xml:space="preserve">
The charger device provides a single thermistor input for battery temperature monitor through the TS pin. The voltage on the TS pin must be within the VT1 to VT5 thresholds to initiate a charge cycle. If the TS voltage exceeds the T1-T5 range, the controller suspends charging and waits until the battery temperature is within the T1 to T5 range. 
For further guidance, please refer to the </t>
        </r>
        <r>
          <rPr>
            <b/>
            <sz val="9"/>
            <color indexed="81"/>
            <rFont val="Tahoma"/>
            <family val="2"/>
          </rPr>
          <t>7.3.4.7 Thermistor Qualification</t>
        </r>
        <r>
          <rPr>
            <sz val="9"/>
            <color indexed="81"/>
            <rFont val="Tahoma"/>
            <family val="2"/>
          </rPr>
          <t xml:space="preserve"> section of the datasheet. </t>
        </r>
      </text>
    </comment>
    <comment ref="F6" authorId="0" shapeId="0" xr:uid="{207A2C04-91BA-4438-BEC4-4A9F0A7BD842}">
      <text>
        <r>
          <rPr>
            <b/>
            <u/>
            <sz val="9"/>
            <color indexed="81"/>
            <rFont val="Tahoma"/>
            <family val="2"/>
          </rPr>
          <t>Selected Cold Temperature Threshold:</t>
        </r>
        <r>
          <rPr>
            <b/>
            <sz val="9"/>
            <color indexed="81"/>
            <rFont val="Tahoma"/>
            <family val="2"/>
          </rPr>
          <t xml:space="preserve">
</t>
        </r>
        <r>
          <rPr>
            <sz val="9"/>
            <color indexed="81"/>
            <rFont val="Tahoma"/>
            <family val="2"/>
          </rPr>
          <t>The Selected Cold Temperature Threshold is the T1 threshold that the charger will operate in. To set this value, set the TS_T1 bits in the REG0x1B TS_Charging_Threshold_Control Register.
For further guidance on the Thermistor Qualification, please see the note on the "Step 8: Thermistor Qualification" cell.</t>
        </r>
      </text>
    </comment>
    <comment ref="F9" authorId="0" shapeId="0" xr:uid="{66596CE3-E6A4-455E-88DC-4A47FDF55E3F}">
      <text>
        <r>
          <rPr>
            <b/>
            <u/>
            <sz val="9"/>
            <color indexed="81"/>
            <rFont val="Tahoma"/>
            <family val="2"/>
          </rPr>
          <t>Selected Hot Temperature Threshold:</t>
        </r>
        <r>
          <rPr>
            <b/>
            <sz val="9"/>
            <color indexed="81"/>
            <rFont val="Tahoma"/>
            <family val="2"/>
          </rPr>
          <t xml:space="preserve">
</t>
        </r>
        <r>
          <rPr>
            <sz val="9"/>
            <color indexed="81"/>
            <rFont val="Tahoma"/>
            <family val="2"/>
          </rPr>
          <t>The Selected Hot Temperature Threshold is the T5 threshold that the charger will operate in. To set this value, set the TS_T5 bits in the REG0x1B TS_Charging_Threshold_Control Register.
For further guidance on the Thermistor Qualification, please see the note on the "Step 8: Thermistor Qualification" cell.</t>
        </r>
      </text>
    </comment>
    <comment ref="F10" authorId="0" shapeId="0" xr:uid="{08E0E430-6E59-444F-BB70-37022CEBEDBF}">
      <text>
        <r>
          <rPr>
            <b/>
            <u/>
            <sz val="9"/>
            <color indexed="81"/>
            <rFont val="Tahoma"/>
            <family val="2"/>
          </rPr>
          <t>Thermistor Cold Resistance:</t>
        </r>
        <r>
          <rPr>
            <sz val="9"/>
            <color indexed="81"/>
            <rFont val="Tahoma"/>
            <family val="2"/>
          </rPr>
          <t xml:space="preserve">
Resistance of the chosen thermistor at the Selected Cold Temperature threshold. This value is pulled from the entered Thermistor Resistance Profile data. </t>
        </r>
      </text>
    </comment>
    <comment ref="F11" authorId="0" shapeId="0" xr:uid="{D4F3BCCD-4965-4C37-B13F-49BCE2D76D34}">
      <text>
        <r>
          <rPr>
            <b/>
            <u/>
            <sz val="9"/>
            <color indexed="81"/>
            <rFont val="Tahoma"/>
            <family val="2"/>
          </rPr>
          <t>Thermistor Hot Resistance:</t>
        </r>
        <r>
          <rPr>
            <sz val="9"/>
            <color indexed="81"/>
            <rFont val="Tahoma"/>
            <family val="2"/>
          </rPr>
          <t xml:space="preserve">
Resistance of the chosen thermistor at the Selected Hot Temperature threshold. This value is pulled from the entered Thermistor Resistance Profile data. </t>
        </r>
      </text>
    </comment>
    <comment ref="F12" authorId="0" shapeId="0" xr:uid="{CBF20758-8B27-4168-9D16-10C2892DF23A}">
      <text>
        <r>
          <rPr>
            <b/>
            <u/>
            <sz val="9"/>
            <color indexed="81"/>
            <rFont val="Tahoma"/>
            <family val="2"/>
          </rPr>
          <t>Recommended TS Top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3" authorId="0" shapeId="0" xr:uid="{168FFEB8-543D-4B6C-BE51-91BEE25CF95A}">
      <text>
        <r>
          <rPr>
            <b/>
            <u/>
            <sz val="9"/>
            <color indexed="81"/>
            <rFont val="Tahoma"/>
            <family val="2"/>
          </rPr>
          <t>Recommended TS Bottom Resistor:</t>
        </r>
        <r>
          <rPr>
            <sz val="9"/>
            <color indexed="81"/>
            <rFont val="Tahoma"/>
            <family val="2"/>
          </rPr>
          <t xml:space="preserve">
Recommended TS Top Resistor in order for the charger to operate in the Selected Temperature thresholds. The resistors used, need to be as close to the recommended values as possible or else the actual thresholds will vary.
RT1 and RT2 are calculated with the following equations:
                   RTH</t>
        </r>
        <r>
          <rPr>
            <vertAlign val="subscript"/>
            <sz val="9"/>
            <color indexed="81"/>
            <rFont val="Tahoma"/>
            <family val="2"/>
          </rPr>
          <t>COLD</t>
        </r>
        <r>
          <rPr>
            <sz val="9"/>
            <color indexed="81"/>
            <rFont val="Tahoma"/>
            <family val="2"/>
          </rPr>
          <t xml:space="preserve"> * RTH</t>
        </r>
        <r>
          <rPr>
            <vertAlign val="subscript"/>
            <sz val="9"/>
            <color indexed="81"/>
            <rFont val="Tahoma"/>
            <family val="2"/>
          </rPr>
          <t xml:space="preserve">HOT </t>
        </r>
        <r>
          <rPr>
            <sz val="9"/>
            <color indexed="81"/>
            <rFont val="Tahoma"/>
            <family val="2"/>
          </rPr>
          <t>* (1/VT1-1/VT5)
RT2 = -----------------------------------------------------------------
          RTH</t>
        </r>
        <r>
          <rPr>
            <vertAlign val="subscript"/>
            <sz val="9"/>
            <color indexed="81"/>
            <rFont val="Tahoma"/>
            <family val="2"/>
          </rPr>
          <t>HOT</t>
        </r>
        <r>
          <rPr>
            <sz val="9"/>
            <color indexed="81"/>
            <rFont val="Tahoma"/>
            <family val="2"/>
          </rPr>
          <t xml:space="preserve"> * (1/VT5 - 1) - RTH</t>
        </r>
        <r>
          <rPr>
            <vertAlign val="subscript"/>
            <sz val="9"/>
            <color indexed="81"/>
            <rFont val="Tahoma"/>
            <family val="2"/>
          </rPr>
          <t>COLD</t>
        </r>
        <r>
          <rPr>
            <sz val="9"/>
            <color indexed="81"/>
            <rFont val="Tahoma"/>
            <family val="2"/>
          </rPr>
          <t xml:space="preserve"> * (1/VT1 - 1)
                  1/VT1 - 1
RT1 = -------------------------------
            1/RT2 + 1/RTH</t>
        </r>
        <r>
          <rPr>
            <vertAlign val="subscript"/>
            <sz val="9"/>
            <color indexed="81"/>
            <rFont val="Tahoma"/>
            <family val="2"/>
          </rPr>
          <t>COLD</t>
        </r>
        <r>
          <rPr>
            <sz val="9"/>
            <color indexed="81"/>
            <rFont val="Tahoma"/>
            <family val="2"/>
          </rPr>
          <t xml:space="preserve"> 
where VT1 and VT5 are the voltage thresholds that the charger will operate in. VT1 and VT5 can be calculated by multiplying the REGN voltage by the corresponding temperature threshold control ratio. This threshold control ratio can be found in </t>
        </r>
        <r>
          <rPr>
            <b/>
            <sz val="9"/>
            <color indexed="81"/>
            <rFont val="Tahoma"/>
            <family val="2"/>
          </rPr>
          <t>Table 7-23. REG0x1b_TS_Chargin_Threshold_Control Register Field Descriptions.</t>
        </r>
      </text>
    </comment>
    <comment ref="F16" authorId="0" shapeId="0" xr:uid="{6A5662C2-0B04-4ACA-B968-DDE0B4CCBE7D}">
      <text>
        <r>
          <rPr>
            <b/>
            <u/>
            <sz val="9"/>
            <color indexed="81"/>
            <rFont val="Tahoma"/>
            <family val="2"/>
          </rPr>
          <t>Typ Recommended Real TS Top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RT1</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 ref="F17" authorId="0" shapeId="0" xr:uid="{B61334BB-D70F-4B4D-9915-C6B4BBB7047F}">
      <text>
        <r>
          <rPr>
            <b/>
            <u/>
            <sz val="9"/>
            <color indexed="81"/>
            <rFont val="Tahoma"/>
            <family val="2"/>
          </rPr>
          <t>Typ Recommended Real TS Bottom Resistor:</t>
        </r>
        <r>
          <rPr>
            <b/>
            <sz val="9"/>
            <color indexed="81"/>
            <rFont val="Tahoma"/>
            <family val="2"/>
          </rPr>
          <t xml:space="preserve">
</t>
        </r>
        <r>
          <rPr>
            <sz val="9"/>
            <color indexed="81"/>
            <rFont val="Tahoma"/>
            <family val="2"/>
          </rPr>
          <t xml:space="preserve">This is the typical value of the standard 0.1% resistor closest to the </t>
        </r>
        <r>
          <rPr>
            <b/>
            <sz val="9"/>
            <color indexed="81"/>
            <rFont val="Tahoma"/>
            <family val="2"/>
          </rPr>
          <t>Ideal TS Top Resistor RT2</t>
        </r>
        <r>
          <rPr>
            <sz val="9"/>
            <color indexed="81"/>
            <rFont val="Tahoma"/>
            <family val="2"/>
          </rPr>
          <t xml:space="preserve"> in the </t>
        </r>
        <r>
          <rPr>
            <b/>
            <sz val="9"/>
            <color indexed="81"/>
            <rFont val="Tahoma"/>
            <family val="2"/>
          </rPr>
          <t>Thermistor Qualification</t>
        </r>
        <r>
          <rPr>
            <sz val="9"/>
            <color indexed="81"/>
            <rFont val="Tahoma"/>
            <family val="2"/>
          </rPr>
          <t xml:space="preserve"> section. 
The cell is green because the user needs to use this resistance value to get the best results for the Thermistor Qualification. </t>
        </r>
      </text>
    </comment>
  </commentList>
</comments>
</file>

<file path=xl/sharedStrings.xml><?xml version="1.0" encoding="utf-8"?>
<sst xmlns="http://schemas.openxmlformats.org/spreadsheetml/2006/main" count="845" uniqueCount="348">
  <si>
    <t>Step 1: Operating Specifications</t>
  </si>
  <si>
    <t>V</t>
  </si>
  <si>
    <t>A</t>
  </si>
  <si>
    <t>kHz</t>
  </si>
  <si>
    <r>
      <t>Full Load Output Current, I</t>
    </r>
    <r>
      <rPr>
        <b/>
        <vertAlign val="subscript"/>
        <sz val="10"/>
        <color theme="1"/>
        <rFont val="Arial"/>
        <family val="2"/>
      </rPr>
      <t>OUT(max)</t>
    </r>
  </si>
  <si>
    <t>µH</t>
  </si>
  <si>
    <t>%</t>
  </si>
  <si>
    <r>
      <t>A</t>
    </r>
    <r>
      <rPr>
        <vertAlign val="subscript"/>
        <sz val="10"/>
        <color theme="1"/>
        <rFont val="Arial"/>
        <family val="2"/>
      </rPr>
      <t>pk-pk</t>
    </r>
  </si>
  <si>
    <t>Output Capacitor ESR</t>
  </si>
  <si>
    <t>µF</t>
  </si>
  <si>
    <t>Efficiency / Power Loss Analyzer</t>
  </si>
  <si>
    <r>
      <rPr>
        <b/>
        <u/>
        <sz val="10"/>
        <color rgb="FF0000FF"/>
        <rFont val="Arial"/>
        <family val="2"/>
      </rPr>
      <t>Buck</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</si>
  <si>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CSD18563Q5A</t>
  </si>
  <si>
    <t>Hi-side</t>
  </si>
  <si>
    <t>Low-side</t>
  </si>
  <si>
    <r>
      <t>Gate-Drain Charge, Q</t>
    </r>
    <r>
      <rPr>
        <b/>
        <vertAlign val="subscript"/>
        <sz val="10"/>
        <color theme="1"/>
        <rFont val="Arial"/>
        <family val="2"/>
      </rPr>
      <t>GD</t>
    </r>
  </si>
  <si>
    <r>
      <t>Gate-Source Charge, Q</t>
    </r>
    <r>
      <rPr>
        <b/>
        <vertAlign val="subscript"/>
        <sz val="10"/>
        <color theme="1"/>
        <rFont val="Arial"/>
        <family val="2"/>
      </rPr>
      <t>GS</t>
    </r>
  </si>
  <si>
    <r>
      <t>Gate Resistance, R</t>
    </r>
    <r>
      <rPr>
        <b/>
        <vertAlign val="subscript"/>
        <sz val="10"/>
        <color theme="1"/>
        <rFont val="Arial"/>
        <family val="2"/>
      </rPr>
      <t>G</t>
    </r>
  </si>
  <si>
    <r>
      <t>Transconductance, g</t>
    </r>
    <r>
      <rPr>
        <b/>
        <vertAlign val="subscript"/>
        <sz val="10"/>
        <color theme="1"/>
        <rFont val="Arial"/>
        <family val="2"/>
      </rPr>
      <t>FS</t>
    </r>
  </si>
  <si>
    <r>
      <t>Gate-Source Threshold Voltage, V</t>
    </r>
    <r>
      <rPr>
        <b/>
        <vertAlign val="subscript"/>
        <sz val="10"/>
        <color theme="1"/>
        <rFont val="Arial"/>
        <family val="2"/>
      </rPr>
      <t>TH</t>
    </r>
  </si>
  <si>
    <r>
      <t>Body Diode Rev Recovery Charge, Q</t>
    </r>
    <r>
      <rPr>
        <b/>
        <vertAlign val="subscript"/>
        <sz val="10"/>
        <color theme="1"/>
        <rFont val="Arial"/>
        <family val="2"/>
      </rPr>
      <t>RR</t>
    </r>
  </si>
  <si>
    <r>
      <t xml:space="preserve">Thermal Resistance, </t>
    </r>
    <r>
      <rPr>
        <b/>
        <sz val="10"/>
        <color theme="1"/>
        <rFont val="Calibri"/>
        <family val="2"/>
      </rPr>
      <t>θ</t>
    </r>
    <r>
      <rPr>
        <b/>
        <vertAlign val="subscript"/>
        <sz val="10"/>
        <color theme="1"/>
        <rFont val="Arial"/>
        <family val="2"/>
      </rPr>
      <t>JA</t>
    </r>
  </si>
  <si>
    <r>
      <t>m</t>
    </r>
    <r>
      <rPr>
        <sz val="10"/>
        <color theme="1"/>
        <rFont val="Calibri"/>
        <family val="2"/>
      </rPr>
      <t>Ω</t>
    </r>
  </si>
  <si>
    <t>nC</t>
  </si>
  <si>
    <t>Ω</t>
  </si>
  <si>
    <t>S</t>
  </si>
  <si>
    <r>
      <rPr>
        <sz val="10"/>
        <color theme="1"/>
        <rFont val="Calibri"/>
        <family val="2"/>
      </rPr>
      <t>°</t>
    </r>
    <r>
      <rPr>
        <sz val="10"/>
        <color theme="1"/>
        <rFont val="Arial"/>
        <family val="2"/>
      </rPr>
      <t>C/W</t>
    </r>
  </si>
  <si>
    <r>
      <rPr>
        <b/>
        <u/>
        <sz val="10"/>
        <color rgb="FF0000FF"/>
        <rFont val="Arial"/>
        <family val="2"/>
      </rPr>
      <t>Boost</t>
    </r>
    <r>
      <rPr>
        <b/>
        <sz val="10"/>
        <color rgb="FF0000FF"/>
        <rFont val="Arial"/>
        <family val="2"/>
      </rPr>
      <t>-Leg Power MOSFETs (Q</t>
    </r>
    <r>
      <rPr>
        <b/>
        <vertAlign val="subscript"/>
        <sz val="10"/>
        <color rgb="FF0000FF"/>
        <rFont val="Arial"/>
        <family val="2"/>
      </rPr>
      <t>1</t>
    </r>
    <r>
      <rPr>
        <b/>
        <sz val="10"/>
        <color rgb="FF0000FF"/>
        <rFont val="Arial"/>
        <family val="2"/>
      </rPr>
      <t>, Q</t>
    </r>
    <r>
      <rPr>
        <b/>
        <vertAlign val="subscript"/>
        <sz val="10"/>
        <color rgb="FF0000FF"/>
        <rFont val="Arial"/>
        <family val="2"/>
      </rPr>
      <t>2</t>
    </r>
    <r>
      <rPr>
        <b/>
        <sz val="10"/>
        <color rgb="FF0000FF"/>
        <rFont val="Arial"/>
        <family val="2"/>
      </rPr>
      <t>)</t>
    </r>
  </si>
  <si>
    <t>CSD16321Q5</t>
  </si>
  <si>
    <t>mΩ</t>
  </si>
  <si>
    <t>kΩ</t>
  </si>
  <si>
    <r>
      <t>Maximum Average Inductor Current, I</t>
    </r>
    <r>
      <rPr>
        <vertAlign val="subscript"/>
        <sz val="10"/>
        <color theme="1"/>
        <rFont val="Arial"/>
        <family val="2"/>
      </rPr>
      <t>L(MAX)</t>
    </r>
  </si>
  <si>
    <r>
      <t>Peak Inductor Current, I</t>
    </r>
    <r>
      <rPr>
        <vertAlign val="subscript"/>
        <sz val="10"/>
        <color theme="1"/>
        <rFont val="Arial"/>
        <family val="2"/>
      </rPr>
      <t>L(PEAK)</t>
    </r>
  </si>
  <si>
    <r>
      <t>Recommended MODE Resistance, R</t>
    </r>
    <r>
      <rPr>
        <vertAlign val="subscript"/>
        <sz val="10"/>
        <color theme="1"/>
        <rFont val="Arial"/>
        <family val="2"/>
      </rPr>
      <t>MODE</t>
    </r>
  </si>
  <si>
    <r>
      <t>Minimum MODE Resistance, R</t>
    </r>
    <r>
      <rPr>
        <vertAlign val="subscript"/>
        <sz val="10"/>
        <color theme="1"/>
        <rFont val="Arial"/>
        <family val="2"/>
      </rPr>
      <t>MODE</t>
    </r>
  </si>
  <si>
    <r>
      <t>Maximum MODE Resistance, R</t>
    </r>
    <r>
      <rPr>
        <vertAlign val="subscript"/>
        <sz val="10"/>
        <color theme="1"/>
        <rFont val="Arial"/>
        <family val="2"/>
      </rPr>
      <t>MODE</t>
    </r>
  </si>
  <si>
    <t>Recognized Topology</t>
  </si>
  <si>
    <t xml:space="preserve">       --     </t>
  </si>
  <si>
    <t>Open Circuit</t>
  </si>
  <si>
    <t xml:space="preserve"> = Input Box</t>
  </si>
  <si>
    <t>Duty Cycle</t>
  </si>
  <si>
    <t>Efficiency</t>
  </si>
  <si>
    <t>I_L RMS</t>
  </si>
  <si>
    <t>I_L</t>
  </si>
  <si>
    <t>I_L pkpk</t>
  </si>
  <si>
    <r>
      <t>E24 Standard Resistor Values (</t>
    </r>
    <r>
      <rPr>
        <b/>
        <sz val="11"/>
        <color theme="1"/>
        <rFont val="Calibri"/>
        <family val="2"/>
      </rPr>
      <t>±5</t>
    </r>
    <r>
      <rPr>
        <b/>
        <sz val="11"/>
        <color theme="1"/>
        <rFont val="Calibri"/>
        <family val="2"/>
        <scheme val="minor"/>
      </rPr>
      <t>%)</t>
    </r>
  </si>
  <si>
    <r>
      <t>E96 Standard Resistor Values (</t>
    </r>
    <r>
      <rPr>
        <b/>
        <sz val="11"/>
        <color theme="1"/>
        <rFont val="Calibri"/>
        <family val="2"/>
      </rPr>
      <t>±1</t>
    </r>
    <r>
      <rPr>
        <b/>
        <sz val="11"/>
        <color theme="1"/>
        <rFont val="Calibri"/>
        <family val="2"/>
        <scheme val="minor"/>
      </rPr>
      <t>%)</t>
    </r>
  </si>
  <si>
    <r>
      <t>Standard Resistor Values (</t>
    </r>
    <r>
      <rPr>
        <b/>
        <sz val="11"/>
        <color theme="1"/>
        <rFont val="Calibri"/>
        <family val="2"/>
      </rPr>
      <t>±0.1</t>
    </r>
    <r>
      <rPr>
        <b/>
        <sz val="11"/>
        <color theme="1"/>
        <rFont val="Calibri"/>
        <family val="2"/>
        <scheme val="minor"/>
      </rPr>
      <t>%)</t>
    </r>
  </si>
  <si>
    <t>Inductors</t>
  </si>
  <si>
    <t>MLCC</t>
  </si>
  <si>
    <t>Decade</t>
  </si>
  <si>
    <t>Resistance</t>
  </si>
  <si>
    <t>N</t>
  </si>
  <si>
    <t>L (uH)</t>
  </si>
  <si>
    <r>
      <t>Minimum Input Capacitance, C</t>
    </r>
    <r>
      <rPr>
        <vertAlign val="subscript"/>
        <sz val="10"/>
        <color theme="1"/>
        <rFont val="Arial"/>
        <family val="2"/>
      </rPr>
      <t>IN</t>
    </r>
  </si>
  <si>
    <r>
      <t>Battery Voltage, V</t>
    </r>
    <r>
      <rPr>
        <b/>
        <vertAlign val="subscript"/>
        <sz val="10"/>
        <color theme="1"/>
        <rFont val="Arial"/>
        <family val="2"/>
      </rPr>
      <t>BAT</t>
    </r>
  </si>
  <si>
    <t>Selected Inductor DCR</t>
  </si>
  <si>
    <r>
      <t>Selected MODE Resistance, R</t>
    </r>
    <r>
      <rPr>
        <b/>
        <vertAlign val="subscript"/>
        <sz val="10"/>
        <color theme="1"/>
        <rFont val="Arial"/>
        <family val="2"/>
      </rPr>
      <t>MODE</t>
    </r>
  </si>
  <si>
    <t>Index</t>
  </si>
  <si>
    <t>Total Sense Loss</t>
  </si>
  <si>
    <t>Total MOSFET Loss</t>
  </si>
  <si>
    <r>
      <t>Output chare, Q</t>
    </r>
    <r>
      <rPr>
        <b/>
        <vertAlign val="subscript"/>
        <sz val="10"/>
        <color theme="1"/>
        <rFont val="Arial"/>
        <family val="2"/>
      </rPr>
      <t>OSS</t>
    </r>
  </si>
  <si>
    <t>Save</t>
  </si>
  <si>
    <t>Clear Save</t>
  </si>
  <si>
    <t>View Password</t>
  </si>
  <si>
    <t>BQ2575X</t>
  </si>
  <si>
    <t>Red Text = Conditional Formatting Conditions</t>
  </si>
  <si>
    <t>Black Text = Lists or Formulas</t>
  </si>
  <si>
    <t>Step 2: Switching Frequency</t>
  </si>
  <si>
    <r>
      <t>Recommended Switching Frequency Resistor, R</t>
    </r>
    <r>
      <rPr>
        <vertAlign val="subscript"/>
        <sz val="10"/>
        <color theme="1"/>
        <rFont val="Arial"/>
        <family val="2"/>
      </rPr>
      <t>FSW</t>
    </r>
  </si>
  <si>
    <r>
      <t>Selected Switching Frequency Resistor, R</t>
    </r>
    <r>
      <rPr>
        <b/>
        <vertAlign val="subscript"/>
        <sz val="10"/>
        <color theme="1"/>
        <rFont val="Arial"/>
        <family val="2"/>
      </rPr>
      <t>FSW</t>
    </r>
  </si>
  <si>
    <r>
      <t>Recognized Switching Frequency, F</t>
    </r>
    <r>
      <rPr>
        <vertAlign val="subscript"/>
        <sz val="10"/>
        <color theme="1"/>
        <rFont val="Arial"/>
        <family val="2"/>
      </rPr>
      <t>SW</t>
    </r>
  </si>
  <si>
    <r>
      <t>Selected Inductor Saturation Current, I</t>
    </r>
    <r>
      <rPr>
        <vertAlign val="subscript"/>
        <sz val="10"/>
        <color theme="1"/>
        <rFont val="Arial"/>
        <family val="2"/>
      </rPr>
      <t>SAT</t>
    </r>
  </si>
  <si>
    <r>
      <t>Input Voltage - Nom, V</t>
    </r>
    <r>
      <rPr>
        <b/>
        <vertAlign val="subscript"/>
        <sz val="10"/>
        <color theme="1"/>
        <rFont val="Arial"/>
        <family val="2"/>
      </rPr>
      <t>AC(nom)</t>
    </r>
  </si>
  <si>
    <r>
      <t>Input Voltage - Min, V</t>
    </r>
    <r>
      <rPr>
        <b/>
        <vertAlign val="subscript"/>
        <sz val="10"/>
        <color theme="1"/>
        <rFont val="Arial"/>
        <family val="2"/>
      </rPr>
      <t>AC(min)</t>
    </r>
  </si>
  <si>
    <r>
      <t>Input Voltage - Max, V</t>
    </r>
    <r>
      <rPr>
        <b/>
        <vertAlign val="subscript"/>
        <sz val="10"/>
        <color theme="1"/>
        <rFont val="Arial"/>
        <family val="2"/>
      </rPr>
      <t>AC(max)</t>
    </r>
  </si>
  <si>
    <t>Minimum Inductance, L</t>
  </si>
  <si>
    <r>
      <t>Pk-to-Pk Ripple Current at V</t>
    </r>
    <r>
      <rPr>
        <vertAlign val="subscript"/>
        <sz val="10"/>
        <color theme="1"/>
        <rFont val="Arial"/>
        <family val="2"/>
      </rPr>
      <t>AC(min)</t>
    </r>
    <r>
      <rPr>
        <sz val="10"/>
        <color theme="1"/>
        <rFont val="Arial"/>
        <family val="2"/>
      </rPr>
      <t>, ∆I</t>
    </r>
    <r>
      <rPr>
        <vertAlign val="subscript"/>
        <sz val="10"/>
        <color theme="1"/>
        <rFont val="Arial"/>
        <family val="2"/>
      </rPr>
      <t>L1</t>
    </r>
  </si>
  <si>
    <r>
      <t>Pk-to-Pk Ripple Current at V</t>
    </r>
    <r>
      <rPr>
        <vertAlign val="subscript"/>
        <sz val="10"/>
        <color theme="1"/>
        <rFont val="Arial"/>
        <family val="2"/>
      </rPr>
      <t>AC(nom)</t>
    </r>
    <r>
      <rPr>
        <sz val="10"/>
        <color theme="1"/>
        <rFont val="Arial"/>
        <family val="2"/>
      </rPr>
      <t>, ∆I</t>
    </r>
    <r>
      <rPr>
        <vertAlign val="subscript"/>
        <sz val="10"/>
        <color theme="1"/>
        <rFont val="Arial"/>
        <family val="2"/>
      </rPr>
      <t>L2</t>
    </r>
  </si>
  <si>
    <r>
      <t>Pk-to-Pk Ripple Current at V</t>
    </r>
    <r>
      <rPr>
        <vertAlign val="subscript"/>
        <sz val="10"/>
        <color theme="1"/>
        <rFont val="Arial"/>
        <family val="2"/>
      </rPr>
      <t>AC(max)</t>
    </r>
    <r>
      <rPr>
        <sz val="10"/>
        <color theme="1"/>
        <rFont val="Arial"/>
        <family val="2"/>
      </rPr>
      <t>, ∆I</t>
    </r>
    <r>
      <rPr>
        <vertAlign val="subscript"/>
        <sz val="10"/>
        <color theme="1"/>
        <rFont val="Arial"/>
        <family val="2"/>
      </rPr>
      <t>L3</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</si>
  <si>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AC(min)</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</si>
  <si>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AC(nom)</t>
    </r>
  </si>
  <si>
    <r>
      <t>∆I</t>
    </r>
    <r>
      <rPr>
        <vertAlign val="subscript"/>
        <sz val="10"/>
        <color theme="1"/>
        <rFont val="Arial"/>
        <family val="2"/>
      </rPr>
      <t xml:space="preserve">L </t>
    </r>
    <r>
      <rPr>
        <sz val="10"/>
        <color theme="1"/>
        <rFont val="Arial"/>
        <family val="2"/>
      </rPr>
      <t>as a % at V</t>
    </r>
    <r>
      <rPr>
        <vertAlign val="subscript"/>
        <sz val="10"/>
        <color theme="1"/>
        <rFont val="Arial"/>
        <family val="2"/>
      </rPr>
      <t>AC(max)</t>
    </r>
  </si>
  <si>
    <r>
      <t>Desired Switching Frequency, F</t>
    </r>
    <r>
      <rPr>
        <b/>
        <vertAlign val="subscript"/>
        <sz val="10"/>
        <color theme="1"/>
        <rFont val="Arial"/>
        <family val="2"/>
      </rPr>
      <t>DFW</t>
    </r>
  </si>
  <si>
    <t>Desired Input Undervoltage Limit, ACUV</t>
  </si>
  <si>
    <t>Desired Input Overvoltage Limit, ACOV</t>
  </si>
  <si>
    <r>
      <rPr>
        <sz val="10"/>
        <color theme="1"/>
        <rFont val="Arial"/>
        <family val="2"/>
      </rPr>
      <t>Recommended Top Resistor, R</t>
    </r>
    <r>
      <rPr>
        <vertAlign val="subscript"/>
        <sz val="10"/>
        <color theme="1"/>
        <rFont val="Arial"/>
        <family val="2"/>
      </rPr>
      <t>AC1</t>
    </r>
  </si>
  <si>
    <r>
      <t>Recommended Middle Resistor, R</t>
    </r>
    <r>
      <rPr>
        <vertAlign val="subscript"/>
        <sz val="10"/>
        <color theme="1"/>
        <rFont val="Arial"/>
        <family val="2"/>
      </rPr>
      <t>AC2</t>
    </r>
  </si>
  <si>
    <r>
      <t>Recommended Bottom Resistor, R</t>
    </r>
    <r>
      <rPr>
        <vertAlign val="subscript"/>
        <sz val="10"/>
        <color theme="1"/>
        <rFont val="Arial"/>
        <family val="2"/>
      </rPr>
      <t>AC3</t>
    </r>
  </si>
  <si>
    <r>
      <t>Selected Top Resistor, R</t>
    </r>
    <r>
      <rPr>
        <b/>
        <vertAlign val="subscript"/>
        <sz val="10"/>
        <color theme="1"/>
        <rFont val="Arial"/>
        <family val="2"/>
      </rPr>
      <t>AC1</t>
    </r>
  </si>
  <si>
    <r>
      <t>Selected Middle Resistor, R</t>
    </r>
    <r>
      <rPr>
        <b/>
        <vertAlign val="subscript"/>
        <sz val="10"/>
        <color theme="1"/>
        <rFont val="Arial"/>
        <family val="2"/>
      </rPr>
      <t>AC2</t>
    </r>
  </si>
  <si>
    <r>
      <t>Selected Bottom Resistor, R</t>
    </r>
    <r>
      <rPr>
        <b/>
        <vertAlign val="subscript"/>
        <sz val="10"/>
        <color theme="1"/>
        <rFont val="Arial"/>
        <family val="2"/>
      </rPr>
      <t>AC3</t>
    </r>
  </si>
  <si>
    <t>Recognized Input Overvoltage Limit, ACOV</t>
  </si>
  <si>
    <t>Recognized Input Undervoltage Limit, ACUV</t>
  </si>
  <si>
    <r>
      <t>Recommended Input Current Sense Resistor, R</t>
    </r>
    <r>
      <rPr>
        <vertAlign val="subscript"/>
        <sz val="10"/>
        <color theme="1"/>
        <rFont val="Arial"/>
        <family val="2"/>
      </rPr>
      <t>AC_SNS</t>
    </r>
  </si>
  <si>
    <r>
      <t>Selected Input Current Sense Resistor, R</t>
    </r>
    <r>
      <rPr>
        <b/>
        <vertAlign val="subscript"/>
        <sz val="10"/>
        <color theme="1"/>
        <rFont val="Arial"/>
        <family val="2"/>
      </rPr>
      <t>AC_SNS</t>
    </r>
  </si>
  <si>
    <r>
      <t>Desired Input Current Limit, I</t>
    </r>
    <r>
      <rPr>
        <b/>
        <vertAlign val="subscript"/>
        <sz val="10"/>
        <color theme="1"/>
        <rFont val="Arial"/>
        <family val="2"/>
      </rPr>
      <t>AC_MAX</t>
    </r>
  </si>
  <si>
    <r>
      <t>Maximum Input Current Limit, I</t>
    </r>
    <r>
      <rPr>
        <vertAlign val="subscript"/>
        <sz val="10"/>
        <color theme="1"/>
        <rFont val="Arial"/>
        <family val="2"/>
      </rPr>
      <t>AC_MAX(max)</t>
    </r>
  </si>
  <si>
    <r>
      <t>Recommended Input Pull-down Resistor, R</t>
    </r>
    <r>
      <rPr>
        <vertAlign val="subscript"/>
        <sz val="10"/>
        <color theme="1"/>
        <rFont val="Arial"/>
        <family val="2"/>
      </rPr>
      <t>IIN</t>
    </r>
  </si>
  <si>
    <r>
      <t>Selected Input Pull-down Resistor, R</t>
    </r>
    <r>
      <rPr>
        <b/>
        <vertAlign val="subscript"/>
        <sz val="10"/>
        <color theme="1"/>
        <rFont val="Arial"/>
        <family val="2"/>
      </rPr>
      <t>IIN</t>
    </r>
  </si>
  <si>
    <r>
      <t>Recognized Input Current Limit, I</t>
    </r>
    <r>
      <rPr>
        <vertAlign val="subscript"/>
        <sz val="10"/>
        <color theme="1"/>
        <rFont val="Arial"/>
        <family val="2"/>
      </rPr>
      <t>AC_MAX</t>
    </r>
  </si>
  <si>
    <r>
      <t>Battery Current Sense Resistor, R</t>
    </r>
    <r>
      <rPr>
        <b/>
        <vertAlign val="subscript"/>
        <sz val="10"/>
        <color theme="1"/>
        <rFont val="Arial"/>
        <family val="2"/>
      </rPr>
      <t>BAT_SNS</t>
    </r>
  </si>
  <si>
    <r>
      <t>Desired Output Current Limit, I</t>
    </r>
    <r>
      <rPr>
        <b/>
        <vertAlign val="subscript"/>
        <sz val="10"/>
        <color theme="1"/>
        <rFont val="Arial"/>
        <family val="2"/>
      </rPr>
      <t>OUT_MAX</t>
    </r>
  </si>
  <si>
    <r>
      <t>Recommended Output Pull-down Resistor, R</t>
    </r>
    <r>
      <rPr>
        <vertAlign val="subscript"/>
        <sz val="10"/>
        <color theme="1"/>
        <rFont val="Arial"/>
        <family val="2"/>
      </rPr>
      <t>IOUT</t>
    </r>
  </si>
  <si>
    <r>
      <t>Selected Output Pull-down Resistor, R</t>
    </r>
    <r>
      <rPr>
        <b/>
        <vertAlign val="subscript"/>
        <sz val="10"/>
        <color theme="1"/>
        <rFont val="Arial"/>
        <family val="2"/>
      </rPr>
      <t>IOUT</t>
    </r>
  </si>
  <si>
    <r>
      <t>Recognized Output Current Limit, I</t>
    </r>
    <r>
      <rPr>
        <vertAlign val="subscript"/>
        <sz val="10"/>
        <color theme="1"/>
        <rFont val="Arial"/>
        <family val="2"/>
      </rPr>
      <t>AC_MAX</t>
    </r>
  </si>
  <si>
    <t>mA/step</t>
  </si>
  <si>
    <r>
      <t>Input Current Resolution, I</t>
    </r>
    <r>
      <rPr>
        <vertAlign val="subscript"/>
        <sz val="10"/>
        <color theme="1"/>
        <rFont val="Arial"/>
        <family val="2"/>
      </rPr>
      <t>AC_MAX(</t>
    </r>
    <r>
      <rPr>
        <vertAlign val="subscript"/>
        <sz val="10"/>
        <color theme="1"/>
        <rFont val="Calibri"/>
        <family val="2"/>
      </rPr>
      <t>∆</t>
    </r>
    <r>
      <rPr>
        <vertAlign val="subscript"/>
        <sz val="10"/>
        <color theme="1"/>
        <rFont val="Arial"/>
        <family val="2"/>
      </rPr>
      <t>)</t>
    </r>
  </si>
  <si>
    <r>
      <t>Maximum Output Current Limit, I</t>
    </r>
    <r>
      <rPr>
        <vertAlign val="subscript"/>
        <sz val="10"/>
        <color theme="1"/>
        <rFont val="Arial"/>
        <family val="2"/>
      </rPr>
      <t>OUT_MAX(max)</t>
    </r>
  </si>
  <si>
    <r>
      <t>Output Current Resolution, I</t>
    </r>
    <r>
      <rPr>
        <vertAlign val="subscript"/>
        <sz val="10"/>
        <color theme="1"/>
        <rFont val="Arial"/>
        <family val="2"/>
      </rPr>
      <t>OUT_MAX(</t>
    </r>
    <r>
      <rPr>
        <vertAlign val="subscript"/>
        <sz val="10"/>
        <color theme="1"/>
        <rFont val="Calibri"/>
        <family val="2"/>
      </rPr>
      <t>∆</t>
    </r>
    <r>
      <rPr>
        <vertAlign val="subscript"/>
        <sz val="10"/>
        <color theme="1"/>
        <rFont val="Arial"/>
        <family val="2"/>
      </rPr>
      <t>)</t>
    </r>
  </si>
  <si>
    <t>Buck-Boost</t>
  </si>
  <si>
    <t>Buck-Only</t>
  </si>
  <si>
    <t>Desired Operation</t>
  </si>
  <si>
    <t>2.2 - 15</t>
  </si>
  <si>
    <r>
      <t>Maximum Inductor DCR, R</t>
    </r>
    <r>
      <rPr>
        <vertAlign val="subscript"/>
        <sz val="10"/>
        <color theme="1"/>
        <rFont val="Arial"/>
        <family val="2"/>
      </rPr>
      <t>DCR(max)</t>
    </r>
  </si>
  <si>
    <r>
      <t>Minimum Inductor DCR, R</t>
    </r>
    <r>
      <rPr>
        <vertAlign val="subscript"/>
        <sz val="10"/>
        <color theme="1"/>
        <rFont val="Arial"/>
        <family val="2"/>
      </rPr>
      <t>DCR(min)</t>
    </r>
  </si>
  <si>
    <r>
      <t>Recognized Nominal Inductance, L</t>
    </r>
    <r>
      <rPr>
        <vertAlign val="subscript"/>
        <sz val="10"/>
        <color theme="1"/>
        <rFont val="Arial"/>
        <family val="2"/>
      </rPr>
      <t>(nom)</t>
    </r>
  </si>
  <si>
    <r>
      <t>Desired Battery Regulation Target, V</t>
    </r>
    <r>
      <rPr>
        <b/>
        <vertAlign val="subscript"/>
        <sz val="10"/>
        <color theme="1"/>
        <rFont val="Arial"/>
        <family val="2"/>
      </rPr>
      <t>BATREG</t>
    </r>
  </si>
  <si>
    <r>
      <t>Selected Target Feedback Voltage, V</t>
    </r>
    <r>
      <rPr>
        <b/>
        <vertAlign val="subscript"/>
        <sz val="10"/>
        <color theme="1"/>
        <rFont val="Arial"/>
        <family val="2"/>
      </rPr>
      <t>FB</t>
    </r>
  </si>
  <si>
    <r>
      <t>Selected Feedback Top Resistor, R</t>
    </r>
    <r>
      <rPr>
        <b/>
        <vertAlign val="subscript"/>
        <sz val="10"/>
        <color theme="1"/>
        <rFont val="Arial"/>
        <family val="2"/>
      </rPr>
      <t>FB_TOP</t>
    </r>
  </si>
  <si>
    <r>
      <t>Selected Feedback Bottom Resistor, R</t>
    </r>
    <r>
      <rPr>
        <b/>
        <vertAlign val="subscript"/>
        <sz val="10"/>
        <color theme="1"/>
        <rFont val="Arial"/>
        <family val="2"/>
      </rPr>
      <t>FB_BOT</t>
    </r>
  </si>
  <si>
    <r>
      <t>Recognized Battery Regulation Target, V</t>
    </r>
    <r>
      <rPr>
        <vertAlign val="subscript"/>
        <sz val="10"/>
        <color theme="1"/>
        <rFont val="Arial"/>
        <family val="2"/>
      </rPr>
      <t>BATREG</t>
    </r>
  </si>
  <si>
    <r>
      <t>Selected Thermistor Cold Resistance, RTH</t>
    </r>
    <r>
      <rPr>
        <b/>
        <vertAlign val="subscript"/>
        <sz val="10"/>
        <color theme="1"/>
        <rFont val="Arial"/>
        <family val="2"/>
      </rPr>
      <t>COLD</t>
    </r>
  </si>
  <si>
    <r>
      <t>Selected Thermistor Hot Resistance, RTH</t>
    </r>
    <r>
      <rPr>
        <b/>
        <vertAlign val="subscript"/>
        <sz val="10"/>
        <color theme="1"/>
        <rFont val="Arial"/>
        <family val="2"/>
      </rPr>
      <t>HOT</t>
    </r>
  </si>
  <si>
    <r>
      <t>C</t>
    </r>
    <r>
      <rPr>
        <sz val="11"/>
        <color theme="1"/>
        <rFont val="Calibri"/>
        <family val="2"/>
      </rPr>
      <t>°</t>
    </r>
  </si>
  <si>
    <t>Parameter</t>
  </si>
  <si>
    <t>AONS66614</t>
  </si>
  <si>
    <t>SiR880BDP</t>
  </si>
  <si>
    <t>Units</t>
  </si>
  <si>
    <t>Custom</t>
  </si>
  <si>
    <r>
      <t>On-State Resistance V</t>
    </r>
    <r>
      <rPr>
        <b/>
        <vertAlign val="subscript"/>
        <sz val="10"/>
        <color theme="1"/>
        <rFont val="Arial"/>
        <family val="2"/>
      </rPr>
      <t>gs</t>
    </r>
    <r>
      <rPr>
        <b/>
        <sz val="10"/>
        <color theme="1"/>
        <rFont val="Arial"/>
        <family val="2"/>
      </rPr>
      <t xml:space="preserve"> = 4.5 V, R</t>
    </r>
    <r>
      <rPr>
        <b/>
        <vertAlign val="subscript"/>
        <sz val="10"/>
        <color theme="1"/>
        <rFont val="Arial"/>
        <family val="2"/>
      </rPr>
      <t>DS(on)</t>
    </r>
  </si>
  <si>
    <r>
      <t>On-State Resistance V</t>
    </r>
    <r>
      <rPr>
        <b/>
        <vertAlign val="subscript"/>
        <sz val="10"/>
        <color theme="1"/>
        <rFont val="Arial"/>
        <family val="2"/>
      </rPr>
      <t>gs</t>
    </r>
    <r>
      <rPr>
        <b/>
        <sz val="10"/>
        <color theme="1"/>
        <rFont val="Arial"/>
        <family val="2"/>
      </rPr>
      <t xml:space="preserve"> = 10 V, R</t>
    </r>
    <r>
      <rPr>
        <b/>
        <vertAlign val="subscript"/>
        <sz val="10"/>
        <color theme="1"/>
        <rFont val="Arial"/>
        <family val="2"/>
      </rPr>
      <t>DS(on)</t>
    </r>
  </si>
  <si>
    <r>
      <t>Custom Gate Drive Voltage, V</t>
    </r>
    <r>
      <rPr>
        <b/>
        <vertAlign val="subscript"/>
        <sz val="10"/>
        <color theme="1"/>
        <rFont val="Arial"/>
        <family val="2"/>
      </rPr>
      <t>gs</t>
    </r>
  </si>
  <si>
    <r>
      <t>On-State Resistance V</t>
    </r>
    <r>
      <rPr>
        <b/>
        <vertAlign val="subscript"/>
        <sz val="10"/>
        <color theme="1"/>
        <rFont val="Arial"/>
        <family val="2"/>
      </rPr>
      <t>gs</t>
    </r>
    <r>
      <rPr>
        <b/>
        <sz val="10"/>
        <color theme="1"/>
        <rFont val="Arial"/>
        <family val="2"/>
      </rPr>
      <t xml:space="preserve"> = Custom Voltage, R</t>
    </r>
    <r>
      <rPr>
        <b/>
        <vertAlign val="subscript"/>
        <sz val="10"/>
        <color theme="1"/>
        <rFont val="Arial"/>
        <family val="2"/>
      </rPr>
      <t>DS(on)</t>
    </r>
  </si>
  <si>
    <r>
      <t>Total Gate Charge Vgs = 4.5 V, Q</t>
    </r>
    <r>
      <rPr>
        <b/>
        <vertAlign val="subscript"/>
        <sz val="10"/>
        <color theme="1"/>
        <rFont val="Arial"/>
        <family val="2"/>
      </rPr>
      <t>G</t>
    </r>
  </si>
  <si>
    <r>
      <t>Total Gate Charge Vgs = 10 V, Q</t>
    </r>
    <r>
      <rPr>
        <b/>
        <vertAlign val="subscript"/>
        <sz val="10"/>
        <color theme="1"/>
        <rFont val="Arial"/>
        <family val="2"/>
      </rPr>
      <t>G</t>
    </r>
  </si>
  <si>
    <r>
      <t>Total Gate Charge Vgs = Custom Voltage, Q</t>
    </r>
    <r>
      <rPr>
        <b/>
        <vertAlign val="subscript"/>
        <sz val="10"/>
        <color theme="1"/>
        <rFont val="Arial"/>
        <family val="2"/>
      </rPr>
      <t>G</t>
    </r>
  </si>
  <si>
    <r>
      <t>Diode Forward Voltage, V</t>
    </r>
    <r>
      <rPr>
        <b/>
        <vertAlign val="subscript"/>
        <sz val="10"/>
        <color theme="1"/>
        <rFont val="Arial"/>
        <family val="2"/>
      </rPr>
      <t>SD</t>
    </r>
  </si>
  <si>
    <r>
      <t>Reverse Recovery Charge, Q</t>
    </r>
    <r>
      <rPr>
        <b/>
        <vertAlign val="subscript"/>
        <sz val="10"/>
        <color theme="1"/>
        <rFont val="Arial"/>
        <family val="2"/>
      </rPr>
      <t>RR</t>
    </r>
  </si>
  <si>
    <t>Custom MOSFET</t>
  </si>
  <si>
    <t>Step 11: Gate Drive Voltage</t>
  </si>
  <si>
    <t>MOSFET Selection</t>
  </si>
  <si>
    <t>TI Recommendation</t>
  </si>
  <si>
    <t>Compare</t>
  </si>
  <si>
    <t>Step 3: Filter Inductor</t>
  </si>
  <si>
    <t>Step 4a: Input Sense Resistors and Input Current Limit</t>
  </si>
  <si>
    <t>Step 4b: Output Current Limit</t>
  </si>
  <si>
    <t>Step 5: ACUV / ACOV Input Voltage Operating Window Programming</t>
  </si>
  <si>
    <t>Step 6: Charge Voltage Selection</t>
  </si>
  <si>
    <t>Step 7: Thermistor Qualification</t>
  </si>
  <si>
    <t>Step 8: MODE Resistance (BQ25758 Only)</t>
  </si>
  <si>
    <r>
      <t>On-State Resistance, R</t>
    </r>
    <r>
      <rPr>
        <b/>
        <vertAlign val="subscript"/>
        <sz val="10"/>
        <color theme="1"/>
        <rFont val="Arial"/>
        <family val="2"/>
      </rPr>
      <t>DS(on)</t>
    </r>
  </si>
  <si>
    <r>
      <t>Total Gate Charge, Q</t>
    </r>
    <r>
      <rPr>
        <b/>
        <vertAlign val="subscript"/>
        <sz val="10"/>
        <color theme="1"/>
        <rFont val="Arial"/>
        <family val="2"/>
      </rPr>
      <t>G</t>
    </r>
  </si>
  <si>
    <r>
      <t>P</t>
    </r>
    <r>
      <rPr>
        <vertAlign val="subscript"/>
        <sz val="11"/>
        <color theme="1"/>
        <rFont val="Calibri"/>
        <family val="2"/>
        <scheme val="minor"/>
      </rPr>
      <t>con_top</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</si>
  <si>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t>
    </r>
  </si>
  <si>
    <r>
      <t>I</t>
    </r>
    <r>
      <rPr>
        <vertAlign val="subscript"/>
        <sz val="11"/>
        <color theme="1"/>
        <rFont val="Calibri"/>
        <family val="2"/>
        <scheme val="minor"/>
      </rPr>
      <t>peak</t>
    </r>
    <r>
      <rPr>
        <sz val="11"/>
        <color theme="1"/>
        <rFont val="Calibri"/>
        <family val="2"/>
        <scheme val="minor"/>
      </rPr>
      <t xml:space="preserve"> (A)</t>
    </r>
  </si>
  <si>
    <r>
      <t>I</t>
    </r>
    <r>
      <rPr>
        <vertAlign val="subscript"/>
        <sz val="11"/>
        <color theme="1"/>
        <rFont val="Calibri"/>
        <family val="2"/>
        <scheme val="minor"/>
      </rPr>
      <t>on</t>
    </r>
    <r>
      <rPr>
        <sz val="11"/>
        <color theme="1"/>
        <rFont val="Calibri"/>
        <family val="2"/>
        <scheme val="minor"/>
      </rPr>
      <t xml:space="preserve"> (A)</t>
    </r>
  </si>
  <si>
    <r>
      <t>I</t>
    </r>
    <r>
      <rPr>
        <vertAlign val="subscript"/>
        <sz val="11"/>
        <color theme="1"/>
        <rFont val="Calibri"/>
        <family val="2"/>
        <scheme val="minor"/>
      </rPr>
      <t>off</t>
    </r>
    <r>
      <rPr>
        <sz val="11"/>
        <color theme="1"/>
        <rFont val="Calibri"/>
        <family val="2"/>
        <scheme val="minor"/>
      </rPr>
      <t xml:space="preserve"> (A)</t>
    </r>
  </si>
  <si>
    <r>
      <t>t</t>
    </r>
    <r>
      <rPr>
        <vertAlign val="subscript"/>
        <sz val="11"/>
        <color theme="1"/>
        <rFont val="Calibri"/>
        <family val="2"/>
        <scheme val="minor"/>
      </rPr>
      <t>on</t>
    </r>
    <r>
      <rPr>
        <sz val="11"/>
        <color theme="1"/>
        <rFont val="Calibri"/>
        <family val="2"/>
        <scheme val="minor"/>
      </rPr>
      <t xml:space="preserve"> (ns)</t>
    </r>
  </si>
  <si>
    <r>
      <t>t</t>
    </r>
    <r>
      <rPr>
        <vertAlign val="subscript"/>
        <sz val="11"/>
        <color theme="1"/>
        <rFont val="Calibri"/>
        <family val="2"/>
        <scheme val="minor"/>
      </rPr>
      <t>off</t>
    </r>
    <r>
      <rPr>
        <sz val="11"/>
        <color theme="1"/>
        <rFont val="Calibri"/>
        <family val="2"/>
        <scheme val="minor"/>
      </rPr>
      <t xml:space="preserve"> (ns)</t>
    </r>
  </si>
  <si>
    <t>Column1</t>
  </si>
  <si>
    <r>
      <t>P</t>
    </r>
    <r>
      <rPr>
        <vertAlign val="subscript"/>
        <sz val="11"/>
        <color theme="1"/>
        <rFont val="Calibri"/>
        <family val="2"/>
        <scheme val="minor"/>
      </rPr>
      <t>IV</t>
    </r>
    <r>
      <rPr>
        <sz val="11"/>
        <color theme="1"/>
        <rFont val="Calibri"/>
        <family val="2"/>
        <scheme val="minor"/>
      </rPr>
      <t xml:space="preserve"> (mW)</t>
    </r>
  </si>
  <si>
    <r>
      <t>P</t>
    </r>
    <r>
      <rPr>
        <vertAlign val="subscript"/>
        <sz val="11"/>
        <color theme="1"/>
        <rFont val="Calibri"/>
        <family val="2"/>
        <scheme val="minor"/>
      </rPr>
      <t xml:space="preserve">qoss </t>
    </r>
    <r>
      <rPr>
        <sz val="11"/>
        <color theme="1"/>
        <rFont val="Calibri"/>
        <family val="2"/>
        <scheme val="minor"/>
      </rPr>
      <t>(mW)</t>
    </r>
  </si>
  <si>
    <r>
      <t>P</t>
    </r>
    <r>
      <rPr>
        <vertAlign val="subscript"/>
        <sz val="11"/>
        <color theme="1"/>
        <rFont val="Calibri"/>
        <family val="2"/>
        <scheme val="minor"/>
      </rPr>
      <t>sw_top</t>
    </r>
    <r>
      <rPr>
        <sz val="11"/>
        <color theme="1"/>
        <rFont val="Calibri"/>
        <family val="2"/>
        <scheme val="minor"/>
      </rPr>
      <t xml:space="preserve"> (mW)</t>
    </r>
  </si>
  <si>
    <r>
      <t>P</t>
    </r>
    <r>
      <rPr>
        <vertAlign val="subscript"/>
        <sz val="11"/>
        <color theme="1"/>
        <rFont val="Calibri"/>
        <family val="2"/>
        <scheme val="minor"/>
      </rPr>
      <t>top</t>
    </r>
    <r>
      <rPr>
        <sz val="11"/>
        <color theme="1"/>
        <rFont val="Calibri"/>
        <family val="2"/>
        <scheme val="minor"/>
      </rPr>
      <t xml:space="preserve"> (mW)</t>
    </r>
  </si>
  <si>
    <r>
      <t>P</t>
    </r>
    <r>
      <rPr>
        <vertAlign val="subscript"/>
        <sz val="11"/>
        <color theme="1"/>
        <rFont val="Calibri"/>
        <family val="2"/>
        <scheme val="minor"/>
      </rPr>
      <t>con_bottom</t>
    </r>
    <r>
      <rPr>
        <sz val="11"/>
        <color theme="1"/>
        <rFont val="Calibri"/>
        <family val="2"/>
        <scheme val="minor"/>
      </rPr>
      <t xml:space="preserve"> (mW)</t>
    </r>
  </si>
  <si>
    <r>
      <t>P</t>
    </r>
    <r>
      <rPr>
        <vertAlign val="subscript"/>
        <sz val="11"/>
        <color theme="1"/>
        <rFont val="Calibri"/>
        <family val="2"/>
        <scheme val="minor"/>
      </rPr>
      <t>RR</t>
    </r>
    <r>
      <rPr>
        <sz val="11"/>
        <color theme="1"/>
        <rFont val="Calibri"/>
        <family val="2"/>
        <scheme val="minor"/>
      </rPr>
      <t xml:space="preserve"> (mW)</t>
    </r>
  </si>
  <si>
    <r>
      <t>Body Diode Forward Voltage, V</t>
    </r>
    <r>
      <rPr>
        <b/>
        <vertAlign val="subscript"/>
        <sz val="10"/>
        <color theme="1"/>
        <rFont val="Arial"/>
        <family val="2"/>
      </rPr>
      <t>SD</t>
    </r>
  </si>
  <si>
    <r>
      <t>P</t>
    </r>
    <r>
      <rPr>
        <vertAlign val="subscript"/>
        <sz val="11"/>
        <color theme="1"/>
        <rFont val="Calibri"/>
        <family val="2"/>
        <scheme val="minor"/>
      </rPr>
      <t xml:space="preserve">dead </t>
    </r>
    <r>
      <rPr>
        <sz val="11"/>
        <color theme="1"/>
        <rFont val="Calibri"/>
        <family val="2"/>
        <scheme val="minor"/>
      </rPr>
      <t>(mW)</t>
    </r>
  </si>
  <si>
    <r>
      <t>P</t>
    </r>
    <r>
      <rPr>
        <vertAlign val="subscript"/>
        <sz val="11"/>
        <color theme="1"/>
        <rFont val="Calibri"/>
        <family val="2"/>
        <scheme val="minor"/>
      </rPr>
      <t>gate_bottom</t>
    </r>
    <r>
      <rPr>
        <sz val="11"/>
        <color theme="1"/>
        <rFont val="Calibri"/>
        <family val="2"/>
        <scheme val="minor"/>
      </rPr>
      <t xml:space="preserve"> (mW)</t>
    </r>
  </si>
  <si>
    <r>
      <t>P</t>
    </r>
    <r>
      <rPr>
        <vertAlign val="subscript"/>
        <sz val="11"/>
        <color theme="1"/>
        <rFont val="Calibri"/>
        <family val="2"/>
        <scheme val="minor"/>
      </rPr>
      <t xml:space="preserve">gate_top </t>
    </r>
    <r>
      <rPr>
        <sz val="11"/>
        <color theme="1"/>
        <rFont val="Calibri"/>
        <family val="2"/>
        <scheme val="minor"/>
      </rPr>
      <t>(mW)</t>
    </r>
  </si>
  <si>
    <r>
      <t>P</t>
    </r>
    <r>
      <rPr>
        <vertAlign val="subscript"/>
        <sz val="11"/>
        <color theme="1"/>
        <rFont val="Calibri"/>
        <family val="2"/>
        <scheme val="minor"/>
      </rPr>
      <t>bottom</t>
    </r>
    <r>
      <rPr>
        <sz val="11"/>
        <color theme="1"/>
        <rFont val="Calibri"/>
        <family val="2"/>
        <scheme val="minor"/>
      </rPr>
      <t xml:space="preserve"> (mW)</t>
    </r>
  </si>
  <si>
    <r>
      <t>Boost Output Voltage Limitation at V</t>
    </r>
    <r>
      <rPr>
        <vertAlign val="subscript"/>
        <sz val="10"/>
        <color theme="1"/>
        <rFont val="Arial"/>
        <family val="2"/>
      </rPr>
      <t>AC(min)</t>
    </r>
  </si>
  <si>
    <r>
      <t>Boost Output Voltage Limitation at V</t>
    </r>
    <r>
      <rPr>
        <vertAlign val="subscript"/>
        <sz val="10"/>
        <color theme="1"/>
        <rFont val="Arial"/>
        <family val="2"/>
      </rPr>
      <t>AC(nom)</t>
    </r>
  </si>
  <si>
    <r>
      <t>Boost Output Voltage Limitation at V</t>
    </r>
    <r>
      <rPr>
        <vertAlign val="subscript"/>
        <sz val="10"/>
        <color theme="1"/>
        <rFont val="Arial"/>
        <family val="2"/>
      </rPr>
      <t>AC(max)</t>
    </r>
  </si>
  <si>
    <t>Column2</t>
  </si>
  <si>
    <t>Column3</t>
  </si>
  <si>
    <t>Column4</t>
  </si>
  <si>
    <t>Column5</t>
  </si>
  <si>
    <t>Column6</t>
  </si>
  <si>
    <t>Column7</t>
  </si>
  <si>
    <t>Column10</t>
  </si>
  <si>
    <t>Pbottom (mW)20</t>
  </si>
  <si>
    <t>TI MOSFET Recommendation Power Losses</t>
  </si>
  <si>
    <t>Custom MOSFET Power Losses</t>
  </si>
  <si>
    <t>Total TI (mW)</t>
  </si>
  <si>
    <r>
      <t>P</t>
    </r>
    <r>
      <rPr>
        <vertAlign val="subscript"/>
        <sz val="11"/>
        <color theme="1"/>
        <rFont val="Calibri"/>
        <family val="2"/>
        <scheme val="minor"/>
      </rPr>
      <t>sw_bottom</t>
    </r>
    <r>
      <rPr>
        <sz val="11"/>
        <color theme="1"/>
        <rFont val="Calibri"/>
        <family val="2"/>
        <scheme val="minor"/>
      </rPr>
      <t xml:space="preserve"> (mW)</t>
    </r>
  </si>
  <si>
    <r>
      <t>I</t>
    </r>
    <r>
      <rPr>
        <vertAlign val="subscript"/>
        <sz val="11"/>
        <color theme="1"/>
        <rFont val="Calibri"/>
        <family val="2"/>
        <scheme val="minor"/>
      </rPr>
      <t>valley</t>
    </r>
    <r>
      <rPr>
        <sz val="11"/>
        <color theme="1"/>
        <rFont val="Calibri"/>
        <family val="2"/>
        <scheme val="minor"/>
      </rPr>
      <t xml:space="preserve"> (A) C</t>
    </r>
  </si>
  <si>
    <r>
      <t>I</t>
    </r>
    <r>
      <rPr>
        <vertAlign val="subscript"/>
        <sz val="11"/>
        <color theme="1"/>
        <rFont val="Calibri"/>
        <family val="2"/>
        <scheme val="minor"/>
      </rPr>
      <t>peak</t>
    </r>
    <r>
      <rPr>
        <sz val="11"/>
        <color theme="1"/>
        <rFont val="Calibri"/>
        <family val="2"/>
        <scheme val="minor"/>
      </rPr>
      <t xml:space="preserve"> (A) C</t>
    </r>
  </si>
  <si>
    <r>
      <t>I</t>
    </r>
    <r>
      <rPr>
        <vertAlign val="subscript"/>
        <sz val="11"/>
        <color theme="1"/>
        <rFont val="Calibri"/>
        <family val="2"/>
        <scheme val="minor"/>
      </rPr>
      <t>on</t>
    </r>
    <r>
      <rPr>
        <sz val="11"/>
        <color theme="1"/>
        <rFont val="Calibri"/>
        <family val="2"/>
        <scheme val="minor"/>
      </rPr>
      <t xml:space="preserve"> (A) C</t>
    </r>
  </si>
  <si>
    <r>
      <t>I</t>
    </r>
    <r>
      <rPr>
        <vertAlign val="subscript"/>
        <sz val="11"/>
        <color theme="1"/>
        <rFont val="Calibri"/>
        <family val="2"/>
        <scheme val="minor"/>
      </rPr>
      <t>off</t>
    </r>
    <r>
      <rPr>
        <sz val="11"/>
        <color theme="1"/>
        <rFont val="Calibri"/>
        <family val="2"/>
        <scheme val="minor"/>
      </rPr>
      <t xml:space="preserve"> (A) C</t>
    </r>
  </si>
  <si>
    <r>
      <t>t</t>
    </r>
    <r>
      <rPr>
        <vertAlign val="subscript"/>
        <sz val="11"/>
        <color theme="1"/>
        <rFont val="Calibri"/>
        <family val="2"/>
        <scheme val="minor"/>
      </rPr>
      <t>on</t>
    </r>
    <r>
      <rPr>
        <sz val="11"/>
        <color theme="1"/>
        <rFont val="Calibri"/>
        <family val="2"/>
        <scheme val="minor"/>
      </rPr>
      <t xml:space="preserve"> (ns) C</t>
    </r>
  </si>
  <si>
    <r>
      <t>t</t>
    </r>
    <r>
      <rPr>
        <vertAlign val="subscript"/>
        <sz val="11"/>
        <color theme="1"/>
        <rFont val="Calibri"/>
        <family val="2"/>
        <scheme val="minor"/>
      </rPr>
      <t>off</t>
    </r>
    <r>
      <rPr>
        <sz val="11"/>
        <color theme="1"/>
        <rFont val="Calibri"/>
        <family val="2"/>
        <scheme val="minor"/>
      </rPr>
      <t xml:space="preserve"> (ns) C</t>
    </r>
  </si>
  <si>
    <r>
      <t>P</t>
    </r>
    <r>
      <rPr>
        <vertAlign val="subscript"/>
        <sz val="11"/>
        <color theme="1"/>
        <rFont val="Calibri"/>
        <family val="2"/>
        <scheme val="minor"/>
      </rPr>
      <t>IV</t>
    </r>
    <r>
      <rPr>
        <sz val="11"/>
        <color theme="1"/>
        <rFont val="Calibri"/>
        <family val="2"/>
        <scheme val="minor"/>
      </rPr>
      <t xml:space="preserve"> (mW) C</t>
    </r>
  </si>
  <si>
    <r>
      <t>P</t>
    </r>
    <r>
      <rPr>
        <vertAlign val="subscript"/>
        <sz val="11"/>
        <color theme="1"/>
        <rFont val="Calibri"/>
        <family val="2"/>
        <scheme val="minor"/>
      </rPr>
      <t>Qoss</t>
    </r>
    <r>
      <rPr>
        <sz val="11"/>
        <color theme="1"/>
        <rFont val="Calibri"/>
        <family val="2"/>
        <scheme val="minor"/>
      </rPr>
      <t xml:space="preserve"> (mW) C</t>
    </r>
  </si>
  <si>
    <r>
      <t>P</t>
    </r>
    <r>
      <rPr>
        <vertAlign val="subscript"/>
        <sz val="11"/>
        <color theme="1"/>
        <rFont val="Calibri"/>
        <family val="2"/>
        <scheme val="minor"/>
      </rPr>
      <t>gate_top</t>
    </r>
    <r>
      <rPr>
        <sz val="11"/>
        <color theme="1"/>
        <rFont val="Calibri"/>
        <family val="2"/>
        <scheme val="minor"/>
      </rPr>
      <t xml:space="preserve"> (mW) C</t>
    </r>
  </si>
  <si>
    <r>
      <t>P</t>
    </r>
    <r>
      <rPr>
        <vertAlign val="subscript"/>
        <sz val="11"/>
        <color theme="1"/>
        <rFont val="Calibri"/>
        <family val="2"/>
        <scheme val="minor"/>
      </rPr>
      <t>RR</t>
    </r>
    <r>
      <rPr>
        <sz val="11"/>
        <color theme="1"/>
        <rFont val="Calibri"/>
        <family val="2"/>
        <scheme val="minor"/>
      </rPr>
      <t xml:space="preserve"> (mW) C</t>
    </r>
  </si>
  <si>
    <r>
      <t>P</t>
    </r>
    <r>
      <rPr>
        <vertAlign val="subscript"/>
        <sz val="11"/>
        <color theme="1"/>
        <rFont val="Calibri"/>
        <family val="2"/>
        <scheme val="minor"/>
      </rPr>
      <t>dead</t>
    </r>
    <r>
      <rPr>
        <sz val="11"/>
        <color theme="1"/>
        <rFont val="Calibri"/>
        <family val="2"/>
        <scheme val="minor"/>
      </rPr>
      <t xml:space="preserve"> (mW) C</t>
    </r>
  </si>
  <si>
    <r>
      <t>P</t>
    </r>
    <r>
      <rPr>
        <vertAlign val="subscript"/>
        <sz val="11"/>
        <color theme="1"/>
        <rFont val="Calibri"/>
        <family val="2"/>
        <scheme val="minor"/>
      </rPr>
      <t>gate_bottom</t>
    </r>
    <r>
      <rPr>
        <sz val="11"/>
        <color theme="1"/>
        <rFont val="Calibri"/>
        <family val="2"/>
        <scheme val="minor"/>
      </rPr>
      <t xml:space="preserve"> (mW) C</t>
    </r>
  </si>
  <si>
    <r>
      <t>P</t>
    </r>
    <r>
      <rPr>
        <vertAlign val="subscript"/>
        <sz val="11"/>
        <color theme="1"/>
        <rFont val="Calibri"/>
        <family val="2"/>
        <scheme val="minor"/>
      </rPr>
      <t>con_top</t>
    </r>
    <r>
      <rPr>
        <sz val="11"/>
        <color theme="1"/>
        <rFont val="Calibri"/>
        <family val="2"/>
        <scheme val="minor"/>
      </rPr>
      <t xml:space="preserve"> (mW) C</t>
    </r>
  </si>
  <si>
    <r>
      <t>P</t>
    </r>
    <r>
      <rPr>
        <vertAlign val="subscript"/>
        <sz val="11"/>
        <color theme="1"/>
        <rFont val="Calibri"/>
        <family val="2"/>
        <scheme val="minor"/>
      </rPr>
      <t>sw_top</t>
    </r>
    <r>
      <rPr>
        <sz val="11"/>
        <color theme="1"/>
        <rFont val="Calibri"/>
        <family val="2"/>
        <scheme val="minor"/>
      </rPr>
      <t xml:space="preserve"> (mW) C</t>
    </r>
  </si>
  <si>
    <r>
      <t>P</t>
    </r>
    <r>
      <rPr>
        <vertAlign val="subscript"/>
        <sz val="11"/>
        <color theme="1"/>
        <rFont val="Calibri"/>
        <family val="2"/>
        <scheme val="minor"/>
      </rPr>
      <t>top</t>
    </r>
    <r>
      <rPr>
        <sz val="11"/>
        <color theme="1"/>
        <rFont val="Calibri"/>
        <family val="2"/>
        <scheme val="minor"/>
      </rPr>
      <t xml:space="preserve"> (mW) C</t>
    </r>
  </si>
  <si>
    <r>
      <t>P</t>
    </r>
    <r>
      <rPr>
        <vertAlign val="subscript"/>
        <sz val="11"/>
        <color theme="1"/>
        <rFont val="Calibri"/>
        <family val="2"/>
        <scheme val="minor"/>
      </rPr>
      <t>con_bottom</t>
    </r>
    <r>
      <rPr>
        <sz val="11"/>
        <color theme="1"/>
        <rFont val="Calibri"/>
        <family val="2"/>
        <scheme val="minor"/>
      </rPr>
      <t xml:space="preserve"> (mW) C</t>
    </r>
  </si>
  <si>
    <r>
      <t>P</t>
    </r>
    <r>
      <rPr>
        <vertAlign val="subscript"/>
        <sz val="11"/>
        <color theme="1"/>
        <rFont val="Calibri"/>
        <family val="2"/>
        <scheme val="minor"/>
      </rPr>
      <t>sw_bottom</t>
    </r>
    <r>
      <rPr>
        <sz val="11"/>
        <color theme="1"/>
        <rFont val="Calibri"/>
        <family val="2"/>
        <scheme val="minor"/>
      </rPr>
      <t xml:space="preserve"> (mV) C</t>
    </r>
  </si>
  <si>
    <r>
      <t>P</t>
    </r>
    <r>
      <rPr>
        <vertAlign val="subscript"/>
        <sz val="11"/>
        <color theme="1"/>
        <rFont val="Calibri"/>
        <family val="2"/>
        <scheme val="minor"/>
      </rPr>
      <t>bottom</t>
    </r>
    <r>
      <rPr>
        <sz val="11"/>
        <color theme="1"/>
        <rFont val="Calibri"/>
        <family val="2"/>
        <scheme val="minor"/>
      </rPr>
      <t xml:space="preserve"> (mW) C</t>
    </r>
  </si>
  <si>
    <t>R_AC (mW)</t>
  </si>
  <si>
    <t>Inductor Loss (mW)</t>
  </si>
  <si>
    <t>R_SR (mW)</t>
  </si>
  <si>
    <t>Sense and Inductor Loss</t>
  </si>
  <si>
    <t>Total Power Loss (W)</t>
  </si>
  <si>
    <r>
      <t>P</t>
    </r>
    <r>
      <rPr>
        <vertAlign val="subscript"/>
        <sz val="11"/>
        <color theme="1"/>
        <rFont val="Calibri"/>
        <family val="2"/>
        <scheme val="minor"/>
      </rPr>
      <t>OUT</t>
    </r>
    <r>
      <rPr>
        <sz val="11"/>
        <color theme="1"/>
        <rFont val="Calibri"/>
        <family val="2"/>
        <scheme val="minor"/>
      </rPr>
      <t xml:space="preserve"> (W)</t>
    </r>
  </si>
  <si>
    <r>
      <t>I</t>
    </r>
    <r>
      <rPr>
        <vertAlign val="subscript"/>
        <sz val="11"/>
        <color theme="1"/>
        <rFont val="Arial"/>
        <family val="2"/>
      </rPr>
      <t>OUT</t>
    </r>
    <r>
      <rPr>
        <sz val="11"/>
        <color theme="1"/>
        <rFont val="Arial"/>
        <family val="2"/>
      </rPr>
      <t xml:space="preserve"> (A)</t>
    </r>
  </si>
  <si>
    <t>TI MOSFET Efficiency</t>
  </si>
  <si>
    <t>Column52</t>
  </si>
  <si>
    <t>Total Sense Loss C</t>
  </si>
  <si>
    <t>Total MOSFET Loss C</t>
  </si>
  <si>
    <t>Total Power Loss (W) C</t>
  </si>
  <si>
    <t>Efficiency C</t>
  </si>
  <si>
    <t>Total (mW) C</t>
  </si>
  <si>
    <t>Total Sense Loss P1</t>
  </si>
  <si>
    <t>Total MOSFET Loss P1</t>
  </si>
  <si>
    <t>Efficiency P1</t>
  </si>
  <si>
    <t>Efficiency P2</t>
  </si>
  <si>
    <t>Custom MOSFET Efficiency</t>
  </si>
  <si>
    <t>Plot 1</t>
  </si>
  <si>
    <t>Total Sense Loss P2</t>
  </si>
  <si>
    <t>Total MOSFET Loss P2</t>
  </si>
  <si>
    <t>Plot 2</t>
  </si>
  <si>
    <t>Total Sense Loss P1 Saved</t>
  </si>
  <si>
    <t>Total MOSFET Loss P1 Saved</t>
  </si>
  <si>
    <t>Efficiency P1 Saved</t>
  </si>
  <si>
    <t>Total Sense Loss P2 Saved</t>
  </si>
  <si>
    <t>Total MOSFET Loss P2 Saved</t>
  </si>
  <si>
    <t>Efficiency P2 Saved</t>
  </si>
  <si>
    <t>Saved Plot 1</t>
  </si>
  <si>
    <t>Saved Plot 2</t>
  </si>
  <si>
    <r>
      <t>Selected Gate Drive Voltage, V</t>
    </r>
    <r>
      <rPr>
        <b/>
        <vertAlign val="subscript"/>
        <sz val="10"/>
        <color theme="1"/>
        <rFont val="Arial"/>
        <family val="2"/>
      </rPr>
      <t>gs</t>
    </r>
  </si>
  <si>
    <t>Maximum Recommended Inductor DCR</t>
  </si>
  <si>
    <t>Minimum Recommended Inductor DCR</t>
  </si>
  <si>
    <r>
      <t>Recommended Target Feedback Voltage, V</t>
    </r>
    <r>
      <rPr>
        <vertAlign val="subscript"/>
        <sz val="10"/>
        <color theme="1"/>
        <rFont val="Arial"/>
        <family val="2"/>
      </rPr>
      <t>FB</t>
    </r>
  </si>
  <si>
    <r>
      <t>Output Capacitance, C</t>
    </r>
    <r>
      <rPr>
        <b/>
        <vertAlign val="subscript"/>
        <sz val="10"/>
        <color theme="1"/>
        <rFont val="Arial"/>
        <family val="2"/>
      </rPr>
      <t>OUT</t>
    </r>
  </si>
  <si>
    <r>
      <t>Minimum Output Capacitance, C</t>
    </r>
    <r>
      <rPr>
        <vertAlign val="subscript"/>
        <sz val="10"/>
        <color theme="1"/>
        <rFont val="Arial"/>
        <family val="2"/>
      </rPr>
      <t>OUT</t>
    </r>
  </si>
  <si>
    <r>
      <t>Output Capacitor RMS Ripple Current, I</t>
    </r>
    <r>
      <rPr>
        <vertAlign val="subscript"/>
        <sz val="10"/>
        <color theme="1"/>
        <rFont val="Arial"/>
        <family val="2"/>
      </rPr>
      <t>CBAT</t>
    </r>
  </si>
  <si>
    <t>mV</t>
  </si>
  <si>
    <r>
      <t>Output Capacitive Ripple Voltage, V</t>
    </r>
    <r>
      <rPr>
        <vertAlign val="subscript"/>
        <sz val="10"/>
        <color theme="1"/>
        <rFont val="Arial"/>
        <family val="2"/>
      </rPr>
      <t>RIPPLE(CBAT)</t>
    </r>
  </si>
  <si>
    <r>
      <t>Output ESR Voltage Ripple, V</t>
    </r>
    <r>
      <rPr>
        <vertAlign val="subscript"/>
        <sz val="10"/>
        <color theme="1"/>
        <rFont val="Arial"/>
        <family val="2"/>
      </rPr>
      <t>RIPPLE(ESR)</t>
    </r>
  </si>
  <si>
    <r>
      <t>Input Capacitance, C</t>
    </r>
    <r>
      <rPr>
        <b/>
        <vertAlign val="subscript"/>
        <sz val="10"/>
        <color theme="1"/>
        <rFont val="Arial"/>
        <family val="2"/>
      </rPr>
      <t>OUT</t>
    </r>
  </si>
  <si>
    <t>Input Capacitor ESR</t>
  </si>
  <si>
    <r>
      <t>Input Capacitor RMS Ripple Current, I</t>
    </r>
    <r>
      <rPr>
        <vertAlign val="subscript"/>
        <sz val="10"/>
        <color theme="1"/>
        <rFont val="Arial"/>
        <family val="2"/>
      </rPr>
      <t>CBAT</t>
    </r>
  </si>
  <si>
    <t>Step 9: Input Capacitor</t>
  </si>
  <si>
    <t>Step 10: Output Capacitor</t>
  </si>
  <si>
    <r>
      <t>Output Charge, Q</t>
    </r>
    <r>
      <rPr>
        <b/>
        <vertAlign val="subscript"/>
        <sz val="10"/>
        <color theme="1"/>
        <rFont val="Arial"/>
        <family val="2"/>
      </rPr>
      <t>OSS</t>
    </r>
  </si>
  <si>
    <t>Show TI MOSFET Recommendation</t>
  </si>
  <si>
    <t>No</t>
  </si>
  <si>
    <t>TI Recommended MOSFET</t>
  </si>
  <si>
    <t>Yes</t>
  </si>
  <si>
    <t>Save Button</t>
  </si>
  <si>
    <t>Ideal TS Top Resistor, RT1</t>
  </si>
  <si>
    <t>Ideal TS Bottom Resistor, RT2</t>
  </si>
  <si>
    <t>Thermistor Qualification</t>
  </si>
  <si>
    <t>0.1% Real RT Resistors</t>
  </si>
  <si>
    <t>Min</t>
  </si>
  <si>
    <t>Typ</t>
  </si>
  <si>
    <t>Max</t>
  </si>
  <si>
    <t>Unit</t>
  </si>
  <si>
    <r>
      <t>Selected Cold Temperature Threshold, T</t>
    </r>
    <r>
      <rPr>
        <b/>
        <vertAlign val="subscript"/>
        <sz val="10"/>
        <color theme="1"/>
        <rFont val="Arial"/>
        <family val="2"/>
      </rPr>
      <t>1</t>
    </r>
  </si>
  <si>
    <r>
      <t>Selected Hot Temperature Threshold, T</t>
    </r>
    <r>
      <rPr>
        <b/>
        <vertAlign val="subscript"/>
        <sz val="10"/>
        <color theme="1"/>
        <rFont val="Arial"/>
        <family val="2"/>
      </rPr>
      <t>5</t>
    </r>
  </si>
  <si>
    <r>
      <t>Selected Warm Temperature Threshold, T</t>
    </r>
    <r>
      <rPr>
        <b/>
        <vertAlign val="subscript"/>
        <sz val="10"/>
        <color theme="1"/>
        <rFont val="Arial"/>
        <family val="2"/>
      </rPr>
      <t>3</t>
    </r>
  </si>
  <si>
    <r>
      <t>Selected Cool Temperature Threshold, T</t>
    </r>
    <r>
      <rPr>
        <b/>
        <vertAlign val="subscript"/>
        <sz val="10"/>
        <color theme="1"/>
        <rFont val="Arial"/>
        <family val="2"/>
      </rPr>
      <t>2</t>
    </r>
  </si>
  <si>
    <t>Enter COLD, VT1_RISE</t>
  </si>
  <si>
    <t>Exit COLD, VT1_FALL</t>
  </si>
  <si>
    <t>Enter COOL, VT2_RISE</t>
  </si>
  <si>
    <t>EXIT COOL, VT2_FALL</t>
  </si>
  <si>
    <t>Enter WARM, VT3_RISE</t>
  </si>
  <si>
    <t>EXIT WARM, VT3_FALL</t>
  </si>
  <si>
    <t>Enter HOT, VT5_RISE</t>
  </si>
  <si>
    <t>EXIT HOT, VT5_FALL</t>
  </si>
  <si>
    <t>Thermistor Resistance Profile</t>
  </si>
  <si>
    <r>
      <t>V</t>
    </r>
    <r>
      <rPr>
        <vertAlign val="subscript"/>
        <sz val="11"/>
        <color theme="1"/>
        <rFont val="Calibri"/>
        <family val="2"/>
        <scheme val="minor"/>
      </rPr>
      <t>min</t>
    </r>
    <r>
      <rPr>
        <sz val="11"/>
        <color theme="1"/>
        <rFont val="Calibri"/>
        <family val="2"/>
        <scheme val="minor"/>
      </rPr>
      <t xml:space="preserve"> (%)</t>
    </r>
  </si>
  <si>
    <r>
      <t>R</t>
    </r>
    <r>
      <rPr>
        <vertAlign val="subscript"/>
        <sz val="11"/>
        <color theme="1"/>
        <rFont val="Calibri"/>
        <family val="2"/>
        <scheme val="minor"/>
      </rPr>
      <t>Lower(min)</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</si>
  <si>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Lower(nom)</t>
    </r>
    <r>
      <rPr>
        <sz val="11"/>
        <color theme="1"/>
        <rFont val="Calibri"/>
        <family val="2"/>
        <scheme val="minor"/>
      </rPr>
      <t xml:space="preserve"> (k</t>
    </r>
    <r>
      <rPr>
        <sz val="11"/>
        <color theme="1"/>
        <rFont val="Calibri"/>
        <family val="2"/>
      </rPr>
      <t>Ω)</t>
    </r>
  </si>
  <si>
    <r>
      <t>R</t>
    </r>
    <r>
      <rPr>
        <vertAlign val="subscript"/>
        <sz val="11"/>
        <color theme="1"/>
        <rFont val="Calibri"/>
        <family val="2"/>
        <scheme val="minor"/>
      </rPr>
      <t>Lower(max)</t>
    </r>
    <r>
      <rPr>
        <sz val="11"/>
        <color theme="1"/>
        <rFont val="Calibri"/>
        <family val="2"/>
        <scheme val="minor"/>
      </rPr>
      <t xml:space="preserve"> (k</t>
    </r>
    <r>
      <rPr>
        <sz val="11"/>
        <color theme="1"/>
        <rFont val="Calibri"/>
        <family val="2"/>
      </rPr>
      <t>Ω)</t>
    </r>
  </si>
  <si>
    <r>
      <t>V</t>
    </r>
    <r>
      <rPr>
        <vertAlign val="subscript"/>
        <sz val="11"/>
        <color theme="1"/>
        <rFont val="Calibri"/>
        <family val="2"/>
        <scheme val="minor"/>
      </rPr>
      <t>nom</t>
    </r>
    <r>
      <rPr>
        <sz val="11"/>
        <color theme="1"/>
        <rFont val="Calibri"/>
        <family val="2"/>
        <scheme val="minor"/>
      </rPr>
      <t xml:space="preserve"> (%)</t>
    </r>
  </si>
  <si>
    <r>
      <t>V</t>
    </r>
    <r>
      <rPr>
        <vertAlign val="subscript"/>
        <sz val="11"/>
        <color theme="1"/>
        <rFont val="Calibri"/>
        <family val="2"/>
        <scheme val="minor"/>
      </rPr>
      <t>max</t>
    </r>
    <r>
      <rPr>
        <sz val="11"/>
        <color theme="1"/>
        <rFont val="Calibri"/>
        <family val="2"/>
        <scheme val="minor"/>
      </rPr>
      <t xml:space="preserve"> (%)</t>
    </r>
  </si>
  <si>
    <t>Charging Code</t>
  </si>
  <si>
    <t>Hysteresis</t>
  </si>
  <si>
    <t>Charging Region</t>
  </si>
  <si>
    <r>
      <t>RTH</t>
    </r>
    <r>
      <rPr>
        <vertAlign val="subscript"/>
        <sz val="11"/>
        <color theme="1"/>
        <rFont val="Calibri"/>
        <family val="2"/>
        <scheme val="minor"/>
      </rPr>
      <t>(min)</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</si>
  <si>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(nom)</t>
    </r>
    <r>
      <rPr>
        <sz val="11"/>
        <color theme="1"/>
        <rFont val="Calibri"/>
        <family val="2"/>
        <scheme val="minor"/>
      </rPr>
      <t xml:space="preserve"> (k</t>
    </r>
    <r>
      <rPr>
        <sz val="11"/>
        <color theme="1"/>
        <rFont val="Calibri"/>
        <family val="2"/>
      </rPr>
      <t>Ω)</t>
    </r>
  </si>
  <si>
    <r>
      <t>RTH</t>
    </r>
    <r>
      <rPr>
        <vertAlign val="subscript"/>
        <sz val="11"/>
        <color theme="1"/>
        <rFont val="Calibri"/>
        <family val="2"/>
        <scheme val="minor"/>
      </rPr>
      <t>(max)</t>
    </r>
    <r>
      <rPr>
        <sz val="11"/>
        <color theme="1"/>
        <rFont val="Calibri"/>
        <family val="2"/>
        <scheme val="minor"/>
      </rPr>
      <t xml:space="preserve"> (k</t>
    </r>
    <r>
      <rPr>
        <sz val="11"/>
        <color theme="1"/>
        <rFont val="Calibri"/>
        <family val="2"/>
      </rPr>
      <t>Ω)</t>
    </r>
  </si>
  <si>
    <t>Temperature</t>
  </si>
  <si>
    <t>Enter Cold</t>
  </si>
  <si>
    <t>°C</t>
  </si>
  <si>
    <t>Exit Cold</t>
  </si>
  <si>
    <t>Enter Cool</t>
  </si>
  <si>
    <t>Exit Cool</t>
  </si>
  <si>
    <t>Exit Warm</t>
  </si>
  <si>
    <t>Enter Warm</t>
  </si>
  <si>
    <t>Exit Hot</t>
  </si>
  <si>
    <t>Enter Hot</t>
  </si>
  <si>
    <t>Target (MIN)</t>
  </si>
  <si>
    <t>1st VLOOK MIN</t>
  </si>
  <si>
    <t>2nd VLOOK MIN</t>
  </si>
  <si>
    <t>1st Diff</t>
  </si>
  <si>
    <t>2nd Diff</t>
  </si>
  <si>
    <t>Closest VLOOK MIN</t>
  </si>
  <si>
    <t>MIN Temp</t>
  </si>
  <si>
    <t>Target (Typ)</t>
  </si>
  <si>
    <t>1st VLOOK TYP</t>
  </si>
  <si>
    <t>2nd VLOOK TYP</t>
  </si>
  <si>
    <t>1st Diff Typ</t>
  </si>
  <si>
    <t>2nd Diff TYP</t>
  </si>
  <si>
    <t>Closest VLOOK TYP</t>
  </si>
  <si>
    <t>TYP Temp</t>
  </si>
  <si>
    <t>Target (MAX)</t>
  </si>
  <si>
    <t>1st VLOOK MAX</t>
  </si>
  <si>
    <t>2nd VLOOK MAX</t>
  </si>
  <si>
    <t>1st Diff MAX</t>
  </si>
  <si>
    <t>2nd Diff MAX</t>
  </si>
  <si>
    <t>Closest VLOOK MAX</t>
  </si>
  <si>
    <t>MAX Temp</t>
  </si>
  <si>
    <r>
      <t>Thermistor Cold Resistance, RTH</t>
    </r>
    <r>
      <rPr>
        <b/>
        <vertAlign val="subscript"/>
        <sz val="10"/>
        <color theme="1"/>
        <rFont val="Arial"/>
        <family val="2"/>
      </rPr>
      <t>COLD</t>
    </r>
  </si>
  <si>
    <r>
      <t>Thermistor Hot Resistance, RTH</t>
    </r>
    <r>
      <rPr>
        <b/>
        <vertAlign val="subscript"/>
        <sz val="10"/>
        <color theme="1"/>
        <rFont val="Arial"/>
        <family val="2"/>
      </rPr>
      <t>HOT</t>
    </r>
  </si>
  <si>
    <t>SiR680LDP</t>
  </si>
  <si>
    <t>Boost Duty Cycle Limitation</t>
  </si>
  <si>
    <r>
      <rPr>
        <sz val="11"/>
        <color theme="1"/>
        <rFont val="Calibri"/>
        <family val="2"/>
      </rPr>
      <t>°</t>
    </r>
    <r>
      <rPr>
        <sz val="11"/>
        <color theme="1"/>
        <rFont val="Arial"/>
        <family val="2"/>
      </rPr>
      <t>C</t>
    </r>
  </si>
  <si>
    <t>Recommended Real TS Top Resistor, RT1</t>
  </si>
  <si>
    <t>Recommended Real TS Bottom Resistor, RT2</t>
  </si>
  <si>
    <t>RISE min</t>
  </si>
  <si>
    <t>RISE typ</t>
  </si>
  <si>
    <t>RISE max</t>
  </si>
  <si>
    <t>FALL min</t>
  </si>
  <si>
    <t>FALL typ</t>
  </si>
  <si>
    <t>FALL max</t>
  </si>
  <si>
    <t>Temp</t>
  </si>
  <si>
    <r>
      <t>Desired Cold Temperature Threshold, T</t>
    </r>
    <r>
      <rPr>
        <b/>
        <vertAlign val="subscript"/>
        <sz val="10"/>
        <color theme="1"/>
        <rFont val="Arial"/>
        <family val="2"/>
      </rPr>
      <t>COLD</t>
    </r>
  </si>
  <si>
    <r>
      <t>Desired Hot Temperature Threshold, T</t>
    </r>
    <r>
      <rPr>
        <b/>
        <vertAlign val="subscript"/>
        <sz val="10"/>
        <color theme="1"/>
        <rFont val="Arial"/>
        <family val="2"/>
      </rPr>
      <t>HOT</t>
    </r>
  </si>
  <si>
    <t>Custom Power MOSFETs</t>
  </si>
  <si>
    <t>Step 12: Efficiency Calculation Configuration</t>
  </si>
  <si>
    <t>Selected Inductance, L</t>
  </si>
  <si>
    <r>
      <t>Recommended Feedback Top Resistor, R</t>
    </r>
    <r>
      <rPr>
        <vertAlign val="subscript"/>
        <sz val="10"/>
        <color theme="1"/>
        <rFont val="Arial"/>
        <family val="2"/>
      </rPr>
      <t>FB_TOP</t>
    </r>
  </si>
  <si>
    <r>
      <t>Recommended Feedback Bottom Resistor, R</t>
    </r>
    <r>
      <rPr>
        <vertAlign val="subscript"/>
        <sz val="10"/>
        <color theme="1"/>
        <rFont val="Arial"/>
        <family val="2"/>
      </rPr>
      <t>FB_BOT</t>
    </r>
  </si>
  <si>
    <t>Recommended Ideal TS Top Resistor, RT1</t>
  </si>
  <si>
    <t>Recommended Ideal TS Bottom Resistor, RT2</t>
  </si>
  <si>
    <t>Tolerance (%)</t>
  </si>
  <si>
    <t>BQ25756 Buck-Boost Battery Charger Design Calculator</t>
  </si>
  <si>
    <t xml:space="preserve">BQ25756 Buck-Boost Battery Charger Design Calculator </t>
  </si>
  <si>
    <t>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</si>
</sst>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54" x14ac:knownFonts="1">
    <font>
      <sz val="11"/>
      <color theme="1"/>
      <name val="Calibri"/>
      <family val="2"/>
      <scheme val="minor"/>
    </font>
    <font>
      <b/>
      <sz val="11"/>
      <color rgb="FF0000FF"/>
      <name val="Arial"/>
      <family val="2"/>
    </font>
    <font>
      <sz val="11"/>
      <color theme="1"/>
      <name val="Arial"/>
      <family val="2"/>
    </font>
    <font>
      <b/>
      <sz val="11"/>
      <color theme="1"/>
      <name val="Arial"/>
      <family val="2"/>
    </font>
    <font>
      <b/>
      <sz val="10"/>
      <color theme="1"/>
      <name val="Arial"/>
      <family val="2"/>
    </font>
    <font>
      <b/>
      <vertAlign val="subscript"/>
      <sz val="10"/>
      <color theme="1"/>
      <name val="Arial"/>
      <family val="2"/>
    </font>
    <font>
      <sz val="10"/>
      <color theme="1"/>
      <name val="Arial"/>
      <family val="2"/>
    </font>
    <font>
      <vertAlign val="subscript"/>
      <sz val="10"/>
      <color theme="1"/>
      <name val="Arial"/>
      <family val="2"/>
    </font>
    <font>
      <sz val="10"/>
      <color theme="1"/>
      <name val="Calibri"/>
      <family val="2"/>
    </font>
    <font>
      <sz val="10"/>
      <color theme="1"/>
      <name val="Calibri"/>
      <family val="2"/>
      <scheme val="minor"/>
    </font>
    <font>
      <b/>
      <sz val="10"/>
      <color rgb="FF0000FF"/>
      <name val="Arial"/>
      <family val="2"/>
    </font>
    <font>
      <b/>
      <sz val="18"/>
      <color theme="0"/>
      <name val="Arial"/>
      <family val="2"/>
    </font>
    <font>
      <b/>
      <sz val="20"/>
      <color rgb="FFFFFFFF"/>
      <name val="Calibri"/>
      <family val="2"/>
      <scheme val="minor"/>
    </font>
    <font>
      <b/>
      <vertAlign val="subscript"/>
      <sz val="10"/>
      <color rgb="FF0000FF"/>
      <name val="Arial"/>
      <family val="2"/>
    </font>
    <font>
      <b/>
      <u/>
      <sz val="10"/>
      <color rgb="FF0000FF"/>
      <name val="Arial"/>
      <family val="2"/>
    </font>
    <font>
      <b/>
      <sz val="10"/>
      <color rgb="FFFF0000"/>
      <name val="Arial"/>
      <family val="2"/>
    </font>
    <font>
      <b/>
      <sz val="10"/>
      <color theme="1"/>
      <name val="Calibri"/>
      <family val="2"/>
    </font>
    <font>
      <b/>
      <sz val="10"/>
      <name val="Arial"/>
      <family val="2"/>
    </font>
    <font>
      <b/>
      <sz val="9"/>
      <color indexed="81"/>
      <name val="Tahoma"/>
      <family val="2"/>
    </font>
    <font>
      <sz val="9"/>
      <color indexed="81"/>
      <name val="Tahoma"/>
      <family val="2"/>
    </font>
    <font>
      <b/>
      <u/>
      <sz val="9"/>
      <color indexed="81"/>
      <name val="Tahoma"/>
      <family val="2"/>
    </font>
    <font>
      <vertAlign val="subscript"/>
      <sz val="9"/>
      <color indexed="81"/>
      <name val="Tahoma"/>
      <family val="2"/>
    </font>
    <font>
      <sz val="10"/>
      <name val="Arial"/>
      <family val="2"/>
    </font>
    <font>
      <sz val="10"/>
      <color rgb="FF00B050"/>
      <name val="Arial"/>
      <family val="2"/>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Arial"/>
      <family val="2"/>
    </font>
    <font>
      <vertAlign val="subscript"/>
      <sz val="11"/>
      <color theme="1"/>
      <name val="Calibri"/>
      <family val="2"/>
      <scheme val="minor"/>
    </font>
    <font>
      <b/>
      <sz val="11"/>
      <color theme="1"/>
      <name val="Calibri"/>
      <family val="2"/>
    </font>
    <font>
      <u/>
      <sz val="9"/>
      <color indexed="81"/>
      <name val="Tahoma"/>
      <family val="2"/>
    </font>
    <font>
      <sz val="11"/>
      <color rgb="FFFF0000"/>
      <name val="Calibri"/>
      <family val="2"/>
      <scheme val="minor"/>
    </font>
    <font>
      <sz val="11"/>
      <color rgb="FFFF0000"/>
      <name val="Arial"/>
      <family val="2"/>
    </font>
    <font>
      <sz val="11"/>
      <color theme="1" tint="0.14999847407452621"/>
      <name val="Calibri"/>
      <family val="2"/>
      <scheme val="minor"/>
    </font>
    <font>
      <b/>
      <vertAlign val="subscript"/>
      <sz val="9"/>
      <color indexed="81"/>
      <name val="Tahoma"/>
      <family val="2"/>
    </font>
    <font>
      <vertAlign val="subscript"/>
      <sz val="10"/>
      <color theme="1"/>
      <name val="Calibri"/>
      <family val="2"/>
    </font>
    <font>
      <sz val="11"/>
      <color theme="1"/>
      <name val="Calibri"/>
      <family val="2"/>
    </font>
    <font>
      <b/>
      <u/>
      <vertAlign val="subscript"/>
      <sz val="9"/>
      <color indexed="81"/>
      <name val="Tahoma"/>
      <family val="2"/>
    </font>
    <font>
      <sz val="11"/>
      <color theme="0"/>
      <name val="Calibri"/>
      <family val="2"/>
      <scheme val="minor"/>
    </font>
    <font>
      <b/>
      <sz val="16"/>
      <color theme="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b/>
      <sz val="10"/>
      <color theme="1"/>
      <name val="Calibri"/>
      <family val="2"/>
      <scheme val="minor"/>
    </font>
    <font>
      <b/>
      <sz val="12"/>
      <name val="Calibri"/>
      <family val="2"/>
      <scheme val="minor"/>
    </font>
    <font>
      <sz val="11"/>
      <color rgb="FF006100"/>
      <name val="Calibri"/>
      <family val="2"/>
      <scheme val="minor"/>
    </font>
    <font>
      <sz val="10"/>
      <color rgb="FFFF0000"/>
      <name val="Arial"/>
      <family val="2"/>
    </font>
    <font>
      <b/>
      <sz val="9"/>
      <color rgb="FF000000"/>
      <name val="Tahoma"/>
      <family val="2"/>
    </font>
    <font>
      <sz val="9"/>
      <color rgb="FF000000"/>
      <name val="Tahoma"/>
      <family val="2"/>
    </font>
    <font>
      <b/>
      <u/>
      <sz val="9"/>
      <color rgb="FF000000"/>
      <name val="Tahoma"/>
      <family val="2"/>
    </font>
    <font>
      <b/>
      <u/>
      <vertAlign val="subscript"/>
      <sz val="9"/>
      <color rgb="FF000000"/>
      <name val="Tahoma"/>
      <family val="2"/>
    </font>
    <font>
      <vertAlign val="subscript"/>
      <sz val="9"/>
      <color rgb="FF000000"/>
      <name val="Tahoma"/>
      <family val="2"/>
    </font>
    <font>
      <b/>
      <vertAlign val="subscript"/>
      <sz val="9"/>
      <color rgb="FF000000"/>
      <name val="Tahoma"/>
      <family val="2"/>
    </font>
    <font>
      <u/>
      <sz val="9"/>
      <color rgb="FF000000"/>
      <name val="Tahoma"/>
      <family val="2"/>
    </font>
  </fonts>
  <fills count="1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1" tint="0.14996795556505021"/>
        <bgColor indexed="64"/>
      </patternFill>
    </fill>
    <fill>
      <patternFill patternType="solid">
        <fgColor rgb="FFFFFF00"/>
        <bgColor indexed="64"/>
      </patternFill>
    </fill>
    <fill>
      <patternFill patternType="solid">
        <fgColor rgb="FF00206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theme="8" tint="0.59999389629810485"/>
        <bgColor indexed="64"/>
      </patternFill>
    </fill>
    <fill>
      <patternFill patternType="solid">
        <fgColor rgb="FF0070C0"/>
        <bgColor indexed="64"/>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4" fillId="0" borderId="0" applyFont="0" applyFill="0" applyBorder="0" applyAlignment="0" applyProtection="0"/>
    <xf numFmtId="0" fontId="22" fillId="0" borderId="0"/>
    <xf numFmtId="0" fontId="45" fillId="13" borderId="0" applyNumberFormat="0" applyBorder="0" applyAlignment="0" applyProtection="0"/>
  </cellStyleXfs>
  <cellXfs count="238">
    <xf numFmtId="0" fontId="0" fillId="0" borderId="0" xfId="0"/>
    <xf numFmtId="164" fontId="17" fillId="6" borderId="0" xfId="0" applyNumberFormat="1" applyFont="1" applyFill="1" applyProtection="1">
      <protection locked="0"/>
    </xf>
    <xf numFmtId="0" fontId="17" fillId="6" borderId="0" xfId="0" applyFont="1" applyFill="1" applyProtection="1">
      <protection locked="0"/>
    </xf>
    <xf numFmtId="0" fontId="17" fillId="6" borderId="7" xfId="0" applyFont="1" applyFill="1" applyBorder="1" applyProtection="1">
      <protection locked="0"/>
    </xf>
    <xf numFmtId="0" fontId="17" fillId="8" borderId="3" xfId="0" applyFont="1" applyFill="1" applyBorder="1" applyAlignment="1">
      <alignment vertical="center"/>
    </xf>
    <xf numFmtId="0" fontId="17" fillId="8" borderId="5" xfId="0" applyFont="1" applyFill="1" applyBorder="1" applyAlignment="1">
      <alignment horizontal="left" vertical="center"/>
    </xf>
    <xf numFmtId="0" fontId="17" fillId="6" borderId="2" xfId="0" applyFont="1" applyFill="1" applyBorder="1" applyAlignment="1" applyProtection="1">
      <alignment vertical="center"/>
      <protection locked="0"/>
    </xf>
    <xf numFmtId="0" fontId="17" fillId="6" borderId="0" xfId="0" applyFont="1" applyFill="1" applyAlignment="1" applyProtection="1">
      <alignment vertical="center"/>
      <protection locked="0"/>
    </xf>
    <xf numFmtId="0" fontId="17" fillId="8" borderId="5" xfId="0" applyFont="1" applyFill="1" applyBorder="1" applyAlignment="1">
      <alignment vertical="center"/>
    </xf>
    <xf numFmtId="0" fontId="17" fillId="8" borderId="5" xfId="0" applyFont="1" applyFill="1" applyBorder="1"/>
    <xf numFmtId="0" fontId="22" fillId="8" borderId="5" xfId="0" applyFont="1" applyFill="1" applyBorder="1"/>
    <xf numFmtId="0" fontId="22" fillId="8" borderId="8" xfId="0" applyFont="1" applyFill="1" applyBorder="1"/>
    <xf numFmtId="0" fontId="22" fillId="8" borderId="3" xfId="0" applyFont="1" applyFill="1" applyBorder="1"/>
    <xf numFmtId="0" fontId="2" fillId="4" borderId="0" xfId="0" applyFont="1" applyFill="1" applyProtection="1">
      <protection hidden="1"/>
    </xf>
    <xf numFmtId="0" fontId="0" fillId="2" borderId="9" xfId="0" applyFill="1" applyBorder="1" applyProtection="1">
      <protection hidden="1"/>
    </xf>
    <xf numFmtId="0" fontId="0" fillId="2" borderId="10" xfId="0" applyFill="1" applyBorder="1" applyProtection="1">
      <protection hidden="1"/>
    </xf>
    <xf numFmtId="0" fontId="12" fillId="2" borderId="10" xfId="0" applyFont="1" applyFill="1" applyBorder="1" applyAlignment="1" applyProtection="1">
      <alignment horizontal="left" vertical="center"/>
      <protection hidden="1"/>
    </xf>
    <xf numFmtId="0" fontId="0" fillId="2" borderId="11" xfId="0" applyFill="1" applyBorder="1" applyProtection="1">
      <protection hidden="1"/>
    </xf>
    <xf numFmtId="0" fontId="0" fillId="3" borderId="0" xfId="0" applyFill="1" applyProtection="1">
      <protection hidden="1"/>
    </xf>
    <xf numFmtId="0" fontId="0" fillId="5" borderId="0" xfId="0" applyFill="1" applyProtection="1">
      <protection hidden="1"/>
    </xf>
    <xf numFmtId="0" fontId="0" fillId="0" borderId="0" xfId="0" applyProtection="1">
      <protection hidden="1"/>
    </xf>
    <xf numFmtId="0" fontId="25" fillId="3" borderId="0" xfId="0" applyFont="1" applyFill="1" applyProtection="1">
      <protection hidden="1"/>
    </xf>
    <xf numFmtId="0" fontId="1" fillId="4" borderId="1" xfId="0" applyFont="1" applyFill="1" applyBorder="1" applyProtection="1">
      <protection hidden="1"/>
    </xf>
    <xf numFmtId="0" fontId="2" fillId="4" borderId="2" xfId="0" applyFont="1" applyFill="1" applyBorder="1" applyProtection="1">
      <protection hidden="1"/>
    </xf>
    <xf numFmtId="0" fontId="2" fillId="0" borderId="2" xfId="0" applyFont="1" applyBorder="1" applyProtection="1">
      <protection hidden="1"/>
    </xf>
    <xf numFmtId="0" fontId="0" fillId="4" borderId="2" xfId="0" applyFill="1" applyBorder="1" applyProtection="1">
      <protection hidden="1"/>
    </xf>
    <xf numFmtId="0" fontId="0" fillId="4" borderId="3" xfId="0" applyFill="1" applyBorder="1" applyProtection="1">
      <protection hidden="1"/>
    </xf>
    <xf numFmtId="0" fontId="2" fillId="4" borderId="1" xfId="0" applyFont="1" applyFill="1" applyBorder="1" applyProtection="1">
      <protection hidden="1"/>
    </xf>
    <xf numFmtId="0" fontId="4" fillId="4" borderId="2" xfId="0" applyFont="1" applyFill="1" applyBorder="1" applyAlignment="1" applyProtection="1">
      <alignment horizontal="right"/>
      <protection hidden="1"/>
    </xf>
    <xf numFmtId="0" fontId="0" fillId="4" borderId="0" xfId="0" applyFill="1" applyProtection="1">
      <protection hidden="1"/>
    </xf>
    <xf numFmtId="0" fontId="0" fillId="4" borderId="5" xfId="0" applyFill="1" applyBorder="1" applyProtection="1">
      <protection hidden="1"/>
    </xf>
    <xf numFmtId="0" fontId="2" fillId="4" borderId="4" xfId="0" applyFont="1" applyFill="1" applyBorder="1" applyProtection="1">
      <protection hidden="1"/>
    </xf>
    <xf numFmtId="0" fontId="4" fillId="4" borderId="0" xfId="0" applyFont="1" applyFill="1" applyAlignment="1" applyProtection="1">
      <alignment horizontal="right"/>
      <protection hidden="1"/>
    </xf>
    <xf numFmtId="0" fontId="2" fillId="4" borderId="6" xfId="0" applyFont="1" applyFill="1" applyBorder="1" applyProtection="1">
      <protection hidden="1"/>
    </xf>
    <xf numFmtId="0" fontId="2" fillId="4" borderId="7" xfId="0" applyFont="1" applyFill="1" applyBorder="1" applyProtection="1">
      <protection hidden="1"/>
    </xf>
    <xf numFmtId="0" fontId="4" fillId="4" borderId="7" xfId="0" applyFont="1" applyFill="1" applyBorder="1" applyAlignment="1" applyProtection="1">
      <alignment horizontal="right"/>
      <protection hidden="1"/>
    </xf>
    <xf numFmtId="0" fontId="1" fillId="4" borderId="4" xfId="0" applyFont="1" applyFill="1" applyBorder="1" applyProtection="1">
      <protection hidden="1"/>
    </xf>
    <xf numFmtId="0" fontId="6" fillId="4" borderId="2" xfId="0" applyFont="1" applyFill="1" applyBorder="1" applyAlignment="1" applyProtection="1">
      <alignment horizontal="right"/>
      <protection hidden="1"/>
    </xf>
    <xf numFmtId="0" fontId="6" fillId="4" borderId="3" xfId="0" applyFont="1" applyFill="1" applyBorder="1" applyProtection="1">
      <protection hidden="1"/>
    </xf>
    <xf numFmtId="0" fontId="6" fillId="4" borderId="0" xfId="0" applyFont="1" applyFill="1" applyAlignment="1" applyProtection="1">
      <alignment horizontal="right"/>
      <protection hidden="1"/>
    </xf>
    <xf numFmtId="2" fontId="6" fillId="4" borderId="0" xfId="0" applyNumberFormat="1" applyFont="1" applyFill="1" applyAlignment="1" applyProtection="1">
      <alignment horizontal="right"/>
      <protection hidden="1"/>
    </xf>
    <xf numFmtId="2" fontId="2" fillId="4" borderId="0" xfId="0" applyNumberFormat="1" applyFont="1" applyFill="1" applyProtection="1">
      <protection hidden="1"/>
    </xf>
    <xf numFmtId="0" fontId="6" fillId="4" borderId="5" xfId="0" applyFont="1" applyFill="1" applyBorder="1" applyProtection="1">
      <protection hidden="1"/>
    </xf>
    <xf numFmtId="0" fontId="6" fillId="4" borderId="7" xfId="0" applyFont="1" applyFill="1" applyBorder="1" applyAlignment="1" applyProtection="1">
      <alignment horizontal="right"/>
      <protection hidden="1"/>
    </xf>
    <xf numFmtId="2" fontId="2" fillId="4" borderId="7" xfId="0" applyNumberFormat="1" applyFont="1" applyFill="1" applyBorder="1" applyProtection="1">
      <protection hidden="1"/>
    </xf>
    <xf numFmtId="0" fontId="6" fillId="4" borderId="8" xfId="0" applyFont="1" applyFill="1" applyBorder="1" applyProtection="1">
      <protection hidden="1"/>
    </xf>
    <xf numFmtId="0" fontId="6" fillId="4" borderId="6" xfId="0" applyFont="1" applyFill="1" applyBorder="1" applyProtection="1">
      <protection hidden="1"/>
    </xf>
    <xf numFmtId="0" fontId="6" fillId="4" borderId="7" xfId="0" applyFont="1" applyFill="1" applyBorder="1" applyProtection="1">
      <protection hidden="1"/>
    </xf>
    <xf numFmtId="0" fontId="6" fillId="4" borderId="4" xfId="0" applyFont="1" applyFill="1" applyBorder="1" applyProtection="1">
      <protection hidden="1"/>
    </xf>
    <xf numFmtId="0" fontId="6" fillId="4" borderId="0" xfId="0" applyFont="1" applyFill="1" applyProtection="1">
      <protection hidden="1"/>
    </xf>
    <xf numFmtId="0" fontId="6" fillId="4" borderId="2" xfId="0" applyFont="1" applyFill="1" applyBorder="1" applyProtection="1">
      <protection hidden="1"/>
    </xf>
    <xf numFmtId="0" fontId="2" fillId="4" borderId="0" xfId="0" applyFont="1" applyFill="1" applyAlignment="1" applyProtection="1">
      <alignment horizontal="right"/>
      <protection hidden="1"/>
    </xf>
    <xf numFmtId="0" fontId="0" fillId="4" borderId="0" xfId="0" applyFill="1" applyAlignment="1" applyProtection="1">
      <alignment horizontal="right"/>
      <protection hidden="1"/>
    </xf>
    <xf numFmtId="0" fontId="23" fillId="4" borderId="0" xfId="0" applyFont="1" applyFill="1" applyAlignment="1" applyProtection="1">
      <alignment horizontal="right"/>
      <protection hidden="1"/>
    </xf>
    <xf numFmtId="0" fontId="6" fillId="4" borderId="1" xfId="0" applyFont="1" applyFill="1" applyBorder="1" applyProtection="1">
      <protection hidden="1"/>
    </xf>
    <xf numFmtId="2" fontId="6" fillId="4" borderId="2" xfId="0" applyNumberFormat="1" applyFont="1" applyFill="1" applyBorder="1" applyAlignment="1" applyProtection="1">
      <alignment horizontal="right"/>
      <protection hidden="1"/>
    </xf>
    <xf numFmtId="0" fontId="6" fillId="7" borderId="10" xfId="0" applyFont="1" applyFill="1" applyBorder="1" applyProtection="1">
      <protection hidden="1"/>
    </xf>
    <xf numFmtId="0" fontId="2" fillId="7" borderId="10" xfId="0" applyFont="1" applyFill="1" applyBorder="1" applyProtection="1">
      <protection hidden="1"/>
    </xf>
    <xf numFmtId="0" fontId="0" fillId="7" borderId="10" xfId="0" applyFill="1" applyBorder="1" applyProtection="1">
      <protection hidden="1"/>
    </xf>
    <xf numFmtId="0" fontId="0" fillId="7" borderId="11" xfId="0" applyFill="1" applyBorder="1" applyProtection="1">
      <protection hidden="1"/>
    </xf>
    <xf numFmtId="0" fontId="33" fillId="5" borderId="0" xfId="0" applyFont="1" applyFill="1" applyProtection="1">
      <protection hidden="1"/>
    </xf>
    <xf numFmtId="0" fontId="0" fillId="6" borderId="0" xfId="0" applyFill="1" applyAlignment="1" applyProtection="1">
      <alignment horizontal="right"/>
      <protection hidden="1"/>
    </xf>
    <xf numFmtId="0" fontId="0" fillId="0" borderId="2" xfId="0" applyBorder="1" applyProtection="1">
      <protection hidden="1"/>
    </xf>
    <xf numFmtId="0" fontId="10" fillId="4" borderId="2" xfId="0" applyFont="1" applyFill="1" applyBorder="1" applyAlignment="1" applyProtection="1">
      <alignment horizontal="right"/>
      <protection hidden="1"/>
    </xf>
    <xf numFmtId="0" fontId="15" fillId="4" borderId="2" xfId="0" applyFont="1" applyFill="1" applyBorder="1" applyProtection="1">
      <protection hidden="1"/>
    </xf>
    <xf numFmtId="0" fontId="6" fillId="0" borderId="0" xfId="0" applyFont="1" applyProtection="1">
      <protection hidden="1"/>
    </xf>
    <xf numFmtId="0" fontId="17" fillId="4" borderId="0" xfId="0" applyFont="1" applyFill="1" applyAlignment="1" applyProtection="1">
      <alignment horizontal="right"/>
      <protection hidden="1"/>
    </xf>
    <xf numFmtId="0" fontId="9" fillId="5" borderId="0" xfId="0" applyFont="1" applyFill="1" applyProtection="1">
      <protection hidden="1"/>
    </xf>
    <xf numFmtId="0" fontId="2" fillId="6" borderId="2" xfId="0" applyFont="1" applyFill="1" applyBorder="1" applyProtection="1">
      <protection locked="0"/>
    </xf>
    <xf numFmtId="0" fontId="2" fillId="6" borderId="0" xfId="0" applyFont="1" applyFill="1" applyProtection="1">
      <protection locked="0"/>
    </xf>
    <xf numFmtId="0" fontId="6" fillId="6" borderId="2" xfId="0" applyFont="1" applyFill="1" applyBorder="1" applyAlignment="1" applyProtection="1">
      <alignment horizontal="right"/>
      <protection locked="0"/>
    </xf>
    <xf numFmtId="0" fontId="6" fillId="6" borderId="0" xfId="0" applyFont="1" applyFill="1" applyProtection="1">
      <protection locked="0"/>
    </xf>
    <xf numFmtId="0" fontId="6" fillId="4" borderId="3" xfId="0" applyFont="1" applyFill="1" applyBorder="1"/>
    <xf numFmtId="0" fontId="6" fillId="4" borderId="5" xfId="0" applyFont="1" applyFill="1" applyBorder="1"/>
    <xf numFmtId="0" fontId="6" fillId="4" borderId="8" xfId="0" applyFont="1" applyFill="1" applyBorder="1"/>
    <xf numFmtId="165" fontId="0" fillId="0" borderId="0" xfId="0" applyNumberFormat="1" applyProtection="1">
      <protection hidden="1"/>
    </xf>
    <xf numFmtId="0" fontId="0" fillId="0" borderId="0" xfId="0" applyAlignment="1" applyProtection="1">
      <alignment horizontal="center"/>
      <protection hidden="1"/>
    </xf>
    <xf numFmtId="48" fontId="0" fillId="0" borderId="0" xfId="0" applyNumberFormat="1" applyProtection="1">
      <protection hidden="1"/>
    </xf>
    <xf numFmtId="165" fontId="0" fillId="9" borderId="14" xfId="0" applyNumberFormat="1" applyFill="1" applyBorder="1" applyProtection="1">
      <protection hidden="1"/>
    </xf>
    <xf numFmtId="0" fontId="26" fillId="0" borderId="0" xfId="0" applyFont="1" applyProtection="1">
      <protection hidden="1"/>
    </xf>
    <xf numFmtId="11" fontId="0" fillId="0" borderId="0" xfId="0" applyNumberFormat="1" applyProtection="1">
      <protection hidden="1"/>
    </xf>
    <xf numFmtId="166" fontId="0" fillId="0" borderId="0" xfId="1" applyNumberFormat="1" applyFont="1" applyProtection="1">
      <protection hidden="1"/>
    </xf>
    <xf numFmtId="1" fontId="0" fillId="0" borderId="0" xfId="0" applyNumberFormat="1" applyProtection="1">
      <protection hidden="1"/>
    </xf>
    <xf numFmtId="165" fontId="0" fillId="9" borderId="15" xfId="0" applyNumberFormat="1" applyFill="1" applyBorder="1" applyProtection="1">
      <protection hidden="1"/>
    </xf>
    <xf numFmtId="0" fontId="32" fillId="4" borderId="0" xfId="0" applyFont="1" applyFill="1" applyProtection="1">
      <protection hidden="1"/>
    </xf>
    <xf numFmtId="0" fontId="31" fillId="4" borderId="0" xfId="0" applyFont="1" applyFill="1" applyProtection="1">
      <protection hidden="1"/>
    </xf>
    <xf numFmtId="0" fontId="32" fillId="4" borderId="2" xfId="0" applyFont="1" applyFill="1" applyBorder="1" applyProtection="1">
      <protection hidden="1"/>
    </xf>
    <xf numFmtId="1" fontId="17" fillId="6" borderId="0" xfId="0" applyNumberFormat="1" applyFont="1" applyFill="1" applyAlignment="1" applyProtection="1">
      <alignment vertical="center"/>
      <protection locked="0"/>
    </xf>
    <xf numFmtId="0" fontId="17" fillId="6" borderId="7" xfId="0" applyFont="1" applyFill="1" applyBorder="1" applyAlignment="1" applyProtection="1">
      <alignment vertical="center"/>
      <protection locked="0"/>
    </xf>
    <xf numFmtId="0" fontId="3" fillId="4" borderId="8" xfId="0" applyFont="1" applyFill="1" applyBorder="1"/>
    <xf numFmtId="1" fontId="2" fillId="4" borderId="0" xfId="0" applyNumberFormat="1" applyFont="1" applyFill="1" applyProtection="1">
      <protection hidden="1"/>
    </xf>
    <xf numFmtId="1" fontId="32" fillId="4" borderId="0" xfId="0" applyNumberFormat="1" applyFont="1" applyFill="1" applyProtection="1">
      <protection hidden="1"/>
    </xf>
    <xf numFmtId="1" fontId="17" fillId="6" borderId="2" xfId="0" applyNumberFormat="1" applyFont="1" applyFill="1" applyBorder="1" applyAlignment="1" applyProtection="1">
      <alignment vertical="center"/>
      <protection locked="0"/>
    </xf>
    <xf numFmtId="0" fontId="22" fillId="8" borderId="5" xfId="0" applyFont="1" applyFill="1" applyBorder="1" applyAlignment="1">
      <alignment vertical="center"/>
    </xf>
    <xf numFmtId="2" fontId="32" fillId="4" borderId="0" xfId="0" applyNumberFormat="1" applyFont="1" applyFill="1" applyProtection="1">
      <protection hidden="1"/>
    </xf>
    <xf numFmtId="2" fontId="2" fillId="4" borderId="2" xfId="0" applyNumberFormat="1" applyFont="1" applyFill="1" applyBorder="1" applyProtection="1">
      <protection hidden="1"/>
    </xf>
    <xf numFmtId="0" fontId="0" fillId="0" borderId="4" xfId="0" applyBorder="1" applyProtection="1">
      <protection hidden="1"/>
    </xf>
    <xf numFmtId="0" fontId="3" fillId="4" borderId="2" xfId="0" applyFont="1" applyFill="1" applyBorder="1" applyProtection="1">
      <protection hidden="1"/>
    </xf>
    <xf numFmtId="0" fontId="2" fillId="4" borderId="7" xfId="0" applyFont="1" applyFill="1" applyBorder="1" applyAlignment="1" applyProtection="1">
      <alignment horizontal="right"/>
      <protection hidden="1"/>
    </xf>
    <xf numFmtId="11" fontId="0" fillId="4" borderId="0" xfId="0" applyNumberFormat="1" applyFill="1" applyAlignment="1" applyProtection="1">
      <alignment horizontal="right"/>
      <protection hidden="1"/>
    </xf>
    <xf numFmtId="0" fontId="32" fillId="4" borderId="0" xfId="0" applyFont="1" applyFill="1" applyAlignment="1" applyProtection="1">
      <alignment horizontal="right"/>
      <protection hidden="1"/>
    </xf>
    <xf numFmtId="0" fontId="1" fillId="4" borderId="6" xfId="0" applyFont="1" applyFill="1" applyBorder="1" applyProtection="1">
      <protection hidden="1"/>
    </xf>
    <xf numFmtId="0" fontId="15" fillId="4" borderId="0" xfId="0" applyFont="1" applyFill="1" applyProtection="1">
      <protection hidden="1"/>
    </xf>
    <xf numFmtId="0" fontId="15" fillId="4" borderId="0" xfId="0" applyFont="1" applyFill="1" applyAlignment="1" applyProtection="1">
      <alignment horizontal="right"/>
      <protection hidden="1"/>
    </xf>
    <xf numFmtId="0" fontId="6" fillId="4" borderId="10" xfId="0" applyFont="1" applyFill="1" applyBorder="1" applyProtection="1">
      <protection hidden="1"/>
    </xf>
    <xf numFmtId="0" fontId="6" fillId="4" borderId="0" xfId="0" applyFont="1" applyFill="1"/>
    <xf numFmtId="0" fontId="6" fillId="4" borderId="0" xfId="0" applyFont="1" applyFill="1" applyAlignment="1" applyProtection="1">
      <alignment horizontal="center"/>
      <protection hidden="1"/>
    </xf>
    <xf numFmtId="1" fontId="2" fillId="4" borderId="0" xfId="0" applyNumberFormat="1" applyFont="1" applyFill="1" applyAlignment="1" applyProtection="1">
      <alignment horizontal="right"/>
      <protection hidden="1"/>
    </xf>
    <xf numFmtId="1" fontId="2" fillId="4" borderId="7" xfId="0" applyNumberFormat="1" applyFont="1" applyFill="1" applyBorder="1" applyAlignment="1" applyProtection="1">
      <alignment horizontal="right"/>
      <protection hidden="1"/>
    </xf>
    <xf numFmtId="0" fontId="22" fillId="8" borderId="8" xfId="0" applyFont="1" applyFill="1" applyBorder="1" applyAlignment="1">
      <alignment vertical="center"/>
    </xf>
    <xf numFmtId="0" fontId="6" fillId="4" borderId="9" xfId="0" applyFont="1" applyFill="1" applyBorder="1" applyProtection="1">
      <protection hidden="1"/>
    </xf>
    <xf numFmtId="0" fontId="4" fillId="4" borderId="10" xfId="0" applyFont="1" applyFill="1" applyBorder="1" applyAlignment="1" applyProtection="1">
      <alignment horizontal="right"/>
      <protection hidden="1"/>
    </xf>
    <xf numFmtId="0" fontId="0" fillId="4" borderId="1" xfId="0" applyFill="1" applyBorder="1" applyProtection="1">
      <protection hidden="1"/>
    </xf>
    <xf numFmtId="0" fontId="0" fillId="4" borderId="4" xfId="0" applyFill="1" applyBorder="1" applyProtection="1">
      <protection hidden="1"/>
    </xf>
    <xf numFmtId="0" fontId="0" fillId="4" borderId="7" xfId="0" applyFill="1" applyBorder="1" applyProtection="1">
      <protection hidden="1"/>
    </xf>
    <xf numFmtId="0" fontId="0" fillId="4" borderId="8" xfId="0" applyFill="1" applyBorder="1" applyProtection="1">
      <protection hidden="1"/>
    </xf>
    <xf numFmtId="0" fontId="10" fillId="4" borderId="4" xfId="0" applyFont="1" applyFill="1" applyBorder="1" applyProtection="1">
      <protection hidden="1"/>
    </xf>
    <xf numFmtId="0" fontId="17" fillId="4" borderId="0" xfId="0" applyFont="1" applyFill="1" applyProtection="1">
      <protection hidden="1"/>
    </xf>
    <xf numFmtId="164" fontId="17" fillId="6" borderId="0" xfId="0" applyNumberFormat="1" applyFont="1" applyFill="1" applyProtection="1">
      <protection hidden="1"/>
    </xf>
    <xf numFmtId="0" fontId="17" fillId="6" borderId="0" xfId="0" applyFont="1" applyFill="1" applyProtection="1">
      <protection hidden="1"/>
    </xf>
    <xf numFmtId="0" fontId="8" fillId="4" borderId="5" xfId="0" applyFont="1" applyFill="1" applyBorder="1" applyProtection="1">
      <protection hidden="1"/>
    </xf>
    <xf numFmtId="0" fontId="17" fillId="4" borderId="7" xfId="0" applyFont="1" applyFill="1" applyBorder="1" applyProtection="1">
      <protection hidden="1"/>
    </xf>
    <xf numFmtId="0" fontId="17" fillId="6" borderId="7" xfId="0" applyFont="1" applyFill="1" applyBorder="1" applyProtection="1">
      <protection hidden="1"/>
    </xf>
    <xf numFmtId="0" fontId="17" fillId="4" borderId="7" xfId="0" applyFont="1" applyFill="1" applyBorder="1" applyAlignment="1" applyProtection="1">
      <alignment horizontal="right"/>
      <protection hidden="1"/>
    </xf>
    <xf numFmtId="164" fontId="17" fillId="4" borderId="0" xfId="0" applyNumberFormat="1" applyFont="1" applyFill="1" applyProtection="1">
      <protection hidden="1"/>
    </xf>
    <xf numFmtId="0" fontId="15" fillId="6" borderId="2" xfId="0" applyFont="1" applyFill="1" applyBorder="1" applyProtection="1">
      <protection locked="0"/>
    </xf>
    <xf numFmtId="0" fontId="6" fillId="6" borderId="10" xfId="0" applyFont="1" applyFill="1" applyBorder="1" applyProtection="1">
      <protection locked="0"/>
    </xf>
    <xf numFmtId="0" fontId="2" fillId="4" borderId="0" xfId="0" applyFont="1" applyFill="1"/>
    <xf numFmtId="0" fontId="2" fillId="4" borderId="5" xfId="0" applyFont="1" applyFill="1" applyBorder="1"/>
    <xf numFmtId="0" fontId="4" fillId="4" borderId="5" xfId="0" applyFont="1" applyFill="1" applyBorder="1"/>
    <xf numFmtId="0" fontId="3" fillId="4" borderId="5" xfId="0" applyFont="1" applyFill="1" applyBorder="1"/>
    <xf numFmtId="0" fontId="4" fillId="4" borderId="3" xfId="0" applyFont="1" applyFill="1" applyBorder="1"/>
    <xf numFmtId="0" fontId="2" fillId="4" borderId="3" xfId="0" applyFont="1" applyFill="1" applyBorder="1"/>
    <xf numFmtId="0" fontId="3" fillId="4" borderId="3" xfId="0" applyFont="1" applyFill="1" applyBorder="1"/>
    <xf numFmtId="0" fontId="2" fillId="4" borderId="8" xfId="0" applyFont="1" applyFill="1" applyBorder="1"/>
    <xf numFmtId="0" fontId="22" fillId="8" borderId="0" xfId="0" applyFont="1" applyFill="1"/>
    <xf numFmtId="0" fontId="26" fillId="4" borderId="5" xfId="0" applyFont="1" applyFill="1" applyBorder="1"/>
    <xf numFmtId="0" fontId="6" fillId="4" borderId="11" xfId="0" applyFont="1" applyFill="1" applyBorder="1"/>
    <xf numFmtId="0" fontId="2"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0" fontId="31" fillId="2" borderId="0" xfId="0" applyFont="1" applyFill="1" applyAlignment="1" applyProtection="1">
      <alignment horizontal="left" vertical="center"/>
      <protection hidden="1"/>
    </xf>
    <xf numFmtId="0" fontId="0" fillId="2" borderId="0" xfId="0" applyFill="1" applyProtection="1">
      <protection hidden="1"/>
    </xf>
    <xf numFmtId="2" fontId="0" fillId="2" borderId="0" xfId="0" applyNumberFormat="1" applyFill="1" applyAlignment="1" applyProtection="1">
      <alignment horizontal="right" vertical="center"/>
      <protection hidden="1"/>
    </xf>
    <xf numFmtId="0" fontId="2" fillId="0" borderId="0" xfId="0" applyFont="1" applyAlignment="1" applyProtection="1">
      <alignment horizontal="right"/>
      <protection hidden="1"/>
    </xf>
    <xf numFmtId="0" fontId="0" fillId="0" borderId="0" xfId="0" applyAlignment="1" applyProtection="1">
      <alignment horizontal="right"/>
      <protection hidden="1"/>
    </xf>
    <xf numFmtId="2" fontId="0" fillId="0" borderId="0" xfId="0" applyNumberFormat="1" applyAlignment="1" applyProtection="1">
      <alignment horizontal="right"/>
      <protection hidden="1"/>
    </xf>
    <xf numFmtId="2" fontId="0" fillId="2" borderId="0" xfId="0" applyNumberFormat="1" applyFill="1" applyAlignment="1" applyProtection="1">
      <alignment horizontal="right"/>
      <protection hidden="1"/>
    </xf>
    <xf numFmtId="2" fontId="0" fillId="0" borderId="18" xfId="0" applyNumberFormat="1" applyBorder="1" applyAlignment="1" applyProtection="1">
      <alignment horizontal="right"/>
      <protection hidden="1"/>
    </xf>
    <xf numFmtId="2" fontId="31" fillId="2" borderId="0" xfId="0" applyNumberFormat="1" applyFont="1" applyFill="1" applyAlignment="1" applyProtection="1">
      <alignment horizontal="right"/>
      <protection hidden="1"/>
    </xf>
    <xf numFmtId="2" fontId="0" fillId="0" borderId="0" xfId="1" applyNumberFormat="1" applyFont="1" applyFill="1" applyAlignment="1" applyProtection="1">
      <alignment horizontal="right"/>
      <protection hidden="1"/>
    </xf>
    <xf numFmtId="2" fontId="0" fillId="0" borderId="19" xfId="0" applyNumberFormat="1" applyBorder="1" applyAlignment="1" applyProtection="1">
      <alignment horizontal="right"/>
      <protection hidden="1"/>
    </xf>
    <xf numFmtId="0" fontId="0" fillId="2" borderId="16" xfId="0" applyFill="1" applyBorder="1" applyAlignment="1" applyProtection="1">
      <alignment horizontal="left" vertical="center"/>
      <protection hidden="1"/>
    </xf>
    <xf numFmtId="0" fontId="0" fillId="2" borderId="0" xfId="0" applyFill="1" applyAlignment="1" applyProtection="1">
      <alignment horizontal="right"/>
      <protection hidden="1"/>
    </xf>
    <xf numFmtId="2" fontId="0" fillId="2" borderId="0" xfId="1" applyNumberFormat="1" applyFont="1" applyFill="1" applyAlignment="1" applyProtection="1">
      <alignment horizontal="right"/>
      <protection hidden="1"/>
    </xf>
    <xf numFmtId="16" fontId="2" fillId="4" borderId="2" xfId="0" applyNumberFormat="1" applyFont="1" applyFill="1" applyBorder="1" applyAlignment="1" applyProtection="1">
      <alignment horizontal="right"/>
      <protection hidden="1"/>
    </xf>
    <xf numFmtId="167" fontId="2" fillId="4" borderId="0" xfId="0" applyNumberFormat="1" applyFont="1" applyFill="1" applyProtection="1">
      <protection hidden="1"/>
    </xf>
    <xf numFmtId="0" fontId="26" fillId="4" borderId="0" xfId="0" applyFont="1" applyFill="1" applyProtection="1">
      <protection hidden="1"/>
    </xf>
    <xf numFmtId="1" fontId="26" fillId="4" borderId="0" xfId="0" applyNumberFormat="1" applyFont="1" applyFill="1" applyProtection="1">
      <protection hidden="1"/>
    </xf>
    <xf numFmtId="0" fontId="43" fillId="4" borderId="0" xfId="0" applyFont="1" applyFill="1" applyProtection="1">
      <protection hidden="1"/>
    </xf>
    <xf numFmtId="0" fontId="0" fillId="4" borderId="1" xfId="0" applyFill="1" applyBorder="1"/>
    <xf numFmtId="0" fontId="0" fillId="4" borderId="2" xfId="0" applyFill="1" applyBorder="1"/>
    <xf numFmtId="0" fontId="0" fillId="4" borderId="6" xfId="0" applyFill="1" applyBorder="1"/>
    <xf numFmtId="0" fontId="0" fillId="4" borderId="7" xfId="0" applyFill="1" applyBorder="1"/>
    <xf numFmtId="0" fontId="0" fillId="4" borderId="0" xfId="0" applyFill="1"/>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pplyProtection="1">
      <alignment horizontal="center"/>
      <protection hidden="1"/>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pplyProtection="1">
      <alignment horizontal="center"/>
      <protection hidden="1"/>
    </xf>
    <xf numFmtId="0" fontId="0" fillId="4" borderId="4" xfId="0" applyFill="1" applyBorder="1"/>
    <xf numFmtId="0" fontId="0" fillId="4" borderId="2" xfId="0" applyFill="1" applyBorder="1" applyAlignment="1">
      <alignment horizontal="right"/>
    </xf>
    <xf numFmtId="0" fontId="0" fillId="4" borderId="0" xfId="0" applyFill="1" applyAlignment="1">
      <alignment horizontal="right"/>
    </xf>
    <xf numFmtId="0" fontId="0" fillId="4" borderId="6" xfId="0" applyFill="1" applyBorder="1" applyProtection="1">
      <protection hidden="1"/>
    </xf>
    <xf numFmtId="0" fontId="0" fillId="4" borderId="7" xfId="0" applyFill="1" applyBorder="1" applyAlignment="1">
      <alignment horizontal="right"/>
    </xf>
    <xf numFmtId="0" fontId="6" fillId="4" borderId="16" xfId="0" applyFont="1" applyFill="1" applyBorder="1" applyAlignment="1" applyProtection="1">
      <alignment horizontal="right"/>
      <protection hidden="1"/>
    </xf>
    <xf numFmtId="0" fontId="2" fillId="4" borderId="2" xfId="0" applyFont="1" applyFill="1" applyBorder="1"/>
    <xf numFmtId="0" fontId="26" fillId="4" borderId="2" xfId="0" applyFont="1" applyFill="1" applyBorder="1" applyProtection="1">
      <protection hidden="1"/>
    </xf>
    <xf numFmtId="0" fontId="0" fillId="10" borderId="0" xfId="0" applyFill="1" applyProtection="1">
      <protection hidden="1"/>
    </xf>
    <xf numFmtId="0" fontId="44" fillId="0" borderId="12" xfId="0" applyFont="1" applyBorder="1"/>
    <xf numFmtId="0" fontId="44" fillId="0" borderId="12" xfId="0" applyFont="1" applyBorder="1" applyAlignment="1">
      <alignment horizontal="center"/>
    </xf>
    <xf numFmtId="0" fontId="17" fillId="0" borderId="12" xfId="0" applyFont="1" applyBorder="1" applyAlignment="1">
      <alignment horizontal="center"/>
    </xf>
    <xf numFmtId="1" fontId="44" fillId="11" borderId="12" xfId="0" applyNumberFormat="1" applyFont="1" applyFill="1" applyBorder="1" applyAlignment="1">
      <alignment horizontal="center"/>
    </xf>
    <xf numFmtId="0" fontId="0" fillId="12" borderId="0" xfId="0" applyFill="1" applyProtection="1">
      <protection hidden="1"/>
    </xf>
    <xf numFmtId="2" fontId="0" fillId="4" borderId="3" xfId="0" applyNumberFormat="1" applyFill="1" applyBorder="1" applyProtection="1">
      <protection hidden="1"/>
    </xf>
    <xf numFmtId="2" fontId="0" fillId="4" borderId="8" xfId="0" applyNumberFormat="1" applyFill="1" applyBorder="1" applyProtection="1">
      <protection hidden="1"/>
    </xf>
    <xf numFmtId="0" fontId="25" fillId="14" borderId="0" xfId="0" applyFont="1" applyFill="1"/>
    <xf numFmtId="0" fontId="0" fillId="15" borderId="0" xfId="0" applyFill="1"/>
    <xf numFmtId="2" fontId="0" fillId="4" borderId="1" xfId="0" applyNumberFormat="1" applyFill="1" applyBorder="1" applyProtection="1">
      <protection hidden="1"/>
    </xf>
    <xf numFmtId="2" fontId="45" fillId="13" borderId="2" xfId="3" applyNumberFormat="1" applyBorder="1" applyProtection="1">
      <protection hidden="1"/>
    </xf>
    <xf numFmtId="2" fontId="0" fillId="4" borderId="6" xfId="0" applyNumberFormat="1" applyFill="1" applyBorder="1" applyProtection="1">
      <protection hidden="1"/>
    </xf>
    <xf numFmtId="2" fontId="45" fillId="13" borderId="7" xfId="3" applyNumberFormat="1" applyBorder="1" applyProtection="1">
      <protection hidden="1"/>
    </xf>
    <xf numFmtId="0" fontId="0" fillId="4" borderId="17" xfId="0" applyFill="1" applyBorder="1" applyProtection="1">
      <protection locked="0"/>
    </xf>
    <xf numFmtId="0" fontId="0" fillId="6" borderId="1" xfId="0" applyFill="1" applyBorder="1" applyProtection="1">
      <protection locked="0"/>
    </xf>
    <xf numFmtId="0" fontId="0" fillId="6" borderId="2" xfId="0" applyFill="1" applyBorder="1" applyProtection="1">
      <protection locked="0"/>
    </xf>
    <xf numFmtId="0" fontId="0" fillId="6" borderId="3" xfId="0" applyFill="1" applyBorder="1" applyProtection="1">
      <protection locked="0"/>
    </xf>
    <xf numFmtId="0" fontId="0" fillId="4" borderId="18" xfId="0" applyFill="1" applyBorder="1" applyProtection="1">
      <protection locked="0"/>
    </xf>
    <xf numFmtId="0" fontId="0" fillId="6" borderId="4" xfId="0" applyFill="1" applyBorder="1" applyProtection="1">
      <protection locked="0"/>
    </xf>
    <xf numFmtId="0" fontId="0" fillId="6" borderId="0" xfId="0" applyFill="1" applyProtection="1">
      <protection locked="0"/>
    </xf>
    <xf numFmtId="0" fontId="0" fillId="6" borderId="5" xfId="0" applyFill="1" applyBorder="1" applyProtection="1">
      <protection locked="0"/>
    </xf>
    <xf numFmtId="0" fontId="0" fillId="4" borderId="19" xfId="0" applyFill="1" applyBorder="1" applyProtection="1">
      <protection locked="0"/>
    </xf>
    <xf numFmtId="2" fontId="6" fillId="4" borderId="0" xfId="0" applyNumberFormat="1" applyFont="1" applyFill="1"/>
    <xf numFmtId="2" fontId="6" fillId="4" borderId="7" xfId="0" applyNumberFormat="1" applyFont="1" applyFill="1" applyBorder="1"/>
    <xf numFmtId="0" fontId="1" fillId="4" borderId="7" xfId="0" applyFont="1" applyFill="1" applyBorder="1" applyProtection="1">
      <protection hidden="1"/>
    </xf>
    <xf numFmtId="11" fontId="0" fillId="6" borderId="6" xfId="0" applyNumberFormat="1" applyFill="1" applyBorder="1" applyProtection="1">
      <protection locked="0"/>
    </xf>
    <xf numFmtId="11" fontId="0" fillId="6" borderId="7" xfId="0" applyNumberFormat="1" applyFill="1" applyBorder="1" applyProtection="1">
      <protection locked="0"/>
    </xf>
    <xf numFmtId="11" fontId="0" fillId="6" borderId="8" xfId="0" applyNumberFormat="1" applyFill="1" applyBorder="1" applyProtection="1">
      <protection locked="0"/>
    </xf>
    <xf numFmtId="11" fontId="0" fillId="6" borderId="4" xfId="0" applyNumberFormat="1" applyFill="1" applyBorder="1" applyProtection="1">
      <protection locked="0"/>
    </xf>
    <xf numFmtId="11" fontId="0" fillId="6" borderId="0" xfId="0" applyNumberFormat="1" applyFill="1" applyProtection="1">
      <protection locked="0"/>
    </xf>
    <xf numFmtId="11" fontId="0" fillId="6" borderId="5" xfId="0" applyNumberFormat="1" applyFill="1" applyBorder="1" applyProtection="1">
      <protection locked="0"/>
    </xf>
    <xf numFmtId="0" fontId="6" fillId="3" borderId="0" xfId="0" applyFont="1" applyFill="1" applyProtection="1">
      <protection hidden="1"/>
    </xf>
    <xf numFmtId="0" fontId="46" fillId="3" borderId="0" xfId="0" applyFont="1" applyFill="1" applyProtection="1">
      <protection hidden="1"/>
    </xf>
    <xf numFmtId="0" fontId="1" fillId="4" borderId="4" xfId="0" applyFont="1" applyFill="1" applyBorder="1" applyAlignment="1" applyProtection="1">
      <alignment horizontal="center"/>
      <protection hidden="1"/>
    </xf>
    <xf numFmtId="0" fontId="1" fillId="4" borderId="0" xfId="0" applyFont="1" applyFill="1" applyAlignment="1" applyProtection="1">
      <alignment horizontal="center"/>
      <protection hidden="1"/>
    </xf>
    <xf numFmtId="0" fontId="1" fillId="4" borderId="7" xfId="0" applyFont="1" applyFill="1" applyBorder="1" applyAlignment="1" applyProtection="1">
      <alignment horizontal="center"/>
      <protection hidden="1"/>
    </xf>
    <xf numFmtId="0" fontId="6" fillId="6" borderId="2" xfId="0" applyFont="1" applyFill="1" applyBorder="1" applyAlignment="1" applyProtection="1">
      <alignment horizontal="center"/>
      <protection locked="0"/>
    </xf>
    <xf numFmtId="0" fontId="11" fillId="7" borderId="9" xfId="0" applyFont="1" applyFill="1" applyBorder="1" applyAlignment="1">
      <alignment horizontal="center" vertical="center"/>
    </xf>
    <xf numFmtId="0" fontId="11" fillId="7" borderId="10" xfId="0" applyFont="1" applyFill="1" applyBorder="1" applyAlignment="1">
      <alignment horizontal="center" vertical="center"/>
    </xf>
    <xf numFmtId="0" fontId="42" fillId="2" borderId="0" xfId="0" applyFont="1" applyFill="1" applyAlignment="1" applyProtection="1">
      <alignment horizontal="center"/>
      <protection hidden="1"/>
    </xf>
    <xf numFmtId="0" fontId="40" fillId="2" borderId="0" xfId="0" applyFont="1" applyFill="1" applyAlignment="1" applyProtection="1">
      <alignment horizontal="center"/>
      <protection hidden="1"/>
    </xf>
    <xf numFmtId="0" fontId="0" fillId="2" borderId="0" xfId="0" applyFill="1" applyAlignment="1" applyProtection="1">
      <alignment horizontal="center"/>
      <protection hidden="1"/>
    </xf>
    <xf numFmtId="0" fontId="0" fillId="6" borderId="7" xfId="0" applyFill="1" applyBorder="1" applyAlignment="1" applyProtection="1">
      <alignment horizontal="center"/>
      <protection locked="0"/>
    </xf>
    <xf numFmtId="0" fontId="40" fillId="2" borderId="0" xfId="0" applyFont="1" applyFill="1" applyAlignment="1" applyProtection="1">
      <alignment horizontal="center" vertical="center"/>
      <protection hidden="1"/>
    </xf>
    <xf numFmtId="0" fontId="41" fillId="2" borderId="0" xfId="0" applyFont="1" applyFill="1" applyAlignment="1" applyProtection="1">
      <alignment horizontal="center" vertical="center"/>
      <protection hidden="1"/>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horizontal="center" vertical="center"/>
      <protection hidden="1"/>
    </xf>
    <xf numFmtId="0" fontId="1" fillId="4" borderId="6" xfId="0" applyFont="1" applyFill="1" applyBorder="1" applyAlignment="1" applyProtection="1">
      <alignment horizontal="left"/>
      <protection hidden="1"/>
    </xf>
    <xf numFmtId="0" fontId="1" fillId="4" borderId="7" xfId="0" applyFont="1" applyFill="1" applyBorder="1" applyAlignment="1" applyProtection="1">
      <alignment horizontal="left"/>
      <protection hidden="1"/>
    </xf>
    <xf numFmtId="0" fontId="6" fillId="6" borderId="0" xfId="0" applyFont="1" applyFill="1" applyAlignment="1" applyProtection="1">
      <alignment horizontal="center"/>
      <protection locked="0"/>
    </xf>
    <xf numFmtId="0" fontId="11" fillId="7" borderId="9" xfId="0" applyFont="1" applyFill="1" applyBorder="1" applyAlignment="1" applyProtection="1">
      <alignment horizontal="left" vertical="center"/>
      <protection hidden="1"/>
    </xf>
    <xf numFmtId="0" fontId="11" fillId="7" borderId="10" xfId="0" applyFont="1" applyFill="1" applyBorder="1" applyAlignment="1" applyProtection="1">
      <alignment horizontal="left" vertical="center"/>
      <protection hidden="1"/>
    </xf>
    <xf numFmtId="0" fontId="1" fillId="4" borderId="6" xfId="0" applyFont="1" applyFill="1" applyBorder="1" applyAlignment="1" applyProtection="1">
      <alignment horizontal="center"/>
      <protection hidden="1"/>
    </xf>
    <xf numFmtId="0" fontId="1" fillId="4" borderId="9" xfId="0" applyFont="1" applyFill="1" applyBorder="1" applyAlignment="1" applyProtection="1">
      <alignment horizontal="left"/>
      <protection hidden="1"/>
    </xf>
    <xf numFmtId="0" fontId="1" fillId="4" borderId="10" xfId="0" applyFont="1" applyFill="1" applyBorder="1" applyAlignment="1" applyProtection="1">
      <alignment horizontal="left"/>
      <protection hidden="1"/>
    </xf>
    <xf numFmtId="0" fontId="1" fillId="4" borderId="4" xfId="0" applyFont="1" applyFill="1" applyBorder="1" applyAlignment="1" applyProtection="1">
      <alignment horizontal="left"/>
      <protection hidden="1"/>
    </xf>
    <xf numFmtId="0" fontId="1" fillId="4" borderId="0" xfId="0" applyFont="1" applyFill="1" applyAlignment="1" applyProtection="1">
      <alignment horizontal="left"/>
      <protection hidden="1"/>
    </xf>
    <xf numFmtId="0" fontId="26" fillId="0" borderId="12" xfId="0" applyFont="1" applyBorder="1" applyAlignment="1" applyProtection="1">
      <alignment horizontal="center"/>
      <protection hidden="1"/>
    </xf>
    <xf numFmtId="0" fontId="26" fillId="0" borderId="13" xfId="0" applyFont="1" applyBorder="1" applyAlignment="1" applyProtection="1">
      <alignment horizontal="center"/>
      <protection hidden="1"/>
    </xf>
  </cellXfs>
  <cellStyles count="4">
    <cellStyle name="Normal" xfId="0" builtinId="0"/>
    <cellStyle name="Normal 2" xfId="2" xr:uid="{577464DF-B62F-43AC-BCC9-E6A006E87294}"/>
    <cellStyle name="Pourcentage" xfId="1" builtinId="5"/>
    <cellStyle name="Satisfaisant" xfId="3" builtinId="26"/>
  </cellStyles>
  <dxfs count="272">
    <dxf>
      <font>
        <color theme="1" tint="0.14996795556505021"/>
      </font>
      <fill>
        <patternFill>
          <bgColor theme="1" tint="0.14996795556505021"/>
        </patternFill>
      </fill>
      <border>
        <left/>
        <right/>
        <top/>
        <bottom/>
      </border>
    </dxf>
    <dxf>
      <font>
        <color theme="1" tint="0.14996795556505021"/>
      </font>
      <fill>
        <patternFill>
          <bgColor theme="1" tint="0.14996795556505021"/>
        </patternFill>
      </fill>
      <border>
        <left/>
        <right/>
        <top/>
        <bottom/>
      </border>
    </dxf>
    <dxf>
      <font>
        <color theme="0" tint="-0.34998626667073579"/>
      </font>
    </dxf>
    <dxf>
      <font>
        <color theme="0" tint="-0.34998626667073579"/>
      </font>
    </dxf>
    <dxf>
      <font>
        <color theme="0"/>
      </font>
      <fill>
        <patternFill>
          <fgColor theme="0"/>
        </patternFill>
      </fill>
    </dxf>
    <dxf>
      <font>
        <color theme="1" tint="0.14996795556505021"/>
      </font>
      <fill>
        <patternFill>
          <bgColor theme="1" tint="0.14996795556505021"/>
        </patternFill>
      </fill>
      <border>
        <left/>
        <right/>
        <top/>
        <bottom/>
      </border>
    </dxf>
    <dxf>
      <font>
        <color theme="0" tint="-0.34998626667073579"/>
      </font>
    </dxf>
    <dxf>
      <border>
        <left/>
        <right/>
        <top/>
        <bottom/>
        <vertical/>
        <horizontal/>
      </border>
    </dxf>
    <dxf>
      <font>
        <color theme="1" tint="0.14996795556505021"/>
      </font>
      <fill>
        <patternFill>
          <bgColor theme="1" tint="0.14996795556505021"/>
        </patternFill>
      </fill>
      <border>
        <left/>
        <right/>
        <top/>
        <bottom/>
      </border>
    </dxf>
    <dxf>
      <font>
        <color theme="0" tint="-0.34998626667073579"/>
      </font>
    </dxf>
    <dxf>
      <fill>
        <patternFill>
          <bgColor rgb="FFFFFF00"/>
        </patternFill>
      </fill>
    </dxf>
    <dxf>
      <font>
        <color theme="0"/>
      </font>
      <fill>
        <patternFill>
          <fgColor theme="0"/>
          <bgColor theme="0"/>
        </patternFill>
      </fill>
      <border>
        <left/>
        <right/>
        <top/>
        <bottom/>
        <vertical/>
        <horizontal/>
      </border>
    </dxf>
    <dxf>
      <font>
        <color theme="0" tint="-0.34998626667073579"/>
      </font>
    </dxf>
    <dxf>
      <font>
        <color theme="0"/>
      </font>
      <fill>
        <patternFill>
          <fgColor theme="0"/>
        </patternFill>
      </fill>
    </dxf>
    <dxf>
      <font>
        <color theme="0"/>
      </font>
      <fill>
        <patternFill>
          <fgColor theme="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i val="0"/>
        <color rgb="FFFF0000"/>
      </font>
    </dxf>
    <dxf>
      <font>
        <color rgb="FFFF0000"/>
      </font>
    </dxf>
    <dxf>
      <font>
        <color rgb="FFFF0000"/>
      </font>
    </dxf>
    <dxf>
      <font>
        <color rgb="FFFF0000"/>
      </font>
    </dxf>
    <dxf>
      <font>
        <b/>
        <i val="0"/>
        <condense val="0"/>
        <extend val="0"/>
        <color indexed="10"/>
      </font>
    </dxf>
    <dxf>
      <border>
        <vertical/>
        <horizontal/>
      </border>
    </dxf>
    <dxf>
      <fill>
        <patternFill>
          <bgColor rgb="FFFFFF00"/>
        </patternFill>
      </fill>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alignment horizontal="center" vertical="bottom" textRotation="0" wrapText="0" indent="0" justifyLastLine="0" shrinkToFit="0" readingOrder="0"/>
      <protection locked="1" hidden="1"/>
    </dxf>
    <dxf>
      <numFmt numFmtId="165" formatCode="#,##0.000"/>
      <protection locked="1" hidden="1"/>
    </dxf>
    <dxf>
      <border outline="0">
        <top style="thin">
          <color indexed="64"/>
        </top>
      </border>
    </dxf>
    <dxf>
      <numFmt numFmtId="165" formatCode="#,##0.000"/>
      <protection locked="1" hidden="1"/>
    </dxf>
    <dxf>
      <numFmt numFmtId="165" formatCode="#,##0.000"/>
      <protection locked="1" hidden="1"/>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protection locked="1" hidden="1"/>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numFmt numFmtId="165" formatCode="#,##0.000"/>
      <fill>
        <patternFill patternType="solid">
          <fgColor theme="4" tint="0.79998168889431442"/>
          <bgColor theme="4" tint="0.79998168889431442"/>
        </patternFill>
      </fill>
      <protection locked="1" hidden="1"/>
    </dxf>
    <dxf>
      <numFmt numFmtId="165" formatCode="#,##0.000"/>
      <protection locked="1" hidden="1"/>
    </dxf>
    <dxf>
      <numFmt numFmtId="165" formatCode="#,##0.000"/>
      <protection locked="1" hidden="1"/>
    </dxf>
    <dxf>
      <border outline="0">
        <top style="thin">
          <color indexed="64"/>
        </top>
      </border>
    </dxf>
    <dxf>
      <numFmt numFmtId="165" formatCode="#,##0.000"/>
      <protection locked="1" hidden="1"/>
    </dxf>
    <dxf>
      <protection locked="1" hidden="1"/>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0"/>
        <name val="Calibri"/>
        <family val="2"/>
        <scheme val="minor"/>
      </font>
      <fill>
        <patternFill patternType="solid">
          <fgColor theme="5"/>
          <bgColor theme="5"/>
        </patternFill>
      </fill>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numFmt numFmtId="0" formatCode="General"/>
      <fill>
        <patternFill patternType="none">
          <fgColor indexed="64"/>
          <bgColor auto="1"/>
        </patternFill>
      </fill>
      <alignment horizontal="center" vertical="bottom" textRotation="0" wrapText="0" indent="0" justifyLastLine="0" shrinkToFit="0" readingOrder="0"/>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numFmt numFmtId="0" formatCode="General"/>
      <fill>
        <patternFill patternType="none">
          <fgColor indexed="64"/>
          <bgColor auto="1"/>
        </patternFill>
      </fill>
      <protection locked="1" hidden="1"/>
    </dxf>
    <dxf>
      <fill>
        <patternFill patternType="none">
          <fgColor indexed="64"/>
          <bgColor auto="1"/>
        </patternFill>
      </fill>
      <protection locked="1" hidden="1"/>
    </dxf>
    <dxf>
      <fill>
        <patternFill patternType="none">
          <fgColor indexed="64"/>
          <bgColor auto="1"/>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theme="0"/>
        </patternFill>
      </fill>
      <border diagonalUp="0" diagonalDown="0">
        <left/>
        <right style="medium">
          <color indexed="64"/>
        </right>
        <top/>
        <bottom/>
        <vertical/>
        <horizontal/>
      </border>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auto="1"/>
        <name val="Arial"/>
        <family val="2"/>
        <scheme val="none"/>
      </font>
      <fill>
        <patternFill patternType="solid">
          <fgColor indexed="64"/>
          <bgColor rgb="FFFFFF00"/>
        </patternFill>
      </fill>
      <protection locked="1" hidden="1"/>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right" vertical="bottom" textRotation="0" wrapText="0" indent="0" justifyLastLine="0" shrinkToFit="0" readingOrder="0"/>
      <protection locked="1" hidden="1"/>
    </dxf>
    <dxf>
      <border outline="0">
        <bottom style="medium">
          <color indexed="64"/>
        </bottom>
      </border>
    </dxf>
    <dxf>
      <protection locked="1" hidden="1"/>
    </dxf>
    <dxf>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0000"/>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solid">
          <fgColor indexed="64"/>
          <bgColor rgb="FFFF0000"/>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numFmt numFmtId="0" formatCode="General"/>
      <fill>
        <patternFill patternType="none">
          <fgColor indexed="64"/>
          <bgColor indexed="65"/>
        </patternFill>
      </fill>
      <alignment horizontal="right" vertical="bottom" textRotation="0" wrapText="0" indent="0" justifyLastLine="0" shrinkToFit="0" readingOrder="0"/>
      <protection locked="1" hidden="1"/>
    </dxf>
    <dxf>
      <numFmt numFmtId="0" formatCode="General"/>
      <fill>
        <patternFill patternType="none">
          <fgColor indexed="64"/>
          <bgColor auto="1"/>
        </patternFill>
      </fill>
      <alignment horizontal="right" textRotation="0" wrapText="0" indent="0" justifyLastLine="0" shrinkToFit="0" readingOrder="0"/>
      <protection locked="1" hidden="1"/>
    </dxf>
    <dxf>
      <font>
        <strike val="0"/>
        <outline val="0"/>
        <shadow val="0"/>
        <u val="none"/>
        <vertAlign val="baseline"/>
        <sz val="11"/>
        <color rgb="FFFF0000"/>
        <name val="Calibri"/>
        <family val="2"/>
        <scheme val="minor"/>
      </font>
      <numFmt numFmtId="2" formatCode="0.00"/>
      <fill>
        <patternFill patternType="solid">
          <fgColor indexed="64"/>
          <bgColor rgb="FFFF0000"/>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vertical="bottom"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vertical="bottom"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border diagonalUp="0" diagonalDown="0" outline="0">
        <left style="medium">
          <color indexed="64"/>
        </left>
        <right/>
        <top/>
        <bottom/>
      </border>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indexed="65"/>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solid">
          <fgColor indexed="64"/>
          <bgColor rgb="FFFF0000"/>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2" formatCode="0.00"/>
      <fill>
        <patternFill patternType="none">
          <fgColor indexed="64"/>
          <bgColor auto="1"/>
        </patternFill>
      </fill>
      <alignment horizontal="right" textRotation="0" wrapText="0" indent="0" justifyLastLine="0" shrinkToFit="0" readingOrder="0"/>
      <protection locked="1" hidden="1"/>
    </dxf>
    <dxf>
      <fill>
        <patternFill patternType="none">
          <fgColor indexed="64"/>
          <bgColor indexed="65"/>
        </patternFill>
      </fill>
    </dxf>
    <dxf>
      <numFmt numFmtId="0" formatCode="General"/>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right" textRotation="0" wrapText="0" indent="0" justifyLastLine="0" shrinkToFit="0" readingOrder="0"/>
      <protection locked="1" hidden="1"/>
    </dxf>
    <dxf>
      <protection locked="1" hidden="1"/>
    </dxf>
    <dxf>
      <fill>
        <patternFill patternType="none">
          <fgColor indexed="64"/>
          <bgColor auto="1"/>
        </patternFill>
      </fill>
      <alignment horizontal="right" textRotation="0" wrapText="0" indent="0" justifyLastLine="0" shrinkToFit="0" readingOrder="0"/>
      <protection locked="1" hidden="1"/>
    </dxf>
    <dxf>
      <fill>
        <patternFill patternType="none">
          <fgColor indexed="64"/>
          <bgColor auto="1"/>
        </patternFill>
      </fill>
      <alignment horizontal="left" vertical="center" textRotation="0" wrapText="0" indent="0" justifyLastLine="0" shrinkToFit="0" readingOrder="0"/>
      <protection locked="1" hidden="1"/>
    </dxf>
  </dxfs>
  <tableStyles count="0" defaultTableStyle="TableStyleMedium2" defaultPivotStyle="PivotStyleLight16"/>
  <colors>
    <mruColors>
      <color rgb="FF0000FF"/>
      <color rgb="FFEB6C15"/>
      <color rgb="FFC6EFCE"/>
      <color rgb="FF96E2A4"/>
      <color rgb="FFC6E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vs I</a:t>
            </a:r>
            <a:r>
              <a:rPr lang="en-US" baseline="-25000"/>
              <a:t>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920704029643352E-2"/>
          <c:y val="6.878071395456653E-2"/>
          <c:w val="0.88969948966799361"/>
          <c:h val="0.74456459284731269"/>
        </c:manualLayout>
      </c:layout>
      <c:scatterChart>
        <c:scatterStyle val="smoothMarker"/>
        <c:varyColors val="0"/>
        <c:ser>
          <c:idx val="2"/>
          <c:order val="2"/>
          <c:tx>
            <c:v>Plot 1 Efficiency</c:v>
          </c:tx>
          <c:spPr>
            <a:ln w="19050" cap="rnd">
              <a:solidFill>
                <a:srgbClr val="FF000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Calculator'!$CR$156:$CR$256</c:f>
              <c:numCache>
                <c:formatCode>0.00</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1"/>
          <c:extLst>
            <c:ext xmlns:c16="http://schemas.microsoft.com/office/drawing/2014/chart" uri="{C3380CC4-5D6E-409C-BE32-E72D297353CC}">
              <c16:uniqueId val="{00000002-1F98-4669-B27B-9CB36E467256}"/>
            </c:ext>
          </c:extLst>
        </c:ser>
        <c:ser>
          <c:idx val="8"/>
          <c:order val="5"/>
          <c:tx>
            <c:v>Plot 1 Saved Efficiency</c:v>
          </c:tx>
          <c:spPr>
            <a:ln w="19050" cap="rnd">
              <a:solidFill>
                <a:srgbClr val="FF000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Calculator'!$CZ$156:$CZ$256</c:f>
              <c:numCache>
                <c:formatCode>0.00</c:formatCode>
                <c:ptCount val="101"/>
                <c:pt idx="0">
                  <c:v>0</c:v>
                </c:pt>
                <c:pt idx="1">
                  <c:v>29.440573150651701</c:v>
                </c:pt>
                <c:pt idx="2">
                  <c:v>45.371983393416883</c:v>
                </c:pt>
                <c:pt idx="3">
                  <c:v>55.351711021400476</c:v>
                </c:pt>
                <c:pt idx="4">
                  <c:v>62.186025383571454</c:v>
                </c:pt>
                <c:pt idx="5">
                  <c:v>67.154245624170855</c:v>
                </c:pt>
                <c:pt idx="6">
                  <c:v>70.908540185338666</c:v>
                </c:pt>
                <c:pt idx="7">
                  <c:v>73.853612614557406</c:v>
                </c:pt>
                <c:pt idx="8">
                  <c:v>76.224152147015232</c:v>
                </c:pt>
                <c:pt idx="9">
                  <c:v>78.172096987809468</c:v>
                </c:pt>
                <c:pt idx="10">
                  <c:v>79.80015207630079</c:v>
                </c:pt>
                <c:pt idx="11">
                  <c:v>81.180236313129157</c:v>
                </c:pt>
                <c:pt idx="12">
                  <c:v>82.364213625063982</c:v>
                </c:pt>
                <c:pt idx="13">
                  <c:v>83.390427933436754</c:v>
                </c:pt>
                <c:pt idx="14">
                  <c:v>84.287839140610387</c:v>
                </c:pt>
                <c:pt idx="15">
                  <c:v>85.078728338529004</c:v>
                </c:pt>
                <c:pt idx="16">
                  <c:v>85.780518208173632</c:v>
                </c:pt>
                <c:pt idx="17">
                  <c:v>86.407028789322908</c:v>
                </c:pt>
                <c:pt idx="18">
                  <c:v>86.969362896035477</c:v>
                </c:pt>
                <c:pt idx="19">
                  <c:v>87.476542637606059</c:v>
                </c:pt>
                <c:pt idx="20">
                  <c:v>87.93597501823524</c:v>
                </c:pt>
                <c:pt idx="21">
                  <c:v>88.353797867591695</c:v>
                </c:pt>
                <c:pt idx="22">
                  <c:v>88.735140512041895</c:v>
                </c:pt>
                <c:pt idx="23">
                  <c:v>89.084322734803365</c:v>
                </c:pt>
                <c:pt idx="24">
                  <c:v>89.405008422368695</c:v>
                </c:pt>
                <c:pt idx="25">
                  <c:v>89.700325497259172</c:v>
                </c:pt>
                <c:pt idx="26">
                  <c:v>89.972960463128956</c:v>
                </c:pt>
                <c:pt idx="27">
                  <c:v>90.225233618361074</c:v>
                </c:pt>
                <c:pt idx="28">
                  <c:v>90.459159397651987</c:v>
                </c:pt>
                <c:pt idx="29">
                  <c:v>90.676495162887321</c:v>
                </c:pt>
                <c:pt idx="30">
                  <c:v>90.878780943125719</c:v>
                </c:pt>
                <c:pt idx="31">
                  <c:v>91.067372023749783</c:v>
                </c:pt>
                <c:pt idx="32">
                  <c:v>91.243465842253059</c:v>
                </c:pt>
                <c:pt idx="33">
                  <c:v>91.408124318242102</c:v>
                </c:pt>
                <c:pt idx="34">
                  <c:v>91.562292497033326</c:v>
                </c:pt>
                <c:pt idx="35">
                  <c:v>91.706814197841837</c:v>
                </c:pt>
                <c:pt idx="36">
                  <c:v>91.842445213392466</c:v>
                </c:pt>
                <c:pt idx="37">
                  <c:v>91.969864496594724</c:v>
                </c:pt>
                <c:pt idx="38">
                  <c:v>92.08968368353905</c:v>
                </c:pt>
                <c:pt idx="39">
                  <c:v>92.202455234490969</c:v>
                </c:pt>
                <c:pt idx="40">
                  <c:v>92.308679421343896</c:v>
                </c:pt>
                <c:pt idx="41">
                  <c:v>92.408810347824527</c:v>
                </c:pt>
                <c:pt idx="42">
                  <c:v>92.503261155135988</c:v>
                </c:pt>
                <c:pt idx="43">
                  <c:v>92.592408538786358</c:v>
                </c:pt>
                <c:pt idx="44">
                  <c:v>92.676596680643158</c:v>
                </c:pt>
                <c:pt idx="45">
                  <c:v>92.756140682674399</c:v>
                </c:pt>
                <c:pt idx="46">
                  <c:v>92.831329574529406</c:v>
                </c:pt>
                <c:pt idx="47">
                  <c:v>92.902428955414365</c:v>
                </c:pt>
                <c:pt idx="48">
                  <c:v>92.96968332111129</c:v>
                </c:pt>
                <c:pt idx="49">
                  <c:v>93.033318119066195</c:v>
                </c:pt>
                <c:pt idx="50">
                  <c:v>93.093541567911473</c:v>
                </c:pt>
                <c:pt idx="51">
                  <c:v>93.150546272334637</c:v>
                </c:pt>
                <c:pt idx="52">
                  <c:v>93.204510659653764</c:v>
                </c:pt>
                <c:pt idx="53">
                  <c:v>93.255600260651022</c:v>
                </c:pt>
                <c:pt idx="54">
                  <c:v>93.303968854012595</c:v>
                </c:pt>
                <c:pt idx="55">
                  <c:v>93.34975949102467</c:v>
                </c:pt>
                <c:pt idx="56">
                  <c:v>93.393105414892091</c:v>
                </c:pt>
                <c:pt idx="57">
                  <c:v>93.434130887109362</c:v>
                </c:pt>
                <c:pt idx="58">
                  <c:v>93.472951931666245</c:v>
                </c:pt>
                <c:pt idx="59">
                  <c:v>93.509677006463633</c:v>
                </c:pt>
                <c:pt idx="60">
                  <c:v>93.544407610112515</c:v>
                </c:pt>
                <c:pt idx="61">
                  <c:v>93.577238831256921</c:v>
                </c:pt>
                <c:pt idx="62">
                  <c:v>93.608259846673249</c:v>
                </c:pt>
                <c:pt idx="63">
                  <c:v>93.637554373633662</c:v>
                </c:pt>
                <c:pt idx="64">
                  <c:v>93.665201081358745</c:v>
                </c:pt>
                <c:pt idx="65">
                  <c:v>93.6912739658124</c:v>
                </c:pt>
                <c:pt idx="66">
                  <c:v>93.715842691592911</c:v>
                </c:pt>
                <c:pt idx="67">
                  <c:v>93.738972904242203</c:v>
                </c:pt>
                <c:pt idx="68">
                  <c:v>93.760726515916588</c:v>
                </c:pt>
                <c:pt idx="69">
                  <c:v>93.781161967033114</c:v>
                </c:pt>
                <c:pt idx="70">
                  <c:v>93.800334466215446</c:v>
                </c:pt>
                <c:pt idx="71">
                  <c:v>93.818296210611166</c:v>
                </c:pt>
                <c:pt idx="72">
                  <c:v>93.835096588428016</c:v>
                </c:pt>
                <c:pt idx="73">
                  <c:v>93.850782365341246</c:v>
                </c:pt>
                <c:pt idx="74">
                  <c:v>93.865397856251207</c:v>
                </c:pt>
                <c:pt idx="75">
                  <c:v>93.8789850837166</c:v>
                </c:pt>
                <c:pt idx="76">
                  <c:v>93.891583924254206</c:v>
                </c:pt>
                <c:pt idx="77">
                  <c:v>93.903232243575474</c:v>
                </c:pt>
                <c:pt idx="78">
                  <c:v>93.913966021723823</c:v>
                </c:pt>
                <c:pt idx="79">
                  <c:v>93.923819468981776</c:v>
                </c:pt>
                <c:pt idx="80">
                  <c:v>93.932825133332415</c:v>
                </c:pt>
                <c:pt idx="81">
                  <c:v>93.941014000184936</c:v>
                </c:pt>
                <c:pt idx="82">
                  <c:v>93.948415585005691</c:v>
                </c:pt>
                <c:pt idx="83">
                  <c:v>93.955058019437104</c:v>
                </c:pt>
                <c:pt idx="84">
                  <c:v>93.960968131432338</c:v>
                </c:pt>
                <c:pt idx="85">
                  <c:v>93.966171519885052</c:v>
                </c:pt>
                <c:pt idx="86">
                  <c:v>93.970692624190718</c:v>
                </c:pt>
                <c:pt idx="87">
                  <c:v>93.97455478913642</c:v>
                </c:pt>
                <c:pt idx="88">
                  <c:v>93.977780325481191</c:v>
                </c:pt>
                <c:pt idx="89">
                  <c:v>93.980390566557091</c:v>
                </c:pt>
                <c:pt idx="90">
                  <c:v>93.982405921192637</c:v>
                </c:pt>
                <c:pt idx="91">
                  <c:v>93.983845923234469</c:v>
                </c:pt>
                <c:pt idx="92">
                  <c:v>93.984729277919627</c:v>
                </c:pt>
                <c:pt idx="93">
                  <c:v>93.985073905329457</c:v>
                </c:pt>
                <c:pt idx="94">
                  <c:v>93.984896981137595</c:v>
                </c:pt>
                <c:pt idx="95">
                  <c:v>93.98421497484614</c:v>
                </c:pt>
                <c:pt idx="96">
                  <c:v>93.983043685689253</c:v>
                </c:pt>
                <c:pt idx="97">
                  <c:v>93.981398276368097</c:v>
                </c:pt>
                <c:pt idx="98">
                  <c:v>93.979293304768888</c:v>
                </c:pt>
                <c:pt idx="99">
                  <c:v>93.976742753802796</c:v>
                </c:pt>
                <c:pt idx="100">
                  <c:v>93.97376005949674</c:v>
                </c:pt>
              </c:numCache>
            </c:numRef>
          </c:yVal>
          <c:smooth val="1"/>
          <c:extLst>
            <c:ext xmlns:c16="http://schemas.microsoft.com/office/drawing/2014/chart" uri="{C3380CC4-5D6E-409C-BE32-E72D297353CC}">
              <c16:uniqueId val="{00000008-1F98-4669-B27B-9CB36E467256}"/>
            </c:ext>
          </c:extLst>
        </c:ser>
        <c:ser>
          <c:idx val="5"/>
          <c:order val="8"/>
          <c:tx>
            <c:v>Plot 2 Efficiency</c:v>
          </c:tx>
          <c:spPr>
            <a:ln w="19050" cap="rnd">
              <a:solidFill>
                <a:srgbClr val="0000FF"/>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Calculator'!$CV$156:$CV$256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5-1F98-4669-B27B-9CB36E467256}"/>
            </c:ext>
          </c:extLst>
        </c:ser>
        <c:ser>
          <c:idx val="11"/>
          <c:order val="11"/>
          <c:tx>
            <c:v>Plot 2 Saved Efficiency</c:v>
          </c:tx>
          <c:spPr>
            <a:ln w="19050" cap="rnd">
              <a:solidFill>
                <a:srgbClr val="0000FF"/>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Calculator'!$DD$156:$DD$256</c:f>
              <c:numCache>
                <c:formatCode>0.00</c:formatCode>
                <c:ptCount val="101"/>
                <c:pt idx="0">
                  <c:v>0</c:v>
                </c:pt>
                <c:pt idx="1">
                  <c:v>38.354121553191092</c:v>
                </c:pt>
                <c:pt idx="2">
                  <c:v>55.371036811864968</c:v>
                </c:pt>
                <c:pt idx="3">
                  <c:v>64.972768566349018</c:v>
                </c:pt>
                <c:pt idx="4">
                  <c:v>71.133256657281109</c:v>
                </c:pt>
                <c:pt idx="5">
                  <c:v>75.413960196660483</c:v>
                </c:pt>
                <c:pt idx="6">
                  <c:v>78.533810853358659</c:v>
                </c:pt>
                <c:pt idx="7">
                  <c:v>80.919446970289528</c:v>
                </c:pt>
                <c:pt idx="8">
                  <c:v>82.800801083141067</c:v>
                </c:pt>
                <c:pt idx="9">
                  <c:v>84.320872696259926</c:v>
                </c:pt>
                <c:pt idx="10">
                  <c:v>85.573264926730943</c:v>
                </c:pt>
                <c:pt idx="11">
                  <c:v>86.621817790450024</c:v>
                </c:pt>
                <c:pt idx="12">
                  <c:v>87.511566831474056</c:v>
                </c:pt>
                <c:pt idx="13">
                  <c:v>88.275191951698872</c:v>
                </c:pt>
                <c:pt idx="14">
                  <c:v>88.936982698460582</c:v>
                </c:pt>
                <c:pt idx="15">
                  <c:v>89.515368565610274</c:v>
                </c:pt>
                <c:pt idx="16">
                  <c:v>90.024585698588169</c:v>
                </c:pt>
                <c:pt idx="17">
                  <c:v>90.475805366876784</c:v>
                </c:pt>
                <c:pt idx="18">
                  <c:v>90.877916628522271</c:v>
                </c:pt>
                <c:pt idx="19">
                  <c:v>91.238080809867384</c:v>
                </c:pt>
                <c:pt idx="20">
                  <c:v>91.562131818643721</c:v>
                </c:pt>
                <c:pt idx="21">
                  <c:v>91.854870083965139</c:v>
                </c:pt>
                <c:pt idx="22">
                  <c:v>92.120281701653667</c:v>
                </c:pt>
                <c:pt idx="23">
                  <c:v>92.361704085463003</c:v>
                </c:pt>
                <c:pt idx="24">
                  <c:v>92.581952763069623</c:v>
                </c:pt>
                <c:pt idx="25">
                  <c:v>92.783419549680445</c:v>
                </c:pt>
                <c:pt idx="26">
                  <c:v>92.968149363886084</c:v>
                </c:pt>
                <c:pt idx="27">
                  <c:v>93.137900916884774</c:v>
                </c:pt>
                <c:pt idx="28">
                  <c:v>93.294195091417109</c:v>
                </c:pt>
                <c:pt idx="29">
                  <c:v>93.438353828355076</c:v>
                </c:pt>
                <c:pt idx="30">
                  <c:v>93.571531625028328</c:v>
                </c:pt>
                <c:pt idx="31">
                  <c:v>93.694741232709973</c:v>
                </c:pt>
                <c:pt idx="32">
                  <c:v>93.808874762499272</c:v>
                </c:pt>
                <c:pt idx="33">
                  <c:v>93.91472112908184</c:v>
                </c:pt>
                <c:pt idx="34">
                  <c:v>94.012980552857528</c:v>
                </c:pt>
                <c:pt idx="35">
                  <c:v>94.104276683354399</c:v>
                </c:pt>
                <c:pt idx="36">
                  <c:v>94.189166787013335</c:v>
                </c:pt>
                <c:pt idx="37">
                  <c:v>94.268150350548169</c:v>
                </c:pt>
                <c:pt idx="38">
                  <c:v>94.341676380099599</c:v>
                </c:pt>
                <c:pt idx="39">
                  <c:v>94.410149621158212</c:v>
                </c:pt>
                <c:pt idx="40">
                  <c:v>94.47393588094657</c:v>
                </c:pt>
                <c:pt idx="41">
                  <c:v>94.533366600813494</c:v>
                </c:pt>
                <c:pt idx="42">
                  <c:v>94.58874279910755</c:v>
                </c:pt>
                <c:pt idx="43">
                  <c:v>94.640338483378144</c:v>
                </c:pt>
                <c:pt idx="44">
                  <c:v>94.688403613403452</c:v>
                </c:pt>
                <c:pt idx="45">
                  <c:v>94.733166682546752</c:v>
                </c:pt>
                <c:pt idx="46">
                  <c:v>94.774836973593267</c:v>
                </c:pt>
                <c:pt idx="47">
                  <c:v>94.813606535972568</c:v>
                </c:pt>
                <c:pt idx="48">
                  <c:v>94.84965192370322</c:v>
                </c:pt>
                <c:pt idx="49">
                  <c:v>94.883135727174476</c:v>
                </c:pt>
                <c:pt idx="50">
                  <c:v>94.914207926743941</c:v>
                </c:pt>
                <c:pt idx="51">
                  <c:v>94.943007091873042</c:v>
                </c:pt>
                <c:pt idx="52">
                  <c:v>94.969661445980165</c:v>
                </c:pt>
                <c:pt idx="53">
                  <c:v>94.994289814233511</c:v>
                </c:pt>
                <c:pt idx="54">
                  <c:v>95.017002469027005</c:v>
                </c:pt>
                <c:pt idx="55">
                  <c:v>95.037901885797595</c:v>
                </c:pt>
                <c:pt idx="56">
                  <c:v>95.057083420083984</c:v>
                </c:pt>
                <c:pt idx="57">
                  <c:v>95.07463591523792</c:v>
                </c:pt>
                <c:pt idx="58">
                  <c:v>95.090642248935708</c:v>
                </c:pt>
                <c:pt idx="59">
                  <c:v>95.10517982556172</c:v>
                </c:pt>
                <c:pt idx="60">
                  <c:v>95.118321020616378</c:v>
                </c:pt>
                <c:pt idx="61">
                  <c:v>95.130133582515825</c:v>
                </c:pt>
                <c:pt idx="62">
                  <c:v>95.140680996473435</c:v>
                </c:pt>
                <c:pt idx="63">
                  <c:v>95.150022814573902</c:v>
                </c:pt>
                <c:pt idx="64">
                  <c:v>95.158214955648333</c:v>
                </c:pt>
                <c:pt idx="65">
                  <c:v>95.165309978125251</c:v>
                </c:pt>
                <c:pt idx="66">
                  <c:v>95.171357328656867</c:v>
                </c:pt>
                <c:pt idx="67">
                  <c:v>95.176403568993067</c:v>
                </c:pt>
                <c:pt idx="68">
                  <c:v>95.180492583291795</c:v>
                </c:pt>
                <c:pt idx="69">
                  <c:v>95.183665767805863</c:v>
                </c:pt>
                <c:pt idx="70">
                  <c:v>95.185962204669565</c:v>
                </c:pt>
                <c:pt idx="71">
                  <c:v>95.187418821318971</c:v>
                </c:pt>
                <c:pt idx="72">
                  <c:v>95.188070536912349</c:v>
                </c:pt>
                <c:pt idx="73">
                  <c:v>95.187950396970891</c:v>
                </c:pt>
                <c:pt idx="74">
                  <c:v>95.187089697330833</c:v>
                </c:pt>
                <c:pt idx="75">
                  <c:v>95.185518098384037</c:v>
                </c:pt>
                <c:pt idx="76">
                  <c:v>95.183263730483105</c:v>
                </c:pt>
                <c:pt idx="77">
                  <c:v>95.180353291298317</c:v>
                </c:pt>
                <c:pt idx="78">
                  <c:v>95.176812135834226</c:v>
                </c:pt>
                <c:pt idx="79">
                  <c:v>95.172664359743536</c:v>
                </c:pt>
                <c:pt idx="80">
                  <c:v>95.167932876513433</c:v>
                </c:pt>
                <c:pt idx="81">
                  <c:v>95.16263948904394</c:v>
                </c:pt>
                <c:pt idx="82">
                  <c:v>95.156804956087583</c:v>
                </c:pt>
                <c:pt idx="83">
                  <c:v>95.150449053976047</c:v>
                </c:pt>
                <c:pt idx="84">
                  <c:v>95.143590634019176</c:v>
                </c:pt>
                <c:pt idx="85">
                  <c:v>95.136247675926072</c:v>
                </c:pt>
                <c:pt idx="86">
                  <c:v>95.128437337566609</c:v>
                </c:pt>
                <c:pt idx="87">
                  <c:v>95.120176001361983</c:v>
                </c:pt>
                <c:pt idx="88">
                  <c:v>95.111479317568453</c:v>
                </c:pt>
                <c:pt idx="89">
                  <c:v>95.102362244693566</c:v>
                </c:pt>
                <c:pt idx="90">
                  <c:v>95.092839087264764</c:v>
                </c:pt>
                <c:pt idx="91">
                  <c:v>95.082923531150001</c:v>
                </c:pt>
                <c:pt idx="92">
                  <c:v>95.072628676613931</c:v>
                </c:pt>
                <c:pt idx="93">
                  <c:v>95.061967069276946</c:v>
                </c:pt>
                <c:pt idx="94">
                  <c:v>95.050950729130719</c:v>
                </c:pt>
                <c:pt idx="95">
                  <c:v>95.039591177751262</c:v>
                </c:pt>
                <c:pt idx="96">
                  <c:v>95.027899463838736</c:v>
                </c:pt>
                <c:pt idx="97">
                  <c:v>95.015886187202597</c:v>
                </c:pt>
                <c:pt idx="98">
                  <c:v>95.003561521301776</c:v>
                </c:pt>
                <c:pt idx="99">
                  <c:v>94.990935234440116</c:v>
                </c:pt>
                <c:pt idx="100">
                  <c:v>94.978016709709863</c:v>
                </c:pt>
              </c:numCache>
            </c:numRef>
          </c:yVal>
          <c:smooth val="1"/>
          <c:extLst>
            <c:ext xmlns:c16="http://schemas.microsoft.com/office/drawing/2014/chart" uri="{C3380CC4-5D6E-409C-BE32-E72D297353CC}">
              <c16:uniqueId val="{0000000B-1F98-4669-B27B-9CB36E467256}"/>
            </c:ext>
          </c:extLst>
        </c:ser>
        <c:dLbls>
          <c:showLegendKey val="0"/>
          <c:showVal val="0"/>
          <c:showCatName val="0"/>
          <c:showSerName val="0"/>
          <c:showPercent val="0"/>
          <c:showBubbleSize val="0"/>
        </c:dLbls>
        <c:axId val="1445999951"/>
        <c:axId val="1070374975"/>
      </c:scatterChart>
      <c:scatterChart>
        <c:scatterStyle val="smoothMarker"/>
        <c:varyColors val="0"/>
        <c:ser>
          <c:idx val="0"/>
          <c:order val="0"/>
          <c:tx>
            <c:v>Plot 1 Sense Loss</c:v>
          </c:tx>
          <c:spPr>
            <a:ln w="19050" cap="rnd">
              <a:solidFill>
                <a:schemeClr val="accent4"/>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Calculator'!$CP$156:$CP$256</c:f>
              <c:numCache>
                <c:formatCode>0.00</c:formatCode>
                <c:ptCount val="101"/>
                <c:pt idx="0">
                  <c:v>0</c:v>
                </c:pt>
                <c:pt idx="1">
                  <c:v>1.7012145833333333E-4</c:v>
                </c:pt>
                <c:pt idx="2">
                  <c:v>6.8048583333333332E-4</c:v>
                </c:pt>
                <c:pt idx="3">
                  <c:v>1.531093125E-3</c:v>
                </c:pt>
                <c:pt idx="4">
                  <c:v>2.7219433333333333E-3</c:v>
                </c:pt>
                <c:pt idx="5">
                  <c:v>4.2530364583333339E-3</c:v>
                </c:pt>
                <c:pt idx="6">
                  <c:v>6.1243725000000001E-3</c:v>
                </c:pt>
                <c:pt idx="7">
                  <c:v>8.3359514583333343E-3</c:v>
                </c:pt>
                <c:pt idx="8">
                  <c:v>1.0887773333333333E-2</c:v>
                </c:pt>
                <c:pt idx="9">
                  <c:v>1.3779838124999999E-2</c:v>
                </c:pt>
                <c:pt idx="10">
                  <c:v>1.7012145833333336E-2</c:v>
                </c:pt>
                <c:pt idx="11">
                  <c:v>2.0584696458333333E-2</c:v>
                </c:pt>
                <c:pt idx="12">
                  <c:v>2.449749E-2</c:v>
                </c:pt>
                <c:pt idx="13">
                  <c:v>2.8750526458333335E-2</c:v>
                </c:pt>
                <c:pt idx="14">
                  <c:v>3.3343805833333337E-2</c:v>
                </c:pt>
                <c:pt idx="15">
                  <c:v>3.8277328124999996E-2</c:v>
                </c:pt>
                <c:pt idx="16">
                  <c:v>4.3551093333333332E-2</c:v>
                </c:pt>
                <c:pt idx="17">
                  <c:v>4.9165101458333318E-2</c:v>
                </c:pt>
                <c:pt idx="18">
                  <c:v>5.5119352499999996E-2</c:v>
                </c:pt>
                <c:pt idx="19">
                  <c:v>6.1413846458333324E-2</c:v>
                </c:pt>
                <c:pt idx="20">
                  <c:v>6.8048583333333343E-2</c:v>
                </c:pt>
                <c:pt idx="21">
                  <c:v>7.5023563124999998E-2</c:v>
                </c:pt>
                <c:pt idx="22">
                  <c:v>8.2338785833333331E-2</c:v>
                </c:pt>
                <c:pt idx="23">
                  <c:v>8.9994251458333313E-2</c:v>
                </c:pt>
                <c:pt idx="24">
                  <c:v>9.7989960000000001E-2</c:v>
                </c:pt>
                <c:pt idx="25">
                  <c:v>0.10632591145833334</c:v>
                </c:pt>
                <c:pt idx="26">
                  <c:v>0.11500210583333334</c:v>
                </c:pt>
                <c:pt idx="27">
                  <c:v>0.12401854312500001</c:v>
                </c:pt>
                <c:pt idx="28">
                  <c:v>0.13337522333333335</c:v>
                </c:pt>
                <c:pt idx="29">
                  <c:v>0.1430721464583333</c:v>
                </c:pt>
                <c:pt idx="30">
                  <c:v>0.15310931249999998</c:v>
                </c:pt>
                <c:pt idx="31">
                  <c:v>0.16348672145833332</c:v>
                </c:pt>
                <c:pt idx="32">
                  <c:v>0.17420437333333333</c:v>
                </c:pt>
                <c:pt idx="33">
                  <c:v>0.18526226812499993</c:v>
                </c:pt>
                <c:pt idx="34">
                  <c:v>0.19666040583333327</c:v>
                </c:pt>
                <c:pt idx="35">
                  <c:v>0.20839878645833329</c:v>
                </c:pt>
                <c:pt idx="36">
                  <c:v>0.22047740999999998</c:v>
                </c:pt>
                <c:pt idx="37">
                  <c:v>0.23289627645833336</c:v>
                </c:pt>
                <c:pt idx="38">
                  <c:v>0.2456553858333333</c:v>
                </c:pt>
                <c:pt idx="39">
                  <c:v>0.25875473812499988</c:v>
                </c:pt>
                <c:pt idx="40">
                  <c:v>0.27219433333333337</c:v>
                </c:pt>
                <c:pt idx="41">
                  <c:v>0.2859741714583332</c:v>
                </c:pt>
                <c:pt idx="42">
                  <c:v>0.30009425249999999</c:v>
                </c:pt>
                <c:pt idx="43">
                  <c:v>0.31455457645833323</c:v>
                </c:pt>
                <c:pt idx="44">
                  <c:v>0.32935514333333332</c:v>
                </c:pt>
                <c:pt idx="45">
                  <c:v>0.34449595312500003</c:v>
                </c:pt>
                <c:pt idx="46">
                  <c:v>0.35997700583333325</c:v>
                </c:pt>
                <c:pt idx="47">
                  <c:v>0.37579830145833343</c:v>
                </c:pt>
                <c:pt idx="48">
                  <c:v>0.39195984</c:v>
                </c:pt>
                <c:pt idx="49">
                  <c:v>0.40846162145833337</c:v>
                </c:pt>
                <c:pt idx="50">
                  <c:v>0.42530364583333335</c:v>
                </c:pt>
                <c:pt idx="51">
                  <c:v>0.44248591312499991</c:v>
                </c:pt>
                <c:pt idx="52">
                  <c:v>0.46000842333333336</c:v>
                </c:pt>
                <c:pt idx="53">
                  <c:v>0.47787117645833321</c:v>
                </c:pt>
                <c:pt idx="54">
                  <c:v>0.49607417250000002</c:v>
                </c:pt>
                <c:pt idx="55">
                  <c:v>0.51461741145833317</c:v>
                </c:pt>
                <c:pt idx="56">
                  <c:v>0.53350089333333339</c:v>
                </c:pt>
                <c:pt idx="57">
                  <c:v>0.55272461812499996</c:v>
                </c:pt>
                <c:pt idx="58">
                  <c:v>0.5722885858333332</c:v>
                </c:pt>
                <c:pt idx="59">
                  <c:v>0.59219279645833334</c:v>
                </c:pt>
                <c:pt idx="60">
                  <c:v>0.61243724999999993</c:v>
                </c:pt>
                <c:pt idx="61">
                  <c:v>0.63302194645833321</c:v>
                </c:pt>
                <c:pt idx="62">
                  <c:v>0.65394688583333327</c:v>
                </c:pt>
                <c:pt idx="63">
                  <c:v>0.67521206812500012</c:v>
                </c:pt>
                <c:pt idx="64">
                  <c:v>0.69681749333333332</c:v>
                </c:pt>
                <c:pt idx="65">
                  <c:v>0.7187631614583333</c:v>
                </c:pt>
                <c:pt idx="66">
                  <c:v>0.74104907249999974</c:v>
                </c:pt>
                <c:pt idx="67">
                  <c:v>0.7636752264583333</c:v>
                </c:pt>
                <c:pt idx="68">
                  <c:v>0.7866416233333331</c:v>
                </c:pt>
                <c:pt idx="69">
                  <c:v>0.80994826312500001</c:v>
                </c:pt>
                <c:pt idx="70">
                  <c:v>0.83359514583333316</c:v>
                </c:pt>
                <c:pt idx="71">
                  <c:v>0.85758227145833332</c:v>
                </c:pt>
                <c:pt idx="72">
                  <c:v>0.88190963999999994</c:v>
                </c:pt>
                <c:pt idx="73">
                  <c:v>0.90657725145833323</c:v>
                </c:pt>
                <c:pt idx="74">
                  <c:v>0.93158510583333343</c:v>
                </c:pt>
                <c:pt idx="75">
                  <c:v>0.95693320312499996</c:v>
                </c:pt>
                <c:pt idx="76">
                  <c:v>0.98262154333333318</c:v>
                </c:pt>
                <c:pt idx="77">
                  <c:v>1.0086501264583334</c:v>
                </c:pt>
                <c:pt idx="78">
                  <c:v>1.0350189524999995</c:v>
                </c:pt>
                <c:pt idx="79">
                  <c:v>1.0617280214583333</c:v>
                </c:pt>
                <c:pt idx="80">
                  <c:v>1.0887773333333335</c:v>
                </c:pt>
                <c:pt idx="81">
                  <c:v>1.116166888125</c:v>
                </c:pt>
                <c:pt idx="82">
                  <c:v>1.1438966858333328</c:v>
                </c:pt>
                <c:pt idx="83">
                  <c:v>1.1719667264583336</c:v>
                </c:pt>
                <c:pt idx="84">
                  <c:v>1.20037701</c:v>
                </c:pt>
                <c:pt idx="85">
                  <c:v>1.2291275364583332</c:v>
                </c:pt>
                <c:pt idx="86">
                  <c:v>1.2582183058333329</c:v>
                </c:pt>
                <c:pt idx="87">
                  <c:v>1.2876493181249997</c:v>
                </c:pt>
                <c:pt idx="88">
                  <c:v>1.3174205733333333</c:v>
                </c:pt>
                <c:pt idx="89">
                  <c:v>1.3475320714583332</c:v>
                </c:pt>
                <c:pt idx="90">
                  <c:v>1.3779838125000001</c:v>
                </c:pt>
                <c:pt idx="91">
                  <c:v>1.408775796458333</c:v>
                </c:pt>
                <c:pt idx="92">
                  <c:v>1.439908023333333</c:v>
                </c:pt>
                <c:pt idx="93">
                  <c:v>1.4713804931250003</c:v>
                </c:pt>
                <c:pt idx="94">
                  <c:v>1.5031932058333337</c:v>
                </c:pt>
                <c:pt idx="95">
                  <c:v>1.5353461614583332</c:v>
                </c:pt>
                <c:pt idx="96">
                  <c:v>1.56783936</c:v>
                </c:pt>
                <c:pt idx="97">
                  <c:v>1.6006728014583331</c:v>
                </c:pt>
                <c:pt idx="98">
                  <c:v>1.6338464858333335</c:v>
                </c:pt>
                <c:pt idx="99">
                  <c:v>1.6673604131249999</c:v>
                </c:pt>
                <c:pt idx="100">
                  <c:v>1.7012145833333334</c:v>
                </c:pt>
              </c:numCache>
            </c:numRef>
          </c:yVal>
          <c:smooth val="1"/>
          <c:extLst>
            <c:ext xmlns:c16="http://schemas.microsoft.com/office/drawing/2014/chart" uri="{C3380CC4-5D6E-409C-BE32-E72D297353CC}">
              <c16:uniqueId val="{00000000-1F98-4669-B27B-9CB36E467256}"/>
            </c:ext>
          </c:extLst>
        </c:ser>
        <c:ser>
          <c:idx val="1"/>
          <c:order val="1"/>
          <c:tx>
            <c:v>Plot 1 MOSFET Losses</c:v>
          </c:tx>
          <c:spPr>
            <a:ln w="19050" cap="rnd">
              <a:solidFill>
                <a:schemeClr val="accent2"/>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Calculator'!$CQ$156:$CQ$256</c:f>
              <c:numCache>
                <c:formatCode>0.00</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1"/>
          <c:extLst>
            <c:ext xmlns:c16="http://schemas.microsoft.com/office/drawing/2014/chart" uri="{C3380CC4-5D6E-409C-BE32-E72D297353CC}">
              <c16:uniqueId val="{00000001-1F98-4669-B27B-9CB36E467256}"/>
            </c:ext>
          </c:extLst>
        </c:ser>
        <c:ser>
          <c:idx val="6"/>
          <c:order val="3"/>
          <c:tx>
            <c:v>Plot 1 Saved Sense Loss</c:v>
          </c:tx>
          <c:spPr>
            <a:ln w="19050" cap="rnd">
              <a:solidFill>
                <a:schemeClr val="accent4"/>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Calculator'!$CX$156:$CX$256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6-1F98-4669-B27B-9CB36E467256}"/>
            </c:ext>
          </c:extLst>
        </c:ser>
        <c:ser>
          <c:idx val="7"/>
          <c:order val="4"/>
          <c:tx>
            <c:v>Plot 1 Saved MOSFET Losses</c:v>
          </c:tx>
          <c:spPr>
            <a:ln w="19050" cap="rnd">
              <a:solidFill>
                <a:schemeClr val="accent2"/>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Calculator'!$CY$156:$CY$256</c:f>
              <c:numCache>
                <c:formatCode>0.00</c:formatCode>
                <c:ptCount val="101"/>
                <c:pt idx="0">
                  <c:v>0</c:v>
                </c:pt>
                <c:pt idx="1">
                  <c:v>1.4378611452715013</c:v>
                </c:pt>
                <c:pt idx="2">
                  <c:v>1.4442333052026866</c:v>
                </c:pt>
                <c:pt idx="3">
                  <c:v>1.4506480878740322</c:v>
                </c:pt>
                <c:pt idx="4">
                  <c:v>1.4571054978604345</c:v>
                </c:pt>
                <c:pt idx="5">
                  <c:v>1.4637609713658826</c:v>
                </c:pt>
                <c:pt idx="6">
                  <c:v>1.4718268827464931</c:v>
                </c:pt>
                <c:pt idx="7">
                  <c:v>1.4799354406328953</c:v>
                </c:pt>
                <c:pt idx="8">
                  <c:v>1.4880866495760192</c:v>
                </c:pt>
                <c:pt idx="9">
                  <c:v>1.4962805141198272</c:v>
                </c:pt>
                <c:pt idx="10">
                  <c:v>1.5045170388013294</c:v>
                </c:pt>
                <c:pt idx="11">
                  <c:v>1.5127962281505936</c:v>
                </c:pt>
                <c:pt idx="12">
                  <c:v>1.5211180866907628</c:v>
                </c:pt>
                <c:pt idx="13">
                  <c:v>1.5294826189380639</c:v>
                </c:pt>
                <c:pt idx="14">
                  <c:v>1.5378898294018255</c:v>
                </c:pt>
                <c:pt idx="15">
                  <c:v>1.5463397225844857</c:v>
                </c:pt>
                <c:pt idx="16">
                  <c:v>1.5548323029816116</c:v>
                </c:pt>
                <c:pt idx="17">
                  <c:v>1.5633675750819072</c:v>
                </c:pt>
                <c:pt idx="18">
                  <c:v>1.5719455433672296</c:v>
                </c:pt>
                <c:pt idx="19">
                  <c:v>1.5805662123126005</c:v>
                </c:pt>
                <c:pt idx="20">
                  <c:v>1.5892295863862196</c:v>
                </c:pt>
                <c:pt idx="21">
                  <c:v>1.5979356700494787</c:v>
                </c:pt>
                <c:pt idx="22">
                  <c:v>1.6066844677569725</c:v>
                </c:pt>
                <c:pt idx="23">
                  <c:v>1.6154759839565143</c:v>
                </c:pt>
                <c:pt idx="24">
                  <c:v>1.6243102230891464</c:v>
                </c:pt>
                <c:pt idx="25">
                  <c:v>1.633187189589155</c:v>
                </c:pt>
                <c:pt idx="26">
                  <c:v>1.6421068878840812</c:v>
                </c:pt>
                <c:pt idx="27">
                  <c:v>1.6510693223947357</c:v>
                </c:pt>
                <c:pt idx="28">
                  <c:v>1.6600744975352109</c:v>
                </c:pt>
                <c:pt idx="29">
                  <c:v>1.6691224177128923</c:v>
                </c:pt>
                <c:pt idx="30">
                  <c:v>1.678213087328474</c:v>
                </c:pt>
                <c:pt idx="31">
                  <c:v>1.6873465107759693</c:v>
                </c:pt>
                <c:pt idx="32">
                  <c:v>1.6965226924427239</c:v>
                </c:pt>
                <c:pt idx="33">
                  <c:v>1.7057416367094285</c:v>
                </c:pt>
                <c:pt idx="34">
                  <c:v>1.7150033479501332</c:v>
                </c:pt>
                <c:pt idx="35">
                  <c:v>1.7243078305322566</c:v>
                </c:pt>
                <c:pt idx="36">
                  <c:v>1.7336550888166016</c:v>
                </c:pt>
                <c:pt idx="37">
                  <c:v>1.7430451271573661</c:v>
                </c:pt>
                <c:pt idx="38">
                  <c:v>1.7524779499021568</c:v>
                </c:pt>
                <c:pt idx="39">
                  <c:v>1.7619535613920008</c:v>
                </c:pt>
                <c:pt idx="40">
                  <c:v>1.7714719659613578</c:v>
                </c:pt>
                <c:pt idx="41">
                  <c:v>1.7810331679381344</c:v>
                </c:pt>
                <c:pt idx="42">
                  <c:v>1.7906371716436935</c:v>
                </c:pt>
                <c:pt idx="43">
                  <c:v>1.8002839813928699</c:v>
                </c:pt>
                <c:pt idx="44">
                  <c:v>1.8099736014939809</c:v>
                </c:pt>
                <c:pt idx="45">
                  <c:v>1.8197060362488373</c:v>
                </c:pt>
                <c:pt idx="46">
                  <c:v>1.8294812899527604</c:v>
                </c:pt>
                <c:pt idx="47">
                  <c:v>1.8392993668945874</c:v>
                </c:pt>
                <c:pt idx="48">
                  <c:v>1.8491602713566904</c:v>
                </c:pt>
                <c:pt idx="49">
                  <c:v>1.8590640076149842</c:v>
                </c:pt>
                <c:pt idx="50">
                  <c:v>1.8690105799389409</c:v>
                </c:pt>
                <c:pt idx="51">
                  <c:v>1.8789999925916003</c:v>
                </c:pt>
                <c:pt idx="52">
                  <c:v>1.8890322498295833</c:v>
                </c:pt>
                <c:pt idx="53">
                  <c:v>1.8991073559031022</c:v>
                </c:pt>
                <c:pt idx="54">
                  <c:v>1.9092253150559766</c:v>
                </c:pt>
                <c:pt idx="55">
                  <c:v>1.9193861315256413</c:v>
                </c:pt>
                <c:pt idx="56">
                  <c:v>1.9295898095431598</c:v>
                </c:pt>
                <c:pt idx="57">
                  <c:v>1.9398363533332381</c:v>
                </c:pt>
                <c:pt idx="58">
                  <c:v>1.9501257671142336</c:v>
                </c:pt>
                <c:pt idx="59">
                  <c:v>1.9604580550981692</c:v>
                </c:pt>
                <c:pt idx="60">
                  <c:v>1.9708332214907442</c:v>
                </c:pt>
                <c:pt idx="61">
                  <c:v>1.9812512704913474</c:v>
                </c:pt>
                <c:pt idx="62">
                  <c:v>1.9917122062930672</c:v>
                </c:pt>
                <c:pt idx="63">
                  <c:v>2.0022160330827048</c:v>
                </c:pt>
                <c:pt idx="64">
                  <c:v>2.0127627550407854</c:v>
                </c:pt>
                <c:pt idx="65">
                  <c:v>2.0233523763415704</c:v>
                </c:pt>
                <c:pt idx="66">
                  <c:v>2.0339849011530693</c:v>
                </c:pt>
                <c:pt idx="67">
                  <c:v>2.0446603336370504</c:v>
                </c:pt>
                <c:pt idx="68">
                  <c:v>2.055378677949053</c:v>
                </c:pt>
                <c:pt idx="69">
                  <c:v>2.0661399382383996</c:v>
                </c:pt>
                <c:pt idx="70">
                  <c:v>2.0769441186482083</c:v>
                </c:pt>
                <c:pt idx="71">
                  <c:v>2.087791223315401</c:v>
                </c:pt>
                <c:pt idx="72">
                  <c:v>2.0986812563707198</c:v>
                </c:pt>
                <c:pt idx="73">
                  <c:v>2.1096142219387346</c:v>
                </c:pt>
                <c:pt idx="74">
                  <c:v>2.1205901241378569</c:v>
                </c:pt>
                <c:pt idx="75">
                  <c:v>2.1316089670803504</c:v>
                </c:pt>
                <c:pt idx="76">
                  <c:v>2.1426707548723418</c:v>
                </c:pt>
                <c:pt idx="77">
                  <c:v>2.153775491613835</c:v>
                </c:pt>
                <c:pt idx="78">
                  <c:v>2.1649231813987191</c:v>
                </c:pt>
                <c:pt idx="79">
                  <c:v>2.1761138283147829</c:v>
                </c:pt>
                <c:pt idx="80">
                  <c:v>2.1873474364437233</c:v>
                </c:pt>
                <c:pt idx="81">
                  <c:v>2.1986240098611596</c:v>
                </c:pt>
                <c:pt idx="82">
                  <c:v>2.2099435526366418</c:v>
                </c:pt>
                <c:pt idx="83">
                  <c:v>2.2213060688336665</c:v>
                </c:pt>
                <c:pt idx="84">
                  <c:v>2.2327115625096821</c:v>
                </c:pt>
                <c:pt idx="85">
                  <c:v>2.2441600377161048</c:v>
                </c:pt>
                <c:pt idx="86">
                  <c:v>2.2556514984983278</c:v>
                </c:pt>
                <c:pt idx="87">
                  <c:v>2.2671859488957344</c:v>
                </c:pt>
                <c:pt idx="88">
                  <c:v>2.2787633929417059</c:v>
                </c:pt>
                <c:pt idx="89">
                  <c:v>2.2903838346636358</c:v>
                </c:pt>
                <c:pt idx="90">
                  <c:v>2.3020472780829397</c:v>
                </c:pt>
                <c:pt idx="91">
                  <c:v>2.3137537272150666</c:v>
                </c:pt>
                <c:pt idx="92">
                  <c:v>2.325503186069509</c:v>
                </c:pt>
                <c:pt idx="93">
                  <c:v>2.3372956586498157</c:v>
                </c:pt>
                <c:pt idx="94">
                  <c:v>2.349131148953604</c:v>
                </c:pt>
                <c:pt idx="95">
                  <c:v>2.3610096609725653</c:v>
                </c:pt>
                <c:pt idx="96">
                  <c:v>2.3729311986924806</c:v>
                </c:pt>
                <c:pt idx="97">
                  <c:v>2.3848957660932317</c:v>
                </c:pt>
                <c:pt idx="98">
                  <c:v>2.3969033671488114</c:v>
                </c:pt>
                <c:pt idx="99">
                  <c:v>2.4089540058273315</c:v>
                </c:pt>
                <c:pt idx="100">
                  <c:v>2.4210476860910366</c:v>
                </c:pt>
              </c:numCache>
            </c:numRef>
          </c:yVal>
          <c:smooth val="1"/>
          <c:extLst>
            <c:ext xmlns:c16="http://schemas.microsoft.com/office/drawing/2014/chart" uri="{C3380CC4-5D6E-409C-BE32-E72D297353CC}">
              <c16:uniqueId val="{00000007-1F98-4669-B27B-9CB36E467256}"/>
            </c:ext>
          </c:extLst>
        </c:ser>
        <c:ser>
          <c:idx val="3"/>
          <c:order val="6"/>
          <c:tx>
            <c:v>Plot 2 Sense Loss</c:v>
          </c:tx>
          <c:spPr>
            <a:ln w="19050" cap="rnd">
              <a:solidFill>
                <a:srgbClr val="00B0F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Calculator'!$CT$156:$CT$256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3-1F98-4669-B27B-9CB36E467256}"/>
            </c:ext>
          </c:extLst>
        </c:ser>
        <c:ser>
          <c:idx val="4"/>
          <c:order val="7"/>
          <c:tx>
            <c:v>Plot 2 MOSFET Losses</c:v>
          </c:tx>
          <c:spPr>
            <a:ln w="19050" cap="rnd">
              <a:solidFill>
                <a:srgbClr val="0070C0"/>
              </a:solidFill>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Calculator'!$CU$156:$CU$256</c:f>
              <c:numCache>
                <c:formatCode>0.00</c:formatCode>
                <c:ptCount val="10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numCache>
            </c:numRef>
          </c:yVal>
          <c:smooth val="1"/>
          <c:extLst>
            <c:ext xmlns:c16="http://schemas.microsoft.com/office/drawing/2014/chart" uri="{C3380CC4-5D6E-409C-BE32-E72D297353CC}">
              <c16:uniqueId val="{00000004-1F98-4669-B27B-9CB36E467256}"/>
            </c:ext>
          </c:extLst>
        </c:ser>
        <c:ser>
          <c:idx val="9"/>
          <c:order val="9"/>
          <c:tx>
            <c:v>Plot 2 Saved Sense Losses</c:v>
          </c:tx>
          <c:spPr>
            <a:ln w="19050" cap="rnd">
              <a:solidFill>
                <a:srgbClr val="00B0F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Calculator'!$DB$156:$DB$256</c:f>
              <c:numCache>
                <c:formatCode>0.00</c:formatCode>
                <c:ptCount val="101"/>
                <c:pt idx="0">
                  <c:v>0</c:v>
                </c:pt>
                <c:pt idx="1">
                  <c:v>1.4265625000000004E-4</c:v>
                </c:pt>
                <c:pt idx="2">
                  <c:v>5.7062500000000017E-4</c:v>
                </c:pt>
                <c:pt idx="3">
                  <c:v>1.2839062500000001E-3</c:v>
                </c:pt>
                <c:pt idx="4">
                  <c:v>2.2825000000000007E-3</c:v>
                </c:pt>
                <c:pt idx="5">
                  <c:v>3.5664062500000001E-3</c:v>
                </c:pt>
                <c:pt idx="6">
                  <c:v>5.1356250000000004E-3</c:v>
                </c:pt>
                <c:pt idx="7">
                  <c:v>6.9901562499999981E-3</c:v>
                </c:pt>
                <c:pt idx="8">
                  <c:v>9.1300000000000027E-3</c:v>
                </c:pt>
                <c:pt idx="9">
                  <c:v>1.1555156250000004E-2</c:v>
                </c:pt>
                <c:pt idx="10">
                  <c:v>1.4265625000000001E-2</c:v>
                </c:pt>
                <c:pt idx="11">
                  <c:v>1.7261406250000003E-2</c:v>
                </c:pt>
                <c:pt idx="12">
                  <c:v>2.0542500000000002E-2</c:v>
                </c:pt>
                <c:pt idx="13">
                  <c:v>2.4108906249999996E-2</c:v>
                </c:pt>
                <c:pt idx="14">
                  <c:v>2.7960624999999992E-2</c:v>
                </c:pt>
                <c:pt idx="15">
                  <c:v>3.2097656250000002E-2</c:v>
                </c:pt>
                <c:pt idx="16">
                  <c:v>3.6520000000000011E-2</c:v>
                </c:pt>
                <c:pt idx="17">
                  <c:v>4.1227656249999987E-2</c:v>
                </c:pt>
                <c:pt idx="18">
                  <c:v>4.6220625000000015E-2</c:v>
                </c:pt>
                <c:pt idx="19">
                  <c:v>5.149890624999999E-2</c:v>
                </c:pt>
                <c:pt idx="20">
                  <c:v>5.7062500000000002E-2</c:v>
                </c:pt>
                <c:pt idx="21">
                  <c:v>6.291140625000001E-2</c:v>
                </c:pt>
                <c:pt idx="22">
                  <c:v>6.9045625000000013E-2</c:v>
                </c:pt>
                <c:pt idx="23">
                  <c:v>7.5465156249999985E-2</c:v>
                </c:pt>
                <c:pt idx="24">
                  <c:v>8.2170000000000007E-2</c:v>
                </c:pt>
                <c:pt idx="25">
                  <c:v>8.9160156249999997E-2</c:v>
                </c:pt>
                <c:pt idx="26">
                  <c:v>9.6435624999999983E-2</c:v>
                </c:pt>
                <c:pt idx="27">
                  <c:v>0.10399640625000003</c:v>
                </c:pt>
                <c:pt idx="28">
                  <c:v>0.11184249999999997</c:v>
                </c:pt>
                <c:pt idx="29">
                  <c:v>0.11997390625000003</c:v>
                </c:pt>
                <c:pt idx="30">
                  <c:v>0.12839062500000001</c:v>
                </c:pt>
                <c:pt idx="31">
                  <c:v>0.13709265625000003</c:v>
                </c:pt>
                <c:pt idx="32">
                  <c:v>0.14608000000000004</c:v>
                </c:pt>
                <c:pt idx="33">
                  <c:v>0.15535265624999997</c:v>
                </c:pt>
                <c:pt idx="34">
                  <c:v>0.16491062499999995</c:v>
                </c:pt>
                <c:pt idx="35">
                  <c:v>0.17475390625000001</c:v>
                </c:pt>
                <c:pt idx="36">
                  <c:v>0.18488250000000006</c:v>
                </c:pt>
                <c:pt idx="37">
                  <c:v>0.19529640625000003</c:v>
                </c:pt>
                <c:pt idx="38">
                  <c:v>0.20599562499999996</c:v>
                </c:pt>
                <c:pt idx="39">
                  <c:v>0.21698015625</c:v>
                </c:pt>
                <c:pt idx="40">
                  <c:v>0.22825000000000001</c:v>
                </c:pt>
                <c:pt idx="41">
                  <c:v>0.23980515624999998</c:v>
                </c:pt>
                <c:pt idx="42">
                  <c:v>0.25164562500000004</c:v>
                </c:pt>
                <c:pt idx="43">
                  <c:v>0.26377140625000001</c:v>
                </c:pt>
                <c:pt idx="44">
                  <c:v>0.27618250000000005</c:v>
                </c:pt>
                <c:pt idx="45">
                  <c:v>0.28887890625000001</c:v>
                </c:pt>
                <c:pt idx="46">
                  <c:v>0.30186062499999994</c:v>
                </c:pt>
                <c:pt idx="47">
                  <c:v>0.31512765625</c:v>
                </c:pt>
                <c:pt idx="48">
                  <c:v>0.32868000000000003</c:v>
                </c:pt>
                <c:pt idx="49">
                  <c:v>0.34251765625000008</c:v>
                </c:pt>
                <c:pt idx="50">
                  <c:v>0.35664062499999999</c:v>
                </c:pt>
                <c:pt idx="51">
                  <c:v>0.37104890624999998</c:v>
                </c:pt>
                <c:pt idx="52">
                  <c:v>0.38574249999999993</c:v>
                </c:pt>
                <c:pt idx="53">
                  <c:v>0.40072140625000002</c:v>
                </c:pt>
                <c:pt idx="54">
                  <c:v>0.41598562500000014</c:v>
                </c:pt>
                <c:pt idx="55">
                  <c:v>0.43153515625</c:v>
                </c:pt>
                <c:pt idx="56">
                  <c:v>0.44736999999999988</c:v>
                </c:pt>
                <c:pt idx="57">
                  <c:v>0.46349015625000006</c:v>
                </c:pt>
                <c:pt idx="58">
                  <c:v>0.4798956250000001</c:v>
                </c:pt>
                <c:pt idx="59">
                  <c:v>0.49658640625000006</c:v>
                </c:pt>
                <c:pt idx="60">
                  <c:v>0.51356250000000003</c:v>
                </c:pt>
                <c:pt idx="61">
                  <c:v>0.53082390624999998</c:v>
                </c:pt>
                <c:pt idx="62">
                  <c:v>0.54837062500000011</c:v>
                </c:pt>
                <c:pt idx="63">
                  <c:v>0.56620265624999977</c:v>
                </c:pt>
                <c:pt idx="64">
                  <c:v>0.58432000000000017</c:v>
                </c:pt>
                <c:pt idx="65">
                  <c:v>0.60272265624999999</c:v>
                </c:pt>
                <c:pt idx="66">
                  <c:v>0.62141062499999988</c:v>
                </c:pt>
                <c:pt idx="67">
                  <c:v>0.64038390625000008</c:v>
                </c:pt>
                <c:pt idx="68">
                  <c:v>0.6596424999999998</c:v>
                </c:pt>
                <c:pt idx="69">
                  <c:v>0.67918640625000015</c:v>
                </c:pt>
                <c:pt idx="70">
                  <c:v>0.69901562500000003</c:v>
                </c:pt>
                <c:pt idx="71">
                  <c:v>0.71913015624999987</c:v>
                </c:pt>
                <c:pt idx="72">
                  <c:v>0.73953000000000024</c:v>
                </c:pt>
                <c:pt idx="73">
                  <c:v>0.7602151562499998</c:v>
                </c:pt>
                <c:pt idx="74">
                  <c:v>0.78118562500000011</c:v>
                </c:pt>
                <c:pt idx="75">
                  <c:v>0.80244140625000004</c:v>
                </c:pt>
                <c:pt idx="76">
                  <c:v>0.82398249999999984</c:v>
                </c:pt>
                <c:pt idx="77">
                  <c:v>0.84580890625000005</c:v>
                </c:pt>
                <c:pt idx="78">
                  <c:v>0.867920625</c:v>
                </c:pt>
                <c:pt idx="79">
                  <c:v>0.89031765625000026</c:v>
                </c:pt>
                <c:pt idx="80">
                  <c:v>0.91300000000000003</c:v>
                </c:pt>
                <c:pt idx="81">
                  <c:v>0.93596765624999989</c:v>
                </c:pt>
                <c:pt idx="82">
                  <c:v>0.95922062499999994</c:v>
                </c:pt>
                <c:pt idx="83">
                  <c:v>0.98275890625000006</c:v>
                </c:pt>
                <c:pt idx="84">
                  <c:v>1.0065825000000002</c:v>
                </c:pt>
                <c:pt idx="85">
                  <c:v>1.0306914062500001</c:v>
                </c:pt>
                <c:pt idx="86">
                  <c:v>1.055085625</c:v>
                </c:pt>
                <c:pt idx="87">
                  <c:v>1.0797651562499999</c:v>
                </c:pt>
                <c:pt idx="88">
                  <c:v>1.1047300000000002</c:v>
                </c:pt>
                <c:pt idx="89">
                  <c:v>1.1299801562500003</c:v>
                </c:pt>
                <c:pt idx="90">
                  <c:v>1.155515625</c:v>
                </c:pt>
                <c:pt idx="91">
                  <c:v>1.18133640625</c:v>
                </c:pt>
                <c:pt idx="92">
                  <c:v>1.2074424999999998</c:v>
                </c:pt>
                <c:pt idx="93">
                  <c:v>1.2338339062500003</c:v>
                </c:pt>
                <c:pt idx="94">
                  <c:v>1.260510625</c:v>
                </c:pt>
                <c:pt idx="95">
                  <c:v>1.2874726562500001</c:v>
                </c:pt>
                <c:pt idx="96">
                  <c:v>1.3147200000000001</c:v>
                </c:pt>
                <c:pt idx="97">
                  <c:v>1.3422526562499997</c:v>
                </c:pt>
                <c:pt idx="98">
                  <c:v>1.3700706250000003</c:v>
                </c:pt>
                <c:pt idx="99">
                  <c:v>1.39817390625</c:v>
                </c:pt>
                <c:pt idx="100">
                  <c:v>1.4265625</c:v>
                </c:pt>
              </c:numCache>
            </c:numRef>
          </c:yVal>
          <c:smooth val="1"/>
          <c:extLst>
            <c:ext xmlns:c16="http://schemas.microsoft.com/office/drawing/2014/chart" uri="{C3380CC4-5D6E-409C-BE32-E72D297353CC}">
              <c16:uniqueId val="{00000009-1F98-4669-B27B-9CB36E467256}"/>
            </c:ext>
          </c:extLst>
        </c:ser>
        <c:ser>
          <c:idx val="10"/>
          <c:order val="10"/>
          <c:tx>
            <c:v>Plot 2 Saved MOSFET Losses</c:v>
          </c:tx>
          <c:spPr>
            <a:ln w="19050" cap="rnd">
              <a:solidFill>
                <a:srgbClr val="0070C0"/>
              </a:solidFill>
              <a:prstDash val="dash"/>
              <a:round/>
            </a:ln>
            <a:effectLst/>
          </c:spPr>
          <c:marker>
            <c:symbol val="none"/>
          </c:marker>
          <c:xVal>
            <c:numRef>
              <c:f>'BQ2575X Design Calculator'!$AG$156:$AG$256</c:f>
              <c:numCache>
                <c:formatCode>General</c:formatCode>
                <c:ptCount val="10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numCache>
            </c:numRef>
          </c:xVal>
          <c:yVal>
            <c:numRef>
              <c:f>'BQ2575X Design Calculator'!$DC$156:$DC$256</c:f>
              <c:numCache>
                <c:formatCode>0.00</c:formatCode>
                <c:ptCount val="101"/>
                <c:pt idx="0">
                  <c:v>0.96190451895043727</c:v>
                </c:pt>
                <c:pt idx="1">
                  <c:v>0.96422637555768986</c:v>
                </c:pt>
                <c:pt idx="2">
                  <c:v>0.96662737072700522</c:v>
                </c:pt>
                <c:pt idx="3">
                  <c:v>0.96910750497926368</c:v>
                </c:pt>
                <c:pt idx="4">
                  <c:v>0.97166677883473906</c:v>
                </c:pt>
                <c:pt idx="5">
                  <c:v>0.97447690585927149</c:v>
                </c:pt>
                <c:pt idx="6">
                  <c:v>0.97887724904995344</c:v>
                </c:pt>
                <c:pt idx="7">
                  <c:v>0.98335673470450158</c:v>
                </c:pt>
                <c:pt idx="8">
                  <c:v>0.98791536334168473</c:v>
                </c:pt>
                <c:pt idx="9">
                  <c:v>0.99255313547966961</c:v>
                </c:pt>
                <c:pt idx="10">
                  <c:v>0.99727005163602211</c:v>
                </c:pt>
                <c:pt idx="11">
                  <c:v>1.0020661123277081</c:v>
                </c:pt>
                <c:pt idx="12">
                  <c:v>1.0069413180710949</c:v>
                </c:pt>
                <c:pt idx="13">
                  <c:v>1.011895669381951</c:v>
                </c:pt>
                <c:pt idx="14">
                  <c:v>1.0169291667754476</c:v>
                </c:pt>
                <c:pt idx="15">
                  <c:v>1.02204181076616</c:v>
                </c:pt>
                <c:pt idx="16">
                  <c:v>1.0272336018680668</c:v>
                </c:pt>
                <c:pt idx="17">
                  <c:v>1.032504540594553</c:v>
                </c:pt>
                <c:pt idx="18">
                  <c:v>1.0378546274584088</c:v>
                </c:pt>
                <c:pt idx="19">
                  <c:v>1.0432838629718322</c:v>
                </c:pt>
                <c:pt idx="20">
                  <c:v>1.0487922476464282</c:v>
                </c:pt>
                <c:pt idx="21">
                  <c:v>1.0543797819932113</c:v>
                </c:pt>
                <c:pt idx="22">
                  <c:v>1.060046466522605</c:v>
                </c:pt>
                <c:pt idx="23">
                  <c:v>1.0657923017444435</c:v>
                </c:pt>
                <c:pt idx="24">
                  <c:v>1.0716172881679717</c:v>
                </c:pt>
                <c:pt idx="25">
                  <c:v>1.0775214263018478</c:v>
                </c:pt>
                <c:pt idx="26">
                  <c:v>1.0835047166541416</c:v>
                </c:pt>
                <c:pt idx="27">
                  <c:v>1.0895671597323378</c:v>
                </c:pt>
                <c:pt idx="28">
                  <c:v>1.0957087560433352</c:v>
                </c:pt>
                <c:pt idx="29">
                  <c:v>1.1019295060934486</c:v>
                </c:pt>
                <c:pt idx="30">
                  <c:v>1.1082294103884087</c:v>
                </c:pt>
                <c:pt idx="31">
                  <c:v>1.1146084694333636</c:v>
                </c:pt>
                <c:pt idx="32">
                  <c:v>1.1210666837328791</c:v>
                </c:pt>
                <c:pt idx="33">
                  <c:v>1.1276040537909411</c:v>
                </c:pt>
                <c:pt idx="34">
                  <c:v>1.1342205801109539</c:v>
                </c:pt>
                <c:pt idx="35">
                  <c:v>1.140916263195743</c:v>
                </c:pt>
                <c:pt idx="36">
                  <c:v>1.1476911035475554</c:v>
                </c:pt>
                <c:pt idx="37">
                  <c:v>1.1545451016680601</c:v>
                </c:pt>
                <c:pt idx="38">
                  <c:v>1.1614782580583496</c:v>
                </c:pt>
                <c:pt idx="39">
                  <c:v>1.1684905732189399</c:v>
                </c:pt>
                <c:pt idx="40">
                  <c:v>1.1755820476497718</c:v>
                </c:pt>
                <c:pt idx="41">
                  <c:v>1.1827526818502119</c:v>
                </c:pt>
                <c:pt idx="42">
                  <c:v>1.1900024763190535</c:v>
                </c:pt>
                <c:pt idx="43">
                  <c:v>1.1973314315545167</c:v>
                </c:pt>
                <c:pt idx="44">
                  <c:v>1.2047395480542495</c:v>
                </c:pt>
                <c:pt idx="45">
                  <c:v>1.2122268263153293</c:v>
                </c:pt>
                <c:pt idx="46">
                  <c:v>1.2197932668342635</c:v>
                </c:pt>
                <c:pt idx="47">
                  <c:v>1.2274388701069894</c:v>
                </c:pt>
                <c:pt idx="48">
                  <c:v>1.2351636366288754</c:v>
                </c:pt>
                <c:pt idx="49">
                  <c:v>1.2429675668947233</c:v>
                </c:pt>
                <c:pt idx="50">
                  <c:v>1.2508506613987667</c:v>
                </c:pt>
                <c:pt idx="51">
                  <c:v>1.2588129206346743</c:v>
                </c:pt>
                <c:pt idx="52">
                  <c:v>1.2668543450955481</c:v>
                </c:pt>
                <c:pt idx="53">
                  <c:v>1.2749749352739264</c:v>
                </c:pt>
                <c:pt idx="54">
                  <c:v>1.2831746916617834</c:v>
                </c:pt>
                <c:pt idx="55">
                  <c:v>1.2914536147505307</c:v>
                </c:pt>
                <c:pt idx="56">
                  <c:v>1.2998117050310178</c:v>
                </c:pt>
                <c:pt idx="57">
                  <c:v>1.3082489629935328</c:v>
                </c:pt>
                <c:pt idx="58">
                  <c:v>1.3167653891278031</c:v>
                </c:pt>
                <c:pt idx="59">
                  <c:v>1.3253609839229965</c:v>
                </c:pt>
                <c:pt idx="60">
                  <c:v>1.3340357478677223</c:v>
                </c:pt>
                <c:pt idx="61">
                  <c:v>1.3427896814500313</c:v>
                </c:pt>
                <c:pt idx="62">
                  <c:v>1.3516227851574172</c:v>
                </c:pt>
                <c:pt idx="63">
                  <c:v>1.3605350594768175</c:v>
                </c:pt>
                <c:pt idx="64">
                  <c:v>1.3695265048946135</c:v>
                </c:pt>
                <c:pt idx="65">
                  <c:v>1.3785971218966315</c:v>
                </c:pt>
                <c:pt idx="66">
                  <c:v>1.3877469109681448</c:v>
                </c:pt>
                <c:pt idx="67">
                  <c:v>1.3969758725938728</c:v>
                </c:pt>
                <c:pt idx="68">
                  <c:v>1.4062840072579821</c:v>
                </c:pt>
                <c:pt idx="69">
                  <c:v>1.4156713154440876</c:v>
                </c:pt>
                <c:pt idx="70">
                  <c:v>1.4251377976352535</c:v>
                </c:pt>
                <c:pt idx="71">
                  <c:v>1.4346834543139944</c:v>
                </c:pt>
                <c:pt idx="72">
                  <c:v>1.4443082859622751</c:v>
                </c:pt>
                <c:pt idx="73">
                  <c:v>1.4540122930615116</c:v>
                </c:pt>
                <c:pt idx="74">
                  <c:v>1.4637954760925722</c:v>
                </c:pt>
                <c:pt idx="75">
                  <c:v>1.4736578355357792</c:v>
                </c:pt>
                <c:pt idx="76">
                  <c:v>1.4835993718709073</c:v>
                </c:pt>
                <c:pt idx="77">
                  <c:v>1.4936200855771873</c:v>
                </c:pt>
                <c:pt idx="78">
                  <c:v>1.503719977133303</c:v>
                </c:pt>
                <c:pt idx="79">
                  <c:v>1.5138990470173976</c:v>
                </c:pt>
                <c:pt idx="80">
                  <c:v>1.5241572957070684</c:v>
                </c:pt>
                <c:pt idx="81">
                  <c:v>1.5344947236793718</c:v>
                </c:pt>
                <c:pt idx="82">
                  <c:v>1.5449113314108227</c:v>
                </c:pt>
                <c:pt idx="83">
                  <c:v>1.5554071193773948</c:v>
                </c:pt>
                <c:pt idx="84">
                  <c:v>1.5659820880545217</c:v>
                </c:pt>
                <c:pt idx="85">
                  <c:v>1.5766362379170986</c:v>
                </c:pt>
                <c:pt idx="86">
                  <c:v>1.5873695694394814</c:v>
                </c:pt>
                <c:pt idx="87">
                  <c:v>1.5981820830954889</c:v>
                </c:pt>
                <c:pt idx="88">
                  <c:v>1.6090737793584031</c:v>
                </c:pt>
                <c:pt idx="89">
                  <c:v>1.6200446587009687</c:v>
                </c:pt>
                <c:pt idx="90">
                  <c:v>1.6310947215953966</c:v>
                </c:pt>
                <c:pt idx="91">
                  <c:v>1.6422239685133622</c:v>
                </c:pt>
                <c:pt idx="92">
                  <c:v>1.6534323999260072</c:v>
                </c:pt>
                <c:pt idx="93">
                  <c:v>1.6647200163039406</c:v>
                </c:pt>
                <c:pt idx="94">
                  <c:v>1.6760868181172384</c:v>
                </c:pt>
                <c:pt idx="95">
                  <c:v>1.6875328058354453</c:v>
                </c:pt>
                <c:pt idx="96">
                  <c:v>1.6990579799275758</c:v>
                </c:pt>
                <c:pt idx="97">
                  <c:v>1.7106623408621138</c:v>
                </c:pt>
                <c:pt idx="98">
                  <c:v>1.7223458891070131</c:v>
                </c:pt>
                <c:pt idx="99">
                  <c:v>1.7341086251297009</c:v>
                </c:pt>
                <c:pt idx="100">
                  <c:v>1.7459505493970742</c:v>
                </c:pt>
              </c:numCache>
            </c:numRef>
          </c:yVal>
          <c:smooth val="1"/>
          <c:extLst>
            <c:ext xmlns:c16="http://schemas.microsoft.com/office/drawing/2014/chart" uri="{C3380CC4-5D6E-409C-BE32-E72D297353CC}">
              <c16:uniqueId val="{0000000A-1F98-4669-B27B-9CB36E467256}"/>
            </c:ext>
          </c:extLst>
        </c:ser>
        <c:dLbls>
          <c:showLegendKey val="0"/>
          <c:showVal val="0"/>
          <c:showCatName val="0"/>
          <c:showSerName val="0"/>
          <c:showPercent val="0"/>
          <c:showBubbleSize val="0"/>
        </c:dLbls>
        <c:axId val="1793063311"/>
        <c:axId val="1793062479"/>
      </c:scatterChart>
      <c:valAx>
        <c:axId val="144599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I</a:t>
                </a:r>
                <a:r>
                  <a:rPr lang="en-US" sz="1600" b="1" baseline="-25000"/>
                  <a:t>OUT</a:t>
                </a:r>
                <a:r>
                  <a:rPr lang="en-US" sz="1600" b="1" baseline="0"/>
                  <a:t>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74975"/>
        <c:crosses val="autoZero"/>
        <c:crossBetween val="midCat"/>
      </c:valAx>
      <c:valAx>
        <c:axId val="1070374975"/>
        <c:scaling>
          <c:orientation val="minMax"/>
          <c:max val="100"/>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9951"/>
        <c:crosses val="autoZero"/>
        <c:crossBetween val="midCat"/>
      </c:valAx>
      <c:valAx>
        <c:axId val="1793062479"/>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Power Loss (W)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63311"/>
        <c:crosses val="max"/>
        <c:crossBetween val="midCat"/>
      </c:valAx>
      <c:valAx>
        <c:axId val="1793063311"/>
        <c:scaling>
          <c:orientation val="minMax"/>
        </c:scaling>
        <c:delete val="1"/>
        <c:axPos val="b"/>
        <c:numFmt formatCode="General" sourceLinked="1"/>
        <c:majorTickMark val="out"/>
        <c:minorTickMark val="none"/>
        <c:tickLblPos val="nextTo"/>
        <c:crossAx val="1793062479"/>
        <c:crosses val="autoZero"/>
        <c:crossBetween val="midCat"/>
      </c:valAx>
      <c:spPr>
        <a:noFill/>
        <a:ln>
          <a:noFill/>
        </a:ln>
        <a:effectLst/>
      </c:spPr>
    </c:plotArea>
    <c:legend>
      <c:legendPos val="b"/>
      <c:layout>
        <c:manualLayout>
          <c:xMode val="edge"/>
          <c:yMode val="edge"/>
          <c:x val="2.5061232051875867E-2"/>
          <c:y val="0.8612264774274565"/>
          <c:w val="0.31611523853635937"/>
          <c:h val="0.13321024023596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627370005322768E-3"/>
          <c:y val="4.3137254901960784E-2"/>
          <c:w val="0.96422150028449238"/>
          <c:h val="0.82635911687509633"/>
        </c:manualLayout>
      </c:layout>
      <c:lineChart>
        <c:grouping val="standard"/>
        <c:varyColors val="0"/>
        <c:ser>
          <c:idx val="0"/>
          <c:order val="0"/>
          <c:tx>
            <c:v>Charging Window</c:v>
          </c:tx>
          <c:spPr>
            <a:ln w="28575" cap="rnd">
              <a:solidFill>
                <a:schemeClr val="accent1"/>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Qualification'!$AM$50:$AM$150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4</c:v>
                </c:pt>
                <c:pt idx="23">
                  <c:v>4</c:v>
                </c:pt>
                <c:pt idx="24">
                  <c:v>4</c:v>
                </c:pt>
                <c:pt idx="25">
                  <c:v>4</c:v>
                </c:pt>
                <c:pt idx="26">
                  <c:v>4</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0-CCFC-42AD-83F9-6989A1DC4DFD}"/>
            </c:ext>
          </c:extLst>
        </c:ser>
        <c:ser>
          <c:idx val="1"/>
          <c:order val="1"/>
          <c:tx>
            <c:v>Hysteresis to recover</c:v>
          </c:tx>
          <c:spPr>
            <a:ln w="28575" cap="rnd">
              <a:solidFill>
                <a:schemeClr val="accent2"/>
              </a:solidFill>
              <a:round/>
            </a:ln>
            <a:effectLst/>
          </c:spPr>
          <c:marker>
            <c:symbol val="none"/>
          </c:marker>
          <c:cat>
            <c:numRef>
              <c:f>'Thermistor Qualification'!$AC$50:$AC$150</c:f>
              <c:numCache>
                <c:formatCode>General</c:formatCode>
                <c:ptCount val="101"/>
                <c:pt idx="0">
                  <c:v>80</c:v>
                </c:pt>
                <c:pt idx="1">
                  <c:v>79</c:v>
                </c:pt>
                <c:pt idx="2">
                  <c:v>78</c:v>
                </c:pt>
                <c:pt idx="3">
                  <c:v>77</c:v>
                </c:pt>
                <c:pt idx="4">
                  <c:v>76</c:v>
                </c:pt>
                <c:pt idx="5">
                  <c:v>75</c:v>
                </c:pt>
                <c:pt idx="6">
                  <c:v>74</c:v>
                </c:pt>
                <c:pt idx="7">
                  <c:v>73</c:v>
                </c:pt>
                <c:pt idx="8">
                  <c:v>72</c:v>
                </c:pt>
                <c:pt idx="9">
                  <c:v>71</c:v>
                </c:pt>
                <c:pt idx="10">
                  <c:v>70</c:v>
                </c:pt>
                <c:pt idx="11">
                  <c:v>69</c:v>
                </c:pt>
                <c:pt idx="12">
                  <c:v>68</c:v>
                </c:pt>
                <c:pt idx="13">
                  <c:v>67</c:v>
                </c:pt>
                <c:pt idx="14">
                  <c:v>66</c:v>
                </c:pt>
                <c:pt idx="15">
                  <c:v>65</c:v>
                </c:pt>
                <c:pt idx="16">
                  <c:v>64</c:v>
                </c:pt>
                <c:pt idx="17">
                  <c:v>63</c:v>
                </c:pt>
                <c:pt idx="18">
                  <c:v>62</c:v>
                </c:pt>
                <c:pt idx="19">
                  <c:v>61</c:v>
                </c:pt>
                <c:pt idx="20">
                  <c:v>60</c:v>
                </c:pt>
                <c:pt idx="21">
                  <c:v>59</c:v>
                </c:pt>
                <c:pt idx="22">
                  <c:v>58</c:v>
                </c:pt>
                <c:pt idx="23">
                  <c:v>57</c:v>
                </c:pt>
                <c:pt idx="24">
                  <c:v>56</c:v>
                </c:pt>
                <c:pt idx="25">
                  <c:v>55</c:v>
                </c:pt>
                <c:pt idx="26">
                  <c:v>54</c:v>
                </c:pt>
                <c:pt idx="27">
                  <c:v>53</c:v>
                </c:pt>
                <c:pt idx="28">
                  <c:v>52</c:v>
                </c:pt>
                <c:pt idx="29">
                  <c:v>51</c:v>
                </c:pt>
                <c:pt idx="30">
                  <c:v>50</c:v>
                </c:pt>
                <c:pt idx="31">
                  <c:v>49</c:v>
                </c:pt>
                <c:pt idx="32">
                  <c:v>48</c:v>
                </c:pt>
                <c:pt idx="33">
                  <c:v>47</c:v>
                </c:pt>
                <c:pt idx="34">
                  <c:v>46</c:v>
                </c:pt>
                <c:pt idx="35">
                  <c:v>45</c:v>
                </c:pt>
                <c:pt idx="36">
                  <c:v>44</c:v>
                </c:pt>
                <c:pt idx="37">
                  <c:v>43</c:v>
                </c:pt>
                <c:pt idx="38">
                  <c:v>42</c:v>
                </c:pt>
                <c:pt idx="39">
                  <c:v>41</c:v>
                </c:pt>
                <c:pt idx="40">
                  <c:v>40</c:v>
                </c:pt>
                <c:pt idx="41">
                  <c:v>39</c:v>
                </c:pt>
                <c:pt idx="42">
                  <c:v>38</c:v>
                </c:pt>
                <c:pt idx="43">
                  <c:v>37</c:v>
                </c:pt>
                <c:pt idx="44">
                  <c:v>36</c:v>
                </c:pt>
                <c:pt idx="45">
                  <c:v>35</c:v>
                </c:pt>
                <c:pt idx="46">
                  <c:v>34</c:v>
                </c:pt>
                <c:pt idx="47">
                  <c:v>33</c:v>
                </c:pt>
                <c:pt idx="48">
                  <c:v>32</c:v>
                </c:pt>
                <c:pt idx="49">
                  <c:v>31</c:v>
                </c:pt>
                <c:pt idx="50">
                  <c:v>30</c:v>
                </c:pt>
                <c:pt idx="51">
                  <c:v>29</c:v>
                </c:pt>
                <c:pt idx="52">
                  <c:v>28</c:v>
                </c:pt>
                <c:pt idx="53">
                  <c:v>27</c:v>
                </c:pt>
                <c:pt idx="54">
                  <c:v>26</c:v>
                </c:pt>
                <c:pt idx="55">
                  <c:v>25</c:v>
                </c:pt>
                <c:pt idx="56">
                  <c:v>24</c:v>
                </c:pt>
                <c:pt idx="57">
                  <c:v>23</c:v>
                </c:pt>
                <c:pt idx="58">
                  <c:v>22</c:v>
                </c:pt>
                <c:pt idx="59">
                  <c:v>21</c:v>
                </c:pt>
                <c:pt idx="60">
                  <c:v>20</c:v>
                </c:pt>
                <c:pt idx="61">
                  <c:v>19</c:v>
                </c:pt>
                <c:pt idx="62">
                  <c:v>18</c:v>
                </c:pt>
                <c:pt idx="63">
                  <c:v>17</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0</c:v>
                </c:pt>
                <c:pt idx="81">
                  <c:v>-1</c:v>
                </c:pt>
                <c:pt idx="82">
                  <c:v>-2</c:v>
                </c:pt>
                <c:pt idx="83">
                  <c:v>-3</c:v>
                </c:pt>
                <c:pt idx="84">
                  <c:v>-4</c:v>
                </c:pt>
                <c:pt idx="85">
                  <c:v>-5</c:v>
                </c:pt>
                <c:pt idx="86">
                  <c:v>-6</c:v>
                </c:pt>
                <c:pt idx="87">
                  <c:v>-7</c:v>
                </c:pt>
                <c:pt idx="88">
                  <c:v>-8</c:v>
                </c:pt>
                <c:pt idx="89">
                  <c:v>-9</c:v>
                </c:pt>
                <c:pt idx="90">
                  <c:v>-10</c:v>
                </c:pt>
                <c:pt idx="91">
                  <c:v>-11</c:v>
                </c:pt>
                <c:pt idx="92">
                  <c:v>-12</c:v>
                </c:pt>
                <c:pt idx="93">
                  <c:v>-13</c:v>
                </c:pt>
                <c:pt idx="94">
                  <c:v>-14</c:v>
                </c:pt>
                <c:pt idx="95">
                  <c:v>-15</c:v>
                </c:pt>
                <c:pt idx="96">
                  <c:v>-16</c:v>
                </c:pt>
                <c:pt idx="97">
                  <c:v>-17</c:v>
                </c:pt>
                <c:pt idx="98">
                  <c:v>-18</c:v>
                </c:pt>
                <c:pt idx="99">
                  <c:v>-19</c:v>
                </c:pt>
                <c:pt idx="100">
                  <c:v>-20</c:v>
                </c:pt>
              </c:numCache>
            </c:numRef>
          </c:cat>
          <c:val>
            <c:numRef>
              <c:f>'Thermistor Qualification'!$AN$50:$AN$150</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c:v>
                </c:pt>
                <c:pt idx="24">
                  <c:v>4</c:v>
                </c:pt>
                <c:pt idx="25">
                  <c:v>4</c:v>
                </c:pt>
                <c:pt idx="26">
                  <c:v>4</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mooth val="0"/>
          <c:extLst>
            <c:ext xmlns:c16="http://schemas.microsoft.com/office/drawing/2014/chart" uri="{C3380CC4-5D6E-409C-BE32-E72D297353CC}">
              <c16:uniqueId val="{00000001-CCFC-42AD-83F9-6989A1DC4DFD}"/>
            </c:ext>
          </c:extLst>
        </c:ser>
        <c:dLbls>
          <c:showLegendKey val="0"/>
          <c:showVal val="0"/>
          <c:showCatName val="0"/>
          <c:showSerName val="0"/>
          <c:showPercent val="0"/>
          <c:showBubbleSize val="0"/>
        </c:dLbls>
        <c:smooth val="0"/>
        <c:axId val="835643328"/>
        <c:axId val="272592672"/>
      </c:lineChart>
      <c:catAx>
        <c:axId val="83564332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NTC 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92672"/>
        <c:crosses val="autoZero"/>
        <c:auto val="1"/>
        <c:lblAlgn val="ctr"/>
        <c:lblOffset val="100"/>
        <c:tickMarkSkip val="10"/>
        <c:noMultiLvlLbl val="0"/>
      </c:catAx>
      <c:valAx>
        <c:axId val="27259267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5643328"/>
        <c:crosses val="autoZero"/>
        <c:crossBetween val="between"/>
      </c:valAx>
      <c:spPr>
        <a:noFill/>
        <a:ln>
          <a:noFill/>
        </a:ln>
        <a:effectLst/>
      </c:spPr>
    </c:plotArea>
    <c:legend>
      <c:legendPos val="b"/>
      <c:layout>
        <c:manualLayout>
          <c:xMode val="edge"/>
          <c:yMode val="edge"/>
          <c:x val="0.37073178789714217"/>
          <c:y val="0.58088188976377952"/>
          <c:w val="0.28184644751573884"/>
          <c:h val="0.11471095435618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16" fmlaLink="$E$7" max="58" page="10" val="24"/>
</file>

<file path=xl/ctrlProps/ctrlProp2.xml><?xml version="1.0" encoding="utf-8"?>
<formControlPr xmlns="http://schemas.microsoft.com/office/spreadsheetml/2009/9/main" objectType="Spin" dx="16" fmlaLink="$E$7" max="58" page="10" val="24"/>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76200</xdr:rowOff>
    </xdr:from>
    <xdr:to>
      <xdr:col>4</xdr:col>
      <xdr:colOff>177800</xdr:colOff>
      <xdr:row>0</xdr:row>
      <xdr:rowOff>551047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76200"/>
          <a:ext cx="3140075" cy="474847"/>
        </a:xfrm>
        <a:prstGeom prst="rect">
          <a:avLst/>
        </a:prstGeom>
      </xdr:spPr>
    </xdr:pic>
    <xdr:clientData/>
  </xdr:twoCellAnchor>
  <mc:AlternateContent xmlns:mc="http://schemas.openxmlformats.org/markup-compatibility/2006">
    <mc:Choice xmlns:a14="http://schemas.microsoft.com/office/drawing/2010/main" Requires="a14">
      <xdr:twoCellAnchor>
        <xdr:from>
          <xdr:col>5</xdr:col>
          <xdr:colOff>88900</xdr:colOff>
          <xdr:row>6</xdr:row>
          <xdr:rowOff>12700</xdr:rowOff>
        </xdr:from>
        <xdr:to>
          <xdr:col>5</xdr:col>
          <xdr:colOff>203200</xdr:colOff>
          <xdr:row>7</xdr:row>
          <xdr:rowOff>12700</xdr:rowOff>
        </xdr:to>
        <xdr:sp macro="" textlink="">
          <xdr:nvSpPr>
            <xdr:cNvPr id="1070" name="Spinner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88900</xdr:colOff>
          <xdr:row>6</xdr:row>
          <xdr:rowOff>12700</xdr:rowOff>
        </xdr:from>
        <xdr:to>
          <xdr:col>5</xdr:col>
          <xdr:colOff>203200</xdr:colOff>
          <xdr:row>7</xdr:row>
          <xdr:rowOff>12700</xdr:rowOff>
        </xdr:to>
        <xdr:sp macro="" textlink="">
          <xdr:nvSpPr>
            <xdr:cNvPr id="1072" name="Spinner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161</xdr:row>
      <xdr:rowOff>291</xdr:rowOff>
    </xdr:from>
    <xdr:to>
      <xdr:col>18</xdr:col>
      <xdr:colOff>2491221</xdr:colOff>
      <xdr:row>194</xdr:row>
      <xdr:rowOff>21072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174505</xdr:colOff>
      <xdr:row>4</xdr:row>
      <xdr:rowOff>28575</xdr:rowOff>
    </xdr:from>
    <xdr:to>
      <xdr:col>18</xdr:col>
      <xdr:colOff>4768850</xdr:colOff>
      <xdr:row>34</xdr:row>
      <xdr:rowOff>96527</xdr:rowOff>
    </xdr:to>
    <xdr:grpSp>
      <xdr:nvGrpSpPr>
        <xdr:cNvPr id="54" name="Group 53">
          <a:extLst>
            <a:ext uri="{FF2B5EF4-FFF2-40B4-BE49-F238E27FC236}">
              <a16:creationId xmlns:a16="http://schemas.microsoft.com/office/drawing/2014/main" id="{00000000-0008-0000-0000-000036000000}"/>
            </a:ext>
          </a:extLst>
        </xdr:cNvPr>
        <xdr:cNvGrpSpPr/>
      </xdr:nvGrpSpPr>
      <xdr:grpSpPr>
        <a:xfrm>
          <a:off x="9602875" y="1229553"/>
          <a:ext cx="8818475" cy="5934800"/>
          <a:chOff x="8248530" y="1228725"/>
          <a:chExt cx="8401170" cy="5948052"/>
        </a:xfrm>
      </xdr:grpSpPr>
      <xdr:grpSp>
        <xdr:nvGrpSpPr>
          <xdr:cNvPr id="53" name="Group 52">
            <a:extLst>
              <a:ext uri="{FF2B5EF4-FFF2-40B4-BE49-F238E27FC236}">
                <a16:creationId xmlns:a16="http://schemas.microsoft.com/office/drawing/2014/main" id="{00000000-0008-0000-0000-000035000000}"/>
              </a:ext>
            </a:extLst>
          </xdr:cNvPr>
          <xdr:cNvGrpSpPr/>
        </xdr:nvGrpSpPr>
        <xdr:grpSpPr>
          <a:xfrm>
            <a:off x="8248530" y="1228725"/>
            <a:ext cx="8401170" cy="5948052"/>
            <a:chOff x="8258055" y="1219200"/>
            <a:chExt cx="8401170" cy="5948052"/>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8055" y="1276350"/>
              <a:ext cx="8401170" cy="5890902"/>
            </a:xfrm>
            <a:prstGeom prst="rect">
              <a:avLst/>
            </a:prstGeom>
            <a:ln w="76200">
              <a:solidFill>
                <a:schemeClr val="tx1"/>
              </a:solidFill>
            </a:ln>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172575" y="12192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AC_SNS</a:t>
              </a:r>
              <a:r>
                <a:rPr lang="en-US" sz="1100" b="1" baseline="0"/>
                <a:t> =</a:t>
              </a:r>
              <a:endParaRPr lang="en-US" sz="1100" b="1"/>
            </a:p>
          </xdr:txBody>
        </xdr:sp>
        <xdr:sp macro="" textlink="$G$40">
          <xdr:nvSpPr>
            <xdr:cNvPr id="8" name="TextBox 7">
              <a:extLst>
                <a:ext uri="{FF2B5EF4-FFF2-40B4-BE49-F238E27FC236}">
                  <a16:creationId xmlns:a16="http://schemas.microsoft.com/office/drawing/2014/main" id="{00000000-0008-0000-0000-000008000000}"/>
                </a:ext>
              </a:extLst>
            </xdr:cNvPr>
            <xdr:cNvSpPr txBox="1"/>
          </xdr:nvSpPr>
          <xdr:spPr>
            <a:xfrm>
              <a:off x="9696450" y="1247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F3E6F1-3688-4E34-B485-0702C0EDC3AB}" type="TxLink">
                <a:rPr lang="en-US" sz="1100" b="1" i="0" u="none" strike="noStrike">
                  <a:solidFill>
                    <a:srgbClr val="000000"/>
                  </a:solidFill>
                  <a:latin typeface="Arial"/>
                  <a:cs typeface="Arial"/>
                </a:rPr>
                <a:pPr/>
                <a:t>5 mΩ</a:t>
              </a:fld>
              <a:endParaRPr lang="en-US" sz="1100" b="1"/>
            </a:p>
          </xdr:txBody>
        </xdr:sp>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753475" y="48672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8743950" y="4591050"/>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743950" y="4333875"/>
              <a:ext cx="495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AC3</a:t>
              </a:r>
              <a:r>
                <a:rPr lang="en-US" sz="1100" b="1" baseline="0"/>
                <a:t> =</a:t>
              </a:r>
              <a:endParaRPr lang="en-US" sz="1100" b="1"/>
            </a:p>
          </xdr:txBody>
        </xdr:sp>
        <xdr:sp macro="" textlink="$G$65">
          <xdr:nvSpPr>
            <xdr:cNvPr id="18" name="TextBox 17">
              <a:extLst>
                <a:ext uri="{FF2B5EF4-FFF2-40B4-BE49-F238E27FC236}">
                  <a16:creationId xmlns:a16="http://schemas.microsoft.com/office/drawing/2014/main" id="{00000000-0008-0000-0000-000012000000}"/>
                </a:ext>
              </a:extLst>
            </xdr:cNvPr>
            <xdr:cNvSpPr txBox="1"/>
          </xdr:nvSpPr>
          <xdr:spPr>
            <a:xfrm>
              <a:off x="9344025" y="48672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17F3405-F5E8-4B3F-807A-F158406E9CE5}" type="TxLink">
                <a:rPr lang="en-US" sz="1100" b="1" i="0" u="none" strike="noStrike">
                  <a:solidFill>
                    <a:srgbClr val="000000"/>
                  </a:solidFill>
                  <a:latin typeface="+mn-lt"/>
                  <a:cs typeface="Arial"/>
                </a:rPr>
                <a:pPr algn="r"/>
                <a:t>40 kΩ</a:t>
              </a:fld>
              <a:endParaRPr lang="en-US" sz="1100" b="1">
                <a:latin typeface="+mn-lt"/>
              </a:endParaRPr>
            </a:p>
          </xdr:txBody>
        </xdr:sp>
        <xdr:sp macro="" textlink="$G$64">
          <xdr:nvSpPr>
            <xdr:cNvPr id="19" name="TextBox 18">
              <a:extLst>
                <a:ext uri="{FF2B5EF4-FFF2-40B4-BE49-F238E27FC236}">
                  <a16:creationId xmlns:a16="http://schemas.microsoft.com/office/drawing/2014/main" id="{00000000-0008-0000-0000-000013000000}"/>
                </a:ext>
              </a:extLst>
            </xdr:cNvPr>
            <xdr:cNvSpPr txBox="1"/>
          </xdr:nvSpPr>
          <xdr:spPr>
            <a:xfrm>
              <a:off x="9324855" y="4600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1CE8BCE2-DE50-4155-835E-064A9767CE46}" type="TxLink">
                <a:rPr lang="en-US" sz="1100" b="1" i="0" u="none" strike="noStrike">
                  <a:solidFill>
                    <a:srgbClr val="000000"/>
                  </a:solidFill>
                  <a:latin typeface="+mn-lt"/>
                  <a:cs typeface="Arial"/>
                </a:rPr>
                <a:pPr algn="r"/>
                <a:t>100 kΩ</a:t>
              </a:fld>
              <a:endParaRPr lang="en-US" sz="1100" b="1">
                <a:latin typeface="+mn-lt"/>
              </a:endParaRPr>
            </a:p>
          </xdr:txBody>
        </xdr:sp>
        <xdr:sp macro="" textlink="$G$63">
          <xdr:nvSpPr>
            <xdr:cNvPr id="20" name="TextBox 19">
              <a:extLst>
                <a:ext uri="{FF2B5EF4-FFF2-40B4-BE49-F238E27FC236}">
                  <a16:creationId xmlns:a16="http://schemas.microsoft.com/office/drawing/2014/main" id="{00000000-0008-0000-0000-000014000000}"/>
                </a:ext>
              </a:extLst>
            </xdr:cNvPr>
            <xdr:cNvSpPr txBox="1"/>
          </xdr:nvSpPr>
          <xdr:spPr>
            <a:xfrm>
              <a:off x="9172575" y="4314825"/>
              <a:ext cx="693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96636FEE-02A7-4ABB-B4F2-167F72B9E9A3}" type="TxLink">
                <a:rPr lang="en-US" sz="1100" b="1" i="0" u="none" strike="noStrike">
                  <a:solidFill>
                    <a:srgbClr val="000000"/>
                  </a:solidFill>
                  <a:latin typeface="+mn-lt"/>
                  <a:cs typeface="Arial"/>
                </a:rPr>
                <a:pPr algn="r"/>
                <a:t>1000 kΩ</a:t>
              </a:fld>
              <a:endParaRPr lang="en-US" sz="1100" b="1">
                <a:latin typeface="+mn-lt"/>
              </a:endParaRPr>
            </a:p>
          </xdr:txBody>
        </xdr:sp>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flipH="1">
              <a:off x="8696325" y="5095875"/>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00000000-0008-0000-0000-000016000000}"/>
                </a:ext>
              </a:extLst>
            </xdr:cNvPr>
            <xdr:cNvCxnSpPr/>
          </xdr:nvCxnSpPr>
          <xdr:spPr>
            <a:xfrm flipH="1">
              <a:off x="8715375" y="481965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a:extLst>
                <a:ext uri="{FF2B5EF4-FFF2-40B4-BE49-F238E27FC236}">
                  <a16:creationId xmlns:a16="http://schemas.microsoft.com/office/drawing/2014/main" id="{00000000-0008-0000-0000-000017000000}"/>
                </a:ext>
              </a:extLst>
            </xdr:cNvPr>
            <xdr:cNvCxnSpPr/>
          </xdr:nvCxnSpPr>
          <xdr:spPr>
            <a:xfrm flipH="1">
              <a:off x="8724900" y="4572000"/>
              <a:ext cx="161925" cy="1428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5401925" y="38766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BAT_SNS</a:t>
              </a:r>
              <a:r>
                <a:rPr lang="en-US" sz="1100" b="1" baseline="0"/>
                <a:t> =</a:t>
              </a:r>
              <a:endParaRPr lang="en-US" sz="1100" b="1"/>
            </a:p>
          </xdr:txBody>
        </xdr:sp>
        <xdr:sp macro="" textlink="$G$49">
          <xdr:nvSpPr>
            <xdr:cNvPr id="26" name="TextBox 25">
              <a:extLst>
                <a:ext uri="{FF2B5EF4-FFF2-40B4-BE49-F238E27FC236}">
                  <a16:creationId xmlns:a16="http://schemas.microsoft.com/office/drawing/2014/main" id="{00000000-0008-0000-0000-00001A000000}"/>
                </a:ext>
              </a:extLst>
            </xdr:cNvPr>
            <xdr:cNvSpPr txBox="1"/>
          </xdr:nvSpPr>
          <xdr:spPr>
            <a:xfrm>
              <a:off x="16021050" y="38671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84414F7-E7A2-4650-B9FC-43CE054A015A}" type="TxLink">
                <a:rPr lang="en-US" sz="1100" b="1" i="0" u="none" strike="noStrike">
                  <a:solidFill>
                    <a:srgbClr val="000000"/>
                  </a:solidFill>
                  <a:latin typeface="+mn-lt"/>
                  <a:cs typeface="Arial"/>
                </a:rPr>
                <a:pPr/>
                <a:t>5 mΩ</a:t>
              </a:fld>
              <a:endParaRPr lang="en-US" sz="1100" b="1">
                <a:latin typeface="+mn-lt"/>
              </a:endParaRPr>
            </a:p>
          </xdr:txBody>
        </xdr: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4125575" y="4305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4">
          <xdr:nvSpPr>
            <xdr:cNvPr id="28" name="TextBox 27">
              <a:extLst>
                <a:ext uri="{FF2B5EF4-FFF2-40B4-BE49-F238E27FC236}">
                  <a16:creationId xmlns:a16="http://schemas.microsoft.com/office/drawing/2014/main" id="{00000000-0008-0000-0000-00001C000000}"/>
                </a:ext>
              </a:extLst>
            </xdr:cNvPr>
            <xdr:cNvSpPr txBox="1"/>
          </xdr:nvSpPr>
          <xdr:spPr>
            <a:xfrm>
              <a:off x="14687550" y="43243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185AE89-5ADD-4E60-867D-8F7479155DA6}" type="TxLink">
                <a:rPr lang="en-US" sz="1100" b="1" i="0" u="none" strike="noStrike">
                  <a:solidFill>
                    <a:srgbClr val="000000"/>
                  </a:solidFill>
                  <a:latin typeface="Calibri"/>
                  <a:cs typeface="Calibri"/>
                </a:rPr>
                <a:pPr/>
                <a:t>249 kΩ</a:t>
              </a:fld>
              <a:endParaRPr lang="en-US" sz="1100" b="1">
                <a:latin typeface="+mn-lt"/>
              </a:endParaRPr>
            </a:p>
          </xdr:txBody>
        </xdr:sp>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4735175" y="4714875"/>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FB_TOP</a:t>
              </a:r>
              <a:r>
                <a:rPr lang="en-US" sz="1100" b="1" baseline="0"/>
                <a:t> =</a:t>
              </a:r>
              <a:endParaRPr lang="en-US" sz="1100" b="1"/>
            </a:p>
          </xdr:txBody>
        </xdr:sp>
        <xdr:sp macro="" textlink="$G$75">
          <xdr:nvSpPr>
            <xdr:cNvPr id="30" name="TextBox 29">
              <a:extLst>
                <a:ext uri="{FF2B5EF4-FFF2-40B4-BE49-F238E27FC236}">
                  <a16:creationId xmlns:a16="http://schemas.microsoft.com/office/drawing/2014/main" id="{00000000-0008-0000-0000-00001E000000}"/>
                </a:ext>
              </a:extLst>
            </xdr:cNvPr>
            <xdr:cNvSpPr txBox="1"/>
          </xdr:nvSpPr>
          <xdr:spPr>
            <a:xfrm>
              <a:off x="15306674" y="4714875"/>
              <a:ext cx="714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347F31C-DB99-4BD5-AD40-4D254829EFDB}" type="TxLink">
                <a:rPr lang="en-US" sz="1100" b="1" i="0" u="none" strike="noStrike">
                  <a:solidFill>
                    <a:srgbClr val="000000"/>
                  </a:solidFill>
                  <a:latin typeface="Calibri"/>
                  <a:cs typeface="Calibri"/>
                </a:rPr>
                <a:pPr/>
                <a:t>14,00 kΩ</a:t>
              </a:fld>
              <a:endParaRPr lang="en-US" sz="1100" b="1">
                <a:latin typeface="+mn-lt"/>
              </a:endParaRPr>
            </a:p>
          </xdr:txBody>
        </xdr:sp>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flipH="1">
              <a:off x="14439900" y="4943475"/>
              <a:ext cx="371475" cy="2381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14249400" y="4562475"/>
              <a:ext cx="76200" cy="266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3268325" y="60769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FSW</a:t>
              </a:r>
              <a:r>
                <a:rPr lang="en-US" sz="1100" b="1" baseline="0"/>
                <a:t> =</a:t>
              </a:r>
              <a:endParaRPr lang="en-US" sz="1100" b="1"/>
            </a:p>
          </xdr:txBody>
        </xdr:sp>
        <xdr:sp macro="" textlink="$G$15">
          <xdr:nvSpPr>
            <xdr:cNvPr id="39" name="TextBox 38">
              <a:extLst>
                <a:ext uri="{FF2B5EF4-FFF2-40B4-BE49-F238E27FC236}">
                  <a16:creationId xmlns:a16="http://schemas.microsoft.com/office/drawing/2014/main" id="{00000000-0008-0000-0000-000027000000}"/>
                </a:ext>
              </a:extLst>
            </xdr:cNvPr>
            <xdr:cNvSpPr txBox="1"/>
          </xdr:nvSpPr>
          <xdr:spPr>
            <a:xfrm>
              <a:off x="13677900" y="609600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B84AE15-13FB-4C3F-AA76-75D7FF64573E}" type="TxLink">
                <a:rPr lang="en-US" sz="1100" b="1" i="0" u="none" strike="noStrike">
                  <a:solidFill>
                    <a:srgbClr val="000000"/>
                  </a:solidFill>
                  <a:latin typeface="Calibri"/>
                  <a:cs typeface="Calibri"/>
                </a:rPr>
                <a:pPr/>
                <a:t>40 kΩ</a:t>
              </a:fld>
              <a:endParaRPr lang="en-US" sz="1100" b="1">
                <a:latin typeface="+mn-lt"/>
              </a:endParaRPr>
            </a:p>
          </xdr:txBody>
        </xdr:sp>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3430250" y="5943600"/>
              <a:ext cx="523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IOUT</a:t>
              </a:r>
              <a:r>
                <a:rPr lang="en-US" sz="1100" b="1" baseline="0"/>
                <a:t> =</a:t>
              </a:r>
              <a:endParaRPr lang="en-US" sz="1100" b="1"/>
            </a:p>
          </xdr:txBody>
        </xdr:sp>
        <xdr:sp macro="" textlink="$G$54">
          <xdr:nvSpPr>
            <xdr:cNvPr id="41" name="TextBox 40">
              <a:extLst>
                <a:ext uri="{FF2B5EF4-FFF2-40B4-BE49-F238E27FC236}">
                  <a16:creationId xmlns:a16="http://schemas.microsoft.com/office/drawing/2014/main" id="{00000000-0008-0000-0000-000029000000}"/>
                </a:ext>
              </a:extLst>
            </xdr:cNvPr>
            <xdr:cNvSpPr txBox="1"/>
          </xdr:nvSpPr>
          <xdr:spPr>
            <a:xfrm>
              <a:off x="13877925" y="5953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6A0E02C-7C3A-4BFC-ACF8-A0C65265CCAC}" type="TxLink">
                <a:rPr lang="en-US" sz="1100" b="1" i="0" u="none" strike="noStrike">
                  <a:solidFill>
                    <a:srgbClr val="000000"/>
                  </a:solidFill>
                  <a:latin typeface="Calibri"/>
                  <a:cs typeface="Calibri"/>
                </a:rPr>
                <a:pPr algn="l"/>
                <a:t>5 kΩ</a:t>
              </a:fld>
              <a:endParaRPr lang="en-US" sz="1100" b="1">
                <a:latin typeface="+mn-lt"/>
              </a:endParaRPr>
            </a:p>
          </xdr:txBody>
        </xdr:sp>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3601701" y="5800725"/>
              <a:ext cx="438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IIN</a:t>
              </a:r>
              <a:r>
                <a:rPr lang="en-US" sz="1100" b="1" baseline="0"/>
                <a:t> =</a:t>
              </a:r>
              <a:endParaRPr lang="en-US" sz="1100" b="1"/>
            </a:p>
          </xdr:txBody>
        </xdr:sp>
        <xdr:sp macro="" textlink="$G$45">
          <xdr:nvSpPr>
            <xdr:cNvPr id="43" name="TextBox 42">
              <a:extLst>
                <a:ext uri="{FF2B5EF4-FFF2-40B4-BE49-F238E27FC236}">
                  <a16:creationId xmlns:a16="http://schemas.microsoft.com/office/drawing/2014/main" id="{00000000-0008-0000-0000-00002B000000}"/>
                </a:ext>
              </a:extLst>
            </xdr:cNvPr>
            <xdr:cNvSpPr txBox="1"/>
          </xdr:nvSpPr>
          <xdr:spPr>
            <a:xfrm>
              <a:off x="13992225" y="5810250"/>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9D79F53-3E6A-4BF3-BE3B-42A3FC35D375}" type="TxLink">
                <a:rPr lang="en-US" sz="1100" b="1" i="0" u="none" strike="noStrike">
                  <a:solidFill>
                    <a:srgbClr val="000000"/>
                  </a:solidFill>
                  <a:latin typeface="Calibri"/>
                  <a:cs typeface="Calibri"/>
                </a:rPr>
                <a:pPr algn="l"/>
                <a:t>1 kΩ</a:t>
              </a:fld>
              <a:endParaRPr lang="en-US" sz="1100" b="1">
                <a:latin typeface="+mn-lt"/>
              </a:endParaRPr>
            </a:p>
          </xdr:txBody>
        </xdr:sp>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3515975" y="5553075"/>
              <a:ext cx="590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MODE</a:t>
              </a:r>
              <a:r>
                <a:rPr lang="en-US" sz="1100" b="1" baseline="0"/>
                <a:t> =</a:t>
              </a:r>
              <a:endParaRPr lang="en-US" sz="1100" b="1"/>
            </a:p>
          </xdr:txBody>
        </xdr:sp>
        <xdr:sp macro="" textlink="$G$92">
          <xdr:nvSpPr>
            <xdr:cNvPr id="45" name="TextBox 44">
              <a:extLst>
                <a:ext uri="{FF2B5EF4-FFF2-40B4-BE49-F238E27FC236}">
                  <a16:creationId xmlns:a16="http://schemas.microsoft.com/office/drawing/2014/main" id="{00000000-0008-0000-0000-00002D000000}"/>
                </a:ext>
              </a:extLst>
            </xdr:cNvPr>
            <xdr:cNvSpPr txBox="1"/>
          </xdr:nvSpPr>
          <xdr:spPr>
            <a:xfrm>
              <a:off x="14011275" y="5572125"/>
              <a:ext cx="523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C00216-ACA4-4DF2-A075-F88956F9BCF0}" type="TxLink">
                <a:rPr lang="en-US" sz="1100" b="1" i="0" u="none" strike="noStrike">
                  <a:solidFill>
                    <a:srgbClr val="000000"/>
                  </a:solidFill>
                  <a:latin typeface="Calibri"/>
                  <a:cs typeface="Calibri"/>
                </a:rPr>
                <a:pPr algn="l"/>
                <a:t>0 kΩ</a:t>
              </a:fld>
              <a:endParaRPr lang="en-US" sz="1100" b="1">
                <a:latin typeface="+mn-lt"/>
              </a:endParaRPr>
            </a:p>
          </xdr:txBody>
        </xdr:sp>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3782675" y="5391150"/>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4">
          <xdr:nvSpPr>
            <xdr:cNvPr id="47" name="TextBox 46">
              <a:extLst>
                <a:ext uri="{FF2B5EF4-FFF2-40B4-BE49-F238E27FC236}">
                  <a16:creationId xmlns:a16="http://schemas.microsoft.com/office/drawing/2014/main" id="{00000000-0008-0000-0000-00002F000000}"/>
                </a:ext>
              </a:extLst>
            </xdr:cNvPr>
            <xdr:cNvSpPr txBox="1"/>
          </xdr:nvSpPr>
          <xdr:spPr>
            <a:xfrm>
              <a:off x="14144625" y="5391150"/>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1789C82-58D7-42AA-BC5C-A2FA648AFB8F}" type="TxLink">
                <a:rPr lang="en-US" sz="1100" b="1" i="0" u="none" strike="noStrike">
                  <a:solidFill>
                    <a:srgbClr val="000000"/>
                  </a:solidFill>
                  <a:latin typeface="Calibri"/>
                  <a:cs typeface="Calibri"/>
                </a:rPr>
                <a:pPr algn="l"/>
                <a:t>3,61 kΩ</a:t>
              </a:fld>
              <a:endParaRPr lang="en-US" sz="1100" b="1">
                <a:latin typeface="+mn-lt"/>
              </a:endParaRPr>
            </a:p>
          </xdr:txBody>
        </xdr:sp>
        <xdr:cxnSp macro="">
          <xdr:nvCxnSpPr>
            <xdr:cNvPr id="48" name="Straight Arrow Connector 47">
              <a:extLst>
                <a:ext uri="{FF2B5EF4-FFF2-40B4-BE49-F238E27FC236}">
                  <a16:creationId xmlns:a16="http://schemas.microsoft.com/office/drawing/2014/main" id="{00000000-0008-0000-0000-000030000000}"/>
                </a:ext>
              </a:extLst>
            </xdr:cNvPr>
            <xdr:cNvCxnSpPr/>
          </xdr:nvCxnSpPr>
          <xdr:spPr>
            <a:xfrm flipV="1">
              <a:off x="14154150" y="5314950"/>
              <a:ext cx="542925" cy="1619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4744700" y="6334125"/>
              <a:ext cx="419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T1</a:t>
              </a:r>
              <a:r>
                <a:rPr lang="en-US" sz="1100" b="1" baseline="0"/>
                <a:t> =</a:t>
              </a:r>
              <a:endParaRPr lang="en-US" sz="1100" b="1"/>
            </a:p>
          </xdr:txBody>
        </xdr:sp>
        <xdr:sp macro="" textlink="$G$85">
          <xdr:nvSpPr>
            <xdr:cNvPr id="56" name="TextBox 55">
              <a:extLst>
                <a:ext uri="{FF2B5EF4-FFF2-40B4-BE49-F238E27FC236}">
                  <a16:creationId xmlns:a16="http://schemas.microsoft.com/office/drawing/2014/main" id="{00000000-0008-0000-0000-000038000000}"/>
                </a:ext>
              </a:extLst>
            </xdr:cNvPr>
            <xdr:cNvSpPr txBox="1"/>
          </xdr:nvSpPr>
          <xdr:spPr>
            <a:xfrm>
              <a:off x="15059025" y="6334125"/>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7DDB80C3-35BE-4DB8-8667-42B05F3CE423}" type="TxLink">
                <a:rPr lang="en-US" sz="1100" b="1" i="0" u="none" strike="noStrike">
                  <a:solidFill>
                    <a:srgbClr val="000000"/>
                  </a:solidFill>
                  <a:latin typeface="Calibri"/>
                  <a:cs typeface="Calibri"/>
                </a:rPr>
                <a:pPr algn="l"/>
                <a:t>15,48 kΩ</a:t>
              </a:fld>
              <a:endParaRPr lang="en-US" sz="1100" b="1">
                <a:latin typeface="+mn-lt"/>
              </a:endParaRPr>
            </a:p>
          </xdr:txBody>
        </xdr:sp>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1277600" y="2533650"/>
              <a:ext cx="3143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t>L =</a:t>
              </a:r>
              <a:endParaRPr lang="en-US" sz="1100" b="1"/>
            </a:p>
          </xdr:txBody>
        </xdr:sp>
        <xdr:sp macro="" textlink="$G$26">
          <xdr:nvSpPr>
            <xdr:cNvPr id="58" name="TextBox 57">
              <a:extLst>
                <a:ext uri="{FF2B5EF4-FFF2-40B4-BE49-F238E27FC236}">
                  <a16:creationId xmlns:a16="http://schemas.microsoft.com/office/drawing/2014/main" id="{00000000-0008-0000-0000-00003A000000}"/>
                </a:ext>
              </a:extLst>
            </xdr:cNvPr>
            <xdr:cNvSpPr txBox="1"/>
          </xdr:nvSpPr>
          <xdr:spPr>
            <a:xfrm>
              <a:off x="11515725" y="2533650"/>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DDAD063-C5FC-48CD-B44D-AAF512675CB8}" type="TxLink">
                <a:rPr lang="en-US" sz="1100" b="1" i="0" u="none" strike="noStrike">
                  <a:solidFill>
                    <a:srgbClr val="000000"/>
                  </a:solidFill>
                  <a:latin typeface="Calibri"/>
                  <a:cs typeface="Calibri"/>
                </a:rPr>
                <a:pPr/>
                <a:t>3,3 µH</a:t>
              </a:fld>
              <a:endParaRPr lang="en-US" sz="1100" b="1"/>
            </a:p>
          </xdr:txBody>
        </xdr:sp>
      </xdr:grpSp>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10848855" y="154305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CIN</a:t>
            </a:r>
            <a:r>
              <a:rPr lang="en-US" sz="1100" b="1" baseline="0"/>
              <a:t> =</a:t>
            </a:r>
            <a:endParaRPr lang="en-US" sz="1100" b="1"/>
          </a:p>
        </xdr:txBody>
      </xdr:sp>
      <xdr:sp macro="" textlink="$G$100">
        <xdr:nvSpPr>
          <xdr:cNvPr id="61" name="TextBox 60">
            <a:extLst>
              <a:ext uri="{FF2B5EF4-FFF2-40B4-BE49-F238E27FC236}">
                <a16:creationId xmlns:a16="http://schemas.microsoft.com/office/drawing/2014/main" id="{00000000-0008-0000-0000-00003D000000}"/>
              </a:ext>
            </a:extLst>
          </xdr:cNvPr>
          <xdr:cNvSpPr txBox="1"/>
        </xdr:nvSpPr>
        <xdr:spPr>
          <a:xfrm>
            <a:off x="11277480" y="15525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98AF030-41BB-484F-802C-A31F87601CD0}" type="TxLink">
              <a:rPr lang="en-US" sz="1100" b="1" i="0" u="none" strike="noStrike">
                <a:solidFill>
                  <a:srgbClr val="000000"/>
                </a:solidFill>
                <a:latin typeface="Calibri"/>
                <a:cs typeface="Calibri"/>
              </a:rPr>
              <a:pPr/>
              <a:t>178 µF</a:t>
            </a:fld>
            <a:endParaRPr lang="en-US" sz="1100" b="1"/>
          </a:p>
        </xdr:txBody>
      </xdr:sp>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3420605" y="2400300"/>
            <a:ext cx="6706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R</a:t>
            </a:r>
            <a:r>
              <a:rPr lang="en-US" sz="1100" b="1" baseline="-25000"/>
              <a:t>COUT</a:t>
            </a:r>
            <a:r>
              <a:rPr lang="en-US" sz="1100" b="1" baseline="0"/>
              <a:t> =</a:t>
            </a:r>
            <a:endParaRPr lang="en-US" sz="1100" b="1"/>
          </a:p>
        </xdr:txBody>
      </xdr:sp>
      <xdr:sp macro="" textlink="$G$106">
        <xdr:nvSpPr>
          <xdr:cNvPr id="63" name="TextBox 62">
            <a:extLst>
              <a:ext uri="{FF2B5EF4-FFF2-40B4-BE49-F238E27FC236}">
                <a16:creationId xmlns:a16="http://schemas.microsoft.com/office/drawing/2014/main" id="{00000000-0008-0000-0000-00003F000000}"/>
              </a:ext>
            </a:extLst>
          </xdr:cNvPr>
          <xdr:cNvSpPr txBox="1"/>
        </xdr:nvSpPr>
        <xdr:spPr>
          <a:xfrm>
            <a:off x="13887330" y="2390775"/>
            <a:ext cx="5408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C9CEF21-9A47-4978-8694-AB011E2242BD}" type="TxLink">
              <a:rPr lang="en-US" sz="1100" b="1" i="0" u="none" strike="noStrike">
                <a:solidFill>
                  <a:srgbClr val="000000"/>
                </a:solidFill>
                <a:latin typeface="Calibri"/>
                <a:cs typeface="Calibri"/>
              </a:rPr>
              <a:pPr/>
              <a:t>178 µF</a:t>
            </a:fld>
            <a:endParaRPr lang="en-US" sz="1100" b="1"/>
          </a:p>
        </xdr:txBody>
      </xdr:sp>
    </xdr:grpSp>
    <xdr:clientData/>
  </xdr:twoCellAnchor>
  <xdr:twoCellAnchor>
    <xdr:from>
      <xdr:col>13</xdr:col>
      <xdr:colOff>549275</xdr:colOff>
      <xdr:row>34</xdr:row>
      <xdr:rowOff>158750</xdr:rowOff>
    </xdr:from>
    <xdr:to>
      <xdr:col>18</xdr:col>
      <xdr:colOff>4826000</xdr:colOff>
      <xdr:row>87</xdr:row>
      <xdr:rowOff>95250</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9388475" y="7235825"/>
          <a:ext cx="7324725" cy="10318750"/>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BQ25756</a:t>
          </a:r>
          <a:r>
            <a:rPr lang="en-US" sz="1100" b="1" baseline="0"/>
            <a:t> Design Tool</a:t>
          </a:r>
        </a:p>
        <a:p>
          <a:pPr algn="ctr"/>
          <a:endParaRPr lang="en-US" sz="1100" b="1" baseline="0"/>
        </a:p>
        <a:p>
          <a:pPr algn="l"/>
          <a:r>
            <a:rPr lang="en-US" sz="1100" b="1" baseline="0"/>
            <a:t>General</a:t>
          </a:r>
        </a:p>
        <a:p>
          <a:pPr algn="l"/>
          <a:r>
            <a:rPr lang="en-US" sz="1100" b="0" baseline="0">
              <a:solidFill>
                <a:schemeClr val="dk1"/>
              </a:solidFill>
              <a:effectLst/>
              <a:latin typeface="+mn-lt"/>
              <a:ea typeface="+mn-ea"/>
              <a:cs typeface="+mn-cs"/>
            </a:rPr>
            <a:t>    -  If warning message pops up about there being cicular references, just click </a:t>
          </a:r>
          <a:r>
            <a:rPr lang="en-US" sz="1100" b="1" baseline="0">
              <a:solidFill>
                <a:schemeClr val="dk1"/>
              </a:solidFill>
              <a:effectLst/>
              <a:latin typeface="+mn-lt"/>
              <a:ea typeface="+mn-ea"/>
              <a:cs typeface="+mn-cs"/>
            </a:rPr>
            <a:t>OK</a:t>
          </a:r>
          <a:r>
            <a:rPr lang="en-US" sz="1100" b="0" baseline="0">
              <a:solidFill>
                <a:schemeClr val="dk1"/>
              </a:solidFill>
              <a:effectLst/>
              <a:latin typeface="+mn-lt"/>
              <a:ea typeface="+mn-ea"/>
              <a:cs typeface="+mn-cs"/>
            </a:rPr>
            <a:t>. </a:t>
          </a:r>
          <a:endParaRPr lang="en-US" sz="1100" b="1" baseline="0"/>
        </a:p>
        <a:p>
          <a:pPr algn="l"/>
          <a:endParaRPr lang="en-US" sz="1100" b="0" baseline="0"/>
        </a:p>
        <a:p>
          <a:pPr algn="l"/>
          <a:r>
            <a:rPr lang="en-US" sz="1100" b="0" baseline="0"/>
            <a:t>    -  </a:t>
          </a:r>
          <a:r>
            <a:rPr lang="en-US" sz="1100" b="1" baseline="0"/>
            <a:t>Yellow cells </a:t>
          </a:r>
          <a:r>
            <a:rPr lang="en-US" sz="1100" b="0" baseline="0"/>
            <a:t>are where the user inputs their design requirements/choices. </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red text </a:t>
          </a:r>
          <a:r>
            <a:rPr lang="en-US" sz="1100" b="0" baseline="0">
              <a:solidFill>
                <a:schemeClr val="dk1"/>
              </a:solidFill>
              <a:effectLst/>
              <a:latin typeface="+mn-lt"/>
              <a:ea typeface="+mn-ea"/>
              <a:cs typeface="+mn-cs"/>
            </a:rPr>
            <a:t>indicate potential issues with the user's inputs. If a cell's text is flagged red, there will be a note to the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left of the cell explain why the cell is flagged red.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There are notes throughout the whole tool, if the user has any questions about the tool, the user should look at the note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for the cell that they are looking at. There may also be addition useful information in nearby cell notes.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Sections follow a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and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format.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 their name are user input cells where the user inputs what they Desire for their design.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Recommended</a:t>
          </a:r>
          <a:r>
            <a:rPr lang="en-US" sz="1100" b="0" baseline="0">
              <a:solidFill>
                <a:schemeClr val="dk1"/>
              </a:solidFill>
              <a:effectLst/>
              <a:latin typeface="+mn-lt"/>
              <a:ea typeface="+mn-ea"/>
              <a:cs typeface="+mn-cs"/>
            </a:rPr>
            <a:t> in their name are what the tool </a:t>
          </a:r>
          <a:r>
            <a:rPr lang="en-US" sz="1100" b="1" baseline="0">
              <a:solidFill>
                <a:schemeClr val="dk1"/>
              </a:solidFill>
              <a:effectLst/>
              <a:latin typeface="+mn-lt"/>
              <a:ea typeface="+mn-ea"/>
              <a:cs typeface="+mn-cs"/>
            </a:rPr>
            <a:t>Recommends</a:t>
          </a:r>
          <a:r>
            <a:rPr lang="en-US" sz="1100" b="0" baseline="0">
              <a:solidFill>
                <a:schemeClr val="dk1"/>
              </a:solidFill>
              <a:effectLst/>
              <a:latin typeface="+mn-lt"/>
              <a:ea typeface="+mn-ea"/>
              <a:cs typeface="+mn-cs"/>
            </a:rPr>
            <a:t> to get the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input or is a general</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recommendation based off user's previously entered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in their name are user input cells where the user inputs the actual component/parameter that they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will use in their design.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Cells with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in their name are what BQ2575X will </a:t>
          </a:r>
          <a:r>
            <a:rPr lang="en-US" sz="1100" b="1" baseline="0">
              <a:solidFill>
                <a:schemeClr val="dk1"/>
              </a:solidFill>
              <a:effectLst/>
              <a:latin typeface="+mn-lt"/>
              <a:ea typeface="+mn-ea"/>
              <a:cs typeface="+mn-cs"/>
            </a:rPr>
            <a:t>Recognize</a:t>
          </a:r>
          <a:r>
            <a:rPr lang="en-US" sz="1100" b="0" baseline="0">
              <a:solidFill>
                <a:schemeClr val="dk1"/>
              </a:solidFill>
              <a:effectLst/>
              <a:latin typeface="+mn-lt"/>
              <a:ea typeface="+mn-ea"/>
              <a:cs typeface="+mn-cs"/>
            </a:rPr>
            <a:t> based off what is entered in the </a:t>
          </a:r>
          <a:r>
            <a:rPr lang="en-US" sz="1100" b="1" baseline="0">
              <a:solidFill>
                <a:schemeClr val="dk1"/>
              </a:solidFill>
              <a:effectLst/>
              <a:latin typeface="+mn-lt"/>
              <a:ea typeface="+mn-ea"/>
              <a:cs typeface="+mn-cs"/>
            </a:rPr>
            <a:t>Selected</a:t>
          </a:r>
          <a:r>
            <a:rPr lang="en-US" sz="1100" b="0" baseline="0">
              <a:solidFill>
                <a:schemeClr val="dk1"/>
              </a:solidFill>
              <a:effectLst/>
              <a:latin typeface="+mn-lt"/>
              <a:ea typeface="+mn-ea"/>
              <a:cs typeface="+mn-cs"/>
            </a:rPr>
            <a:t> cells. </a:t>
          </a:r>
          <a:endParaRPr lang="en-US">
            <a:effectLst/>
          </a:endParaRP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It is recommended that the user completes each section in order because many sections will use the user's input from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the previous sections to provide recommendations for that section.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Step 7: Thermistor Qualification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 This step provides the Recommended Ideal RT1 &amp; RT2 resistances, however, the resistance provided may not be a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standard resistance. Furthermore, this step does not allow the user to "</a:t>
          </a:r>
          <a:r>
            <a:rPr lang="en-US" sz="1100" b="1" baseline="0">
              <a:solidFill>
                <a:schemeClr val="dk1"/>
              </a:solidFill>
              <a:effectLst/>
              <a:latin typeface="+mn-lt"/>
              <a:ea typeface="+mn-ea"/>
              <a:cs typeface="+mn-cs"/>
            </a:rPr>
            <a:t>Select</a:t>
          </a:r>
          <a:r>
            <a:rPr lang="en-US" sz="1100" b="0" baseline="0">
              <a:solidFill>
                <a:schemeClr val="dk1"/>
              </a:solidFill>
              <a:effectLst/>
              <a:latin typeface="+mn-lt"/>
              <a:ea typeface="+mn-ea"/>
              <a:cs typeface="+mn-cs"/>
            </a:rPr>
            <a:t>" and check that their "</a:t>
          </a:r>
          <a:r>
            <a:rPr lang="en-US" sz="1100" b="1" baseline="0">
              <a:solidFill>
                <a:schemeClr val="dk1"/>
              </a:solidFill>
              <a:effectLst/>
              <a:latin typeface="+mn-lt"/>
              <a:ea typeface="+mn-ea"/>
              <a:cs typeface="+mn-cs"/>
            </a:rPr>
            <a:t>Recognized</a:t>
          </a:r>
          <a:r>
            <a:rPr lang="en-US" sz="1100" b="0" baseline="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Temperature Thresholds match their "</a:t>
          </a:r>
          <a:r>
            <a:rPr lang="en-US" sz="1100" b="1" baseline="0">
              <a:solidFill>
                <a:schemeClr val="dk1"/>
              </a:solidFill>
              <a:effectLst/>
              <a:latin typeface="+mn-lt"/>
              <a:ea typeface="+mn-ea"/>
              <a:cs typeface="+mn-cs"/>
            </a:rPr>
            <a:t>Desired</a:t>
          </a:r>
          <a:r>
            <a:rPr lang="en-US" sz="1100" b="0" baseline="0">
              <a:solidFill>
                <a:schemeClr val="dk1"/>
              </a:solidFill>
              <a:effectLst/>
              <a:latin typeface="+mn-lt"/>
              <a:ea typeface="+mn-ea"/>
              <a:cs typeface="+mn-cs"/>
            </a:rPr>
            <a:t>" Temperature Thresholds. For a more in-depth look into the Thermistor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Qualification, please look at the Thermistor Qualification tab.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algn="l"/>
          <a:r>
            <a:rPr lang="en-US" sz="1100" b="1" baseline="0">
              <a:effectLst/>
            </a:rPr>
            <a:t>Efficiency / Power Loss Analyzer</a:t>
          </a:r>
        </a:p>
        <a:p>
          <a:pPr algn="l"/>
          <a:r>
            <a:rPr lang="en-US" sz="1100" b="1" baseline="0">
              <a:effectLst/>
            </a:rPr>
            <a:t>     </a:t>
          </a:r>
          <a:r>
            <a:rPr lang="en-US" sz="1100" b="0" baseline="0">
              <a:effectLst/>
            </a:rPr>
            <a:t>- </a:t>
          </a:r>
          <a:r>
            <a:rPr lang="en-US" sz="1100" b="1" baseline="0">
              <a:effectLst/>
            </a:rPr>
            <a:t>NOTE: This tool is NOT an accurate representation of the actual efficiency that will be seen in real tests. The efficiency</a:t>
          </a:r>
        </a:p>
        <a:p>
          <a:pPr algn="l"/>
          <a:r>
            <a:rPr lang="en-US" sz="1100" b="1" baseline="0">
              <a:effectLst/>
            </a:rPr>
            <a:t>       plots are only for relative efficiency comparison of different components/design requirements. </a:t>
          </a:r>
        </a:p>
        <a:p>
          <a:pPr algn="l"/>
          <a:endParaRPr lang="en-US" sz="1100" b="1" baseline="0">
            <a:effectLst/>
          </a:endParaRPr>
        </a:p>
        <a:p>
          <a:pPr algn="l"/>
          <a:r>
            <a:rPr lang="en-US" sz="1100" b="1" baseline="0">
              <a:effectLst/>
            </a:rPr>
            <a:t>     </a:t>
          </a:r>
          <a:r>
            <a:rPr lang="en-US" sz="1100" b="0" baseline="0">
              <a:effectLst/>
            </a:rPr>
            <a:t>- This tool takes the user's inputs from the previous sections and plots the estimated efficiency and power loss curves. </a:t>
          </a:r>
        </a:p>
        <a:p>
          <a:pPr algn="l"/>
          <a:endParaRPr lang="en-US" sz="1100" b="0" baseline="0">
            <a:effectLst/>
          </a:endParaRPr>
        </a:p>
        <a:p>
          <a:pPr algn="l"/>
          <a:r>
            <a:rPr lang="en-US" sz="1100" b="0" baseline="0">
              <a:effectLst/>
            </a:rPr>
            <a:t>     - By default, the tool will plot the efficiency curves using the </a:t>
          </a:r>
          <a:r>
            <a:rPr lang="en-US" sz="1100" b="1" baseline="0">
              <a:effectLst/>
            </a:rPr>
            <a:t>TI Recommended MOSFETs</a:t>
          </a:r>
          <a:r>
            <a:rPr lang="en-US" sz="1100" b="0" baseline="0">
              <a:effectLst/>
            </a:rPr>
            <a:t>. But, if the user would like to see</a:t>
          </a:r>
        </a:p>
        <a:p>
          <a:pPr algn="l"/>
          <a:r>
            <a:rPr lang="en-US" sz="1100" b="0" baseline="0">
              <a:effectLst/>
            </a:rPr>
            <a:t>       how other MOSFETs might compare to the </a:t>
          </a:r>
          <a:r>
            <a:rPr lang="en-US" sz="1100" b="1" baseline="0">
              <a:effectLst/>
            </a:rPr>
            <a:t>TI Recommended MOSFETs</a:t>
          </a:r>
          <a:r>
            <a:rPr lang="en-US" sz="1100" b="0" baseline="0">
              <a:effectLst/>
            </a:rPr>
            <a:t>, they can enter in the MOSFET's parameters in </a:t>
          </a:r>
        </a:p>
        <a:p>
          <a:pPr algn="l"/>
          <a:r>
            <a:rPr lang="en-US" sz="1100" b="0" baseline="0">
              <a:effectLst/>
            </a:rPr>
            <a:t>       the </a:t>
          </a:r>
          <a:r>
            <a:rPr lang="en-US" sz="1100" b="1" baseline="0">
              <a:effectLst/>
            </a:rPr>
            <a:t>Custom Power MOSFETs </a:t>
          </a:r>
          <a:r>
            <a:rPr lang="en-US" sz="1100" b="0" baseline="0">
              <a:effectLst/>
            </a:rPr>
            <a:t>section then select </a:t>
          </a:r>
          <a:r>
            <a:rPr lang="en-US" sz="1100" b="1" baseline="0">
              <a:effectLst/>
            </a:rPr>
            <a:t>Compare</a:t>
          </a:r>
          <a:r>
            <a:rPr lang="en-US" sz="1100" b="0" baseline="0">
              <a:effectLst/>
            </a:rPr>
            <a:t> for the </a:t>
          </a:r>
          <a:r>
            <a:rPr lang="en-US" sz="1100" b="1" baseline="0">
              <a:effectLst/>
            </a:rPr>
            <a:t>MOSFET Selection </a:t>
          </a:r>
          <a:r>
            <a:rPr lang="en-US" sz="1100" b="0" baseline="0">
              <a:effectLst/>
            </a:rPr>
            <a:t>in </a:t>
          </a:r>
          <a:r>
            <a:rPr lang="en-US" sz="1100" b="1" baseline="0">
              <a:effectLst/>
            </a:rPr>
            <a:t>Step 12: Efficiency Calculation</a:t>
          </a:r>
        </a:p>
        <a:p>
          <a:pPr algn="l"/>
          <a:r>
            <a:rPr lang="en-US" sz="1100" b="1" baseline="0">
              <a:effectLst/>
            </a:rPr>
            <a:t>       Configuration</a:t>
          </a:r>
          <a:r>
            <a:rPr lang="en-US" sz="1100" b="0" baseline="0">
              <a:effectLst/>
            </a:rPr>
            <a:t>. This will plot the efficiency and power loss curves using the TI Recommended MOSFET and the user's </a:t>
          </a:r>
        </a:p>
        <a:p>
          <a:pPr algn="l"/>
          <a:r>
            <a:rPr lang="en-US" sz="1100" b="0" baseline="0">
              <a:effectLst/>
            </a:rPr>
            <a:t>       Custom MOSFET. </a:t>
          </a:r>
        </a:p>
        <a:p>
          <a:pPr algn="l"/>
          <a:endParaRPr lang="en-US" sz="1100" b="0" baseline="0">
            <a:effectLst/>
          </a:endParaRPr>
        </a:p>
        <a:p>
          <a:pPr algn="l"/>
          <a:r>
            <a:rPr lang="en-US" sz="1100" b="0" baseline="0">
              <a:effectLst/>
            </a:rPr>
            <a:t>     - The user can chose to plot only the efficiency and power loss curves using TI Recommended MOSFET or only the Custom</a:t>
          </a:r>
        </a:p>
        <a:p>
          <a:pPr algn="l"/>
          <a:r>
            <a:rPr lang="en-US" sz="1100" b="0" baseline="0">
              <a:effectLst/>
            </a:rPr>
            <a:t>       MOSFET by selecting TI Recommendation or Custom for the MOSFET Selection respectively in Step 12. </a:t>
          </a:r>
        </a:p>
        <a:p>
          <a:pPr algn="l"/>
          <a:endParaRPr lang="en-US" sz="1100" b="0" baseline="0">
            <a:effectLst/>
          </a:endParaRPr>
        </a:p>
        <a:p>
          <a:pPr algn="l"/>
          <a:r>
            <a:rPr lang="en-US" sz="1100" b="0" baseline="0">
              <a:effectLst/>
            </a:rPr>
            <a:t>     - BQ25756 allows the user to use their own gate drive voltage. To plot the efficiency curves using a custom gate drive </a:t>
          </a:r>
        </a:p>
        <a:p>
          <a:pPr algn="l"/>
          <a:r>
            <a:rPr lang="en-US" sz="1100" b="0" baseline="0">
              <a:effectLst/>
            </a:rPr>
            <a:t>       voltage, the user will need to enter their </a:t>
          </a:r>
          <a:r>
            <a:rPr lang="en-US" sz="1100" b="1" baseline="0">
              <a:effectLst/>
            </a:rPr>
            <a:t>Custom Gate Drive Voltage</a:t>
          </a:r>
          <a:r>
            <a:rPr lang="en-US" sz="1100" b="0" baseline="0">
              <a:effectLst/>
            </a:rPr>
            <a:t> in </a:t>
          </a:r>
          <a:r>
            <a:rPr lang="en-US" sz="1100" b="1" baseline="0">
              <a:effectLst/>
            </a:rPr>
            <a:t>Step 11</a:t>
          </a:r>
          <a:r>
            <a:rPr lang="en-US" sz="1100" b="0" baseline="0">
              <a:effectLst/>
            </a:rPr>
            <a:t>, then enter the </a:t>
          </a:r>
          <a:r>
            <a:rPr lang="en-US" sz="1100" b="1" baseline="0">
              <a:effectLst/>
            </a:rPr>
            <a:t>On-State Resistance </a:t>
          </a:r>
          <a:r>
            <a:rPr lang="en-US" sz="1100" b="0" baseline="0">
              <a:effectLst/>
            </a:rPr>
            <a:t>and </a:t>
          </a:r>
        </a:p>
        <a:p>
          <a:pPr algn="l"/>
          <a:r>
            <a:rPr lang="en-US" sz="1100" b="0" baseline="0">
              <a:effectLst/>
            </a:rPr>
            <a:t>       </a:t>
          </a:r>
          <a:r>
            <a:rPr lang="en-US" sz="1100" b="1" baseline="0">
              <a:effectLst/>
            </a:rPr>
            <a:t>Gate Charge </a:t>
          </a:r>
          <a:r>
            <a:rPr lang="en-US" sz="1100" b="0" baseline="0">
              <a:effectLst/>
            </a:rPr>
            <a:t>for the </a:t>
          </a:r>
          <a:r>
            <a:rPr lang="en-US" sz="1100" b="1" baseline="0">
              <a:effectLst/>
            </a:rPr>
            <a:t>Custom MOSFET </a:t>
          </a:r>
          <a:r>
            <a:rPr lang="en-US" sz="1100" b="0" baseline="0">
              <a:effectLst/>
            </a:rPr>
            <a:t>that they will be using. The user will then need to select their </a:t>
          </a:r>
          <a:r>
            <a:rPr lang="en-US" sz="1100" b="1" baseline="0">
              <a:effectLst/>
            </a:rPr>
            <a:t>Custom Gate Drive </a:t>
          </a:r>
        </a:p>
        <a:p>
          <a:pPr algn="l"/>
          <a:r>
            <a:rPr lang="en-US" sz="1100" b="1" baseline="0">
              <a:effectLst/>
            </a:rPr>
            <a:t>       Voltage </a:t>
          </a:r>
          <a:r>
            <a:rPr lang="en-US" sz="1100" b="0" baseline="0">
              <a:effectLst/>
            </a:rPr>
            <a:t>in </a:t>
          </a:r>
          <a:r>
            <a:rPr lang="en-US" sz="1100" b="1" baseline="0">
              <a:effectLst/>
            </a:rPr>
            <a:t>Step 12</a:t>
          </a:r>
          <a:r>
            <a:rPr lang="en-US" sz="1100" b="0" baseline="0">
              <a:effectLst/>
            </a:rPr>
            <a:t>. </a:t>
          </a:r>
        </a:p>
        <a:p>
          <a:pPr algn="l"/>
          <a:r>
            <a:rPr lang="en-US" sz="1100" b="0" baseline="0">
              <a:effectLst/>
            </a:rPr>
            <a:t>             - </a:t>
          </a:r>
          <a:r>
            <a:rPr lang="en-US" sz="1100" b="1" baseline="0">
              <a:effectLst/>
            </a:rPr>
            <a:t>NOTE</a:t>
          </a:r>
          <a:r>
            <a:rPr lang="en-US" sz="1100" b="0" baseline="0">
              <a:effectLst/>
            </a:rPr>
            <a:t>: Most MOSFET datasheets only provide the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a Gate Drive</a:t>
          </a:r>
        </a:p>
        <a:p>
          <a:pPr algn="l"/>
          <a:r>
            <a:rPr lang="en-US" sz="1100" b="0" baseline="0">
              <a:effectLst/>
            </a:rPr>
            <a:t>               Voltage of 4.5 V and 10 V. If the user decides to use their own custom gate drive voltage, they will need to get the </a:t>
          </a:r>
        </a:p>
        <a:p>
          <a:pPr algn="l"/>
          <a:r>
            <a:rPr lang="en-US" sz="1100" b="0" baseline="0">
              <a:effectLst/>
            </a:rPr>
            <a:t>               </a:t>
          </a:r>
          <a:r>
            <a:rPr lang="en-US" sz="1100" b="1" baseline="0">
              <a:effectLst/>
            </a:rPr>
            <a:t>On-State Resistance </a:t>
          </a:r>
          <a:r>
            <a:rPr lang="en-US" sz="1100" b="0" baseline="0">
              <a:effectLst/>
            </a:rPr>
            <a:t>and </a:t>
          </a:r>
          <a:r>
            <a:rPr lang="en-US" sz="1100" b="1" baseline="0">
              <a:effectLst/>
            </a:rPr>
            <a:t>Gate Charge </a:t>
          </a:r>
          <a:r>
            <a:rPr lang="en-US" sz="1100" b="0" baseline="0">
              <a:effectLst/>
            </a:rPr>
            <a:t>parameters for that given gate drive voltage from the manufacturer or by </a:t>
          </a:r>
        </a:p>
        <a:p>
          <a:pPr algn="l"/>
          <a:r>
            <a:rPr lang="en-US" sz="1100" b="0" baseline="0">
              <a:effectLst/>
            </a:rPr>
            <a:t>               measuring those parameters themselves. Furthermore, since all of the different gate drive voltages for TI </a:t>
          </a:r>
        </a:p>
        <a:p>
          <a:pPr algn="l"/>
          <a:r>
            <a:rPr lang="en-US" sz="1100" b="0" baseline="0">
              <a:effectLst/>
            </a:rPr>
            <a:t>               recommended MOSFETs are not available, the tool </a:t>
          </a:r>
          <a:r>
            <a:rPr lang="en-US" sz="1100" b="1" baseline="0">
              <a:effectLst/>
            </a:rPr>
            <a:t>can not </a:t>
          </a:r>
          <a:r>
            <a:rPr lang="en-US" sz="1100" b="0" baseline="0">
              <a:effectLst/>
            </a:rPr>
            <a:t>plot the efficiency and power loss curves with the user's </a:t>
          </a:r>
        </a:p>
        <a:p>
          <a:pPr algn="l"/>
          <a:r>
            <a:rPr lang="en-US" sz="1100" b="0" baseline="0">
              <a:effectLst/>
            </a:rPr>
            <a:t>               custom gate drive voltage. </a:t>
          </a:r>
        </a:p>
        <a:p>
          <a:pPr algn="l"/>
          <a:endParaRPr lang="en-US" sz="1100" b="0" baseline="0">
            <a:effectLst/>
          </a:endParaRPr>
        </a:p>
        <a:p>
          <a:pPr algn="l"/>
          <a:r>
            <a:rPr lang="en-US" sz="1100" b="0" baseline="0">
              <a:effectLst/>
            </a:rPr>
            <a:t>      - The Efficiency and Power Loss Tool also allows the user to save the current efficiency and power loss curves. To save the</a:t>
          </a:r>
        </a:p>
        <a:p>
          <a:pPr algn="l"/>
          <a:r>
            <a:rPr lang="en-US" sz="1100" b="0" baseline="0">
              <a:effectLst/>
            </a:rPr>
            <a:t>        current efficiency and power loss curves, the user will need to select </a:t>
          </a:r>
          <a:r>
            <a:rPr lang="en-US" sz="1100" b="1" baseline="0">
              <a:effectLst/>
            </a:rPr>
            <a:t>Save</a:t>
          </a:r>
          <a:r>
            <a:rPr lang="en-US" sz="1100" b="0" baseline="0">
              <a:effectLst/>
            </a:rPr>
            <a:t> for the </a:t>
          </a:r>
          <a:r>
            <a:rPr lang="en-US" sz="1100" b="1" baseline="0">
              <a:effectLst/>
            </a:rPr>
            <a:t>Save Button</a:t>
          </a:r>
          <a:r>
            <a:rPr lang="en-US" sz="1100" b="0" baseline="0">
              <a:effectLst/>
            </a:rPr>
            <a:t> in </a:t>
          </a:r>
          <a:r>
            <a:rPr lang="en-US" sz="1100" b="1" baseline="0">
              <a:effectLst/>
            </a:rPr>
            <a:t>Step 12</a:t>
          </a:r>
          <a:r>
            <a:rPr lang="en-US" sz="1100" b="0" baseline="0">
              <a:effectLst/>
            </a:rPr>
            <a:t>. To clear the</a:t>
          </a:r>
        </a:p>
        <a:p>
          <a:pPr algn="l"/>
          <a:r>
            <a:rPr lang="en-US" sz="1100" b="0" baseline="0">
              <a:effectLst/>
            </a:rPr>
            <a:t>        saved curves, the user will need to select </a:t>
          </a:r>
          <a:r>
            <a:rPr lang="en-US" sz="1100" b="1" baseline="0">
              <a:effectLst/>
            </a:rPr>
            <a:t>Clear Save </a:t>
          </a:r>
          <a:r>
            <a:rPr lang="en-US" sz="1100" b="0" baseline="0">
              <a:effectLst/>
            </a:rPr>
            <a:t>for the </a:t>
          </a:r>
          <a:r>
            <a:rPr lang="en-US" sz="1100" b="1" baseline="0">
              <a:effectLst/>
            </a:rPr>
            <a:t>Save Button </a:t>
          </a:r>
          <a:r>
            <a:rPr lang="en-US" sz="1100" b="0" baseline="0">
              <a:effectLst/>
            </a:rPr>
            <a:t>in </a:t>
          </a:r>
          <a:r>
            <a:rPr lang="en-US" sz="1100" b="1" baseline="0">
              <a:effectLst/>
            </a:rPr>
            <a:t>Step 12</a:t>
          </a:r>
          <a:r>
            <a:rPr lang="en-US" sz="1100" b="0" baseline="0">
              <a:effectLst/>
            </a:rPr>
            <a:t>.</a:t>
          </a:r>
        </a:p>
        <a:p>
          <a:pPr algn="l"/>
          <a:endParaRPr lang="en-US" sz="1100" b="1" baseline="0"/>
        </a:p>
        <a:p>
          <a:pPr algn="l"/>
          <a:endParaRPr lang="en-US" sz="1100" b="0" baseline="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0.76471</cdr:x>
      <cdr:y>0.87095</cdr:y>
    </cdr:from>
    <cdr:to>
      <cdr:x>0.88971</cdr:x>
      <cdr:y>0.98357</cdr:y>
    </cdr:to>
    <cdr:sp macro="" textlink="">
      <cdr:nvSpPr>
        <cdr:cNvPr id="2" name="TextBox 1">
          <a:extLst xmlns:a="http://schemas.openxmlformats.org/drawingml/2006/main">
            <a:ext uri="{FF2B5EF4-FFF2-40B4-BE49-F238E27FC236}">
              <a16:creationId xmlns:a16="http://schemas.microsoft.com/office/drawing/2014/main" id="{C7F7798F-4161-4536-853C-D2CDC63BD99F}"/>
            </a:ext>
          </a:extLst>
        </cdr:cNvPr>
        <cdr:cNvSpPr txBox="1"/>
      </cdr:nvSpPr>
      <cdr:spPr>
        <a:xfrm xmlns:a="http://schemas.openxmlformats.org/drawingml/2006/main">
          <a:off x="11435689" y="5453075"/>
          <a:ext cx="1869282" cy="70512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2400" b="1"/>
            <a:t>V</a:t>
          </a:r>
          <a:r>
            <a:rPr lang="en-US" sz="2400" b="1" baseline="-25000"/>
            <a:t>AC</a:t>
          </a:r>
          <a:r>
            <a:rPr lang="en-US" sz="2400" b="1" baseline="0"/>
            <a:t> = V</a:t>
          </a:r>
          <a:r>
            <a:rPr lang="en-US" sz="2400" b="1" baseline="-25000"/>
            <a:t>AC(nom)</a:t>
          </a:r>
          <a:r>
            <a:rPr lang="en-US" sz="2400" b="1" baseline="0"/>
            <a:t> =</a:t>
          </a:r>
          <a:endParaRPr lang="en-US" sz="2400" b="1"/>
        </a:p>
      </cdr:txBody>
    </cdr:sp>
  </cdr:relSizeAnchor>
  <cdr:relSizeAnchor xmlns:cdr="http://schemas.openxmlformats.org/drawingml/2006/chartDrawing">
    <cdr:from>
      <cdr:x>0.8949</cdr:x>
      <cdr:y>0.88742</cdr:y>
    </cdr:from>
    <cdr:to>
      <cdr:x>0.96561</cdr:x>
      <cdr:y>0.95436</cdr:y>
    </cdr:to>
    <cdr:sp macro="" textlink="'BQ2575X Design Calculator'!$G$7">
      <cdr:nvSpPr>
        <cdr:cNvPr id="3" name="TextBox 2">
          <a:extLst xmlns:a="http://schemas.openxmlformats.org/drawingml/2006/main">
            <a:ext uri="{FF2B5EF4-FFF2-40B4-BE49-F238E27FC236}">
              <a16:creationId xmlns:a16="http://schemas.microsoft.com/office/drawing/2014/main" id="{23D9576B-CFD2-4D4B-AB96-4E47386D1E4A}"/>
            </a:ext>
          </a:extLst>
        </cdr:cNvPr>
        <cdr:cNvSpPr txBox="1"/>
      </cdr:nvSpPr>
      <cdr:spPr>
        <a:xfrm xmlns:a="http://schemas.openxmlformats.org/drawingml/2006/main">
          <a:off x="13382625" y="5556249"/>
          <a:ext cx="1057275"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28EF4E2-F2E1-4FEE-ADCA-1B68D6411913}" type="TxLink">
            <a:rPr lang="en-US" sz="2400" b="1" i="0" u="none" strike="noStrike">
              <a:solidFill>
                <a:srgbClr val="000000"/>
              </a:solidFill>
              <a:latin typeface="Calibri"/>
              <a:cs typeface="Calibri"/>
            </a:rPr>
            <a:pPr/>
            <a:t>24 V</a:t>
          </a:fld>
          <a:endParaRPr lang="en-US" sz="2400"/>
        </a:p>
      </cdr:txBody>
    </cdr:sp>
  </cdr:relSizeAnchor>
  <cdr:relSizeAnchor xmlns:cdr="http://schemas.openxmlformats.org/drawingml/2006/chartDrawing">
    <cdr:from>
      <cdr:x>0.56773</cdr:x>
      <cdr:y>0.8646</cdr:y>
    </cdr:from>
    <cdr:to>
      <cdr:x>0.63439</cdr:x>
      <cdr:y>0.97722</cdr:y>
    </cdr:to>
    <cdr:sp macro="" textlink="">
      <cdr:nvSpPr>
        <cdr:cNvPr id="4" name="TextBox 1">
          <a:extLst xmlns:a="http://schemas.openxmlformats.org/drawingml/2006/main">
            <a:ext uri="{FF2B5EF4-FFF2-40B4-BE49-F238E27FC236}">
              <a16:creationId xmlns:a16="http://schemas.microsoft.com/office/drawing/2014/main" id="{78252E3F-7D60-4A16-B6D0-853A95C8CF5A}"/>
            </a:ext>
          </a:extLst>
        </cdr:cNvPr>
        <cdr:cNvSpPr txBox="1"/>
      </cdr:nvSpPr>
      <cdr:spPr>
        <a:xfrm xmlns:a="http://schemas.openxmlformats.org/drawingml/2006/main">
          <a:off x="8489950" y="5410601"/>
          <a:ext cx="996950" cy="70476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400" b="1"/>
            <a:t>V</a:t>
          </a:r>
          <a:r>
            <a:rPr lang="en-US" sz="2400" b="1" baseline="-25000"/>
            <a:t>BAT</a:t>
          </a:r>
          <a:r>
            <a:rPr lang="en-US" sz="2400" b="1" baseline="0"/>
            <a:t> = </a:t>
          </a:r>
          <a:endParaRPr lang="en-US" sz="2400" b="1"/>
        </a:p>
      </cdr:txBody>
    </cdr:sp>
  </cdr:relSizeAnchor>
  <cdr:relSizeAnchor xmlns:cdr="http://schemas.openxmlformats.org/drawingml/2006/chartDrawing">
    <cdr:from>
      <cdr:x>0.62887</cdr:x>
      <cdr:y>0.88483</cdr:y>
    </cdr:from>
    <cdr:to>
      <cdr:x>0.69958</cdr:x>
      <cdr:y>0.95177</cdr:y>
    </cdr:to>
    <cdr:sp macro="" textlink="'BQ2575X Design Calculator'!$G$9">
      <cdr:nvSpPr>
        <cdr:cNvPr id="5" name="TextBox 1">
          <a:extLst xmlns:a="http://schemas.openxmlformats.org/drawingml/2006/main">
            <a:ext uri="{FF2B5EF4-FFF2-40B4-BE49-F238E27FC236}">
              <a16:creationId xmlns:a16="http://schemas.microsoft.com/office/drawing/2014/main" id="{5E1B8F9C-B587-425A-AFAD-36AB1E114134}"/>
            </a:ext>
          </a:extLst>
        </cdr:cNvPr>
        <cdr:cNvSpPr txBox="1"/>
      </cdr:nvSpPr>
      <cdr:spPr>
        <a:xfrm xmlns:a="http://schemas.openxmlformats.org/drawingml/2006/main">
          <a:off x="9404350" y="5537200"/>
          <a:ext cx="1057275" cy="418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662674C-BD07-4FC7-88AD-FD80DB75F7C5}" type="TxLink">
            <a:rPr lang="en-US" sz="2400" b="1" i="0" u="none" strike="noStrike">
              <a:solidFill>
                <a:srgbClr val="000000"/>
              </a:solidFill>
              <a:latin typeface="Calibri"/>
              <a:cs typeface="Calibri"/>
            </a:rPr>
            <a:pPr/>
            <a:t>28,7 V</a:t>
          </a:fld>
          <a:endParaRPr lang="en-US" sz="48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3</xdr:col>
      <xdr:colOff>206375</xdr:colOff>
      <xdr:row>0</xdr:row>
      <xdr:rowOff>531997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57150"/>
          <a:ext cx="3140075" cy="474847"/>
        </a:xfrm>
        <a:prstGeom prst="rect">
          <a:avLst/>
        </a:prstGeom>
      </xdr:spPr>
    </xdr:pic>
    <xdr:clientData/>
  </xdr:twoCellAnchor>
  <xdr:twoCellAnchor>
    <xdr:from>
      <xdr:col>9</xdr:col>
      <xdr:colOff>488015</xdr:colOff>
      <xdr:row>4</xdr:row>
      <xdr:rowOff>187512</xdr:rowOff>
    </xdr:from>
    <xdr:to>
      <xdr:col>18</xdr:col>
      <xdr:colOff>446741</xdr:colOff>
      <xdr:row>45</xdr:row>
      <xdr:rowOff>127935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46</xdr:row>
      <xdr:rowOff>152400</xdr:rowOff>
    </xdr:from>
    <xdr:to>
      <xdr:col>24</xdr:col>
      <xdr:colOff>273050</xdr:colOff>
      <xdr:row>73</xdr:row>
      <xdr:rowOff>187325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144000" y="4724400"/>
          <a:ext cx="7397750" cy="5178425"/>
        </a:xfrm>
        <a:prstGeom prst="rect">
          <a:avLst/>
        </a:prstGeom>
        <a:solidFill>
          <a:schemeClr val="accent4">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How to use Thermistor</a:t>
          </a:r>
          <a:r>
            <a:rPr lang="en-US" sz="1100" b="1" baseline="0"/>
            <a:t> Qualification tool</a:t>
          </a:r>
        </a:p>
        <a:p>
          <a:pPr algn="ctr"/>
          <a:endParaRPr lang="en-US" sz="1100" b="1" baseline="0"/>
        </a:p>
        <a:p>
          <a:pPr algn="l"/>
          <a:r>
            <a:rPr lang="en-US" sz="1100" b="0" baseline="0"/>
            <a:t>1. Enter </a:t>
          </a:r>
          <a:r>
            <a:rPr lang="en-US" sz="1100" b="1" baseline="0"/>
            <a:t>Selected Temperature Thresholds </a:t>
          </a:r>
          <a:r>
            <a:rPr lang="en-US" sz="1100" b="0" baseline="0"/>
            <a:t>in the </a:t>
          </a:r>
          <a:r>
            <a:rPr lang="en-US" sz="1100" b="1" baseline="0"/>
            <a:t>Thermistor Qualification </a:t>
          </a:r>
          <a:r>
            <a:rPr lang="en-US" sz="1100" b="0" baseline="0"/>
            <a:t>Section.</a:t>
          </a:r>
        </a:p>
        <a:p>
          <a:pPr algn="l"/>
          <a:endParaRPr lang="en-US" sz="1100" b="0" baseline="0"/>
        </a:p>
        <a:p>
          <a:pPr algn="l"/>
          <a:r>
            <a:rPr lang="en-US" sz="1100" b="0" baseline="0"/>
            <a:t>2. Enter </a:t>
          </a:r>
          <a:r>
            <a:rPr lang="en-US" sz="1100" b="1" baseline="0"/>
            <a:t>Thermistor Resistance Profile </a:t>
          </a:r>
          <a:r>
            <a:rPr lang="en-US" sz="1100" b="0" baseline="0"/>
            <a:t>data.</a:t>
          </a:r>
        </a:p>
        <a:p>
          <a:pPr algn="l"/>
          <a:r>
            <a:rPr lang="en-US" sz="1100" b="0" baseline="0"/>
            <a:t>     - The </a:t>
          </a:r>
          <a:r>
            <a:rPr lang="en-US" sz="1100" b="1" baseline="0"/>
            <a:t>whole</a:t>
          </a:r>
          <a:r>
            <a:rPr lang="en-US" sz="1100" b="0" baseline="0"/>
            <a:t> table needs to be filled in or the tool </a:t>
          </a:r>
          <a:r>
            <a:rPr lang="en-US" sz="1100" b="1" baseline="0"/>
            <a:t>will not </a:t>
          </a:r>
          <a:r>
            <a:rPr lang="en-US" sz="1100" b="0" baseline="0"/>
            <a:t>be able to do it's calculations.</a:t>
          </a:r>
        </a:p>
        <a:p>
          <a:pPr algn="l"/>
          <a:r>
            <a:rPr lang="en-US" sz="1100" b="0" baseline="0"/>
            <a:t> </a:t>
          </a:r>
        </a:p>
        <a:p>
          <a:pPr algn="l"/>
          <a:r>
            <a:rPr lang="en-US" sz="1100" b="0" baseline="0"/>
            <a:t>     - If the thermistor datasheet does not have all the Min, Typ, and Max data to fill in the whole table, we recommend</a:t>
          </a:r>
        </a:p>
        <a:p>
          <a:pPr algn="l"/>
          <a:r>
            <a:rPr lang="en-US" sz="1100" b="0" baseline="0"/>
            <a:t>       contacting the manufacturer for this data. </a:t>
          </a:r>
        </a:p>
        <a:p>
          <a:pPr algn="l"/>
          <a:endParaRPr lang="en-US" sz="1100" b="0" baseline="0"/>
        </a:p>
        <a:p>
          <a:pPr algn="l"/>
          <a:r>
            <a:rPr lang="en-US" sz="1100" b="0" baseline="0"/>
            <a:t>     - The </a:t>
          </a:r>
          <a:r>
            <a:rPr lang="en-US" sz="1100" b="1" baseline="0"/>
            <a:t>Tolerance</a:t>
          </a:r>
          <a:r>
            <a:rPr lang="en-US" sz="1100" b="0" baseline="0"/>
            <a:t> column is </a:t>
          </a:r>
          <a:r>
            <a:rPr lang="en-US" sz="1100" b="1" baseline="0"/>
            <a:t>not</a:t>
          </a:r>
          <a:r>
            <a:rPr lang="en-US" sz="1100" b="0" baseline="0"/>
            <a:t> necessary for the Thermistor Qualification tool's calculations, but it can be useful for entering</a:t>
          </a:r>
        </a:p>
        <a:p>
          <a:pPr algn="l"/>
          <a:r>
            <a:rPr lang="en-US" sz="1100" b="0" baseline="0"/>
            <a:t>        in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data. Some datasheets provide the typical resistance and tolerance for over the temperature</a:t>
          </a:r>
        </a:p>
        <a:p>
          <a:pPr algn="l"/>
          <a:r>
            <a:rPr lang="en-US" sz="1100" b="0" baseline="0"/>
            <a:t>        range and if this is your case, you can enter the data in the </a:t>
          </a:r>
          <a:r>
            <a:rPr lang="en-US" sz="1100" b="1" baseline="0"/>
            <a:t>Tolerance</a:t>
          </a:r>
          <a:r>
            <a:rPr lang="en-US" sz="1100" b="0" baseline="0"/>
            <a:t> and </a:t>
          </a:r>
          <a:r>
            <a:rPr lang="en-US" sz="1100" b="1" baseline="0"/>
            <a:t>Typ</a:t>
          </a:r>
          <a:r>
            <a:rPr lang="en-US" sz="1100" b="0" baseline="0"/>
            <a:t> columns, then use equations to calculation</a:t>
          </a:r>
        </a:p>
        <a:p>
          <a:pPr algn="l"/>
          <a:r>
            <a:rPr lang="en-US" sz="1100" b="0" baseline="0"/>
            <a:t>        the </a:t>
          </a:r>
          <a:r>
            <a:rPr lang="en-US" sz="1100" b="1" baseline="0"/>
            <a:t>Min</a:t>
          </a:r>
          <a:r>
            <a:rPr lang="en-US" sz="1100" b="0" baseline="0"/>
            <a:t> and </a:t>
          </a:r>
          <a:r>
            <a:rPr lang="en-US" sz="1100" b="1" baseline="0"/>
            <a:t>Max</a:t>
          </a:r>
          <a:r>
            <a:rPr lang="en-US" sz="1100" b="0" baseline="0"/>
            <a:t> columns. </a:t>
          </a:r>
        </a:p>
        <a:p>
          <a:pPr algn="l"/>
          <a:endParaRPr lang="en-US" sz="1100" b="0" baseline="0"/>
        </a:p>
        <a:p>
          <a:pPr algn="l"/>
          <a:r>
            <a:rPr lang="en-US" sz="1100" b="0" baseline="0"/>
            <a:t>     - Some datasheets provide plots of their tolerances vs temperature rather than give the actual data and some datasheets do</a:t>
          </a:r>
        </a:p>
        <a:p>
          <a:pPr algn="l"/>
          <a:r>
            <a:rPr lang="en-US" sz="1100" b="0" baseline="0"/>
            <a:t>       not provide the resistance data with a temperature resolution of 1 °C. In these cases, the user may choose to estimate the</a:t>
          </a:r>
        </a:p>
        <a:p>
          <a:pPr algn="l"/>
          <a:r>
            <a:rPr lang="en-US" sz="1100" b="0" baseline="0"/>
            <a:t>       tolerances/resistances by using their own custom equations to fill in this data. </a:t>
          </a:r>
          <a:r>
            <a:rPr lang="en-US" sz="1100" b="1" baseline="0"/>
            <a:t>However, if the user chooses to do this, the</a:t>
          </a:r>
        </a:p>
        <a:p>
          <a:pPr algn="l"/>
          <a:r>
            <a:rPr lang="en-US" sz="1100" b="1" baseline="0"/>
            <a:t>       user should note that the calculations will only be as accurate as the data entered in the Min, Typ, and Max columns. </a:t>
          </a:r>
        </a:p>
        <a:p>
          <a:pPr algn="l"/>
          <a:endParaRPr lang="en-US" sz="1100" b="1" baseline="0"/>
        </a:p>
        <a:p>
          <a:pPr algn="l"/>
          <a:r>
            <a:rPr lang="en-US" sz="1100" b="0" baseline="0"/>
            <a:t>3. After the </a:t>
          </a:r>
          <a:r>
            <a:rPr lang="en-US" sz="1100" b="1" baseline="0"/>
            <a:t>Selected Temperature Thresholds </a:t>
          </a:r>
          <a:r>
            <a:rPr lang="en-US" sz="1100" b="0" baseline="0"/>
            <a:t>and </a:t>
          </a:r>
          <a:r>
            <a:rPr lang="en-US" sz="1100" b="1" baseline="0"/>
            <a:t>Thermistor Resistance Profile </a:t>
          </a:r>
          <a:r>
            <a:rPr lang="en-US" sz="1100" b="0" baseline="0"/>
            <a:t>data is entered, the tool will provide a</a:t>
          </a:r>
        </a:p>
        <a:p>
          <a:pPr algn="l"/>
          <a:r>
            <a:rPr lang="en-US" sz="1100" b="0" baseline="0"/>
            <a:t>    Recommended RT1 and RT2 resistance. These resistances are selected from a list of Standard 0.1% Resistances. </a:t>
          </a:r>
        </a:p>
        <a:p>
          <a:pPr algn="l"/>
          <a:endParaRPr lang="en-US" sz="1100" b="0" baseline="0"/>
        </a:p>
        <a:p>
          <a:pPr algn="l"/>
          <a:r>
            <a:rPr lang="en-US" sz="1100" b="0" baseline="0"/>
            <a:t>4. The tool will then calculate the </a:t>
          </a:r>
          <a:r>
            <a:rPr lang="en-US" sz="1100" b="1" baseline="0"/>
            <a:t>Min</a:t>
          </a:r>
          <a:r>
            <a:rPr lang="en-US" sz="1100" b="0" baseline="0"/>
            <a:t>, </a:t>
          </a:r>
          <a:r>
            <a:rPr lang="en-US" sz="1100" b="1" baseline="0"/>
            <a:t>Typ</a:t>
          </a:r>
          <a:r>
            <a:rPr lang="en-US" sz="1100" b="0" baseline="0"/>
            <a:t>, and </a:t>
          </a:r>
          <a:r>
            <a:rPr lang="en-US" sz="1100" b="1" baseline="0"/>
            <a:t>Max</a:t>
          </a:r>
          <a:r>
            <a:rPr lang="en-US" sz="1100" b="0" baseline="0"/>
            <a:t> </a:t>
          </a:r>
          <a:r>
            <a:rPr lang="en-US" sz="1100" b="1" baseline="0"/>
            <a:t>Temperature Thresholds </a:t>
          </a:r>
          <a:r>
            <a:rPr lang="en-US" sz="1100" b="0" baseline="0"/>
            <a:t>for </a:t>
          </a:r>
          <a:r>
            <a:rPr lang="en-US" sz="1100" b="1" baseline="0"/>
            <a:t>Entering</a:t>
          </a:r>
          <a:r>
            <a:rPr lang="en-US" sz="1100" b="0" baseline="0"/>
            <a:t> and </a:t>
          </a:r>
          <a:r>
            <a:rPr lang="en-US" sz="1100" b="1" baseline="0"/>
            <a:t>Exiting</a:t>
          </a:r>
          <a:r>
            <a:rPr lang="en-US" sz="1100" b="0" baseline="0"/>
            <a:t> the </a:t>
          </a:r>
          <a:r>
            <a:rPr lang="en-US" sz="1100" b="1" baseline="0"/>
            <a:t>Cold</a:t>
          </a:r>
          <a:r>
            <a:rPr lang="en-US" sz="1100" b="0" baseline="0"/>
            <a:t>, </a:t>
          </a:r>
          <a:r>
            <a:rPr lang="en-US" sz="1100" b="1" baseline="0"/>
            <a:t>Cool</a:t>
          </a:r>
          <a:r>
            <a:rPr lang="en-US" sz="1100" b="0" baseline="0"/>
            <a:t>, </a:t>
          </a:r>
          <a:r>
            <a:rPr lang="en-US" sz="1100" b="1" baseline="0"/>
            <a:t>Warm</a:t>
          </a:r>
        </a:p>
        <a:p>
          <a:pPr algn="l"/>
          <a:r>
            <a:rPr lang="en-US" sz="1100" b="1" baseline="0"/>
            <a:t>   </a:t>
          </a:r>
          <a:r>
            <a:rPr lang="en-US" sz="1100" b="0" baseline="0"/>
            <a:t> and </a:t>
          </a:r>
          <a:r>
            <a:rPr lang="en-US" sz="1100" b="1" baseline="0"/>
            <a:t>Hot</a:t>
          </a:r>
          <a:r>
            <a:rPr lang="en-US" sz="1100" b="0" baseline="0"/>
            <a:t> regions. These thresholds will be shown in the table on the top right and a Graphic showing these thresholds will be</a:t>
          </a:r>
        </a:p>
        <a:p>
          <a:pPr algn="l"/>
          <a:r>
            <a:rPr lang="en-US" sz="1100" b="0" baseline="0"/>
            <a:t>    produced.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0.04545</cdr:x>
      <cdr:y>0.74118</cdr:y>
    </cdr:from>
    <cdr:to>
      <cdr:x>0.18706</cdr:x>
      <cdr:y>0.84118</cdr:y>
    </cdr:to>
    <cdr:sp macro="" textlink="">
      <cdr:nvSpPr>
        <cdr:cNvPr id="2" name="TextBox 1">
          <a:extLst xmlns:a="http://schemas.openxmlformats.org/drawingml/2006/main">
            <a:ext uri="{FF2B5EF4-FFF2-40B4-BE49-F238E27FC236}">
              <a16:creationId xmlns:a16="http://schemas.microsoft.com/office/drawing/2014/main" id="{2FA1E656-8D15-439C-A71E-D1A4F3CDBC02}"/>
            </a:ext>
          </a:extLst>
        </cdr:cNvPr>
        <cdr:cNvSpPr txBox="1"/>
      </cdr:nvSpPr>
      <cdr:spPr>
        <a:xfrm xmlns:a="http://schemas.openxmlformats.org/drawingml/2006/main">
          <a:off x="247650" y="24003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none" rtlCol="0" anchor="ctr"/>
        <a:lstStyle xmlns:a="http://schemas.openxmlformats.org/drawingml/2006/main"/>
        <a:p xmlns:a="http://schemas.openxmlformats.org/drawingml/2006/main">
          <a:pPr algn="ctr"/>
          <a:r>
            <a:rPr lang="en-US" sz="1100"/>
            <a:t>COLD</a:t>
          </a:r>
        </a:p>
      </cdr:txBody>
    </cdr:sp>
  </cdr:relSizeAnchor>
  <cdr:relSizeAnchor xmlns:cdr="http://schemas.openxmlformats.org/drawingml/2006/chartDrawing">
    <cdr:from>
      <cdr:x>0.09848</cdr:x>
      <cdr:y>0.35098</cdr:y>
    </cdr:from>
    <cdr:to>
      <cdr:x>0.24009</cdr:x>
      <cdr:y>0.45098</cdr:y>
    </cdr:to>
    <cdr:sp macro="" textlink="">
      <cdr:nvSpPr>
        <cdr:cNvPr id="3"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536575" y="113665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a:t>
          </a:r>
        </a:p>
      </cdr:txBody>
    </cdr:sp>
  </cdr:relSizeAnchor>
  <cdr:relSizeAnchor xmlns:cdr="http://schemas.openxmlformats.org/drawingml/2006/chartDrawing">
    <cdr:from>
      <cdr:x>0.67716</cdr:x>
      <cdr:y>0.01569</cdr:y>
    </cdr:from>
    <cdr:to>
      <cdr:x>0.81876</cdr:x>
      <cdr:y>0.11569</cdr:y>
    </cdr:to>
    <cdr:sp macro="" textlink="">
      <cdr:nvSpPr>
        <cdr:cNvPr id="4" name="TextBox 1">
          <a:extLst xmlns:a="http://schemas.openxmlformats.org/drawingml/2006/main">
            <a:ext uri="{FF2B5EF4-FFF2-40B4-BE49-F238E27FC236}">
              <a16:creationId xmlns:a16="http://schemas.microsoft.com/office/drawing/2014/main" id="{89B4546F-E461-4092-B8BF-0DD2E353E99A}"/>
            </a:ext>
          </a:extLst>
        </cdr:cNvPr>
        <cdr:cNvSpPr txBox="1"/>
      </cdr:nvSpPr>
      <cdr:spPr>
        <a:xfrm xmlns:a="http://schemas.openxmlformats.org/drawingml/2006/main">
          <a:off x="3689350" y="508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WARM</a:t>
          </a:r>
        </a:p>
      </cdr:txBody>
    </cdr:sp>
  </cdr:relSizeAnchor>
  <cdr:relSizeAnchor xmlns:cdr="http://schemas.openxmlformats.org/drawingml/2006/chartDrawing">
    <cdr:from>
      <cdr:x>0.82925</cdr:x>
      <cdr:y>0.73627</cdr:y>
    </cdr:from>
    <cdr:to>
      <cdr:x>0.97086</cdr:x>
      <cdr:y>0.83627</cdr:y>
    </cdr:to>
    <cdr:sp macro="" textlink="">
      <cdr:nvSpPr>
        <cdr:cNvPr id="5" name="TextBox 1">
          <a:extLst xmlns:a="http://schemas.openxmlformats.org/drawingml/2006/main">
            <a:ext uri="{FF2B5EF4-FFF2-40B4-BE49-F238E27FC236}">
              <a16:creationId xmlns:a16="http://schemas.microsoft.com/office/drawing/2014/main" id="{7762F759-F277-4C71-B775-1AF64F3888AC}"/>
            </a:ext>
          </a:extLst>
        </cdr:cNvPr>
        <cdr:cNvSpPr txBox="1"/>
      </cdr:nvSpPr>
      <cdr:spPr>
        <a:xfrm xmlns:a="http://schemas.openxmlformats.org/drawingml/2006/main">
          <a:off x="4518025" y="2384425"/>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HOT</a:t>
          </a:r>
        </a:p>
      </cdr:txBody>
    </cdr:sp>
  </cdr:relSizeAnchor>
  <cdr:relSizeAnchor xmlns:cdr="http://schemas.openxmlformats.org/drawingml/2006/chartDrawing">
    <cdr:from>
      <cdr:x>0.4359</cdr:x>
      <cdr:y>0.16863</cdr:y>
    </cdr:from>
    <cdr:to>
      <cdr:x>0.57751</cdr:x>
      <cdr:y>0.26863</cdr:y>
    </cdr:to>
    <cdr:sp macro="" textlink="">
      <cdr:nvSpPr>
        <cdr:cNvPr id="6" name="TextBox 1">
          <a:extLst xmlns:a="http://schemas.openxmlformats.org/drawingml/2006/main">
            <a:ext uri="{FF2B5EF4-FFF2-40B4-BE49-F238E27FC236}">
              <a16:creationId xmlns:a16="http://schemas.microsoft.com/office/drawing/2014/main" id="{BF9370D1-EFF7-4CA1-8649-ED9C5831572D}"/>
            </a:ext>
          </a:extLst>
        </cdr:cNvPr>
        <cdr:cNvSpPr txBox="1"/>
      </cdr:nvSpPr>
      <cdr:spPr>
        <a:xfrm xmlns:a="http://schemas.openxmlformats.org/drawingml/2006/main">
          <a:off x="2374900" y="546100"/>
          <a:ext cx="771525" cy="32385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NORMAL</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13</xdr:col>
      <xdr:colOff>152400</xdr:colOff>
      <xdr:row>18</xdr:row>
      <xdr:rowOff>76200</xdr:rowOff>
    </xdr:from>
    <xdr:to>
      <xdr:col>25</xdr:col>
      <xdr:colOff>284819</xdr:colOff>
      <xdr:row>54</xdr:row>
      <xdr:rowOff>151533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10625" y="3505200"/>
          <a:ext cx="7447619" cy="6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0504716/TI%20Drive/Projects/Applications/Draco%20Tool/LM5176%20Buck-Boost%20Quickstart%20Tool%20r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BOM &amp; Schematic"/>
      <sheetName val="EVMs"/>
      <sheetName val="Variable Management"/>
      <sheetName val="Schematic Management"/>
      <sheetName val="Efficiency Plot Management"/>
      <sheetName val="Efficiency vs VIN Calculations"/>
      <sheetName val="Efficiency vs Load Calculations"/>
      <sheetName val="Stability Calculations"/>
      <sheetName val="Standard Value Calculator"/>
      <sheetName val="Snubber"/>
      <sheetName val="Parallel Output Caps"/>
    </sheetNames>
    <sheetDataSet>
      <sheetData sheetId="0"/>
      <sheetData sheetId="1"/>
      <sheetData sheetId="2"/>
      <sheetData sheetId="3">
        <row r="10">
          <cell r="O10">
            <v>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817463-F970-431D-A097-DF96909308C2}" name="Table7" displayName="Table7" ref="AF155:DE256" headerRowDxfId="271" dataDxfId="270" totalsRowDxfId="269">
  <autoFilter ref="AF155:DE256" xr:uid="{C192B9E3-F927-4813-A03D-A55B86C2F9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2" hiddenButton="1"/>
    <filterColumn colId="53" hiddenButton="1"/>
    <filterColumn colId="54" hiddenButton="1"/>
    <filterColumn colId="55" hiddenButton="1"/>
    <filterColumn colId="62" hiddenButton="1"/>
    <filterColumn colId="63" hiddenButton="1"/>
    <filterColumn colId="64" hiddenButton="1"/>
    <filterColumn colId="66" hiddenButton="1"/>
    <filterColumn colId="67" hiddenButton="1"/>
    <filterColumn colId="77" hiddenButton="1"/>
  </autoFilter>
  <tableColumns count="78">
    <tableColumn id="1" xr3:uid="{2810ECE5-1CBC-4B22-9AF7-6D75E2F6E0D6}" name="Index" totalsRowLabel="Total" dataDxfId="268" totalsRowDxfId="267"/>
    <tableColumn id="2" xr3:uid="{156E57E3-42AD-4309-909E-5E01A99A7765}" name="IOUT (A)" dataDxfId="266" totalsRowDxfId="265"/>
    <tableColumn id="3" xr3:uid="{CBC11E32-1628-4DAD-823A-1B2BFDB1E323}" name="POUT (W)" dataDxfId="264" totalsRowDxfId="263">
      <calculatedColumnFormula>AG156*VACnom</calculatedColumnFormula>
    </tableColumn>
    <tableColumn id="4" xr3:uid="{FDA26805-2A15-4A21-9B06-83626B9C6C96}" name="Duty Cycle" dataDxfId="262" totalsRowDxfId="261">
      <calculatedColumnFormula>IF(VACnom&lt;Vbat, (Vbat-VACnom)/Vbat, Vbat/VACnom)</calculatedColumnFormula>
    </tableColumn>
    <tableColumn id="5" xr3:uid="{93641C8E-EF2E-4ABB-B633-A1A462D765F6}" name="I_L" dataDxfId="260" totalsRowDxfId="259">
      <calculatedColumnFormula>IF(VACnom&lt;Vbat, AG156/(1-AI156), AG156*AI156)</calculatedColumnFormula>
    </tableColumn>
    <tableColumn id="6" xr3:uid="{6DD7AA58-527D-471A-8CFA-F1E9F31BDFF9}" name="I_L pkpk" dataDxfId="258" totalsRowDxfId="257">
      <calculatedColumnFormula>Ipkpk_VACnom</calculatedColumnFormula>
    </tableColumn>
    <tableColumn id="7" xr3:uid="{AE0BA51D-B443-4012-9837-AD1A5DB7C996}" name="I_L RMS" dataDxfId="256" totalsRowDxfId="255">
      <calculatedColumnFormula>SQRT(AJ156^2+AK156^2/12)</calculatedColumnFormula>
    </tableColumn>
    <tableColumn id="69" xr3:uid="{C14C63E3-35A5-4492-8075-DDD7FB25CE78}" name="Column2" dataDxfId="254" totalsRowDxfId="253"/>
    <tableColumn id="37" xr3:uid="{091676C3-E3D2-4679-824B-F9094D4562A4}" name="Ivalley (A)" dataDxfId="252" totalsRowDxfId="251">
      <calculatedColumnFormula>MAX(0,Table7[[#This Row],[I_L]]-0.5*Table7[[#This Row],[I_L pkpk]])</calculatedColumnFormula>
    </tableColumn>
    <tableColumn id="38" xr3:uid="{549C56F2-3975-49FC-95DA-EB079E64D1A1}" name="Ipeak (A)" dataDxfId="250" totalsRowDxfId="249">
      <calculatedColumnFormula>Table7[[#This Row],[I_L]]+0.5*Table7[[#This Row],[I_L pkpk]]</calculatedColumnFormula>
    </tableColumn>
    <tableColumn id="41" xr3:uid="{0D4C77C2-A024-4261-8E50-8D7B36F187D8}" name="Ion (A)" dataDxfId="248" totalsRowDxfId="247">
      <calculatedColumnFormula>IF(VACnom&gt;Vbat, (VGS_S-(TI_MOSFET_S_VTH_H_BU+Table7[[#This Row],[I_L]]/TI_MOSFET_S_gFS_H_BU))/3.4, (VGS_S-(TI_MOSFET_S_VTH_L_BO+Table7[[#This Row],[I_L]]/TI_MOSFET_S_gFS_L_BO))/3.4 )</calculatedColumnFormula>
    </tableColumn>
    <tableColumn id="42" xr3:uid="{F37F6088-D1F6-4713-B745-F81C041B38E0}" name="Ioff (A)" dataDxfId="246" totalsRowDxfId="245">
      <calculatedColumnFormula>IF(VACnom&gt;Vbat, ((TI_MOSFET_S_VTH_H_BU+Table7[[#This Row],[I_L]]/TI_MOSFET_S_gFS_H_BU))/1, ((TI_MOSFET_S_VTH_L_BO+Table7[[#This Row],[I_L]]/TI_MOSFET_S_gFS_L_BO))/1 )</calculatedColumnFormula>
    </tableColumn>
    <tableColumn id="39" xr3:uid="{8D09D970-3845-4BC1-A312-F1BF51B1EDDD}" name="ton (ns)" dataDxfId="244" totalsRowDxfId="243">
      <calculatedColumnFormula>IF(VACnom&gt;Vbat, (TI_MOSFET_S_QGD_H_BU+TI_MOSFET_S_QGS_H_BU)*10^-9/Table7[[#This Row],[Ion (A)]], (TI_MOSFET_S_QGD_L_BO+TI_MOSFET_S_QGS_L_BO)*10^-9/Table7[[#This Row],[Ion (A)]])/10^-9</calculatedColumnFormula>
    </tableColumn>
    <tableColumn id="40" xr3:uid="{EBB92F8B-38ED-48B8-AF75-9038B4D1EE6B}" name="toff (ns)" dataDxfId="242" totalsRowDxfId="241">
      <calculatedColumnFormula>IF(VACnom&gt;Vbat, (TI_MOSFET_S_QGD_H_BU+TI_MOSFET_S_QGS_H_BU)*10^-9/Table7[[#This Row],[Ioff (A)]], (TI_MOSFET_S_QGD_L_BO+TI_MOSFET_S_QGS_L_BO)*10^-9/Table7[[#This Row],[Ioff (A)]])/10^-9</calculatedColumnFormula>
    </tableColumn>
    <tableColumn id="36" xr3:uid="{F7C931CF-DB91-4222-9EC1-B64FBCCE6AB6}" name="PIV (mW)" dataDxfId="240" totalsRowDxfId="239">
      <calculatedColumnFormula xml:space="preserve"> 0.5*VACnom*Table7[[#This Row],[Ivalley (A)]]*Table7[[#This Row],[ton (ns)]]*10^-9*Fsw*10^3+0.5*VACnom*Table7[[#This Row],[Ipeak (A)]]*Table7[[#This Row],[toff (ns)]]*10^-9*Fsw*10^3/10^-3</calculatedColumnFormula>
    </tableColumn>
    <tableColumn id="43" xr3:uid="{D88C7A42-EF6F-49D6-A0DC-8950CF1BB3B3}" name="Pqoss (mW)" dataDxfId="238" totalsRowDxfId="237">
      <calculatedColumnFormula>IF(VACnom&gt;Vbat, 0.5*VACnom*TI_MOSFET_S_QOSS_H_BU*10^-9*Fsw*10^3,0.5*VACnom*TI_MOSFET_S_QOSS_L_BO*10^-9*Fsw*10^3)/10^-3</calculatedColumnFormula>
    </tableColumn>
    <tableColumn id="44" xr3:uid="{8BBF3810-B322-4AE1-AA76-6BE84F11F176}" name="Pgate_top (mW)" dataDxfId="236" totalsRowDxfId="235">
      <calculatedColumnFormula>IF(VACnom&gt;Vbat, VACnom*TI_MOSFET_S_QG_H_BU*10^-9*Fsw*10^3,VACnom*TI_MOSFET_S_QG_H_BO*10^-9*Fsw*10^3)/10^-3</calculatedColumnFormula>
    </tableColumn>
    <tableColumn id="48" xr3:uid="{8B3A03B8-2D65-43A0-9734-F6532B5A41A6}" name="PRR (mW)" dataDxfId="234" totalsRowDxfId="233">
      <calculatedColumnFormula>IF(VACnom&gt;Vbat, VACnom*TI_MOSFET_S_QRR_L_BU*10^-9*Fsw*10^3, VACnom*TI_MOSFET_S_QRR_H_BO*10^-9*Fsw*10^3)/10^-3</calculatedColumnFormula>
    </tableColumn>
    <tableColumn id="49" xr3:uid="{35BAE4DE-B3DE-48FE-A45E-0AD92CC23C11}" name="Pdead (mW)" dataDxfId="232" totalsRowDxfId="231">
      <calculatedColumnFormula>IF(VACnom&gt;Vbat, TI_MOSFET_S_VSD_L_BU*Table7[[#This Row],[Ivalley (A)]]*Fsw*10^3*40*10^-9+TI_MOSFET_S_VSD_L_BU*Table7[[#This Row],[Ipeak (A)]]*Fsw*10^3*30*10^-9, TI_MOSFET_S_VSD_H_BO*Table7[[#This Row],[Ivalley (A)]]*Fsw*10^3*40*10^-9+TI_MOSFET_S_VSD_H_BO*Table7[[#This Row],[Ipeak (A)]]*Fsw*10^3*30*10^-9)/10^-3</calculatedColumnFormula>
    </tableColumn>
    <tableColumn id="51" xr3:uid="{04DAAF9E-46B0-4EE7-8EDB-0EDC15487DE8}" name="Pgate_bottom (mW)" dataDxfId="230" totalsRowDxfId="229">
      <calculatedColumnFormula>IF(VACnom&gt;Vbat, VACnom*TI_MOSFET_S_QG_L_BU*10^-9*Fsw*10^3, VACnom*TI_MOSFET_S_QG_L_BO*10^-9*Fsw*10^3)/10^-3</calculatedColumnFormula>
    </tableColumn>
    <tableColumn id="34" xr3:uid="{DAA77BC0-C411-42CF-9207-F9F858327E03}" name="Pcon_top (mW)" dataDxfId="228" totalsRowDxfId="227">
      <calculatedColumnFormula>IF(VACnom&lt;Vbat, Table7[[#This Row],[Duty Cycle]]*Table7[[#This Row],[I_L RMS]]^2*TI_MOSFET_S_RDSON_H_BU*10^-3, (1-Table7[[#This Row],[Duty Cycle]])*Table7[[#This Row],[I_L RMS]]^2*TI_MOSFET_S_RDSON_H_BO*10^-3)/10^-3</calculatedColumnFormula>
    </tableColumn>
    <tableColumn id="35" xr3:uid="{6DCA6390-E7A0-4DD5-B7C0-DC6AA33A0E61}" name="Psw_top (mW)" dataDxfId="226" totalsRowDxfId="225">
      <calculatedColumnFormula>IF(VACnom&gt;Vbat, Table7[[#This Row],[PIV (mW)]]+Table7[[#This Row],[Pqoss (mW)]]+Table7[[#This Row],[Pgate_top (mW)]], Table7[[#This Row],[PRR (mW)]]+Table7[[#This Row],[Pdead (mW)]]+Table7[[#This Row],[Pgate_top (mW)]])</calculatedColumnFormula>
    </tableColumn>
    <tableColumn id="45" xr3:uid="{3B88D89D-47F7-436A-AFA8-8D92E69AAA39}" name="Ptop (mW)" dataDxfId="224" totalsRowDxfId="223">
      <calculatedColumnFormula>Table7[[#This Row],[Pcon_top (mW)]]+Table7[[#This Row],[Psw_top (mW)]]</calculatedColumnFormula>
    </tableColumn>
    <tableColumn id="46" xr3:uid="{FF0EA0D2-8184-4E88-8587-985B2145B9F4}" name="Pcon_bottom (mW)" dataDxfId="222" totalsRowDxfId="221">
      <calculatedColumnFormula>IF(VACnom&gt;Vbat, (1-Table7[[#This Row],[Duty Cycle]])*Table7[[#This Row],[I_L RMS]]^2*TI_MOSFET_S_RDSON_L_BU*10^-3, Table7[[#This Row],[Duty Cycle]]*Table7[[#This Row],[I_L RMS]]^2*TI_MOSFET_S_RDSON_L_BO*10^-3)/10^-3</calculatedColumnFormula>
    </tableColumn>
    <tableColumn id="47" xr3:uid="{728A07DA-E165-4DB5-8AF9-EC8B4BE19EC2}" name="Psw_bottom (mW)" dataDxfId="220" totalsRowDxfId="219">
      <calculatedColumnFormula>IF(VACnom&gt;Vbat, Table7[[#This Row],[PRR (mW)]]+Table7[[#This Row],[Pdead (mW)]]+Table7[[#This Row],[Pgate_bottom (mW)]], Table7[[#This Row],[PIV (mW)]]+Table7[[#This Row],[Pqoss (mW)]]+Table7[[#This Row],[Pgate_bottom (mW)]])</calculatedColumnFormula>
    </tableColumn>
    <tableColumn id="52" xr3:uid="{24EE1756-4CB7-4A02-ACCE-0B52B4621B3B}" name="Pbottom (mW)" dataDxfId="218" totalsRowDxfId="217">
      <calculatedColumnFormula>Table7[[#This Row],[Pcon_bottom (mW)]]+Table7[[#This Row],[Psw_bottom (mW)]]</calculatedColumnFormula>
    </tableColumn>
    <tableColumn id="71" xr3:uid="{6085F2DF-A06A-4059-A69E-8ED341D1A77C}" name="Total TI (mW)" dataDxfId="216" totalsRowDxfId="215">
      <calculatedColumnFormula>Table7[[#This Row],[Pbottom (mW)]]+Table7[[#This Row],[Ptop (mW)]]</calculatedColumnFormula>
    </tableColumn>
    <tableColumn id="68" xr3:uid="{7FD1E84E-99FE-486B-8D90-9AD9A81A4769}" name="Column1" dataDxfId="214" totalsRowDxfId="213">
      <calculatedColumnFormula>"Break"</calculatedColumnFormula>
    </tableColumn>
    <tableColumn id="67" xr3:uid="{7647C5E7-C4F3-45C7-B580-D6D1F1E0BD30}" name="Ivalley (A) C" dataDxfId="212" totalsRowDxfId="211">
      <calculatedColumnFormula>MAX(0,Table7[[#This Row],[I_L]]-0.5*Table7[[#This Row],[I_L pkpk]])</calculatedColumnFormula>
    </tableColumn>
    <tableColumn id="66" xr3:uid="{15C7CB6C-6970-4CF9-957B-0DAA88C860FE}" name="Ipeak (A) C" dataDxfId="210" totalsRowDxfId="209">
      <calculatedColumnFormula>Table7[[#This Row],[I_L]]+0.5*Table7[[#This Row],[I_L pkpk]]</calculatedColumnFormula>
    </tableColumn>
    <tableColumn id="65" xr3:uid="{66C71441-C239-4C27-8B9B-B463EEC2C6A3}" name="Ion (A) C" dataDxfId="208" totalsRowDxfId="207">
      <calculatedColumnFormula>IF(VACnom&gt;Vbat, (VGS_S-(C_MOSFET_S_VTH_H_BU+Table7[[#This Row],[I_L]]/C_MOSFET_S_gFS_H_BU))/3.4, (VGS_S-(C_MOSFET_S_VTH_L_BO+Table7[[#This Row],[I_L]]/C_MOSFET_S_gFS_L_BO))/3.4 )</calculatedColumnFormula>
    </tableColumn>
    <tableColumn id="64" xr3:uid="{8B9B0E7C-E282-49D9-93F2-31D4DCE8268E}" name="Ioff (A) C" dataDxfId="206" totalsRowDxfId="205">
      <calculatedColumnFormula>IF(VACnom&gt;Vbat, ((C_MOSFET_S_VTH_H_BU+Table7[[#This Row],[I_L]]/C_MOSFET_S_gFS_H_BU))/1, ((C_MOSFET_S_VTH_L_BO+Table7[[#This Row],[I_L]]/C_MOSFET_S_gFS_L_BO))/1 )</calculatedColumnFormula>
    </tableColumn>
    <tableColumn id="63" xr3:uid="{26528621-9514-4770-BF0B-764DAC917808}" name="ton (ns) C" dataDxfId="204" totalsRowDxfId="203">
      <calculatedColumnFormula>IF(VACnom&gt;Vbat, (C_MOSFET_S_QGD_H_BU+C_MOSFET_S_QGS_H_BU)*10^-9/Table7[[#This Row],[Ion (A) C]], (C_MOSFET_S_QGD_L_BO+C_MOSFET_S_QGS_L_BO)*10^-9/Table7[[#This Row],[Ion (A) C]])/10^-9</calculatedColumnFormula>
    </tableColumn>
    <tableColumn id="62" xr3:uid="{142595D4-3601-4B38-99C2-959E297FBEA9}" name="toff (ns) C" dataDxfId="202" totalsRowDxfId="201">
      <calculatedColumnFormula>IF(VACnom&gt;Vbat, (C_MOSFET_S_QGD_H_BU+C_MOSFET_S_QGS_H_BU)*10^-9/Table7[[#This Row],[Ioff (A) C]], (C_MOSFET_S_QGD_L_BO+C_MOSFET_S_QGS_L_BO)*10^-9/Table7[[#This Row],[Ioff (A) C]])/10^-9</calculatedColumnFormula>
    </tableColumn>
    <tableColumn id="61" xr3:uid="{1CC4176A-8FD6-4944-919A-1565C3E8EA26}" name="PIV (mW) C" dataDxfId="200" totalsRowDxfId="199">
      <calculatedColumnFormula xml:space="preserve"> 0.5*VACnom*Table7[[#This Row],[Ivalley (A) C]]*Table7[[#This Row],[ton (ns) C]]*10^-9*Fsw*10^3+0.5*VACnom*Table7[[#This Row],[Ipeak (A) C]]*Table7[[#This Row],[toff (ns) C]]*10^-9*Fsw*10^3/10^-3</calculatedColumnFormula>
    </tableColumn>
    <tableColumn id="60" xr3:uid="{CB424010-4DE6-4B05-93CA-66522ED495C3}" name="PQoss (mW) C" dataDxfId="198" totalsRowDxfId="197">
      <calculatedColumnFormula>IF(VACnom&gt;Vbat, 0.5*VACnom*C_MOSFET_S_QOSS_H_BU*10^-9*Fsw*10^3,0.5*VACnom*C_MOSFET_S_QOSS_L_BO*10^-9*Fsw*10^3)/10^-3</calculatedColumnFormula>
    </tableColumn>
    <tableColumn id="59" xr3:uid="{A1DBC267-6C6F-4643-8654-795314C93E7A}" name="Pgate_top (mW) C" dataDxfId="196" totalsRowDxfId="195">
      <calculatedColumnFormula>IF(VACnom&gt;Vbat, VACnom*C_MOSFET_S_QG_H_BU*10^-9*Fsw*10^3,VACnom*C_MOSFET_S_QG_H_BO*10^-9*Fsw*10^3)/10^-3</calculatedColumnFormula>
    </tableColumn>
    <tableColumn id="58" xr3:uid="{4939F259-D2F9-4453-AE34-3E79DA047C28}" name="PRR (mW) C" dataDxfId="194" totalsRowDxfId="193">
      <calculatedColumnFormula>IF(VACnom&gt;Vbat, VACnom*C_MOSFET_S_QRR_L_BU*10^-9*Fsw*10^3, VACnom*C_MOSFET_S_QRR_H_BO*10^-9*Fsw*10^3)/10^-3</calculatedColumnFormula>
    </tableColumn>
    <tableColumn id="57" xr3:uid="{8822FEB7-410E-4380-A480-743F9E11FA0D}" name="Pdead (mW) C" dataDxfId="192" totalsRowDxfId="191">
      <calculatedColumnFormula>IF(VACnom&gt;Vbat, C_MOSFET_S_VSD_L_BU*Table7[[#This Row],[Ivalley (A) C]]*Fsw*10^3*40*10^-9+C_MOSFET_S_VSD_L_BU*Table7[[#This Row],[Ipeak (A) C]]*Fsw*10^3*30*10^-9, C_MOSFET_S_VSD_H_BO*Table7[[#This Row],[Ivalley (A) C]]*Fsw*10^3*40*10^-9+C_MOSFET_S_VSD_H_BO*Table7[[#This Row],[Ipeak (A) C]]*Fsw*10^3*30*10^-9)/10^-3</calculatedColumnFormula>
    </tableColumn>
    <tableColumn id="56" xr3:uid="{A3EFA141-29AC-4591-89E8-71CBF76EED74}" name="Pgate_bottom (mW) C" dataDxfId="190" totalsRowDxfId="189">
      <calculatedColumnFormula>IF(VACnom&gt;Vbat, VACnom*C_MOSFET_S_QG_L_BU*10^-9*Fsw*10^3, VACnom*C_MOSFET_S_QG_L_BO*10^-9*Fsw*10^3)/10^-3</calculatedColumnFormula>
    </tableColumn>
    <tableColumn id="55" xr3:uid="{CD1C7770-16DC-4724-81FD-B186F0A3021E}" name="Pcon_top (mW) C" dataDxfId="188" totalsRowDxfId="187">
      <calculatedColumnFormula>IF(VACnom&lt;Vbat, Table7[[#This Row],[Duty Cycle]]*Table7[[#This Row],[I_L RMS]]^2*C_MOSFET_S_RDSON_H_BU*10^-3, (1-Table7[[#This Row],[Duty Cycle]])*Table7[[#This Row],[I_L RMS]]^2*C_MOSFET_S_RDSON_H_BO*10^-3)/10^-3</calculatedColumnFormula>
    </tableColumn>
    <tableColumn id="54" xr3:uid="{011D2DE5-C936-4670-AA3F-B3F7C5FEE529}" name="Psw_top (mW) C" dataDxfId="186" totalsRowDxfId="185">
      <calculatedColumnFormula>IF(VACnom&gt;Vbat, Table7[[#This Row],[PIV (mW) C]]+Table7[[#This Row],[PQoss (mW) C]]+Table7[[#This Row],[Pgate_top (mW) C]], Table7[[#This Row],[PRR (mW) C]]+Table7[[#This Row],[Pdead (mW) C]]+Table7[[#This Row],[Pgate_top (mW) C]])</calculatedColumnFormula>
    </tableColumn>
    <tableColumn id="53" xr3:uid="{45113D1F-F3BC-49F4-ABB1-65B9C8FDEF65}" name="Ptop (mW) C" dataDxfId="184">
      <calculatedColumnFormula>Table7[[#This Row],[Pcon_top (mW) C]]+Table7[[#This Row],[Psw_top (mW) C]]</calculatedColumnFormula>
    </tableColumn>
    <tableColumn id="8" xr3:uid="{E51E4B60-E630-42DD-AA2B-E4EADD6333CD}" name="Pcon_bottom (mW) C" dataDxfId="183">
      <calculatedColumnFormula>IF(VACnom&gt;Vbat, (1-Table7[[#This Row],[Duty Cycle]])*Table7[[#This Row],[I_L RMS]]^2*C_MOSFET_S_RDSON_L_BU*10^-3, Table7[[#This Row],[Duty Cycle]]*Table7[[#This Row],[I_L RMS]]^2*C_MOSFET_S_RDSON_L_BO*10^-3)/10^-3</calculatedColumnFormula>
    </tableColumn>
    <tableColumn id="9" xr3:uid="{5852F35F-0CB1-41BD-8CF0-314F0F9AE316}" name="Psw_bottom (mV) C" dataDxfId="182">
      <calculatedColumnFormula>IF(VACnom&gt;Vbat, Table7[[#This Row],[PRR (mW) C]]+Table7[[#This Row],[Pdead (mW) C]]+Table7[[#This Row],[Pgate_bottom (mW) C]], Table7[[#This Row],[PIV (mW) C]]+Table7[[#This Row],[PQoss (mW) C]]+Table7[[#This Row],[Pgate_bottom (mW) C]])</calculatedColumnFormula>
    </tableColumn>
    <tableColumn id="10" xr3:uid="{FBD3941A-B623-4103-8FB8-8AB0357452FA}" name="Pbottom (mW) C" dataDxfId="181">
      <calculatedColumnFormula>Table7[[#This Row],[Pcon_bottom (mW) C]]+Table7[[#This Row],[Psw_bottom (mV) C]]</calculatedColumnFormula>
    </tableColumn>
    <tableColumn id="72" xr3:uid="{47723F16-0BF9-40CD-9794-55929E9BE675}" name="Total (mW) C" dataDxfId="180">
      <calculatedColumnFormula>Table7[[#This Row],[Pbottom (mW) C]]+Table7[[#This Row],[Ptop (mW) C]]</calculatedColumnFormula>
    </tableColumn>
    <tableColumn id="70" xr3:uid="{E6C25844-89A5-424A-9232-813A21AEDA7E}" name="Pbottom (mW)20" dataDxfId="179"/>
    <tableColumn id="11" xr3:uid="{5A007DA0-EEB7-4901-ACC8-D0B1C83D904D}" name="R_AC (mW)" dataDxfId="178">
      <calculatedColumnFormula>(RAC_SNS*10^-3*(Table7[[#This Row],[IOUT (A)]]*Vbat/VACnom)^2/10^-3)</calculatedColumnFormula>
    </tableColumn>
    <tableColumn id="13" xr3:uid="{B40CAEEF-7023-4ECD-9067-435497077A99}" name="R_SR (mW)" dataDxfId="177">
      <calculatedColumnFormula>(RBAT_SNS*10^-3*Table7[[#This Row],[IOUT (A)]]^2)/10^-3</calculatedColumnFormula>
    </tableColumn>
    <tableColumn id="12" xr3:uid="{A73D67AB-24E8-4DE9-8DB8-70E007A90675}" name="Inductor Loss (mW)" dataDxfId="176">
      <calculatedColumnFormula>IF(VACnom&gt;Vbat,(L_DRC*10^-3*(Table7[[#This Row],[IOUT (A)]])^2/10^-3),(L_DRC*10^-3*(Table7[[#This Row],[IOUT (A)]]*Vbat/VACnom)^2/10^-3))</calculatedColumnFormula>
    </tableColumn>
    <tableColumn id="73" xr3:uid="{E0CD81C5-3D8F-47A9-BF34-189D917CA7A2}" name="Column3" dataDxfId="175"/>
    <tableColumn id="17" xr3:uid="{469C57B2-D1AD-4710-AA09-D21A4DEBC430}" name="Total Sense Loss" dataDxfId="174" totalsRowDxfId="173">
      <calculatedColumnFormula>(Table7[[#This Row],[R_AC (mW)]]+Table7[[#This Row],[R_SR (mW)]]+Table7[[#This Row],[Inductor Loss (mW)]])/10^3</calculatedColumnFormula>
    </tableColumn>
    <tableColumn id="18" xr3:uid="{5A252789-624E-4EA8-841F-D2EECE3BFFD6}" name="Total MOSFET Loss" dataDxfId="172" totalsRowDxfId="171">
      <calculatedColumnFormula>Table7[[#This Row],[Total TI (mW)]]/10^3</calculatedColumnFormula>
    </tableColumn>
    <tableColumn id="14" xr3:uid="{21465AC2-0CE2-4EC8-B214-72585B8E4648}" name="Total Power Loss (W)" dataDxfId="170" totalsRowDxfId="169">
      <calculatedColumnFormula>Table7[[#This Row],[Total Sense Loss]]+Table7[[#This Row],[Total MOSFET Loss]]</calculatedColumnFormula>
    </tableColumn>
    <tableColumn id="15" xr3:uid="{2628FEAE-617B-4A73-977B-2C531AC9E46B}" name="Efficiency" totalsRowFunction="sum" dataDxfId="168" totalsRowDxfId="167">
      <calculatedColumnFormula>IF(Table7[[#This Row],[POUT (W)]]=0,0,(Table7[[#This Row],[POUT (W)]])/(Table7[[#This Row],[POUT (W)]]+Table7[[#This Row],[Total Power Loss (W)]]))*100</calculatedColumnFormula>
    </tableColumn>
    <tableColumn id="74" xr3:uid="{C09E2464-7C63-4BCB-BF98-AD1CC5762655}" name="Column4" dataDxfId="166" totalsRowDxfId="165"/>
    <tableColumn id="79" xr3:uid="{ADB29918-94B1-452B-AEED-1F569EF85BA1}" name="Total Sense Loss C" dataDxfId="164" totalsRowDxfId="163">
      <calculatedColumnFormula>(Table7[[#This Row],[R_AC (mW)]]+Table7[[#This Row],[R_SR (mW)]]+Table7[[#This Row],[Inductor Loss (mW)]])/10^3</calculatedColumnFormula>
    </tableColumn>
    <tableColumn id="78" xr3:uid="{9E5E6794-B755-420F-A92C-7B0682784EEB}" name="Total MOSFET Loss C" dataDxfId="162" totalsRowDxfId="161">
      <calculatedColumnFormula>Table7[[#This Row],[Total (mW) C]]/10^3</calculatedColumnFormula>
    </tableColumn>
    <tableColumn id="77" xr3:uid="{08084DE9-3301-43D3-82E4-46C4313B5B9B}" name="Total Power Loss (W) C" dataDxfId="160" totalsRowDxfId="159">
      <calculatedColumnFormula>Table7[[#This Row],[Total Sense Loss C]]+Table7[[#This Row],[Total MOSFET Loss C]]</calculatedColumnFormula>
    </tableColumn>
    <tableColumn id="76" xr3:uid="{54A0B4D2-2375-4D45-974B-72F8D0C369A7}" name="Efficiency C" dataDxfId="158" totalsRowDxfId="157">
      <calculatedColumnFormula>IF(Table7[[#This Row],[POUT (W)]]=0,0,(Table7[[#This Row],[POUT (W)]])/(Table7[[#This Row],[POUT (W)]]+Table7[[#This Row],[Total Power Loss (W) C]]))*100</calculatedColumnFormula>
    </tableColumn>
    <tableColumn id="80" xr3:uid="{009E225F-E684-495F-AF61-1A0BC3FB78D9}" name="Column52" dataDxfId="156" totalsRowDxfId="155"/>
    <tableColumn id="30" xr3:uid="{35FCB5A1-27BE-4974-B85A-63C56766A359}" name="Total Sense Loss P1" dataDxfId="154" totalsRowDxfId="153">
      <calculatedColumnFormula>IF(MOSFET_S=Custom_MOSFET,Table7[[#This Row],[Total Sense Loss C]],Table7[[#This Row],[Total Sense Loss]])</calculatedColumnFormula>
    </tableColumn>
    <tableColumn id="31" xr3:uid="{19769783-8201-4C49-97AC-E25D34D09F25}" name="Total MOSFET Loss P1" dataDxfId="152" totalsRowDxfId="151">
      <calculatedColumnFormula>IF(MOSFET_S=Custom_MOSFET,Table7[[#This Row],[Total MOSFET Loss C]],Table7[[#This Row],[Total MOSFET Loss]])</calculatedColumnFormula>
    </tableColumn>
    <tableColumn id="33" xr3:uid="{7962709D-9696-41CC-A58F-1D40668EDBDC}" name="Efficiency P1" dataDxfId="150" totalsRowDxfId="149">
      <calculatedColumnFormula>IF(MOSFET_S=Custom_MOSFET,Table7[[#This Row],[Efficiency C]],Table7[[#This Row],[Efficiency]])</calculatedColumnFormula>
    </tableColumn>
    <tableColumn id="81" xr3:uid="{05484B1F-6CFB-4773-9195-1E7C46D7868F}" name="Column5" dataDxfId="148" totalsRowDxfId="147"/>
    <tableColumn id="20" xr3:uid="{DACB3A5B-FA0D-47CB-AE96-5E67E89CB32E}" name="Total Sense Loss P2" dataDxfId="146" totalsRowDxfId="145">
      <calculatedColumnFormula>IF(MOSFET_S=Compare_MOSFET, Table7[[#This Row],[Total Sense Loss C]], -100)</calculatedColumnFormula>
    </tableColumn>
    <tableColumn id="32" xr3:uid="{1077E6FB-A0DA-4D5E-A7D2-201657CB9CB8}" name="Total MOSFET Loss P2" dataDxfId="144" totalsRowDxfId="143">
      <calculatedColumnFormula>IF(MOSFET_S=Compare_MOSFET, Table7[[#This Row],[Total MOSFET Loss C]], -100)</calculatedColumnFormula>
    </tableColumn>
    <tableColumn id="84" xr3:uid="{F6DCAB09-B3DA-468B-BA67-438808BA48DE}" name="Efficiency P2" dataDxfId="142" totalsRowDxfId="141">
      <calculatedColumnFormula>IF(MOSFET_S=Compare_MOSFET, Table7[[#This Row],[Efficiency C]], -100)</calculatedColumnFormula>
    </tableColumn>
    <tableColumn id="83" xr3:uid="{1E5FDBD8-E32A-4C99-BBBF-F09F742F669D}" name="Column6" dataDxfId="140" totalsRowDxfId="139"/>
    <tableColumn id="85" xr3:uid="{E9805492-8ADE-4C33-A101-A60EA257C38E}" name="Total Sense Loss P1 Saved" dataDxfId="138" totalsRowDxfId="137">
      <calculatedColumnFormula>IF(Save_Sel=CLR_Save,  Table7[[#This Row],[Total Sense Loss P1]], Table7[[#This Row],[Total Sense Loss P1 Saved]])</calculatedColumnFormula>
    </tableColumn>
    <tableColumn id="86" xr3:uid="{FD45CE30-7F06-4492-90E5-A991D382678E}" name="Total MOSFET Loss P1 Saved" dataDxfId="136" totalsRowDxfId="135">
      <calculatedColumnFormula>IF(Save_Sel=CLR_Save,  Table7[[#This Row],[Total MOSFET Loss P1]], Table7[[#This Row],[Total MOSFET Loss P1 Saved]] )</calculatedColumnFormula>
    </tableColumn>
    <tableColumn id="87" xr3:uid="{44C5276C-A1F3-40FF-ADA2-1451D5D0AF47}" name="Efficiency P1 Saved" dataDxfId="134" totalsRowDxfId="133">
      <calculatedColumnFormula>IF(Save_Sel=CLR_Save, Table7[[#This Row],[Efficiency P1]], Table7[[#This Row],[Efficiency P1 Saved]])</calculatedColumnFormula>
    </tableColumn>
    <tableColumn id="88" xr3:uid="{652D0876-BD7C-42B9-82F9-928CA2EB7E8A}" name="Column10" dataDxfId="132" totalsRowDxfId="131"/>
    <tableColumn id="89" xr3:uid="{AD44DEF5-76AF-4D72-8B3E-10614C6ECF75}" name="Total Sense Loss P2 Saved" dataDxfId="130" totalsRowDxfId="129">
      <calculatedColumnFormula>IF(Save_Sel=CLR_Save,  Table7[[#This Row],[Total Sense Loss P2]], Table7[[#This Row],[Total Sense Loss P2 Saved]])</calculatedColumnFormula>
    </tableColumn>
    <tableColumn id="90" xr3:uid="{80E91144-60D4-4C79-8C44-BCC093E86820}" name="Total MOSFET Loss P2 Saved" dataDxfId="128" totalsRowDxfId="127">
      <calculatedColumnFormula>IF(Save_Sel=CLR_Save,  Table7[[#This Row],[Total MOSFET Loss P2]], Table7[[#This Row],[Total MOSFET Loss P2 Saved]] )</calculatedColumnFormula>
    </tableColumn>
    <tableColumn id="91" xr3:uid="{32B0D0A4-00D5-4DF3-9925-C6208AED4BB9}" name="Efficiency P2 Saved" dataDxfId="126" totalsRowDxfId="125">
      <calculatedColumnFormula>IF(Save_Sel=CLR_Save, Table7[[#This Row],[Efficiency P2]], Table7[[#This Row],[Efficiency P2 Saved]])</calculatedColumnFormula>
    </tableColumn>
    <tableColumn id="16" xr3:uid="{F00C6D94-CA1B-44C3-9165-FE8EFC557FB7}" name="Column7" dataDxfId="124" totalsRowDxfId="123">
      <calculatedColumnFormula>Table7[[#This Row],[Efficiency P1]]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B079DB-ECDC-4380-9006-280D5A66E8E6}" name="stdind" displayName="stdind" ref="N3:N11" totalsRowShown="0" headerRowDxfId="50" dataDxfId="49">
  <autoFilter ref="N3:N11" xr:uid="{4293308D-3D30-4801-8ED4-76D77BF25AC3}"/>
  <tableColumns count="1">
    <tableColumn id="1" xr3:uid="{DCC6AE94-2C37-44AD-B129-4AD9A5CD0CED}" name="L (uH)"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0F85C7-70E4-4FE2-B07D-20D4875CBC27}" name="MOSFET_Selection" displayName="MOSFET_Selection" ref="X116:AD131" totalsRowShown="0" headerRowDxfId="122" dataDxfId="121" tableBorderDxfId="120">
  <autoFilter ref="X116:AD131" xr:uid="{04A09834-65C8-4FB0-99B6-BD5284FCE20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1F1CF1C-BBB6-45B3-AD6B-747725763F3F}" name="Parameter" dataDxfId="119"/>
    <tableColumn id="2" xr3:uid="{74AE653E-C0A7-4632-8FFF-8E2B66D1840C}" name="CSD18563Q5A" dataDxfId="118"/>
    <tableColumn id="3" xr3:uid="{9BE1CD4B-1960-4FA4-8E04-8C349EABC681}" name="CSD16321Q5" dataDxfId="117"/>
    <tableColumn id="4" xr3:uid="{483FB8C5-182A-4FB2-A09B-B09805FBDF17}" name="AONS66614" dataDxfId="116"/>
    <tableColumn id="7" xr3:uid="{5FFD8BBD-8BF2-4E92-9280-78CFBB56BA6E}" name="SiR680LDP" dataDxfId="115"/>
    <tableColumn id="5" xr3:uid="{D131257B-65B6-4268-B9D8-457911511019}" name="SiR880BDP" dataDxfId="114"/>
    <tableColumn id="6" xr3:uid="{E01F07F4-91B8-42AC-A3CC-F355889CF713}" name="Units" dataDxfId="113"/>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8B2B49C-7F75-4D2D-AA80-2F19851DBD25}" name="Table9" displayName="Table9" ref="AC19:AO180" totalsRowShown="0" headerRowDxfId="112" dataDxfId="111">
  <autoFilter ref="AC19:AO180" xr:uid="{13560140-47F6-4E45-B7A6-7EECCD48A3C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C20:AO180">
    <sortCondition ref="AC19:AC180"/>
  </sortState>
  <tableColumns count="13">
    <tableColumn id="13" xr3:uid="{8C67712E-BACF-4D17-8D82-8C239A1186C4}" name="Temperature" dataDxfId="110">
      <calculatedColumnFormula>A20</calculatedColumnFormula>
    </tableColumn>
    <tableColumn id="12" xr3:uid="{B3EEB3CB-07A6-492A-BDCA-B66E1C3B8A6E}" name="RTH(min) (kΩ)" dataDxfId="109">
      <calculatedColumnFormula>E20</calculatedColumnFormula>
    </tableColumn>
    <tableColumn id="11" xr3:uid="{0A18686F-3609-49F1-A431-C25637B80F0E}" name="RTH(nom) (kΩ)" dataDxfId="108">
      <calculatedColumnFormula>F20</calculatedColumnFormula>
    </tableColumn>
    <tableColumn id="10" xr3:uid="{74ED5950-EB26-47CD-8452-818D50F8A77D}" name="RTH(max) (kΩ)" dataDxfId="107">
      <calculatedColumnFormula>G20</calculatedColumnFormula>
    </tableColumn>
    <tableColumn id="1" xr3:uid="{1043A39F-4535-4105-B35E-1FA470ADBBB3}" name="RLower(min) (kΩ)" dataDxfId="106">
      <calculatedColumnFormula>Table9[[#This Row],[RTH(min) (kΩ)]]*RT2_TH_MIN/(RT2_TH_MIN+Table9[[#This Row],[RTH(min) (kΩ)]])</calculatedColumnFormula>
    </tableColumn>
    <tableColumn id="2" xr3:uid="{B67C8AB6-464D-45A3-9A5E-E105EDFE8ED8}" name="RLower(nom) (kΩ)" dataDxfId="105">
      <calculatedColumnFormula>Table9[[#This Row],[RTH(nom) (kΩ)]]*RT2_TH_S/(RT2_TH_S+Table9[[#This Row],[RTH(nom) (kΩ)]])</calculatedColumnFormula>
    </tableColumn>
    <tableColumn id="3" xr3:uid="{FB7B26FF-B851-4A1C-8F07-B3F60E4535E2}" name="RLower(max) (kΩ)" dataDxfId="104">
      <calculatedColumnFormula>Table9[[#This Row],[RTH(max) (kΩ)]]*RT2_TH_S_MAX/(RT2_TH_S_MAX+Table9[[#This Row],[RTH(max) (kΩ)]])</calculatedColumnFormula>
    </tableColumn>
    <tableColumn id="4" xr3:uid="{CB493970-A2E7-49FE-8609-AF4F11C0884B}" name="Vmin (%)" dataDxfId="103">
      <calculatedColumnFormula>Table9[[#This Row],[RLower(min) (kΩ)]]/(Table9[[#This Row],[RLower(min) (kΩ)]]+RT1_TH_S_MAX)*100</calculatedColumnFormula>
    </tableColumn>
    <tableColumn id="5" xr3:uid="{4169ED69-75AF-4579-B357-041A1C806746}" name="Vnom (%)" dataDxfId="102">
      <calculatedColumnFormula>Table9[[#This Row],[RLower(nom) (kΩ)]]/(Table9[[#This Row],[RLower(nom) (kΩ)]]+RT1_TH_S)*100</calculatedColumnFormula>
    </tableColumn>
    <tableColumn id="6" xr3:uid="{DC9D2A30-649F-42D4-92BB-8492EDF8F988}" name="Vmax (%)" dataDxfId="101">
      <calculatedColumnFormula>Table9[[#This Row],[RLower(max) (kΩ)]]/(Table9[[#This Row],[RLower(max) (kΩ)]]+RT1_TH_S_MIN)*100</calculatedColumnFormula>
    </tableColumn>
    <tableColumn id="7" xr3:uid="{1E063D91-8DA6-4385-A59E-CA0477EAF270}" name="Charging Code" dataDxfId="100">
      <calculatedColumnFormula>IF(Table9[[#This Row],[Vmin (%)]]&lt;$BA$14, 0, IF(Table9[[#This Row],[Vmin (%)]]&lt;$BA$12, 4, IF(Table9[[#This Row],[Vmin (%)]]&lt;$BA$9, 3, IF(Table9[[#This Row],[Vmin (%)]]&lt;$BA$7, 2, 0))))</calculatedColumnFormula>
    </tableColumn>
    <tableColumn id="8" xr3:uid="{7B5DA0A6-F6CB-40F4-AC9B-B58FD733A2A4}" name="Hysteresis" dataDxfId="99">
      <calculatedColumnFormula>IF(Table9[[#This Row],[Vmin (%)]]&lt;$BA$13, 0, IF(Table9[[#This Row],[Vmin (%)]]&lt;$BA$11, 4, IF(Table9[[#This Row],[Vmin (%)]]&lt;$BA$10, 3, IF(Table9[[#This Row],[Vmin (%)]]&lt;$BA$8, 2, 0))))</calculatedColumnFormula>
    </tableColumn>
    <tableColumn id="9" xr3:uid="{A49C487E-AA23-47DF-A751-6F3E54600619}" name="Charging Region" dataDxfId="98">
      <calculatedColumnFormula>IF(Table9[[#This Row],[Vmin (%)]]&lt;$BA$14, "Hot", IF(Table9[[#This Row],[Vmin (%)]]&lt;$BA$12, "Warm", IF(Table9[[#This Row],[Vmin (%)]]&lt;$BA$9, "Normal", IF(Table9[[#This Row],[Vmin (%)]]&lt;$BA$7, "Cool", "Cold"))))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3B5DDD7-6703-44DB-8CE8-58D5B77426A4}" name="Table10" displayName="Table10" ref="AC6:AW14" totalsRowShown="0" headerRowDxfId="97" dataDxfId="96">
  <autoFilter ref="AC6:AW14" xr:uid="{3365D6EE-3C78-4F6D-A68F-5C97D225D9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7957A9EC-C644-4A63-AF67-9AF75A77CB25}" name="Target (MIN)" dataDxfId="95">
      <calculatedColumnFormula>Table13[[#This Row],[Min]]</calculatedColumnFormula>
    </tableColumn>
    <tableColumn id="2" xr3:uid="{B91230FE-B4BC-440B-A380-49F3103FD348}" name="1st VLOOK MIN" dataDxfId="94">
      <calculatedColumnFormula>INDEX(Table9[Vmin (%)], (MATCH(Table10[[#This Row],[Target (MIN)]], Table9[Vmin (%)],1)))</calculatedColumnFormula>
    </tableColumn>
    <tableColumn id="3" xr3:uid="{6C0C1C48-E71D-4A74-99A8-CAC4DC324F40}" name="2nd VLOOK MIN" dataDxfId="93">
      <calculatedColumnFormula>INDEX(Table9[Vmin (%)], (MATCH(Table10[[#This Row],[Target (MIN)]], Table9[Vmin (%)],1)+1))</calculatedColumnFormula>
    </tableColumn>
    <tableColumn id="4" xr3:uid="{7B2BF612-5A95-42C1-A4CA-0CE6D431D817}" name="1st Diff" dataDxfId="92">
      <calculatedColumnFormula>ABS(Table10[[#This Row],[Target (MIN)]]-Table10[[#This Row],[1st VLOOK MIN]])</calculatedColumnFormula>
    </tableColumn>
    <tableColumn id="5" xr3:uid="{E17C4D37-0226-42BC-B9B8-DCB28832355C}" name="2nd Diff" dataDxfId="91">
      <calculatedColumnFormula>ABS(Table10[[#This Row],[Target (MIN)]]-Table10[[#This Row],[2nd VLOOK MIN]])</calculatedColumnFormula>
    </tableColumn>
    <tableColumn id="6" xr3:uid="{C70C838D-98B6-410C-9701-F383ADD9B923}" name="Closest VLOOK MIN" dataDxfId="90">
      <calculatedColumnFormula>IF(Table10[[#This Row],[1st Diff]]&lt;Table10[[#This Row],[2nd Diff]],Table10[[#This Row],[1st VLOOK MIN]],Table10[[#This Row],[2nd VLOOK MIN]])</calculatedColumnFormula>
    </tableColumn>
    <tableColumn id="7" xr3:uid="{0F75353D-F177-4460-A31F-87E08EC75B1F}" name="MIN Temp" dataDxfId="89">
      <calculatedColumnFormula>INDEX(Table9[Temperature], (MATCH(Table10[[#This Row],[Closest VLOOK MIN]], Table9[Vmin (%)],1)))</calculatedColumnFormula>
    </tableColumn>
    <tableColumn id="8" xr3:uid="{0884CA69-5B73-4EF7-B63F-C4C067B4C4B9}" name="Target (Typ)" dataDxfId="88">
      <calculatedColumnFormula>Table13[[#This Row],[Typ]]</calculatedColumnFormula>
    </tableColumn>
    <tableColumn id="9" xr3:uid="{17C0F028-CCEB-46DC-A752-C3B067FB4C05}" name="1st VLOOK TYP" dataDxfId="87">
      <calculatedColumnFormula>INDEX(Table9[Vnom (%)], (MATCH(Table10[[#This Row],[Target (Typ)]], Table9[Vnom (%)],1)))</calculatedColumnFormula>
    </tableColumn>
    <tableColumn id="10" xr3:uid="{B46B4F8A-1767-449A-8511-FCA953EEB9FA}" name="2nd VLOOK TYP" dataDxfId="86">
      <calculatedColumnFormula>INDEX(Table9[Vnom (%)], (MATCH(Table10[[#This Row],[Target (Typ)]], Table9[Vnom (%)],1)+1))</calculatedColumnFormula>
    </tableColumn>
    <tableColumn id="11" xr3:uid="{14555DC6-E0AE-4818-9DBE-C627753BC07B}" name="1st Diff Typ" dataDxfId="85">
      <calculatedColumnFormula>ABS(Table10[[#This Row],[Target (Typ)]]-Table10[[#This Row],[1st VLOOK TYP]])</calculatedColumnFormula>
    </tableColumn>
    <tableColumn id="12" xr3:uid="{97C88CF5-3C61-41C3-BDF2-25A72E86AD97}" name="2nd Diff TYP" dataDxfId="84">
      <calculatedColumnFormula>ABS(Table10[[#This Row],[Target (Typ)]]-Table10[[#This Row],[2nd VLOOK TYP]])</calculatedColumnFormula>
    </tableColumn>
    <tableColumn id="13" xr3:uid="{528A025D-F8BF-4316-9F0B-E1016315016A}" name="Closest VLOOK TYP" dataDxfId="83">
      <calculatedColumnFormula>IF(Table10[[#This Row],[1st Diff Typ]]&lt;Table10[[#This Row],[2nd Diff TYP]],Table10[[#This Row],[1st VLOOK TYP]],Table10[[#This Row],[2nd VLOOK TYP]])</calculatedColumnFormula>
    </tableColumn>
    <tableColumn id="14" xr3:uid="{BA04B3D7-9332-4537-80B5-498BFFAF7487}" name="TYP Temp" dataDxfId="82">
      <calculatedColumnFormula>INDEX(Table9[Temperature], (MATCH(Table10[[#This Row],[Closest VLOOK TYP]], Table9[Vnom (%)],1)))</calculatedColumnFormula>
    </tableColumn>
    <tableColumn id="15" xr3:uid="{DD1D8297-72FE-4348-BA9F-C715C717E2B6}" name="Target (MAX)" dataDxfId="81">
      <calculatedColumnFormula>Table13[[#This Row],[Max]]</calculatedColumnFormula>
    </tableColumn>
    <tableColumn id="16" xr3:uid="{1EF3D065-08D4-4A63-B271-C7D8C7196EAA}" name="1st VLOOK MAX" dataDxfId="80">
      <calculatedColumnFormula>INDEX(Table9[Vmax (%)], (MATCH(Table10[[#This Row],[Target (MAX)]], Table9[Vmax (%)],1)))</calculatedColumnFormula>
    </tableColumn>
    <tableColumn id="17" xr3:uid="{6201E504-04D8-4EAD-A1D1-4C4685B2D557}" name="2nd VLOOK MAX" dataDxfId="79">
      <calculatedColumnFormula>INDEX(Table9[Vmax (%)], (MATCH(Table10[[#This Row],[Target (Typ)]], Table9[Vmax (%)],1)+1))</calculatedColumnFormula>
    </tableColumn>
    <tableColumn id="18" xr3:uid="{EA2206F3-5CCB-47E3-BA67-8C25ECB6D2BB}" name="1st Diff MAX" dataDxfId="78">
      <calculatedColumnFormula>ABS(Table10[[#This Row],[Target (MAX)]]-Table10[[#This Row],[1st VLOOK MAX]])</calculatedColumnFormula>
    </tableColumn>
    <tableColumn id="19" xr3:uid="{B8934D73-CD79-4612-A7C1-5D44A085A741}" name="2nd Diff MAX" dataDxfId="77">
      <calculatedColumnFormula>ABS(Table10[[#This Row],[Target (MAX)]]-Table10[[#This Row],[2nd VLOOK MAX]])</calculatedColumnFormula>
    </tableColumn>
    <tableColumn id="20" xr3:uid="{C14E8397-7D99-4E5F-852C-A4D81AD2A602}" name="Closest VLOOK MAX" dataDxfId="76">
      <calculatedColumnFormula>IF(Table10[[#This Row],[1st Diff MAX]]&lt;Table10[[#This Row],[2nd Diff MAX]],Table10[[#This Row],[1st VLOOK MAX]],Table10[[#This Row],[2nd VLOOK MAX]])</calculatedColumnFormula>
    </tableColumn>
    <tableColumn id="21" xr3:uid="{111B1C36-F773-45D0-A1D8-A067D34B1C49}" name="MAX Temp" dataDxfId="75">
      <calculatedColumnFormula>INDEX(Table9[Temperature], (MATCH(Table10[[#This Row],[Closest VLOOK MAX]], Table9[Vmax (%)],1)))</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B493FD-64D3-4D52-B77B-6989ABD4DD3F}" name="Table8" displayName="Table8" ref="BD6:BJ19" totalsRowShown="0" headerRowDxfId="74">
  <autoFilter ref="BD6:BJ19" xr:uid="{A744496A-E8E5-4421-AE88-98B18CBC2F8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B0B826A-4BD3-4ADC-BBC2-098FA61AB5E9}" name="Temp">
      <calculatedColumnFormula>V36</calculatedColumnFormula>
    </tableColumn>
    <tableColumn id="2" xr3:uid="{CE555E9E-4EEA-4CCE-AACE-9F66B8908545}" name="RISE min"/>
    <tableColumn id="3" xr3:uid="{1ABE065E-F3A0-4D9F-98A5-19181393705F}" name="RISE typ" dataDxfId="73"/>
    <tableColumn id="4" xr3:uid="{78B90CE4-CD36-4470-B02C-BBA20DC3065C}" name="RISE max" dataDxfId="72"/>
    <tableColumn id="5" xr3:uid="{39B0A56A-0A1D-4295-AB99-8BBB192B219A}" name="FALL min" dataDxfId="71"/>
    <tableColumn id="6" xr3:uid="{023957E9-E02B-40DF-A7C8-51B7EE0F9078}" name="FALL typ" dataDxfId="70"/>
    <tableColumn id="7" xr3:uid="{26778042-22F2-45B4-8284-35864816333B}" name="FALL max" dataDxfId="6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6D986CE-9641-4C71-AFFC-892A46B6D828}" name="Table13" displayName="Table13" ref="AY6:BB14" totalsRowShown="0" headerRowDxfId="68" dataDxfId="67">
  <autoFilter ref="AY6:BB14" xr:uid="{7AD99080-3C90-4205-BD59-EAC312C54806}">
    <filterColumn colId="0" hiddenButton="1"/>
    <filterColumn colId="1" hiddenButton="1"/>
    <filterColumn colId="2" hiddenButton="1"/>
    <filterColumn colId="3" hiddenButton="1"/>
  </autoFilter>
  <tableColumns count="4">
    <tableColumn id="1" xr3:uid="{998DFB02-17F3-497E-9B98-7F12558F0DA8}" name="MAX Temp" dataDxfId="66"/>
    <tableColumn id="2" xr3:uid="{E9F7F0E3-4619-4BE0-B15B-E1147E9FC583}" name="Min" dataDxfId="65">
      <calculatedColumnFormula>BA7-0.5</calculatedColumnFormula>
    </tableColumn>
    <tableColumn id="3" xr3:uid="{8EFA6B7A-AB57-4668-B6E4-246B05E86256}" name="Typ" dataDxfId="64"/>
    <tableColumn id="4" xr3:uid="{5B4B3609-C9A8-4D6B-8E1B-BC9E9E1A042A}" name="Max" dataDxfId="63">
      <calculatedColumnFormula>BA7+0.5</calculatedColumnFormula>
    </tableColumn>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AC949D-82CE-4501-BC90-17B73B26246D}" name="stdres_1pct" displayName="stdres_1pct" ref="H3:H676" totalsRowShown="0" headerRowDxfId="62" dataDxfId="61" tableBorderDxfId="60">
  <autoFilter ref="H3:H676" xr:uid="{21BA5D86-13FD-472E-BAC0-B42FC8BA8850}"/>
  <tableColumns count="1">
    <tableColumn id="1" xr3:uid="{3BEEED4C-0A9D-4DFE-8415-CA5F2EF3BCD2}" name="Resistance" dataDxfId="59">
      <calculatedColumnFormula>F4*10^(G4/96)</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F275E2-88A8-49FD-BD65-55EF4F64CDE5}" name="stdres_0p1pct" displayName="stdres_0p1pct" ref="L3:L1348" totalsRowShown="0" headerRowDxfId="58" dataDxfId="57" tableBorderDxfId="56">
  <autoFilter ref="L3:L1348" xr:uid="{955B90F8-56A3-45C2-95F0-B8C998A45DF8}"/>
  <tableColumns count="1">
    <tableColumn id="1" xr3:uid="{38ECC499-F3CE-4B84-8861-1CA14172FBC2}" name="Resistance" dataDxfId="55">
      <calculatedColumnFormula>J4*10^(K4/192)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DA183-3872-4BBA-ABF4-9B3A5500AB97}" name="stdres_5pct" displayName="stdres_5pct" ref="D3:D172" totalsRowShown="0" headerRowDxfId="54" dataDxfId="53" tableBorderDxfId="52">
  <autoFilter ref="D3:D172" xr:uid="{7367AFEA-1D2E-4322-BD4B-16A2E3A89253}"/>
  <tableColumns count="1">
    <tableColumn id="1" xr3:uid="{C8AEF682-AC75-42A0-9DDF-09161F96888F}" name="Resistance" dataDxfId="51">
      <calculatedColumnFormula>B4*10^(C4/24)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052D-22B5-48F5-916F-F7632E06FAE9}">
  <sheetPr codeName="Sheet1"/>
  <dimension ref="A1:FJ503"/>
  <sheetViews>
    <sheetView tabSelected="1" topLeftCell="F1" zoomScale="92" zoomScaleNormal="164" workbookViewId="0">
      <selection activeCell="E45" sqref="E45"/>
    </sheetView>
  </sheetViews>
  <sheetFormatPr baseColWidth="10" defaultColWidth="9.1640625" defaultRowHeight="15" x14ac:dyDescent="0.2"/>
  <cols>
    <col min="1" max="1" width="7.83203125" style="20" customWidth="1"/>
    <col min="2" max="2" width="7.5" style="20" customWidth="1"/>
    <col min="3" max="3" width="20" style="20" customWidth="1"/>
    <col min="4" max="4" width="10.5" style="20" customWidth="1"/>
    <col min="5" max="5" width="12.5" style="20" bestFit="1" customWidth="1"/>
    <col min="6" max="8" width="9.1640625" style="20"/>
    <col min="9" max="9" width="10.1640625" style="20" customWidth="1"/>
    <col min="10" max="18" width="9.1640625" style="20"/>
    <col min="19" max="19" width="72.6640625" style="20" customWidth="1"/>
    <col min="20" max="23" width="9.1640625" style="20"/>
    <col min="24" max="24" width="47.33203125" style="20" bestFit="1" customWidth="1"/>
    <col min="25" max="25" width="15.6640625" style="20" customWidth="1"/>
    <col min="26" max="26" width="14.5" style="20" bestFit="1" customWidth="1"/>
    <col min="27" max="27" width="13.5" style="20" bestFit="1" customWidth="1"/>
    <col min="28" max="28" width="13.33203125" style="20" bestFit="1" customWidth="1"/>
    <col min="29" max="29" width="7.6640625" style="20" bestFit="1" customWidth="1"/>
    <col min="30" max="31" width="9.1640625" style="20"/>
    <col min="32" max="32" width="12" style="20" customWidth="1"/>
    <col min="33" max="33" width="10.33203125" style="20" customWidth="1"/>
    <col min="34" max="34" width="13.6640625" style="20" customWidth="1"/>
    <col min="35" max="35" width="12.5" style="20" bestFit="1" customWidth="1"/>
    <col min="36" max="39" width="12.5" style="20" customWidth="1"/>
    <col min="40" max="40" width="10.5" style="20" bestFit="1" customWidth="1"/>
    <col min="41" max="41" width="9.83203125" style="20" bestFit="1" customWidth="1"/>
    <col min="42" max="43" width="8.5" style="20" bestFit="1" customWidth="1"/>
    <col min="44" max="44" width="9.33203125" style="20" bestFit="1" customWidth="1"/>
    <col min="45" max="45" width="9.5" style="20" bestFit="1" customWidth="1"/>
    <col min="46" max="46" width="11.1640625" style="20" bestFit="1" customWidth="1"/>
    <col min="47" max="47" width="12.33203125" style="20" bestFit="1" customWidth="1"/>
    <col min="48" max="48" width="14.83203125" style="20" bestFit="1" customWidth="1"/>
    <col min="49" max="49" width="11.33203125" style="20" bestFit="1" customWidth="1"/>
    <col min="50" max="50" width="12.5" style="20" bestFit="1" customWidth="1"/>
    <col min="51" max="51" width="17.5" style="20" bestFit="1" customWidth="1"/>
    <col min="52" max="52" width="14.5" style="20" bestFit="1" customWidth="1"/>
    <col min="53" max="53" width="14" style="20" bestFit="1" customWidth="1"/>
    <col min="54" max="54" width="11.6640625" style="20" bestFit="1" customWidth="1"/>
    <col min="55" max="55" width="16.83203125" style="20" bestFit="1" customWidth="1"/>
    <col min="56" max="56" width="15.83203125" style="20" bestFit="1" customWidth="1"/>
    <col min="57" max="57" width="14" style="20" bestFit="1" customWidth="1"/>
    <col min="58" max="58" width="13.33203125" style="20" bestFit="1" customWidth="1"/>
    <col min="59" max="59" width="9.1640625" style="20"/>
    <col min="60" max="60" width="13.33203125" style="20" bestFit="1" customWidth="1"/>
    <col min="61" max="61" width="12.33203125" style="20" bestFit="1" customWidth="1"/>
    <col min="62" max="62" width="10.33203125" style="20" bestFit="1" customWidth="1"/>
    <col min="63" max="63" width="10.5" style="20" bestFit="1" customWidth="1"/>
    <col min="64" max="64" width="11.1640625" style="20" bestFit="1" customWidth="1"/>
    <col min="65" max="65" width="11.5" style="20" bestFit="1" customWidth="1"/>
    <col min="66" max="66" width="12.83203125" style="20" bestFit="1" customWidth="1"/>
    <col min="67" max="67" width="14.33203125" style="20" bestFit="1" customWidth="1"/>
    <col min="68" max="68" width="16.6640625" style="20" bestFit="1" customWidth="1"/>
    <col min="69" max="69" width="12.83203125" style="20" bestFit="1" customWidth="1"/>
    <col min="70" max="70" width="14.33203125" style="20" bestFit="1" customWidth="1"/>
    <col min="71" max="71" width="19" style="20" bestFit="1" customWidth="1"/>
    <col min="72" max="72" width="16.1640625" style="20" bestFit="1" customWidth="1"/>
    <col min="73" max="73" width="15.6640625" style="20" bestFit="1" customWidth="1"/>
    <col min="74" max="74" width="13.33203125" style="20" bestFit="1" customWidth="1"/>
    <col min="75" max="75" width="16.1640625" style="20" bestFit="1" customWidth="1"/>
    <col min="76" max="76" width="15.1640625" style="20" bestFit="1" customWidth="1"/>
    <col min="77" max="77" width="13.5" style="20" bestFit="1" customWidth="1"/>
    <col min="78" max="78" width="14.83203125" style="20" bestFit="1" customWidth="1"/>
    <col min="79" max="79" width="9.1640625" style="20"/>
    <col min="80" max="80" width="12" style="20" bestFit="1" customWidth="1"/>
    <col min="81" max="81" width="10.83203125" style="20" bestFit="1" customWidth="1"/>
    <col min="82" max="82" width="18.5" style="20" bestFit="1" customWidth="1"/>
    <col min="83" max="83" width="9.1640625" style="20"/>
    <col min="84" max="84" width="15.5" style="20" bestFit="1" customWidth="1"/>
    <col min="85" max="85" width="17.5" style="20" bestFit="1" customWidth="1"/>
    <col min="86" max="86" width="19.83203125" style="20" bestFit="1" customWidth="1"/>
    <col min="87" max="87" width="9.5" style="20" bestFit="1" customWidth="1"/>
    <col min="88" max="88" width="11.1640625" style="20" bestFit="1" customWidth="1"/>
    <col min="89" max="89" width="19.33203125" style="20" bestFit="1" customWidth="1"/>
    <col min="90" max="90" width="21.5" style="20" bestFit="1" customWidth="1"/>
    <col min="91" max="91" width="23.83203125" style="20" bestFit="1" customWidth="1"/>
    <col min="92" max="92" width="13.5" style="20" bestFit="1" customWidth="1"/>
    <col min="93" max="93" width="12.1640625" style="20" bestFit="1" customWidth="1"/>
    <col min="94" max="94" width="18.1640625" style="20" bestFit="1" customWidth="1"/>
    <col min="95" max="95" width="20.1640625" style="20" bestFit="1" customWidth="1"/>
    <col min="96" max="96" width="12.1640625" style="20" bestFit="1" customWidth="1"/>
    <col min="97" max="97" width="9.1640625" style="20"/>
    <col min="98" max="98" width="19.1640625" style="20" bestFit="1" customWidth="1"/>
    <col min="99" max="99" width="21.1640625" style="20" bestFit="1" customWidth="1"/>
    <col min="100" max="100" width="15.5" style="20" bestFit="1" customWidth="1"/>
    <col min="101" max="101" width="9.1640625" style="20"/>
    <col min="102" max="102" width="21.5" style="20" bestFit="1" customWidth="1"/>
    <col min="103" max="103" width="23.5" style="20" bestFit="1" customWidth="1"/>
    <col min="104" max="104" width="20.5" style="20" bestFit="1" customWidth="1"/>
    <col min="105" max="105" width="9.1640625" style="20"/>
    <col min="106" max="106" width="27.33203125" style="20" bestFit="1" customWidth="1"/>
    <col min="107" max="107" width="29.5" style="20" bestFit="1" customWidth="1"/>
    <col min="108" max="108" width="21.5" style="20" bestFit="1" customWidth="1"/>
    <col min="109" max="16384" width="9.1640625" style="20"/>
  </cols>
  <sheetData>
    <row r="1" spans="1:165" ht="48.75" customHeight="1" thickBot="1" x14ac:dyDescent="0.25">
      <c r="A1" s="14"/>
      <c r="B1" s="15"/>
      <c r="C1" s="15"/>
      <c r="D1" s="15"/>
      <c r="E1" s="15"/>
      <c r="F1" s="15"/>
      <c r="G1" s="16" t="s">
        <v>346</v>
      </c>
      <c r="H1" s="15"/>
      <c r="I1" s="15"/>
      <c r="J1" s="15"/>
      <c r="K1" s="15"/>
      <c r="L1" s="15"/>
      <c r="M1" s="15"/>
      <c r="N1" s="15"/>
      <c r="O1" s="15"/>
      <c r="P1" s="15"/>
      <c r="Q1" s="15"/>
      <c r="R1" s="15"/>
      <c r="S1" s="17"/>
      <c r="T1" s="18"/>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row>
    <row r="2" spans="1:165" x14ac:dyDescent="0.2">
      <c r="A2" s="18"/>
      <c r="B2" s="18"/>
      <c r="C2" s="18"/>
      <c r="D2" s="18"/>
      <c r="E2" s="18"/>
      <c r="F2" s="18"/>
      <c r="G2" s="18"/>
      <c r="H2" s="210" t="s">
        <v>64</v>
      </c>
      <c r="I2" s="18"/>
      <c r="J2" s="18"/>
      <c r="K2" s="18"/>
      <c r="L2" s="18"/>
      <c r="M2" s="18"/>
      <c r="N2" s="18"/>
      <c r="O2" s="18"/>
      <c r="P2" s="18"/>
      <c r="Q2" s="18"/>
      <c r="R2" s="18"/>
      <c r="S2" s="18"/>
      <c r="T2" s="1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row>
    <row r="3" spans="1:165" x14ac:dyDescent="0.2">
      <c r="A3" s="18"/>
      <c r="B3" s="18"/>
      <c r="C3" s="18"/>
      <c r="D3" s="18"/>
      <c r="E3" s="61"/>
      <c r="F3" s="21" t="s">
        <v>39</v>
      </c>
      <c r="G3" s="18"/>
      <c r="H3" s="211" t="s">
        <v>65</v>
      </c>
      <c r="I3" s="18"/>
      <c r="J3" s="18"/>
      <c r="K3" s="18"/>
      <c r="L3" s="18"/>
      <c r="M3" s="18"/>
      <c r="N3" s="18"/>
      <c r="O3" s="18"/>
      <c r="P3" s="18"/>
      <c r="Q3" s="18"/>
      <c r="R3" s="18"/>
      <c r="S3" s="18"/>
      <c r="T3" s="18"/>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row>
    <row r="4" spans="1:165" ht="16" thickBot="1" x14ac:dyDescent="0.25">
      <c r="A4" s="18"/>
      <c r="B4" s="18"/>
      <c r="C4" s="18"/>
      <c r="D4" s="18"/>
      <c r="E4" s="18"/>
      <c r="F4" s="18"/>
      <c r="G4" s="18"/>
      <c r="H4" s="18"/>
      <c r="I4" s="18"/>
      <c r="J4" s="18"/>
      <c r="K4" s="18"/>
      <c r="L4" s="18"/>
      <c r="M4" s="18"/>
      <c r="N4" s="18"/>
      <c r="O4" s="18"/>
      <c r="P4" s="18"/>
      <c r="Q4" s="18"/>
      <c r="R4" s="18"/>
      <c r="S4" s="18"/>
      <c r="T4" s="18"/>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row>
    <row r="5" spans="1:165" ht="16" thickBot="1" x14ac:dyDescent="0.25">
      <c r="A5" s="22" t="s">
        <v>0</v>
      </c>
      <c r="B5" s="23"/>
      <c r="C5" s="23"/>
      <c r="D5" s="23"/>
      <c r="E5" s="24"/>
      <c r="F5" s="23"/>
      <c r="G5" s="23"/>
      <c r="H5" s="86" t="s">
        <v>66</v>
      </c>
      <c r="I5" s="23"/>
      <c r="J5" s="25"/>
      <c r="K5" s="25"/>
      <c r="L5" s="25"/>
      <c r="M5" s="25"/>
      <c r="N5" s="25"/>
      <c r="O5" s="25"/>
      <c r="P5" s="25"/>
      <c r="Q5" s="25"/>
      <c r="R5" s="25"/>
      <c r="S5" s="26"/>
      <c r="T5" s="18"/>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row>
    <row r="6" spans="1:165" x14ac:dyDescent="0.2">
      <c r="A6" s="27"/>
      <c r="B6" s="23"/>
      <c r="C6" s="24"/>
      <c r="D6" s="28" t="s">
        <v>74</v>
      </c>
      <c r="E6" s="6">
        <v>10</v>
      </c>
      <c r="F6" s="4" t="s">
        <v>1</v>
      </c>
      <c r="G6" s="156" t="str">
        <f>_xlfn.CONCAT(E6, " ",F6)</f>
        <v>10 V</v>
      </c>
      <c r="H6" s="84">
        <v>4.2</v>
      </c>
      <c r="I6" s="84">
        <v>70</v>
      </c>
      <c r="J6" s="29"/>
      <c r="K6" s="29"/>
      <c r="L6" s="29"/>
      <c r="M6" s="29"/>
      <c r="N6" s="29"/>
      <c r="O6" s="29"/>
      <c r="P6" s="29"/>
      <c r="Q6" s="29"/>
      <c r="R6" s="29"/>
      <c r="S6" s="30"/>
      <c r="T6" s="18"/>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row>
    <row r="7" spans="1:165" x14ac:dyDescent="0.2">
      <c r="A7" s="31"/>
      <c r="B7" s="13"/>
      <c r="C7" s="13"/>
      <c r="D7" s="32" t="s">
        <v>73</v>
      </c>
      <c r="E7" s="7">
        <v>24</v>
      </c>
      <c r="F7" s="5" t="s">
        <v>1</v>
      </c>
      <c r="G7" s="156" t="str">
        <f>_xlfn.CONCAT(E7, " ",F7)</f>
        <v>24 V</v>
      </c>
      <c r="H7" s="84">
        <v>4.2</v>
      </c>
      <c r="I7" s="84">
        <v>70</v>
      </c>
      <c r="J7" s="85">
        <f>$E$6</f>
        <v>10</v>
      </c>
      <c r="K7" s="85">
        <f>$E$8</f>
        <v>33</v>
      </c>
      <c r="L7" s="29"/>
      <c r="M7" s="29"/>
      <c r="N7" s="29"/>
      <c r="O7" s="29"/>
      <c r="P7" s="29"/>
      <c r="Q7" s="29"/>
      <c r="R7" s="29"/>
      <c r="S7" s="30"/>
      <c r="T7" s="18"/>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row>
    <row r="8" spans="1:165" x14ac:dyDescent="0.2">
      <c r="A8" s="31"/>
      <c r="B8" s="13"/>
      <c r="C8" s="13"/>
      <c r="D8" s="32" t="s">
        <v>75</v>
      </c>
      <c r="E8" s="7">
        <v>33</v>
      </c>
      <c r="F8" s="8" t="s">
        <v>1</v>
      </c>
      <c r="G8" s="156" t="str">
        <f>_xlfn.CONCAT(E8, " ",F8)</f>
        <v>33 V</v>
      </c>
      <c r="H8" s="84">
        <v>4.2</v>
      </c>
      <c r="I8" s="84">
        <v>70</v>
      </c>
      <c r="J8" s="29"/>
      <c r="K8" s="29"/>
      <c r="L8" s="29"/>
      <c r="M8" s="29"/>
      <c r="N8" s="29"/>
      <c r="O8" s="29"/>
      <c r="P8" s="29"/>
      <c r="Q8" s="29"/>
      <c r="R8" s="29"/>
      <c r="S8" s="30"/>
      <c r="T8" s="18"/>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row>
    <row r="9" spans="1:165" x14ac:dyDescent="0.2">
      <c r="A9" s="31"/>
      <c r="B9" s="13"/>
      <c r="C9" s="13"/>
      <c r="D9" s="32" t="s">
        <v>55</v>
      </c>
      <c r="E9" s="7">
        <v>28.7</v>
      </c>
      <c r="F9" s="8" t="s">
        <v>1</v>
      </c>
      <c r="G9" s="156" t="str">
        <f>_xlfn.CONCAT(E9, " ",F9)</f>
        <v>28,7 V</v>
      </c>
      <c r="H9" s="84">
        <v>3.3</v>
      </c>
      <c r="I9" s="84">
        <v>70</v>
      </c>
      <c r="J9" s="29"/>
      <c r="K9" s="29"/>
      <c r="L9" s="29"/>
      <c r="M9" s="29"/>
      <c r="N9" s="29"/>
      <c r="O9" s="29"/>
      <c r="P9" s="29"/>
      <c r="Q9" s="29"/>
      <c r="R9" s="29"/>
      <c r="S9" s="30"/>
      <c r="T9" s="18"/>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row>
    <row r="10" spans="1:165" ht="16" thickBot="1" x14ac:dyDescent="0.25">
      <c r="A10" s="33"/>
      <c r="B10" s="34"/>
      <c r="C10" s="34"/>
      <c r="D10" s="35" t="s">
        <v>4</v>
      </c>
      <c r="E10" s="88">
        <v>10</v>
      </c>
      <c r="F10" s="89" t="s">
        <v>2</v>
      </c>
      <c r="G10" s="156" t="str">
        <f>_xlfn.CONCAT(E10, " ",F10)</f>
        <v>10 A</v>
      </c>
      <c r="H10" s="13"/>
      <c r="I10" s="13"/>
      <c r="J10" s="29"/>
      <c r="K10" s="29"/>
      <c r="L10" s="29"/>
      <c r="M10" s="29"/>
      <c r="N10" s="29"/>
      <c r="O10" s="29"/>
      <c r="P10" s="29"/>
      <c r="Q10" s="29"/>
      <c r="R10" s="29"/>
      <c r="S10" s="30"/>
      <c r="T10" s="18"/>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row>
    <row r="11" spans="1:165" x14ac:dyDescent="0.2">
      <c r="A11" s="31"/>
      <c r="B11" s="13"/>
      <c r="C11" s="13"/>
      <c r="D11" s="13"/>
      <c r="E11" s="13"/>
      <c r="F11" s="127"/>
      <c r="G11" s="156"/>
      <c r="H11" s="13" t="s">
        <v>67</v>
      </c>
      <c r="I11" s="13"/>
      <c r="J11" s="29"/>
      <c r="K11" s="29"/>
      <c r="L11" s="29"/>
      <c r="M11" s="29"/>
      <c r="N11" s="29"/>
      <c r="O11" s="29"/>
      <c r="P11" s="29"/>
      <c r="Q11" s="29"/>
      <c r="R11" s="29"/>
      <c r="S11" s="30"/>
      <c r="T11" s="18"/>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row>
    <row r="12" spans="1:165" ht="16" thickBot="1" x14ac:dyDescent="0.25">
      <c r="A12" s="36" t="s">
        <v>68</v>
      </c>
      <c r="B12" s="13"/>
      <c r="C12" s="13"/>
      <c r="D12" s="13"/>
      <c r="E12" s="13"/>
      <c r="F12" s="127"/>
      <c r="G12" s="156"/>
      <c r="H12" s="13"/>
      <c r="I12" s="13"/>
      <c r="J12" s="29"/>
      <c r="K12" s="29"/>
      <c r="L12" s="29"/>
      <c r="M12" s="29"/>
      <c r="N12" s="29"/>
      <c r="O12" s="29"/>
      <c r="P12" s="29"/>
      <c r="Q12" s="29"/>
      <c r="R12" s="29"/>
      <c r="S12" s="30"/>
      <c r="T12" s="18"/>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row>
    <row r="13" spans="1:165" x14ac:dyDescent="0.2">
      <c r="A13" s="27"/>
      <c r="B13" s="23"/>
      <c r="C13" s="23"/>
      <c r="D13" s="28" t="s">
        <v>83</v>
      </c>
      <c r="E13" s="92">
        <v>600</v>
      </c>
      <c r="F13" s="4" t="s">
        <v>3</v>
      </c>
      <c r="G13" s="156" t="str">
        <f>_xlfn.CONCAT(E13, " ",F13)</f>
        <v>600 kHz</v>
      </c>
      <c r="H13" s="84">
        <v>200</v>
      </c>
      <c r="I13" s="84">
        <v>600</v>
      </c>
      <c r="J13" s="29"/>
      <c r="K13" s="29"/>
      <c r="L13" s="29"/>
      <c r="M13" s="29"/>
      <c r="N13" s="29"/>
      <c r="O13" s="29"/>
      <c r="P13" s="29"/>
      <c r="Q13" s="29"/>
      <c r="R13" s="29"/>
      <c r="S13" s="30"/>
      <c r="T13" s="18"/>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row>
    <row r="14" spans="1:165" x14ac:dyDescent="0.2">
      <c r="A14" s="36"/>
      <c r="B14" s="13"/>
      <c r="C14" s="13"/>
      <c r="D14" s="39" t="s">
        <v>69</v>
      </c>
      <c r="E14" s="41">
        <f>MAX(MIN(1/(10*($E$13*10^3*5*10^-12-500*10^-9))/10^3,$I$15),$H$15)</f>
        <v>40</v>
      </c>
      <c r="F14" s="93" t="s">
        <v>30</v>
      </c>
      <c r="G14" s="156" t="str">
        <f>_xlfn.CONCAT(E14, " ",F14)</f>
        <v>40 kΩ</v>
      </c>
      <c r="H14" s="13"/>
      <c r="I14" s="13"/>
      <c r="J14" s="29"/>
      <c r="K14" s="29"/>
      <c r="L14" s="29"/>
      <c r="M14" s="29"/>
      <c r="N14" s="29"/>
      <c r="O14" s="29"/>
      <c r="P14" s="29"/>
      <c r="Q14" s="29"/>
      <c r="R14" s="29"/>
      <c r="S14" s="30"/>
      <c r="T14" s="18"/>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row>
    <row r="15" spans="1:165" x14ac:dyDescent="0.2">
      <c r="A15" s="36"/>
      <c r="B15" s="13"/>
      <c r="C15" s="13"/>
      <c r="D15" s="32" t="s">
        <v>70</v>
      </c>
      <c r="E15" s="87">
        <v>40</v>
      </c>
      <c r="F15" s="8" t="s">
        <v>30</v>
      </c>
      <c r="G15" s="157" t="str">
        <f>_xlfn.CONCAT(E15, " ",F15)</f>
        <v>40 kΩ</v>
      </c>
      <c r="H15" s="84">
        <v>40</v>
      </c>
      <c r="I15" s="84">
        <v>200</v>
      </c>
      <c r="J15" s="29"/>
      <c r="K15" s="29"/>
      <c r="L15" s="29"/>
      <c r="M15" s="29"/>
      <c r="N15" s="29"/>
      <c r="O15" s="29"/>
      <c r="P15" s="29"/>
      <c r="Q15" s="29"/>
      <c r="R15" s="29"/>
      <c r="S15" s="30"/>
      <c r="T15" s="18"/>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row>
    <row r="16" spans="1:165" x14ac:dyDescent="0.2">
      <c r="A16" s="31"/>
      <c r="B16" s="13"/>
      <c r="C16" s="13"/>
      <c r="D16" s="39" t="s">
        <v>71</v>
      </c>
      <c r="E16" s="41">
        <f>(1/(10*$E$15*10^3)+500*10^-9)/(5*10^-12)/10^3</f>
        <v>600</v>
      </c>
      <c r="F16" s="93" t="s">
        <v>3</v>
      </c>
      <c r="G16" s="156"/>
      <c r="H16" s="91">
        <f>$E$13*0.95</f>
        <v>570</v>
      </c>
      <c r="I16" s="84">
        <f>Desired_Fsw*1.05</f>
        <v>630</v>
      </c>
      <c r="J16" s="29"/>
      <c r="K16" s="29"/>
      <c r="L16" s="29"/>
      <c r="M16" s="29"/>
      <c r="N16" s="29"/>
      <c r="O16" s="29"/>
      <c r="P16" s="29"/>
      <c r="Q16" s="29"/>
      <c r="R16" s="29"/>
      <c r="S16" s="30"/>
      <c r="T16" s="18"/>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row>
    <row r="17" spans="1:165" x14ac:dyDescent="0.2">
      <c r="A17" s="31"/>
      <c r="B17" s="13"/>
      <c r="C17" s="13"/>
      <c r="D17" s="39" t="s">
        <v>324</v>
      </c>
      <c r="E17" s="41">
        <f>(1-225*10^-9*Fsw*10^3)*100</f>
        <v>86.5</v>
      </c>
      <c r="F17" s="93" t="s">
        <v>6</v>
      </c>
      <c r="G17" s="156"/>
      <c r="H17" s="91"/>
      <c r="I17" s="13"/>
      <c r="J17" s="29"/>
      <c r="K17" s="29"/>
      <c r="L17" s="29"/>
      <c r="M17" s="29"/>
      <c r="N17" s="29"/>
      <c r="O17" s="29"/>
      <c r="P17" s="29"/>
      <c r="Q17" s="29"/>
      <c r="R17" s="29"/>
      <c r="S17" s="30"/>
      <c r="T17" s="18"/>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row>
    <row r="18" spans="1:165" x14ac:dyDescent="0.2">
      <c r="A18" s="31"/>
      <c r="B18" s="13"/>
      <c r="C18" s="13"/>
      <c r="D18" s="39" t="s">
        <v>172</v>
      </c>
      <c r="E18" s="107">
        <f>IF(VACmin&lt;Vbat, MIN(VACmin/(1-$E$17/100),H18), "N/A")</f>
        <v>70</v>
      </c>
      <c r="F18" s="93" t="s">
        <v>1</v>
      </c>
      <c r="G18" s="156"/>
      <c r="H18" s="90">
        <v>70</v>
      </c>
      <c r="I18" s="84">
        <f>Vbat</f>
        <v>28.7</v>
      </c>
      <c r="J18" s="29"/>
      <c r="K18" s="29"/>
      <c r="L18" s="29"/>
      <c r="M18" s="29"/>
      <c r="N18" s="29"/>
      <c r="O18" s="29"/>
      <c r="P18" s="29"/>
      <c r="Q18" s="29"/>
      <c r="R18" s="29"/>
      <c r="S18" s="30"/>
      <c r="T18" s="18"/>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row>
    <row r="19" spans="1:165" x14ac:dyDescent="0.2">
      <c r="A19" s="31"/>
      <c r="B19" s="13"/>
      <c r="C19" s="13"/>
      <c r="D19" s="39" t="s">
        <v>173</v>
      </c>
      <c r="E19" s="107">
        <f>IF(VACnom&lt;Vbat, MIN(VACnom/(1-$E$17/100),H19), "N/A")</f>
        <v>70</v>
      </c>
      <c r="F19" s="93" t="s">
        <v>1</v>
      </c>
      <c r="G19" s="156"/>
      <c r="H19" s="90">
        <v>70</v>
      </c>
      <c r="I19" s="84">
        <f>Vbat</f>
        <v>28.7</v>
      </c>
      <c r="J19" s="29"/>
      <c r="K19" s="29"/>
      <c r="L19" s="29"/>
      <c r="M19" s="29"/>
      <c r="N19" s="29"/>
      <c r="O19" s="29"/>
      <c r="P19" s="29"/>
      <c r="Q19" s="29"/>
      <c r="R19" s="29"/>
      <c r="S19" s="30"/>
      <c r="T19" s="18"/>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row>
    <row r="20" spans="1:165" ht="16" thickBot="1" x14ac:dyDescent="0.25">
      <c r="A20" s="33"/>
      <c r="B20" s="34"/>
      <c r="C20" s="34"/>
      <c r="D20" s="43" t="s">
        <v>174</v>
      </c>
      <c r="E20" s="108" t="str">
        <f>IF(VACmax&lt;Vbat, MIN(VACmax/(1-$E$17/100),H20), "N/A")</f>
        <v>N/A</v>
      </c>
      <c r="F20" s="109" t="s">
        <v>1</v>
      </c>
      <c r="G20" s="156"/>
      <c r="H20" s="90">
        <v>70</v>
      </c>
      <c r="I20" s="84">
        <f>Vbat</f>
        <v>28.7</v>
      </c>
      <c r="J20" s="29"/>
      <c r="K20" s="29"/>
      <c r="L20" s="29"/>
      <c r="M20" s="29"/>
      <c r="N20" s="29"/>
      <c r="O20" s="29"/>
      <c r="P20" s="29"/>
      <c r="Q20" s="29"/>
      <c r="R20" s="29"/>
      <c r="S20" s="30"/>
      <c r="T20" s="18"/>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row>
    <row r="21" spans="1:165" x14ac:dyDescent="0.2">
      <c r="A21" s="31"/>
      <c r="B21" s="13"/>
      <c r="C21" s="13"/>
      <c r="D21" s="39"/>
      <c r="E21" s="13"/>
      <c r="F21" s="127"/>
      <c r="G21" s="156"/>
      <c r="H21" s="13"/>
      <c r="I21" s="13"/>
      <c r="J21" s="29"/>
      <c r="K21" s="29"/>
      <c r="L21" s="29"/>
      <c r="M21" s="29"/>
      <c r="N21" s="29"/>
      <c r="O21" s="29"/>
      <c r="P21" s="29"/>
      <c r="Q21" s="29"/>
      <c r="R21" s="29"/>
      <c r="S21" s="30"/>
      <c r="T21" s="18"/>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row>
    <row r="22" spans="1:165" ht="16" thickBot="1" x14ac:dyDescent="0.25">
      <c r="A22" s="36" t="s">
        <v>144</v>
      </c>
      <c r="B22" s="13"/>
      <c r="C22" s="13"/>
      <c r="D22" s="13"/>
      <c r="E22" s="13"/>
      <c r="F22" s="127"/>
      <c r="G22" s="156"/>
      <c r="H22" s="13"/>
      <c r="I22" s="13"/>
      <c r="J22" s="29"/>
      <c r="K22" s="29"/>
      <c r="L22" s="29"/>
      <c r="M22" s="29"/>
      <c r="N22" s="29"/>
      <c r="O22" s="29"/>
      <c r="P22" s="29"/>
      <c r="Q22" s="29"/>
      <c r="R22" s="29"/>
      <c r="S22" s="30"/>
      <c r="T22" s="18"/>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row>
    <row r="23" spans="1:165" x14ac:dyDescent="0.2">
      <c r="A23" s="22"/>
      <c r="B23" s="23"/>
      <c r="C23" s="23"/>
      <c r="D23" s="37" t="s">
        <v>31</v>
      </c>
      <c r="E23" s="95">
        <f>Vbat*Ioutmax/(0.9*VACmin)</f>
        <v>31.888888888888889</v>
      </c>
      <c r="F23" s="72" t="s">
        <v>2</v>
      </c>
      <c r="G23" s="156"/>
      <c r="H23" s="13"/>
      <c r="I23" s="13"/>
      <c r="J23" s="29"/>
      <c r="K23" s="29"/>
      <c r="L23" s="29"/>
      <c r="M23" s="29"/>
      <c r="N23" s="29"/>
      <c r="O23" s="29"/>
      <c r="P23" s="29"/>
      <c r="Q23" s="29"/>
      <c r="R23" s="29"/>
      <c r="S23" s="30"/>
      <c r="T23" s="18"/>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row>
    <row r="24" spans="1:165" x14ac:dyDescent="0.2">
      <c r="A24" s="36"/>
      <c r="B24" s="13"/>
      <c r="C24" s="13"/>
      <c r="D24" s="39" t="s">
        <v>72</v>
      </c>
      <c r="E24" s="69">
        <v>34</v>
      </c>
      <c r="F24" s="128" t="s">
        <v>2</v>
      </c>
      <c r="G24" s="156"/>
      <c r="H24" s="84">
        <f>ILmax</f>
        <v>31.888888888888889</v>
      </c>
      <c r="I24" s="13"/>
      <c r="J24" s="29"/>
      <c r="K24" s="29"/>
      <c r="L24" s="29"/>
      <c r="M24" s="29"/>
      <c r="N24" s="29"/>
      <c r="O24" s="29"/>
      <c r="P24" s="29"/>
      <c r="Q24" s="29"/>
      <c r="R24" s="29"/>
      <c r="S24" s="30"/>
      <c r="T24" s="18"/>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row>
    <row r="25" spans="1:165" x14ac:dyDescent="0.2">
      <c r="A25" s="31"/>
      <c r="B25" s="13"/>
      <c r="C25" s="13"/>
      <c r="D25" s="39" t="s">
        <v>76</v>
      </c>
      <c r="E25" s="40">
        <f>IF((MAX( 0.5*MIN( 2*Vbat,VACmax )*(Vbat/MIN( 2*Vbat,VACmax ))*(1- (Vbat/MIN( 2*Vbat,VACmax )) )/(Fsw*10^3 *(Isat-ILmax) ), 0.5*MAX( Vbat/2, VACmin )*(1- MAX( Vbat/2, VACmin )/Vbat)/(Fsw*10^3*(Isat-ILmax)))/10^-6)&lt;0, "ERROR", (MAX( 0.5*MIN( 2*Vbat,VACmax )*(Vbat/MIN( 2*Vbat,VACmax ))*(1- (Vbat/MIN( 2*Vbat,VACmax )) )/(Fsw*10^3 *(Isat-ILmax) ), 0.5*MAX( Vbat/2, VACmin )*(1- MAX( Vbat/2, VACmin )/Vbat)/(Fsw*10^3*(Isat-ILmax)))/10^-6))</f>
        <v>2.8322368421052637</v>
      </c>
      <c r="F25" s="73" t="s">
        <v>5</v>
      </c>
      <c r="G25" s="157" t="str">
        <f>_xlfn.CONCAT(E25, " ",F25)</f>
        <v>2,83223684210526 µH</v>
      </c>
      <c r="H25" s="84">
        <v>2.2000000000000002</v>
      </c>
      <c r="I25" s="84">
        <v>15</v>
      </c>
      <c r="J25" s="29"/>
      <c r="K25" s="29"/>
      <c r="L25" s="29"/>
      <c r="M25" s="29"/>
      <c r="N25" s="29"/>
      <c r="O25" s="29"/>
      <c r="P25" s="29"/>
      <c r="Q25" s="29"/>
      <c r="R25" s="29"/>
      <c r="S25" s="30"/>
      <c r="T25" s="18"/>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row>
    <row r="26" spans="1:165" x14ac:dyDescent="0.2">
      <c r="A26" s="31"/>
      <c r="B26" s="13"/>
      <c r="C26" s="13"/>
      <c r="D26" s="32" t="s">
        <v>339</v>
      </c>
      <c r="E26" s="69">
        <v>3.3</v>
      </c>
      <c r="F26" s="9" t="s">
        <v>5</v>
      </c>
      <c r="G26" s="156" t="str">
        <f>_xlfn.CONCAT(E26, " ",F26)</f>
        <v>3,3 µH</v>
      </c>
      <c r="H26" s="94">
        <f>$E$25</f>
        <v>2.8322368421052637</v>
      </c>
      <c r="I26" s="84"/>
      <c r="J26" s="29"/>
      <c r="K26" s="29"/>
      <c r="L26" s="29"/>
      <c r="M26" s="29"/>
      <c r="N26" s="29"/>
      <c r="O26" s="29"/>
      <c r="P26" s="29"/>
      <c r="Q26" s="29"/>
      <c r="R26" s="29"/>
      <c r="S26" s="30"/>
      <c r="T26" s="18"/>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row>
    <row r="27" spans="1:165" x14ac:dyDescent="0.2">
      <c r="A27" s="31"/>
      <c r="B27" s="13"/>
      <c r="C27" s="13"/>
      <c r="D27" s="39" t="s">
        <v>238</v>
      </c>
      <c r="E27" s="40">
        <v>2.6</v>
      </c>
      <c r="F27" s="10" t="s">
        <v>29</v>
      </c>
      <c r="G27" s="156"/>
      <c r="H27" s="13"/>
      <c r="I27" s="13"/>
      <c r="J27" s="29"/>
      <c r="K27" s="29"/>
      <c r="L27" s="29"/>
      <c r="M27" s="29"/>
      <c r="N27" s="29"/>
      <c r="O27" s="29"/>
      <c r="P27" s="29"/>
      <c r="Q27" s="29"/>
      <c r="R27" s="29"/>
      <c r="S27" s="30"/>
      <c r="T27" s="18"/>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row>
    <row r="28" spans="1:165" x14ac:dyDescent="0.2">
      <c r="A28" s="31"/>
      <c r="B28" s="13"/>
      <c r="C28" s="13"/>
      <c r="D28" s="39" t="s">
        <v>237</v>
      </c>
      <c r="E28" s="40">
        <v>60</v>
      </c>
      <c r="F28" s="10" t="s">
        <v>29</v>
      </c>
      <c r="G28" s="156"/>
      <c r="H28" s="13"/>
      <c r="I28" s="13"/>
      <c r="J28" s="29"/>
      <c r="K28" s="29"/>
      <c r="L28" s="29"/>
      <c r="M28" s="29"/>
      <c r="N28" s="29"/>
      <c r="O28" s="29"/>
      <c r="P28" s="29"/>
      <c r="Q28" s="29"/>
      <c r="R28" s="29"/>
      <c r="S28" s="30"/>
      <c r="T28" s="18"/>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row>
    <row r="29" spans="1:165" x14ac:dyDescent="0.2">
      <c r="A29" s="31"/>
      <c r="B29" s="13"/>
      <c r="C29" s="13"/>
      <c r="D29" s="32" t="s">
        <v>56</v>
      </c>
      <c r="E29" s="87">
        <v>3.4</v>
      </c>
      <c r="F29" s="9" t="s">
        <v>29</v>
      </c>
      <c r="G29" s="156" t="str">
        <f>_xlfn.CONCAT(E29, " ",F29)</f>
        <v>3,4 mΩ</v>
      </c>
      <c r="H29" s="94">
        <f>E27</f>
        <v>2.6</v>
      </c>
      <c r="I29" s="94">
        <f>E28</f>
        <v>60</v>
      </c>
      <c r="J29" s="29"/>
      <c r="K29" s="29"/>
      <c r="L29" s="29"/>
      <c r="M29" s="29"/>
      <c r="N29" s="29"/>
      <c r="O29" s="29"/>
      <c r="P29" s="29"/>
      <c r="Q29" s="29"/>
      <c r="R29" s="29"/>
      <c r="S29" s="30"/>
      <c r="T29" s="18"/>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row>
    <row r="30" spans="1:165" x14ac:dyDescent="0.2">
      <c r="A30" s="31"/>
      <c r="B30" s="13"/>
      <c r="C30" s="13"/>
      <c r="D30" s="39" t="s">
        <v>77</v>
      </c>
      <c r="E30" s="41" t="e">
        <f>IF(VACmin&lt;Vbat,VACmin*(1-VACmin/Vbat)/(Fsw*10^3*L*10^-6),VACmin*Vbat/VACmin*(1-Vbat/VACmin)/(Fsw*10^3*L*10^-6))</f>
        <v>#NAME?</v>
      </c>
      <c r="F30" s="73" t="s">
        <v>7</v>
      </c>
      <c r="G30" s="156"/>
      <c r="H30" s="13"/>
      <c r="I30" s="13"/>
      <c r="J30" s="29"/>
      <c r="K30" s="29"/>
      <c r="L30" s="29"/>
      <c r="M30" s="29"/>
      <c r="N30" s="29"/>
      <c r="O30" s="29"/>
      <c r="P30" s="29"/>
      <c r="Q30" s="29"/>
      <c r="R30" s="29"/>
      <c r="S30" s="30"/>
      <c r="T30" s="18"/>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row>
    <row r="31" spans="1:165" x14ac:dyDescent="0.2">
      <c r="A31" s="31"/>
      <c r="B31" s="13"/>
      <c r="C31" s="13"/>
      <c r="D31" s="39" t="s">
        <v>78</v>
      </c>
      <c r="E31" s="41" t="e">
        <f>IF(VACnom&lt;Vbat,VACnom*(1-VACnom/Vbat)/(Fsw*10^3*L*10^-6),VACnom*Vbat/VACnom*(1-Vbat/VACnom)/(Fsw*10^3*L*10^-6))</f>
        <v>#NAME?</v>
      </c>
      <c r="F31" s="73" t="s">
        <v>7</v>
      </c>
      <c r="G31" s="156"/>
      <c r="H31" s="13"/>
      <c r="I31" s="13"/>
      <c r="J31" s="29"/>
      <c r="K31" s="29"/>
      <c r="L31" s="29"/>
      <c r="M31" s="29"/>
      <c r="N31" s="29"/>
      <c r="O31" s="29"/>
      <c r="P31" s="29"/>
      <c r="Q31" s="29"/>
      <c r="R31" s="29"/>
      <c r="S31" s="30"/>
      <c r="T31" s="18"/>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row>
    <row r="32" spans="1:165" x14ac:dyDescent="0.2">
      <c r="A32" s="31"/>
      <c r="B32" s="13"/>
      <c r="C32" s="13"/>
      <c r="D32" s="39" t="s">
        <v>79</v>
      </c>
      <c r="E32" s="41" t="e">
        <f>IF(VACmax&lt;Vbat,VACmax*(1-VACmax/Vbat)/(Fsw*10^3*L*10^-6),VACmax*Vbat/VACmax*(1-Vbat/VACmax)/(Fsw*10^3*L*10^-6))</f>
        <v>#NAME?</v>
      </c>
      <c r="F32" s="73" t="s">
        <v>7</v>
      </c>
      <c r="G32" s="156"/>
      <c r="H32" s="13"/>
      <c r="I32" s="13"/>
      <c r="J32" s="29"/>
      <c r="K32" s="29"/>
      <c r="L32" s="29"/>
      <c r="M32" s="29"/>
      <c r="N32" s="29"/>
      <c r="O32" s="29"/>
      <c r="P32" s="29"/>
      <c r="Q32" s="29"/>
      <c r="R32" s="29"/>
      <c r="S32" s="30"/>
      <c r="T32" s="18"/>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row>
    <row r="33" spans="1:165" x14ac:dyDescent="0.2">
      <c r="A33" s="31"/>
      <c r="B33" s="13"/>
      <c r="C33" s="13"/>
      <c r="D33" s="39" t="s">
        <v>80</v>
      </c>
      <c r="E33" s="41" t="e">
        <f>E30/Ioutmax*100</f>
        <v>#NAME?</v>
      </c>
      <c r="F33" s="73" t="s">
        <v>6</v>
      </c>
      <c r="G33" s="156"/>
      <c r="H33" s="13"/>
      <c r="I33" s="13"/>
      <c r="J33" s="29"/>
      <c r="K33" s="29"/>
      <c r="L33" s="29"/>
      <c r="M33" s="29"/>
      <c r="N33" s="29"/>
      <c r="O33" s="29"/>
      <c r="P33" s="29"/>
      <c r="Q33" s="29"/>
      <c r="R33" s="29"/>
      <c r="S33" s="30"/>
      <c r="T33" s="18"/>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row>
    <row r="34" spans="1:165" x14ac:dyDescent="0.2">
      <c r="A34" s="31"/>
      <c r="B34" s="13"/>
      <c r="C34" s="13"/>
      <c r="D34" s="39" t="s">
        <v>81</v>
      </c>
      <c r="E34" s="41" t="e">
        <f>E31/Ioutmax*100</f>
        <v>#NAME?</v>
      </c>
      <c r="F34" s="73" t="s">
        <v>6</v>
      </c>
      <c r="G34" s="156"/>
      <c r="H34" s="13"/>
      <c r="I34" s="13"/>
      <c r="J34" s="29"/>
      <c r="K34" s="29"/>
      <c r="L34" s="29"/>
      <c r="M34" s="29"/>
      <c r="N34" s="29"/>
      <c r="O34" s="29"/>
      <c r="P34" s="29"/>
      <c r="Q34" s="29"/>
      <c r="R34" s="29"/>
      <c r="S34" s="30"/>
      <c r="T34" s="18"/>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row>
    <row r="35" spans="1:165" x14ac:dyDescent="0.2">
      <c r="A35" s="31"/>
      <c r="B35" s="13"/>
      <c r="C35" s="13"/>
      <c r="D35" s="39" t="s">
        <v>82</v>
      </c>
      <c r="E35" s="41" t="e">
        <f>E32/Ioutmax*100</f>
        <v>#NAME?</v>
      </c>
      <c r="F35" s="73" t="s">
        <v>6</v>
      </c>
      <c r="G35" s="156"/>
      <c r="H35" s="13"/>
      <c r="I35" s="13"/>
      <c r="J35" s="29"/>
      <c r="K35" s="29"/>
      <c r="L35" s="29"/>
      <c r="M35" s="29"/>
      <c r="N35" s="29"/>
      <c r="O35" s="29"/>
      <c r="P35" s="29"/>
      <c r="Q35" s="29"/>
      <c r="R35" s="29"/>
      <c r="S35" s="30"/>
      <c r="T35" s="18"/>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row>
    <row r="36" spans="1:165" ht="16" thickBot="1" x14ac:dyDescent="0.25">
      <c r="A36" s="33"/>
      <c r="B36" s="34"/>
      <c r="C36" s="34"/>
      <c r="D36" s="43" t="s">
        <v>32</v>
      </c>
      <c r="E36" s="44" t="e">
        <f>ILmax+VACmin*(Vbat-VACmin)/(2*L*10^-6*Fsw*10^3*Vbat)</f>
        <v>#NAME?</v>
      </c>
      <c r="F36" s="74" t="s">
        <v>2</v>
      </c>
      <c r="G36" s="156"/>
      <c r="H36" s="13"/>
      <c r="I36" s="13"/>
      <c r="J36" s="29"/>
      <c r="K36" s="29"/>
      <c r="L36" s="29"/>
      <c r="M36" s="29"/>
      <c r="N36" s="29"/>
      <c r="O36" s="29"/>
      <c r="P36" s="29"/>
      <c r="Q36" s="29"/>
      <c r="R36" s="29"/>
      <c r="S36" s="30"/>
      <c r="T36" s="18"/>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row>
    <row r="37" spans="1:165" x14ac:dyDescent="0.2">
      <c r="A37" s="31"/>
      <c r="B37" s="13"/>
      <c r="C37" s="13"/>
      <c r="D37" s="13"/>
      <c r="E37" s="13"/>
      <c r="F37" s="127"/>
      <c r="G37" s="156"/>
      <c r="H37" s="13"/>
      <c r="I37" s="13"/>
      <c r="J37" s="29"/>
      <c r="K37" s="29"/>
      <c r="L37" s="29"/>
      <c r="M37" s="29"/>
      <c r="N37" s="29"/>
      <c r="O37" s="29"/>
      <c r="P37" s="29"/>
      <c r="Q37" s="29"/>
      <c r="R37" s="29"/>
      <c r="S37" s="30"/>
      <c r="T37" s="18"/>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row>
    <row r="38" spans="1:165" ht="16" thickBot="1" x14ac:dyDescent="0.25">
      <c r="A38" s="36" t="s">
        <v>145</v>
      </c>
      <c r="B38" s="13"/>
      <c r="C38" s="13"/>
      <c r="D38" s="13"/>
      <c r="E38" s="13"/>
      <c r="F38" s="127"/>
      <c r="G38" s="156"/>
      <c r="H38" s="13"/>
      <c r="I38" s="13"/>
      <c r="J38" s="29"/>
      <c r="K38" s="29"/>
      <c r="L38" s="29"/>
      <c r="M38" s="29"/>
      <c r="N38" s="29"/>
      <c r="O38" s="29"/>
      <c r="P38" s="29"/>
      <c r="Q38" s="29"/>
      <c r="R38" s="29"/>
      <c r="S38" s="30"/>
      <c r="T38" s="18"/>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row>
    <row r="39" spans="1:165" x14ac:dyDescent="0.2">
      <c r="A39" s="22"/>
      <c r="B39" s="23"/>
      <c r="C39" s="23"/>
      <c r="D39" s="37" t="s">
        <v>94</v>
      </c>
      <c r="E39" s="154" t="str">
        <f>"2-5"</f>
        <v>2-5</v>
      </c>
      <c r="F39" s="72" t="s">
        <v>29</v>
      </c>
      <c r="G39" s="156"/>
      <c r="H39" s="13"/>
      <c r="I39" s="13"/>
      <c r="J39" s="29"/>
      <c r="K39" s="29"/>
      <c r="L39" s="29"/>
      <c r="M39" s="29"/>
      <c r="N39" s="29"/>
      <c r="O39" s="29"/>
      <c r="P39" s="29"/>
      <c r="Q39" s="29"/>
      <c r="R39" s="29"/>
      <c r="S39" s="30"/>
      <c r="T39" s="18"/>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row>
    <row r="40" spans="1:165" x14ac:dyDescent="0.2">
      <c r="A40" s="36"/>
      <c r="B40" s="13"/>
      <c r="C40" s="13"/>
      <c r="D40" s="32" t="s">
        <v>95</v>
      </c>
      <c r="E40" s="69">
        <v>5</v>
      </c>
      <c r="F40" s="129" t="s">
        <v>29</v>
      </c>
      <c r="G40" s="157" t="str">
        <f>_xlfn.CONCAT(E40, " ",F40)</f>
        <v>5 mΩ</v>
      </c>
      <c r="H40" s="13"/>
      <c r="I40" s="13"/>
      <c r="J40" s="29"/>
      <c r="K40" s="29"/>
      <c r="L40" s="29"/>
      <c r="M40" s="29"/>
      <c r="N40" s="29"/>
      <c r="O40" s="29"/>
      <c r="P40" s="29"/>
      <c r="Q40" s="29"/>
      <c r="R40" s="29"/>
      <c r="S40" s="30"/>
      <c r="T40" s="18"/>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row>
    <row r="41" spans="1:165" x14ac:dyDescent="0.2">
      <c r="A41" s="36"/>
      <c r="B41" s="13"/>
      <c r="C41" s="13"/>
      <c r="D41" s="39" t="s">
        <v>97</v>
      </c>
      <c r="E41" s="51">
        <f>IF(RAC_SNS=0, "Disabled", 50*2/RAC_SNS)</f>
        <v>20</v>
      </c>
      <c r="F41" s="73" t="s">
        <v>2</v>
      </c>
      <c r="G41" s="156"/>
      <c r="H41" s="13"/>
      <c r="I41" s="13"/>
      <c r="J41" s="29"/>
      <c r="K41" s="29"/>
      <c r="L41" s="29"/>
      <c r="M41" s="29"/>
      <c r="N41" s="29"/>
      <c r="O41" s="29"/>
      <c r="P41" s="29"/>
      <c r="Q41" s="29"/>
      <c r="R41" s="29"/>
      <c r="S41" s="30"/>
      <c r="T41" s="18"/>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row>
    <row r="42" spans="1:165" ht="16" x14ac:dyDescent="0.25">
      <c r="A42" s="36"/>
      <c r="B42" s="13"/>
      <c r="C42" s="13"/>
      <c r="D42" s="39" t="s">
        <v>107</v>
      </c>
      <c r="E42" s="51">
        <f>IF(RAC_SNS=0,"Disabled",125*2/RAC_SNS)</f>
        <v>50</v>
      </c>
      <c r="F42" s="73" t="s">
        <v>106</v>
      </c>
      <c r="G42" s="156"/>
      <c r="H42" s="13"/>
      <c r="I42" s="13"/>
      <c r="J42" s="29"/>
      <c r="K42" s="29"/>
      <c r="L42" s="29"/>
      <c r="M42" s="29"/>
      <c r="N42" s="29"/>
      <c r="O42" s="29"/>
      <c r="P42" s="29"/>
      <c r="Q42" s="29"/>
      <c r="R42" s="29"/>
      <c r="S42" s="30"/>
      <c r="T42" s="18"/>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row>
    <row r="43" spans="1:165" x14ac:dyDescent="0.2">
      <c r="A43" s="36"/>
      <c r="B43" s="13"/>
      <c r="C43" s="13"/>
      <c r="D43" s="32" t="s">
        <v>96</v>
      </c>
      <c r="E43" s="69">
        <v>20</v>
      </c>
      <c r="F43" s="73" t="s">
        <v>2</v>
      </c>
      <c r="G43" s="156"/>
      <c r="H43" s="84">
        <f>1*2/RAC_SNS</f>
        <v>0.4</v>
      </c>
      <c r="I43" s="84">
        <f>E41</f>
        <v>20</v>
      </c>
      <c r="J43" s="29"/>
      <c r="K43" s="29"/>
      <c r="L43" s="29"/>
      <c r="M43" s="29"/>
      <c r="N43" s="29"/>
      <c r="O43" s="29"/>
      <c r="P43" s="29"/>
      <c r="Q43" s="29"/>
      <c r="R43" s="29"/>
      <c r="S43" s="30"/>
      <c r="T43" s="18"/>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row>
    <row r="44" spans="1:165" x14ac:dyDescent="0.2">
      <c r="A44" s="36"/>
      <c r="B44" s="13"/>
      <c r="C44" s="13"/>
      <c r="D44" s="39" t="s">
        <v>98</v>
      </c>
      <c r="E44" s="51">
        <f>IF(RAC_SNS=0, "Disabled", MAX(MIN(50*2/RAC_SNS/$E$43, 50), H431))</f>
        <v>1</v>
      </c>
      <c r="F44" s="128" t="s">
        <v>30</v>
      </c>
      <c r="G44" s="156"/>
      <c r="H44" s="84"/>
      <c r="I44" s="84"/>
      <c r="J44" s="29"/>
      <c r="K44" s="29"/>
      <c r="L44" s="29"/>
      <c r="M44" s="29"/>
      <c r="N44" s="29"/>
      <c r="O44" s="29"/>
      <c r="P44" s="29"/>
      <c r="Q44" s="29"/>
      <c r="R44" s="29"/>
      <c r="S44" s="30"/>
      <c r="T44" s="18"/>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row>
    <row r="45" spans="1:165" x14ac:dyDescent="0.2">
      <c r="A45" s="36"/>
      <c r="B45" s="13"/>
      <c r="C45" s="13"/>
      <c r="D45" s="32" t="s">
        <v>99</v>
      </c>
      <c r="E45" s="69">
        <v>1</v>
      </c>
      <c r="F45" s="130" t="s">
        <v>30</v>
      </c>
      <c r="G45" s="157" t="str">
        <f>_xlfn.CONCAT(E45, " ",F45)</f>
        <v>1 kΩ</v>
      </c>
      <c r="H45" s="84">
        <v>1</v>
      </c>
      <c r="I45" s="84">
        <v>50</v>
      </c>
      <c r="J45" s="29"/>
      <c r="K45" s="29"/>
      <c r="L45" s="29"/>
      <c r="M45" s="29"/>
      <c r="N45" s="29"/>
      <c r="O45" s="29"/>
      <c r="P45" s="29"/>
      <c r="Q45" s="29"/>
      <c r="R45" s="29"/>
      <c r="S45" s="30"/>
      <c r="T45" s="18"/>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row>
    <row r="46" spans="1:165" ht="16" thickBot="1" x14ac:dyDescent="0.25">
      <c r="A46" s="101"/>
      <c r="B46" s="34"/>
      <c r="C46" s="34"/>
      <c r="D46" s="43" t="s">
        <v>100</v>
      </c>
      <c r="E46" s="98">
        <f>IF(OR(RAC_SNS=0, RIIN=0), "Disabled", 50*2/RAC_SNS/$E$45)</f>
        <v>20</v>
      </c>
      <c r="F46" s="74" t="s">
        <v>2</v>
      </c>
      <c r="G46" s="156"/>
      <c r="H46" s="84">
        <f>$E$43*0.95</f>
        <v>19</v>
      </c>
      <c r="I46" s="84">
        <f>$E$43*1.05</f>
        <v>21</v>
      </c>
      <c r="J46" s="29"/>
      <c r="K46" s="29"/>
      <c r="L46" s="29"/>
      <c r="M46" s="29"/>
      <c r="N46" s="29"/>
      <c r="O46" s="29"/>
      <c r="P46" s="29"/>
      <c r="Q46" s="29"/>
      <c r="R46" s="29"/>
      <c r="S46" s="30"/>
      <c r="T46" s="18"/>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row>
    <row r="47" spans="1:165" x14ac:dyDescent="0.2">
      <c r="A47" s="36"/>
      <c r="B47" s="13"/>
      <c r="C47" s="13"/>
      <c r="D47" s="39"/>
      <c r="E47" s="51"/>
      <c r="F47" s="105"/>
      <c r="G47" s="156"/>
      <c r="H47" s="84"/>
      <c r="I47" s="84"/>
      <c r="J47" s="29"/>
      <c r="K47" s="29"/>
      <c r="L47" s="29"/>
      <c r="M47" s="29"/>
      <c r="N47" s="29"/>
      <c r="O47" s="29"/>
      <c r="P47" s="29"/>
      <c r="Q47" s="29"/>
      <c r="R47" s="29"/>
      <c r="S47" s="30"/>
      <c r="T47" s="18"/>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row>
    <row r="48" spans="1:165" ht="16" thickBot="1" x14ac:dyDescent="0.25">
      <c r="A48" s="36" t="s">
        <v>146</v>
      </c>
      <c r="B48" s="13"/>
      <c r="C48" s="13"/>
      <c r="D48" s="39"/>
      <c r="E48" s="51"/>
      <c r="F48" s="105"/>
      <c r="G48" s="156"/>
      <c r="H48" s="84"/>
      <c r="I48" s="84"/>
      <c r="J48" s="29"/>
      <c r="K48" s="29"/>
      <c r="L48" s="29"/>
      <c r="M48" s="29"/>
      <c r="N48" s="29"/>
      <c r="O48" s="29"/>
      <c r="P48" s="29"/>
      <c r="Q48" s="29"/>
      <c r="R48" s="29"/>
      <c r="S48" s="30"/>
      <c r="T48" s="18"/>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row>
    <row r="49" spans="1:165" x14ac:dyDescent="0.2">
      <c r="A49" s="22"/>
      <c r="B49" s="23"/>
      <c r="C49" s="23"/>
      <c r="D49" s="28" t="s">
        <v>101</v>
      </c>
      <c r="E49" s="97">
        <v>5</v>
      </c>
      <c r="F49" s="131" t="s">
        <v>29</v>
      </c>
      <c r="G49" s="157" t="str">
        <f>_xlfn.CONCAT(E49, " ",F49)</f>
        <v>5 mΩ</v>
      </c>
      <c r="H49" s="13"/>
      <c r="I49" s="13"/>
      <c r="J49" s="29"/>
      <c r="K49" s="29"/>
      <c r="L49" s="29"/>
      <c r="M49" s="29"/>
      <c r="N49" s="29"/>
      <c r="O49" s="29"/>
      <c r="P49" s="29"/>
      <c r="Q49" s="29"/>
      <c r="R49" s="29"/>
      <c r="S49" s="30"/>
      <c r="T49" s="18"/>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row>
    <row r="50" spans="1:165" x14ac:dyDescent="0.2">
      <c r="A50" s="36"/>
      <c r="B50" s="13"/>
      <c r="C50" s="13"/>
      <c r="D50" s="39" t="s">
        <v>108</v>
      </c>
      <c r="E50" s="13">
        <f>50/RBAT_SNS</f>
        <v>10</v>
      </c>
      <c r="F50" s="73" t="s">
        <v>2</v>
      </c>
      <c r="G50" s="156"/>
      <c r="H50" s="13"/>
      <c r="I50" s="13"/>
      <c r="J50" s="29"/>
      <c r="K50" s="29"/>
      <c r="L50" s="29"/>
      <c r="M50" s="29"/>
      <c r="N50" s="29"/>
      <c r="O50" s="29"/>
      <c r="P50" s="29"/>
      <c r="Q50" s="29"/>
      <c r="R50" s="29"/>
      <c r="S50" s="30"/>
      <c r="T50" s="18"/>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row>
    <row r="51" spans="1:165" ht="16" x14ac:dyDescent="0.25">
      <c r="A51" s="36"/>
      <c r="B51" s="13"/>
      <c r="C51" s="13"/>
      <c r="D51" s="39" t="s">
        <v>109</v>
      </c>
      <c r="E51" s="13">
        <f>125*2/RBAT_SNS</f>
        <v>50</v>
      </c>
      <c r="F51" s="73" t="s">
        <v>106</v>
      </c>
      <c r="G51" s="156"/>
      <c r="H51" s="13"/>
      <c r="I51" s="13"/>
      <c r="J51" s="29"/>
      <c r="K51" s="29"/>
      <c r="L51" s="29"/>
      <c r="M51" s="29">
        <f>27.28*10^3</f>
        <v>27280</v>
      </c>
      <c r="N51" s="29">
        <f>3.02*10^3</f>
        <v>3020</v>
      </c>
      <c r="O51" s="29">
        <f>0.7325</f>
        <v>0.73250000000000004</v>
      </c>
      <c r="P51" s="29">
        <f>0.34375</f>
        <v>0.34375</v>
      </c>
      <c r="Q51" s="29"/>
      <c r="R51" s="29"/>
      <c r="S51" s="30"/>
      <c r="T51" s="18"/>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row>
    <row r="52" spans="1:165" x14ac:dyDescent="0.2">
      <c r="A52" s="36"/>
      <c r="B52" s="13"/>
      <c r="C52" s="13"/>
      <c r="D52" s="32" t="s">
        <v>102</v>
      </c>
      <c r="E52" s="69">
        <v>10</v>
      </c>
      <c r="F52" s="73" t="s">
        <v>2</v>
      </c>
      <c r="G52" s="156"/>
      <c r="H52" s="13"/>
      <c r="I52" s="13"/>
      <c r="J52" s="29"/>
      <c r="K52" s="29"/>
      <c r="L52" s="29"/>
      <c r="M52" s="29">
        <f>M51*N51*(1/O51-1/P51)/(N51*(1/P51-1)-M51*(1/O51-1))</f>
        <v>30307.229926440719</v>
      </c>
      <c r="N52" s="29">
        <f>(1/O51-1)/(1/M52+1/M51)</f>
        <v>5243.008702649624</v>
      </c>
      <c r="O52" s="29"/>
      <c r="P52" s="29"/>
      <c r="Q52" s="29"/>
      <c r="R52" s="29"/>
      <c r="S52" s="30"/>
      <c r="T52" s="18"/>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row>
    <row r="53" spans="1:165" x14ac:dyDescent="0.2">
      <c r="A53" s="36"/>
      <c r="B53" s="13"/>
      <c r="C53" s="13"/>
      <c r="D53" s="39" t="s">
        <v>103</v>
      </c>
      <c r="E53" s="13">
        <f>50/E52</f>
        <v>5</v>
      </c>
      <c r="F53" s="128" t="s">
        <v>30</v>
      </c>
      <c r="G53" s="156"/>
      <c r="H53" s="13"/>
      <c r="I53" s="13"/>
      <c r="J53" s="29"/>
      <c r="K53" s="29"/>
      <c r="L53" s="29"/>
      <c r="M53" s="29"/>
      <c r="N53" s="29"/>
      <c r="O53" s="29"/>
      <c r="P53" s="29"/>
      <c r="Q53" s="29"/>
      <c r="R53" s="29"/>
      <c r="S53" s="30"/>
      <c r="T53" s="18"/>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row>
    <row r="54" spans="1:165" x14ac:dyDescent="0.2">
      <c r="A54" s="31"/>
      <c r="B54" s="13"/>
      <c r="C54" s="13"/>
      <c r="D54" s="32" t="s">
        <v>104</v>
      </c>
      <c r="E54" s="69">
        <v>5</v>
      </c>
      <c r="F54" s="130" t="s">
        <v>30</v>
      </c>
      <c r="G54" s="157" t="str">
        <f>_xlfn.CONCAT(E54, " ",F54)</f>
        <v>5 kΩ</v>
      </c>
      <c r="H54" s="84">
        <v>1</v>
      </c>
      <c r="I54" s="84">
        <v>50</v>
      </c>
      <c r="J54" s="29"/>
      <c r="K54" s="29"/>
      <c r="L54" s="29"/>
      <c r="M54" s="29"/>
      <c r="N54" s="29"/>
      <c r="O54" s="29"/>
      <c r="P54" s="29"/>
      <c r="Q54" s="29"/>
      <c r="R54" s="29"/>
      <c r="S54" s="30"/>
      <c r="T54" s="18"/>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row>
    <row r="55" spans="1:165" ht="16" thickBot="1" x14ac:dyDescent="0.25">
      <c r="A55" s="33"/>
      <c r="B55" s="34"/>
      <c r="C55" s="34"/>
      <c r="D55" s="43" t="s">
        <v>105</v>
      </c>
      <c r="E55" s="98">
        <f>IF(RIOUT=0, "Disabled", 50/RIOUT)</f>
        <v>10</v>
      </c>
      <c r="F55" s="74" t="s">
        <v>2</v>
      </c>
      <c r="G55" s="156" t="str">
        <f>_xlfn.CONCAT(E55, " ",F55)</f>
        <v>10 A</v>
      </c>
      <c r="H55" s="84">
        <f>0.95*$E$52</f>
        <v>9.5</v>
      </c>
      <c r="I55" s="84">
        <f>1.05*$E$52</f>
        <v>10.5</v>
      </c>
      <c r="J55" s="29"/>
      <c r="K55" s="29"/>
      <c r="L55" s="29"/>
      <c r="M55" s="29"/>
      <c r="N55" s="29"/>
      <c r="O55" s="29"/>
      <c r="P55" s="29"/>
      <c r="Q55" s="29"/>
      <c r="R55" s="29"/>
      <c r="S55" s="30"/>
      <c r="T55" s="18"/>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row>
    <row r="56" spans="1:165" x14ac:dyDescent="0.2">
      <c r="A56" s="31"/>
      <c r="B56" s="13"/>
      <c r="C56" s="13"/>
      <c r="D56" s="13"/>
      <c r="E56" s="13"/>
      <c r="F56" s="127"/>
      <c r="G56" s="156"/>
      <c r="H56" s="13"/>
      <c r="I56" s="13"/>
      <c r="J56" s="29"/>
      <c r="K56" s="29"/>
      <c r="L56" s="29"/>
      <c r="M56" s="29"/>
      <c r="N56" s="29"/>
      <c r="O56" s="29"/>
      <c r="P56" s="29"/>
      <c r="Q56" s="29"/>
      <c r="R56" s="29"/>
      <c r="S56" s="30"/>
      <c r="T56" s="18"/>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row>
    <row r="57" spans="1:165" ht="16" thickBot="1" x14ac:dyDescent="0.25">
      <c r="A57" s="36" t="s">
        <v>147</v>
      </c>
      <c r="B57" s="13"/>
      <c r="C57" s="13"/>
      <c r="D57" s="13"/>
      <c r="E57" s="13"/>
      <c r="F57" s="127"/>
      <c r="G57" s="156"/>
      <c r="H57" s="13"/>
      <c r="I57" s="13"/>
      <c r="J57" s="29"/>
      <c r="K57" s="29"/>
      <c r="L57" s="29"/>
      <c r="M57" s="29"/>
      <c r="N57" s="29"/>
      <c r="O57" s="29"/>
      <c r="P57" s="29"/>
      <c r="Q57" s="29"/>
      <c r="R57" s="29"/>
      <c r="S57" s="30"/>
      <c r="T57" s="18"/>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row>
    <row r="58" spans="1:165" x14ac:dyDescent="0.2">
      <c r="A58" s="27"/>
      <c r="B58" s="23"/>
      <c r="C58" s="23"/>
      <c r="D58" s="28" t="s">
        <v>85</v>
      </c>
      <c r="E58" s="68">
        <v>36</v>
      </c>
      <c r="F58" s="132" t="s">
        <v>1</v>
      </c>
      <c r="G58" s="156"/>
      <c r="H58" s="13"/>
      <c r="I58" s="13"/>
      <c r="J58" s="29"/>
      <c r="K58" s="29"/>
      <c r="L58" s="29"/>
      <c r="M58" s="29"/>
      <c r="N58" s="29"/>
      <c r="O58" s="29"/>
      <c r="P58" s="29"/>
      <c r="Q58" s="29"/>
      <c r="R58" s="29"/>
      <c r="S58" s="30"/>
      <c r="T58" s="18"/>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row>
    <row r="59" spans="1:165" x14ac:dyDescent="0.2">
      <c r="A59" s="31"/>
      <c r="B59" s="13"/>
      <c r="C59" s="13"/>
      <c r="D59" s="32" t="s">
        <v>84</v>
      </c>
      <c r="E59" s="69">
        <v>4.2</v>
      </c>
      <c r="F59" s="128" t="s">
        <v>1</v>
      </c>
      <c r="G59" s="156"/>
      <c r="H59" s="13"/>
      <c r="I59" s="13"/>
      <c r="J59" s="29"/>
      <c r="K59" s="29"/>
      <c r="L59" s="29"/>
      <c r="M59" s="29"/>
      <c r="N59" s="29"/>
      <c r="O59" s="29"/>
      <c r="P59" s="29"/>
      <c r="Q59" s="29"/>
      <c r="R59" s="29"/>
      <c r="S59" s="30"/>
      <c r="T59" s="18"/>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row>
    <row r="60" spans="1:165" x14ac:dyDescent="0.2">
      <c r="A60" s="96"/>
      <c r="B60" s="13"/>
      <c r="C60" s="13"/>
      <c r="D60" s="39" t="s">
        <v>86</v>
      </c>
      <c r="E60" s="13">
        <v>1000</v>
      </c>
      <c r="F60" s="128" t="s">
        <v>30</v>
      </c>
      <c r="G60" s="156"/>
      <c r="H60" s="13"/>
      <c r="I60" s="13"/>
      <c r="J60" s="29"/>
      <c r="K60" s="29"/>
      <c r="L60" s="29"/>
      <c r="M60" s="29"/>
      <c r="N60" s="29"/>
      <c r="O60" s="29"/>
      <c r="P60" s="29"/>
      <c r="Q60" s="29"/>
      <c r="R60" s="29"/>
      <c r="S60" s="30"/>
      <c r="T60" s="18"/>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row>
    <row r="61" spans="1:165" x14ac:dyDescent="0.2">
      <c r="A61" s="31"/>
      <c r="B61" s="13"/>
      <c r="C61" s="13"/>
      <c r="D61" s="39" t="s">
        <v>87</v>
      </c>
      <c r="E61" s="41">
        <f>RAC1_R*(1.1-1.2*ACUV_D/ACOV_D)/(ACUV_D-1.1)</f>
        <v>309.67741935483872</v>
      </c>
      <c r="F61" s="128" t="s">
        <v>30</v>
      </c>
      <c r="G61" s="156"/>
      <c r="H61" s="13"/>
      <c r="I61" s="13"/>
      <c r="J61" s="29"/>
      <c r="K61" s="29"/>
      <c r="L61" s="29"/>
      <c r="M61" s="29"/>
      <c r="N61" s="29"/>
      <c r="O61" s="29"/>
      <c r="P61" s="29"/>
      <c r="Q61" s="29"/>
      <c r="R61" s="29"/>
      <c r="S61" s="30"/>
      <c r="T61" s="18"/>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row>
    <row r="62" spans="1:165" x14ac:dyDescent="0.2">
      <c r="A62" s="31"/>
      <c r="B62" s="13"/>
      <c r="C62" s="13"/>
      <c r="D62" s="39" t="s">
        <v>88</v>
      </c>
      <c r="E62" s="41">
        <f>(1.2*(RAC1_R+RAC2_R)/(ACOV_D-1.2))</f>
        <v>45.161290322580655</v>
      </c>
      <c r="F62" s="128" t="s">
        <v>30</v>
      </c>
      <c r="G62" s="156"/>
      <c r="H62" s="13"/>
      <c r="I62" s="13"/>
      <c r="J62" s="29"/>
      <c r="K62" s="29"/>
      <c r="L62" s="29"/>
      <c r="M62" s="29"/>
      <c r="N62" s="29"/>
      <c r="O62" s="29"/>
      <c r="P62" s="29"/>
      <c r="Q62" s="29"/>
      <c r="R62" s="29"/>
      <c r="S62" s="30"/>
      <c r="T62" s="18"/>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row>
    <row r="63" spans="1:165" x14ac:dyDescent="0.2">
      <c r="A63" s="31"/>
      <c r="B63" s="13"/>
      <c r="C63" s="13"/>
      <c r="D63" s="32" t="s">
        <v>89</v>
      </c>
      <c r="E63" s="69">
        <v>1000</v>
      </c>
      <c r="F63" s="128" t="s">
        <v>30</v>
      </c>
      <c r="G63" s="157" t="str">
        <f>_xlfn.CONCAT(E63, " ",F63)</f>
        <v>1000 kΩ</v>
      </c>
      <c r="H63" s="13"/>
      <c r="I63" s="13"/>
      <c r="J63" s="29"/>
      <c r="K63" s="29"/>
      <c r="L63" s="29"/>
      <c r="M63" s="29"/>
      <c r="N63" s="29"/>
      <c r="O63" s="29"/>
      <c r="P63" s="29"/>
      <c r="Q63" s="29"/>
      <c r="R63" s="29"/>
      <c r="S63" s="30"/>
      <c r="T63" s="18"/>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row>
    <row r="64" spans="1:165" x14ac:dyDescent="0.2">
      <c r="A64" s="31"/>
      <c r="B64" s="13"/>
      <c r="C64" s="13"/>
      <c r="D64" s="32" t="s">
        <v>90</v>
      </c>
      <c r="E64" s="69">
        <v>100</v>
      </c>
      <c r="F64" s="128" t="s">
        <v>30</v>
      </c>
      <c r="G64" s="157" t="str">
        <f>_xlfn.CONCAT(E64, " ",F64)</f>
        <v>100 kΩ</v>
      </c>
      <c r="H64" s="13"/>
      <c r="I64" s="13"/>
      <c r="J64" s="29"/>
      <c r="K64" s="29"/>
      <c r="L64" s="29"/>
      <c r="M64" s="29"/>
      <c r="N64" s="29"/>
      <c r="O64" s="29"/>
      <c r="P64" s="29"/>
      <c r="Q64" s="29"/>
      <c r="R64" s="29"/>
      <c r="S64" s="30"/>
      <c r="T64" s="18"/>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row>
    <row r="65" spans="1:165" x14ac:dyDescent="0.2">
      <c r="A65" s="31"/>
      <c r="B65" s="13"/>
      <c r="C65" s="13"/>
      <c r="D65" s="32" t="s">
        <v>91</v>
      </c>
      <c r="E65" s="69">
        <v>40</v>
      </c>
      <c r="F65" s="128" t="s">
        <v>30</v>
      </c>
      <c r="G65" s="157" t="str">
        <f>_xlfn.CONCAT(E65, " ",F65)</f>
        <v>40 kΩ</v>
      </c>
      <c r="H65" s="13"/>
      <c r="I65" s="13"/>
      <c r="J65" s="29"/>
      <c r="K65" s="29"/>
      <c r="L65" s="29"/>
      <c r="M65" s="29"/>
      <c r="N65" s="29"/>
      <c r="O65" s="29"/>
      <c r="P65" s="29"/>
      <c r="Q65" s="29"/>
      <c r="R65" s="29"/>
      <c r="S65" s="30"/>
      <c r="T65" s="18"/>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row>
    <row r="66" spans="1:165" x14ac:dyDescent="0.2">
      <c r="A66" s="31"/>
      <c r="B66" s="13"/>
      <c r="C66" s="13"/>
      <c r="D66" s="39" t="s">
        <v>92</v>
      </c>
      <c r="E66" s="41">
        <f>1.2*(RAC1_S+RAC2_S+RAC3_S)/RAC3_S</f>
        <v>34.200000000000003</v>
      </c>
      <c r="F66" s="73" t="s">
        <v>1</v>
      </c>
      <c r="G66" s="156"/>
      <c r="H66" s="84">
        <f>ACOV_D*0.95</f>
        <v>34.199999999999996</v>
      </c>
      <c r="I66" s="84">
        <f>ACOV_D*1.05</f>
        <v>37.800000000000004</v>
      </c>
      <c r="J66" s="29"/>
      <c r="K66" s="29"/>
      <c r="L66" s="29"/>
      <c r="M66" s="29"/>
      <c r="N66" s="29"/>
      <c r="O66" s="29"/>
      <c r="P66" s="29"/>
      <c r="Q66" s="29"/>
      <c r="R66" s="29"/>
      <c r="S66" s="30"/>
      <c r="T66" s="18"/>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row>
    <row r="67" spans="1:165" ht="16" thickBot="1" x14ac:dyDescent="0.25">
      <c r="A67" s="33"/>
      <c r="B67" s="34"/>
      <c r="C67" s="34"/>
      <c r="D67" s="43" t="s">
        <v>93</v>
      </c>
      <c r="E67" s="44">
        <f>1.1*(RAC1_S+RAC2_S+RAC3_S)/(RAC2_S+RAC3_S)</f>
        <v>8.9571428571428573</v>
      </c>
      <c r="F67" s="74" t="s">
        <v>1</v>
      </c>
      <c r="G67" s="156"/>
      <c r="H67" s="84">
        <f>ACUV_D*0.95</f>
        <v>3.9899999999999998</v>
      </c>
      <c r="I67" s="84">
        <f>ACUV_D*1.05</f>
        <v>4.41</v>
      </c>
      <c r="J67" s="29"/>
      <c r="K67" s="29"/>
      <c r="L67" s="29"/>
      <c r="M67" s="29"/>
      <c r="N67" s="29"/>
      <c r="O67" s="29"/>
      <c r="P67" s="29"/>
      <c r="Q67" s="29"/>
      <c r="R67" s="29"/>
      <c r="S67" s="30"/>
      <c r="T67" s="18"/>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row>
    <row r="68" spans="1:165" x14ac:dyDescent="0.2">
      <c r="A68" s="31"/>
      <c r="B68" s="13"/>
      <c r="C68" s="13"/>
      <c r="D68" s="13"/>
      <c r="E68" s="13"/>
      <c r="F68" s="127"/>
      <c r="G68" s="156"/>
      <c r="H68" s="13"/>
      <c r="I68" s="13"/>
      <c r="J68" s="29"/>
      <c r="K68" s="29"/>
      <c r="L68" s="29"/>
      <c r="M68" s="29"/>
      <c r="N68" s="29"/>
      <c r="O68" s="29"/>
      <c r="P68" s="29"/>
      <c r="Q68" s="29"/>
      <c r="R68" s="29"/>
      <c r="S68" s="30"/>
      <c r="T68" s="18"/>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row>
    <row r="69" spans="1:165" ht="16" thickBot="1" x14ac:dyDescent="0.25">
      <c r="A69" s="36" t="s">
        <v>148</v>
      </c>
      <c r="B69" s="13"/>
      <c r="C69" s="13"/>
      <c r="D69" s="13"/>
      <c r="E69" s="13"/>
      <c r="F69" s="127"/>
      <c r="G69" s="156"/>
      <c r="H69" s="13"/>
      <c r="I69" s="13"/>
      <c r="J69" s="29"/>
      <c r="K69" s="29"/>
      <c r="L69" s="29"/>
      <c r="M69" s="29"/>
      <c r="N69" s="29"/>
      <c r="O69" s="29"/>
      <c r="P69" s="29"/>
      <c r="Q69" s="29"/>
      <c r="R69" s="29"/>
      <c r="S69" s="30"/>
      <c r="T69" s="18"/>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row>
    <row r="70" spans="1:165" x14ac:dyDescent="0.2">
      <c r="A70" s="22"/>
      <c r="B70" s="23"/>
      <c r="C70" s="23"/>
      <c r="D70" s="28" t="s">
        <v>117</v>
      </c>
      <c r="E70" s="68">
        <v>28.7</v>
      </c>
      <c r="F70" s="133" t="s">
        <v>1</v>
      </c>
      <c r="G70" s="156"/>
      <c r="H70" s="84">
        <v>70</v>
      </c>
      <c r="I70" s="13"/>
      <c r="J70" s="29"/>
      <c r="K70" s="29"/>
      <c r="L70" s="29"/>
      <c r="M70" s="29"/>
      <c r="N70" s="29"/>
      <c r="O70" s="29"/>
      <c r="P70" s="29"/>
      <c r="Q70" s="29"/>
      <c r="R70" s="29"/>
      <c r="S70" s="30"/>
      <c r="T70" s="18"/>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row>
    <row r="71" spans="1:165" x14ac:dyDescent="0.2">
      <c r="A71" s="36"/>
      <c r="B71" s="13"/>
      <c r="C71" s="13"/>
      <c r="D71" s="39" t="s">
        <v>340</v>
      </c>
      <c r="E71" s="13">
        <v>249</v>
      </c>
      <c r="F71" s="128" t="s">
        <v>30</v>
      </c>
      <c r="G71" s="156"/>
      <c r="H71" s="13">
        <v>33</v>
      </c>
      <c r="I71" s="13">
        <v>1.536</v>
      </c>
      <c r="J71" s="29"/>
      <c r="K71" s="29"/>
      <c r="L71" s="29"/>
      <c r="M71" s="29"/>
      <c r="N71" s="29"/>
      <c r="O71" s="29"/>
      <c r="P71" s="29"/>
      <c r="Q71" s="29"/>
      <c r="R71" s="29"/>
      <c r="S71" s="30"/>
      <c r="T71" s="18"/>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row>
    <row r="72" spans="1:165" x14ac:dyDescent="0.2">
      <c r="A72" s="36"/>
      <c r="B72" s="13"/>
      <c r="C72" s="13"/>
      <c r="D72" s="39" t="s">
        <v>341</v>
      </c>
      <c r="E72" s="155">
        <f>IF(K72&lt;L72,I72,J72)</f>
        <v>14.159296192087773</v>
      </c>
      <c r="F72" s="128" t="s">
        <v>30</v>
      </c>
      <c r="G72" s="156"/>
      <c r="H72" s="20">
        <f>(RFB_TOP_R*10^3*VFB_Default/(VBATREG_D-VFB_Default)+R_FBG)/10^3</f>
        <v>14.112811515240761</v>
      </c>
      <c r="I72" s="13">
        <f>INDEX(stdres_0p1pct[Resistance], (MATCH(R_FB_BOT_Ideal*10^3, stdres_0p1pct[Resistance],1)))/10^3</f>
        <v>13.990503141372939</v>
      </c>
      <c r="J72" s="13">
        <f>INDEX(stdres_0p1pct[Resistance], (MATCH(R_FB_BOT_Ideal*10^3, stdres_0p1pct[Resistance],1)+1))/10^3</f>
        <v>14.159296192087773</v>
      </c>
      <c r="K72" s="29">
        <f>ABS(R_FB_BOT_Ideal-$I$72)</f>
        <v>0.12230837386782234</v>
      </c>
      <c r="L72" s="29">
        <f>ABS(R_FB_BOT_Ideal-$J$72)</f>
        <v>4.6484676847011741E-2</v>
      </c>
      <c r="M72" s="29"/>
      <c r="N72" s="29"/>
      <c r="O72" s="29"/>
      <c r="P72" s="29"/>
      <c r="Q72" s="29"/>
      <c r="R72" s="29"/>
      <c r="S72" s="30"/>
      <c r="T72" s="18"/>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row>
    <row r="73" spans="1:165" x14ac:dyDescent="0.2">
      <c r="A73" s="36"/>
      <c r="B73" s="13"/>
      <c r="C73" s="13"/>
      <c r="D73" s="39" t="s">
        <v>239</v>
      </c>
      <c r="E73" s="155">
        <f>IF(N73&lt;O73,V_FB_FLOOR,V_FB_CEILING)</f>
        <v>1.54</v>
      </c>
      <c r="F73" s="128" t="s">
        <v>1</v>
      </c>
      <c r="G73" s="79"/>
      <c r="H73" s="13">
        <f>((RFB_BOT_R*10^3-R_FBG)*VBATREG_D)/(RFB_TOP_R*10^3+RFB_BOT_R*10^3-R_FBG)</f>
        <v>1.540798873317285</v>
      </c>
      <c r="I73" s="13">
        <v>2E-3</v>
      </c>
      <c r="J73" s="13">
        <f>FLOOR(V_FB_Ideal/V_FB_Step,1)*V_FB_Step</f>
        <v>1.54</v>
      </c>
      <c r="K73" s="29">
        <f>V_FB_FLOOR+V_FB_Step</f>
        <v>1.542</v>
      </c>
      <c r="L73" s="29">
        <f>RFB_TOP_R*10^3*V_FB_FLOOR/(RFB_BOT_R*10^3-R_FBG)+V_FB_FLOOR</f>
        <v>28.685119625537677</v>
      </c>
      <c r="M73" s="29">
        <f>RFB_TOP_R*10^3*V_FB_CEILING/(RFB_BOT_R*10^3-R_FBG)+V_FB_CEILING</f>
        <v>28.722373027648768</v>
      </c>
      <c r="N73" s="29">
        <f>ABS(VBATREG_D-VBATREG_FLOOR)</f>
        <v>1.4880374462322266E-2</v>
      </c>
      <c r="O73" s="29">
        <f>ABS(VBATREG_D-VBATREG_CEILING)</f>
        <v>2.2373027648768584E-2</v>
      </c>
      <c r="P73" s="29"/>
      <c r="Q73" s="29"/>
      <c r="R73" s="29"/>
      <c r="S73" s="30"/>
      <c r="T73" s="18"/>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row>
    <row r="74" spans="1:165" x14ac:dyDescent="0.2">
      <c r="A74" s="36"/>
      <c r="B74" s="13"/>
      <c r="C74" s="13"/>
      <c r="D74" s="32" t="s">
        <v>119</v>
      </c>
      <c r="E74" s="69">
        <v>249</v>
      </c>
      <c r="F74" s="130" t="s">
        <v>30</v>
      </c>
      <c r="G74" s="157" t="str">
        <f>_xlfn.CONCAT(E74, " ",F74)</f>
        <v>249 kΩ</v>
      </c>
      <c r="H74" s="84">
        <f>IF(OR(VBATREG&lt;$H$77,VBATREG&gt;$I$77), 1, 0)</f>
        <v>0</v>
      </c>
      <c r="I74" s="84"/>
      <c r="J74" s="29"/>
      <c r="K74" s="29"/>
      <c r="L74" s="29"/>
      <c r="M74" s="29"/>
      <c r="N74" s="29"/>
      <c r="O74" s="29"/>
      <c r="P74" s="29"/>
      <c r="Q74" s="29"/>
      <c r="R74" s="29"/>
      <c r="S74" s="30"/>
      <c r="T74" s="18"/>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row>
    <row r="75" spans="1:165" x14ac:dyDescent="0.2">
      <c r="A75" s="36"/>
      <c r="B75" s="13"/>
      <c r="C75" s="13"/>
      <c r="D75" s="32" t="s">
        <v>120</v>
      </c>
      <c r="E75" s="69">
        <v>14</v>
      </c>
      <c r="F75" s="130" t="s">
        <v>30</v>
      </c>
      <c r="G75" s="157" t="str">
        <f>_xlfn.CONCAT(FIXED(E75,2), " ",F75)</f>
        <v>14,00 kΩ</v>
      </c>
      <c r="H75" s="84">
        <f>IF(OR(VBATREG&lt;$H$77,VBATREG&gt;$I$77), 1, 0)</f>
        <v>0</v>
      </c>
      <c r="I75" s="84"/>
      <c r="J75" s="29"/>
      <c r="K75" s="29"/>
      <c r="L75" s="29"/>
      <c r="M75" s="29"/>
      <c r="N75" s="29"/>
      <c r="O75" s="29"/>
      <c r="P75" s="29"/>
      <c r="Q75" s="29"/>
      <c r="R75" s="29"/>
      <c r="S75" s="30"/>
      <c r="T75" s="18"/>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row>
    <row r="76" spans="1:165" x14ac:dyDescent="0.2">
      <c r="A76" s="36"/>
      <c r="B76" s="13"/>
      <c r="C76" s="13"/>
      <c r="D76" s="32" t="s">
        <v>118</v>
      </c>
      <c r="E76" s="69">
        <v>1.524</v>
      </c>
      <c r="F76" s="130" t="s">
        <v>1</v>
      </c>
      <c r="G76" s="156"/>
      <c r="H76" s="13">
        <v>1.504</v>
      </c>
      <c r="I76" s="13">
        <f>H76+0.002</f>
        <v>1.506</v>
      </c>
      <c r="J76" s="29">
        <f t="shared" ref="J76:AM76" si="0">I76+0.002</f>
        <v>1.508</v>
      </c>
      <c r="K76" s="29">
        <f t="shared" si="0"/>
        <v>1.51</v>
      </c>
      <c r="L76" s="29">
        <f t="shared" si="0"/>
        <v>1.512</v>
      </c>
      <c r="M76" s="29">
        <f t="shared" si="0"/>
        <v>1.514</v>
      </c>
      <c r="N76" s="29">
        <f t="shared" si="0"/>
        <v>1.516</v>
      </c>
      <c r="O76" s="29">
        <f t="shared" si="0"/>
        <v>1.518</v>
      </c>
      <c r="P76" s="29">
        <f t="shared" si="0"/>
        <v>1.52</v>
      </c>
      <c r="Q76" s="29">
        <f t="shared" si="0"/>
        <v>1.522</v>
      </c>
      <c r="R76" s="29">
        <f t="shared" si="0"/>
        <v>1.524</v>
      </c>
      <c r="S76" s="30">
        <f t="shared" si="0"/>
        <v>1.526</v>
      </c>
      <c r="T76" s="18">
        <f t="shared" si="0"/>
        <v>1.528</v>
      </c>
      <c r="U76" s="19">
        <f t="shared" si="0"/>
        <v>1.53</v>
      </c>
      <c r="V76" s="19">
        <f t="shared" si="0"/>
        <v>1.532</v>
      </c>
      <c r="W76" s="19">
        <f t="shared" si="0"/>
        <v>1.534</v>
      </c>
      <c r="X76" s="19">
        <f t="shared" si="0"/>
        <v>1.536</v>
      </c>
      <c r="Y76" s="19">
        <f t="shared" si="0"/>
        <v>1.538</v>
      </c>
      <c r="Z76" s="19">
        <f t="shared" si="0"/>
        <v>1.54</v>
      </c>
      <c r="AA76" s="19">
        <f t="shared" si="0"/>
        <v>1.542</v>
      </c>
      <c r="AB76" s="19">
        <f t="shared" si="0"/>
        <v>1.544</v>
      </c>
      <c r="AC76" s="19">
        <f t="shared" si="0"/>
        <v>1.546</v>
      </c>
      <c r="AD76" s="19">
        <f t="shared" si="0"/>
        <v>1.548</v>
      </c>
      <c r="AE76" s="19">
        <f t="shared" si="0"/>
        <v>1.55</v>
      </c>
      <c r="AF76" s="19">
        <f t="shared" si="0"/>
        <v>1.552</v>
      </c>
      <c r="AG76" s="19">
        <f t="shared" si="0"/>
        <v>1.554</v>
      </c>
      <c r="AH76" s="19">
        <f t="shared" si="0"/>
        <v>1.556</v>
      </c>
      <c r="AI76" s="19">
        <f t="shared" si="0"/>
        <v>1.5580000000000001</v>
      </c>
      <c r="AJ76" s="19">
        <f t="shared" si="0"/>
        <v>1.56</v>
      </c>
      <c r="AK76" s="19">
        <f t="shared" si="0"/>
        <v>1.5620000000000001</v>
      </c>
      <c r="AL76" s="19">
        <f t="shared" si="0"/>
        <v>1.5640000000000001</v>
      </c>
      <c r="AM76" s="19">
        <f t="shared" si="0"/>
        <v>1.5660000000000001</v>
      </c>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row>
    <row r="77" spans="1:165" ht="16" thickBot="1" x14ac:dyDescent="0.25">
      <c r="A77" s="101"/>
      <c r="B77" s="34"/>
      <c r="C77" s="34"/>
      <c r="D77" s="43" t="s">
        <v>121</v>
      </c>
      <c r="E77" s="44">
        <f>R_FB_TOP*10^3*VFB_S/(R_FB_BOT*10^3-R_FBG)+VFB_S</f>
        <v>28.693470895682683</v>
      </c>
      <c r="F77" s="134" t="s">
        <v>1</v>
      </c>
      <c r="G77" s="156"/>
      <c r="H77" s="84">
        <f>VBATREG_D*0.995</f>
        <v>28.5565</v>
      </c>
      <c r="I77" s="84">
        <f>VBATREG_D*1.005</f>
        <v>28.843499999999995</v>
      </c>
      <c r="J77" s="29"/>
      <c r="K77" s="29"/>
      <c r="L77" s="29"/>
      <c r="M77" s="29"/>
      <c r="N77" s="29"/>
      <c r="O77" s="29"/>
      <c r="P77" s="29"/>
      <c r="Q77" s="29"/>
      <c r="R77" s="29"/>
      <c r="S77" s="30"/>
      <c r="T77" s="18"/>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row>
    <row r="78" spans="1:165" x14ac:dyDescent="0.2">
      <c r="A78" s="31"/>
      <c r="B78" s="13"/>
      <c r="C78" s="13"/>
      <c r="D78" s="13"/>
      <c r="E78" s="13"/>
      <c r="F78" s="127"/>
      <c r="G78" s="156"/>
      <c r="H78" s="13"/>
      <c r="I78" s="13"/>
      <c r="J78" s="29"/>
      <c r="K78" s="29"/>
      <c r="L78" s="29"/>
      <c r="M78" s="29"/>
      <c r="N78" s="29"/>
      <c r="O78" s="29"/>
      <c r="P78" s="29"/>
      <c r="Q78" s="29"/>
      <c r="R78" s="29"/>
      <c r="S78" s="30"/>
      <c r="T78" s="18"/>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row>
    <row r="79" spans="1:165" ht="16" thickBot="1" x14ac:dyDescent="0.25">
      <c r="A79" s="226" t="s">
        <v>149</v>
      </c>
      <c r="B79" s="227"/>
      <c r="C79" s="227"/>
      <c r="D79" s="13"/>
      <c r="E79" s="13"/>
      <c r="F79" s="127"/>
      <c r="G79" s="156"/>
      <c r="H79" s="13"/>
      <c r="I79" s="13"/>
      <c r="J79" s="29"/>
      <c r="K79" s="29"/>
      <c r="L79" s="29"/>
      <c r="M79" s="29"/>
      <c r="N79" s="29"/>
      <c r="O79" s="29"/>
      <c r="P79" s="29"/>
      <c r="Q79" s="29"/>
      <c r="R79" s="29"/>
      <c r="S79" s="30"/>
      <c r="T79" s="18"/>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row>
    <row r="80" spans="1:165" x14ac:dyDescent="0.2">
      <c r="A80" s="27"/>
      <c r="B80" s="23"/>
      <c r="C80" s="23"/>
      <c r="D80" s="28" t="s">
        <v>335</v>
      </c>
      <c r="E80" s="68">
        <v>0</v>
      </c>
      <c r="F80" s="132" t="s">
        <v>124</v>
      </c>
      <c r="G80" s="156"/>
      <c r="H80" s="13">
        <v>-10</v>
      </c>
      <c r="I80" s="13">
        <v>-5</v>
      </c>
      <c r="J80" s="29">
        <v>0</v>
      </c>
      <c r="K80" s="29">
        <v>5</v>
      </c>
      <c r="L80" s="29">
        <v>0.77149999999999996</v>
      </c>
      <c r="M80" s="29">
        <v>0.75319999999999998</v>
      </c>
      <c r="N80" s="29">
        <v>0.73250000000000004</v>
      </c>
      <c r="O80" s="29">
        <v>0.71099999999999997</v>
      </c>
      <c r="P80" s="29">
        <f>IF(TCOLD=T1_N10, T1_N10_P, IF(TCOLD=T1_N5, T1_N5_P, IF(TCOLD=T1_0, T1_0_P, IF(TCOLD=T1_5, T1_5_P, "Error"))))</f>
        <v>0.73250000000000004</v>
      </c>
      <c r="Q80" s="29"/>
      <c r="R80" s="29"/>
      <c r="S80" s="30"/>
      <c r="T80" s="18"/>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row>
    <row r="81" spans="1:165" x14ac:dyDescent="0.2">
      <c r="A81" s="31"/>
      <c r="B81" s="13"/>
      <c r="C81" s="13"/>
      <c r="D81" s="32" t="s">
        <v>336</v>
      </c>
      <c r="E81" s="69">
        <v>50</v>
      </c>
      <c r="F81" s="128" t="s">
        <v>124</v>
      </c>
      <c r="G81" s="156"/>
      <c r="H81" s="13">
        <v>50</v>
      </c>
      <c r="I81" s="13">
        <v>55</v>
      </c>
      <c r="J81" s="29">
        <v>60</v>
      </c>
      <c r="K81" s="29">
        <v>65</v>
      </c>
      <c r="L81" s="29">
        <v>0.41199999999999998</v>
      </c>
      <c r="M81" s="29">
        <v>0.377</v>
      </c>
      <c r="N81" s="29">
        <v>0.34375</v>
      </c>
      <c r="O81" s="29">
        <v>0.3125</v>
      </c>
      <c r="P81" s="29">
        <f>IF(THOT=T5_50,T_50_P,IF(THOT=T5_55,T5_55_P,IF(THOT=T_60,T5_60_P,IF(THOT=T5_65_P,"Error"))))</f>
        <v>0.41199999999999998</v>
      </c>
      <c r="Q81" s="29"/>
      <c r="R81" s="29"/>
      <c r="S81" s="30"/>
      <c r="T81" s="18"/>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row>
    <row r="82" spans="1:165" x14ac:dyDescent="0.2">
      <c r="A82" s="31"/>
      <c r="B82" s="13"/>
      <c r="C82" s="13"/>
      <c r="D82" s="32" t="s">
        <v>122</v>
      </c>
      <c r="E82" s="69">
        <v>27.28</v>
      </c>
      <c r="F82" s="130" t="s">
        <v>30</v>
      </c>
      <c r="G82" s="157" t="str">
        <f>_xlfn.CONCAT(FIXED(E82,2), " ",F82)</f>
        <v>27,28 kΩ</v>
      </c>
      <c r="H82" s="13"/>
      <c r="I82" s="13"/>
      <c r="J82" s="29"/>
      <c r="K82" s="29"/>
      <c r="L82" s="29"/>
      <c r="M82" s="29"/>
      <c r="N82" s="29"/>
      <c r="O82" s="29"/>
      <c r="P82" s="29"/>
      <c r="Q82" s="29"/>
      <c r="R82" s="29"/>
      <c r="S82" s="30"/>
      <c r="T82" s="18"/>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row>
    <row r="83" spans="1:165" x14ac:dyDescent="0.2">
      <c r="A83" s="31"/>
      <c r="B83" s="13"/>
      <c r="C83" s="13"/>
      <c r="D83" s="32" t="s">
        <v>123</v>
      </c>
      <c r="E83" s="69">
        <v>3.02</v>
      </c>
      <c r="F83" s="130" t="s">
        <v>30</v>
      </c>
      <c r="G83" s="157" t="str">
        <f>_xlfn.CONCAT(FIXED(E83,2), " ",F83)</f>
        <v>3,02 kΩ</v>
      </c>
      <c r="H83" s="13"/>
      <c r="I83" s="13"/>
      <c r="J83" s="29"/>
      <c r="K83" s="29"/>
      <c r="L83" s="29"/>
      <c r="M83" s="29"/>
      <c r="N83" s="29"/>
      <c r="O83" s="29"/>
      <c r="P83" s="29"/>
      <c r="Q83" s="29"/>
      <c r="R83" s="29"/>
      <c r="S83" s="30"/>
      <c r="T83" s="18"/>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row>
    <row r="84" spans="1:165" x14ac:dyDescent="0.2">
      <c r="A84" s="31"/>
      <c r="B84" s="13"/>
      <c r="C84" s="13"/>
      <c r="D84" s="39" t="s">
        <v>342</v>
      </c>
      <c r="E84" s="41">
        <f>(1/T1_P_Select-1)/(1/(RT2_R*10^3)+1/(RTHCOLD*10^3))/10^3</f>
        <v>3.606481437344156</v>
      </c>
      <c r="F84" s="128" t="s">
        <v>30</v>
      </c>
      <c r="G84" s="157" t="str">
        <f>_xlfn.CONCAT(FIXED(E84,2), " ",F84)</f>
        <v>3,61 kΩ</v>
      </c>
      <c r="H84" s="13"/>
      <c r="I84" s="13"/>
      <c r="J84" s="29"/>
      <c r="K84" s="29"/>
      <c r="L84" s="29"/>
      <c r="M84" s="29"/>
      <c r="N84" s="29"/>
      <c r="O84" s="29"/>
      <c r="P84" s="29"/>
      <c r="Q84" s="29"/>
      <c r="R84" s="29"/>
      <c r="S84" s="30"/>
      <c r="T84" s="18"/>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row>
    <row r="85" spans="1:165" ht="16" thickBot="1" x14ac:dyDescent="0.25">
      <c r="A85" s="33"/>
      <c r="B85" s="34"/>
      <c r="C85" s="34"/>
      <c r="D85" s="43" t="s">
        <v>343</v>
      </c>
      <c r="E85" s="44">
        <f>(RTHCOLD*10^3*RTHHOT*10^3*(1/T1_P_Select-1/T5_P_Select))/(RTHHOT*10^3*(1/T5_P_Select-1)-RTHCOLD*10^3*(1/T1_P_Select-1))/10^3</f>
        <v>15.479436735447154</v>
      </c>
      <c r="F85" s="134" t="s">
        <v>30</v>
      </c>
      <c r="G85" s="157" t="str">
        <f>_xlfn.CONCAT(FIXED(E85,2), " ",F85)</f>
        <v>15,48 kΩ</v>
      </c>
      <c r="H85" s="13"/>
      <c r="I85" s="13"/>
      <c r="J85" s="29"/>
      <c r="K85" s="29"/>
      <c r="L85" s="29"/>
      <c r="M85" s="29"/>
      <c r="N85" s="29"/>
      <c r="O85" s="29"/>
      <c r="P85" s="29"/>
      <c r="Q85" s="29"/>
      <c r="R85" s="29"/>
      <c r="S85" s="30"/>
      <c r="T85" s="18"/>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row>
    <row r="86" spans="1:165" x14ac:dyDescent="0.2">
      <c r="A86" s="31"/>
      <c r="B86" s="13"/>
      <c r="C86" s="13"/>
      <c r="D86" s="13"/>
      <c r="E86" s="13"/>
      <c r="F86" s="127"/>
      <c r="G86" s="156"/>
      <c r="H86" s="13"/>
      <c r="I86" s="13"/>
      <c r="J86" s="29"/>
      <c r="K86" s="29"/>
      <c r="L86" s="29"/>
      <c r="M86" s="29"/>
      <c r="N86" s="29"/>
      <c r="O86" s="29"/>
      <c r="P86" s="29"/>
      <c r="Q86" s="29"/>
      <c r="R86" s="29"/>
      <c r="S86" s="30"/>
      <c r="T86" s="18"/>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row>
    <row r="87" spans="1:165" ht="16" thickBot="1" x14ac:dyDescent="0.25">
      <c r="A87" s="36" t="s">
        <v>150</v>
      </c>
      <c r="B87" s="49"/>
      <c r="C87" s="49"/>
      <c r="D87" s="39"/>
      <c r="E87" s="49"/>
      <c r="F87" s="135"/>
      <c r="G87" s="156"/>
      <c r="H87" s="13"/>
      <c r="I87" s="13"/>
      <c r="J87" s="29"/>
      <c r="K87" s="29"/>
      <c r="L87" s="29"/>
      <c r="M87" s="29"/>
      <c r="N87" s="29"/>
      <c r="O87" s="29"/>
      <c r="P87" s="29"/>
      <c r="Q87" s="29"/>
      <c r="R87" s="29"/>
      <c r="S87" s="30"/>
      <c r="T87" s="18"/>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row>
    <row r="88" spans="1:165" x14ac:dyDescent="0.2">
      <c r="A88" s="22"/>
      <c r="B88" s="50"/>
      <c r="C88" s="50"/>
      <c r="D88" s="28" t="s">
        <v>112</v>
      </c>
      <c r="E88" s="70" t="s">
        <v>110</v>
      </c>
      <c r="F88" s="12"/>
      <c r="G88" s="156"/>
      <c r="H88" s="13" t="s">
        <v>110</v>
      </c>
      <c r="I88" s="13" t="s">
        <v>111</v>
      </c>
      <c r="J88" s="29"/>
      <c r="K88" s="29"/>
      <c r="L88" s="29"/>
      <c r="M88" s="29"/>
      <c r="N88" s="29"/>
      <c r="O88" s="29"/>
      <c r="P88" s="29"/>
      <c r="Q88" s="29"/>
      <c r="S88" s="30"/>
      <c r="T88" s="18"/>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row>
    <row r="89" spans="1:165" x14ac:dyDescent="0.2">
      <c r="A89" s="36"/>
      <c r="B89" s="49"/>
      <c r="C89" s="49"/>
      <c r="D89" s="39" t="s">
        <v>34</v>
      </c>
      <c r="E89" s="39">
        <f>IF(Desired_Operation=Buck_Boost, H89, IF(L&lt;($I$94+$J$94)/2, I89, IF(L&lt;($J$94+$K$94)/2, J89, IF(L&lt;($K$94+$L$94)/2, K89, IF(L&lt;($L$94+$M$94)/2, L89, IF(L&lt;($M$94+$N$94)/2, M89, IF(L&lt;($N$94+$O$94)/2, N89, IF(L&lt;($O$94), O89, P89)) ) )))))</f>
        <v>0</v>
      </c>
      <c r="F89" s="10" t="s">
        <v>30</v>
      </c>
      <c r="G89" s="156"/>
      <c r="H89" s="51">
        <v>0</v>
      </c>
      <c r="I89" s="51">
        <v>4.34</v>
      </c>
      <c r="J89" s="52">
        <v>5.72</v>
      </c>
      <c r="K89" s="52">
        <v>7.34</v>
      </c>
      <c r="L89" s="52">
        <v>9.91</v>
      </c>
      <c r="M89" s="52">
        <v>12.94</v>
      </c>
      <c r="N89" s="52">
        <v>16.399999999999999</v>
      </c>
      <c r="O89" s="52">
        <v>21.89</v>
      </c>
      <c r="P89" s="52">
        <v>46.8</v>
      </c>
      <c r="Q89" s="52"/>
      <c r="R89" s="52"/>
      <c r="S89" s="30"/>
      <c r="T89" s="18"/>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row>
    <row r="90" spans="1:165" x14ac:dyDescent="0.2">
      <c r="A90" s="36"/>
      <c r="B90" s="49"/>
      <c r="C90" s="49"/>
      <c r="D90" s="39" t="s">
        <v>33</v>
      </c>
      <c r="E90" s="39">
        <f>IF(Desired_Operation=Buck_Boost, H90, IF(L&lt;($I$94+$J$94)/2, I90, IF(L&lt;($J$94+$K$94)/2, J90, IF(L&lt;($K$94+$L$94)/2, K90, IF(L&lt;($L$94+$M$94)/2, L90, IF(L&lt;($M$94+$N$94)/2, M90, IF(L&lt;($N$94+$O$94)/2, N90, IF(L&lt;($O$94), O90, P90)) ) )))))</f>
        <v>3</v>
      </c>
      <c r="F90" s="10" t="s">
        <v>30</v>
      </c>
      <c r="G90" s="156"/>
      <c r="H90" s="51">
        <v>3</v>
      </c>
      <c r="I90" s="51">
        <v>4.7</v>
      </c>
      <c r="J90" s="52">
        <v>6.04</v>
      </c>
      <c r="K90" s="52">
        <v>8.1999999999999993</v>
      </c>
      <c r="L90" s="52">
        <v>10.5</v>
      </c>
      <c r="M90" s="52">
        <v>13.7</v>
      </c>
      <c r="N90" s="52">
        <v>17.399999999999999</v>
      </c>
      <c r="O90" s="52">
        <v>27</v>
      </c>
      <c r="P90" s="52" t="s">
        <v>37</v>
      </c>
      <c r="Q90" s="52"/>
      <c r="R90" s="52"/>
      <c r="S90" s="30"/>
      <c r="T90" s="18"/>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row>
    <row r="91" spans="1:165" x14ac:dyDescent="0.2">
      <c r="A91" s="36"/>
      <c r="B91" s="49"/>
      <c r="C91" s="49"/>
      <c r="D91" s="39" t="s">
        <v>35</v>
      </c>
      <c r="E91" s="39">
        <f>IF(Desired_Operation=Buck_Boost, H91, IF(L&lt;($I$94+$J$94)/2, I91, IF(L&lt;($J$94+$K$94)/2, J91, IF(L&lt;($K$94+$L$94)/2, K91, IF(L&lt;($L$94+$M$94)/2, L91, IF(L&lt;($M$94+$N$94)/2, M91, IF(L&lt;($N$94+$O$94)/2, N91, IF(L&lt;($O$94), O91, P91)) ) )))))</f>
        <v>3.79</v>
      </c>
      <c r="F91" s="10" t="s">
        <v>30</v>
      </c>
      <c r="G91" s="156"/>
      <c r="H91" s="51">
        <v>3.79</v>
      </c>
      <c r="I91" s="51">
        <v>5.17</v>
      </c>
      <c r="J91" s="52">
        <v>6.59</v>
      </c>
      <c r="K91" s="52">
        <v>9.01</v>
      </c>
      <c r="L91" s="52">
        <v>11.68</v>
      </c>
      <c r="M91" s="52">
        <v>14.95</v>
      </c>
      <c r="N91" s="52">
        <v>19.920000000000002</v>
      </c>
      <c r="O91" s="99">
        <v>9.9999999999999997E+98</v>
      </c>
      <c r="P91" s="52" t="s">
        <v>38</v>
      </c>
      <c r="Q91" s="52"/>
      <c r="R91" s="52"/>
      <c r="S91" s="30"/>
      <c r="T91" s="18"/>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row>
    <row r="92" spans="1:165" x14ac:dyDescent="0.2">
      <c r="A92" s="36"/>
      <c r="B92" s="49"/>
      <c r="C92" s="49"/>
      <c r="D92" s="32" t="s">
        <v>57</v>
      </c>
      <c r="E92" s="71">
        <v>0</v>
      </c>
      <c r="F92" s="136" t="s">
        <v>30</v>
      </c>
      <c r="G92" s="156" t="str">
        <f>_xlfn.CONCAT(E92, " ",F92)</f>
        <v>0 kΩ</v>
      </c>
      <c r="H92" s="84">
        <f>$E$89</f>
        <v>0</v>
      </c>
      <c r="I92" s="84">
        <f>$E$91</f>
        <v>3.79</v>
      </c>
      <c r="J92" s="29"/>
      <c r="K92" s="29"/>
      <c r="L92" s="29"/>
      <c r="M92" s="29"/>
      <c r="N92" s="29"/>
      <c r="O92" s="29"/>
      <c r="P92" s="29"/>
      <c r="Q92" s="29"/>
      <c r="R92" s="29"/>
      <c r="S92" s="30"/>
      <c r="T92" s="18"/>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row>
    <row r="93" spans="1:165" x14ac:dyDescent="0.2">
      <c r="A93" s="36"/>
      <c r="B93" s="49"/>
      <c r="C93" s="49"/>
      <c r="D93" s="39" t="s">
        <v>36</v>
      </c>
      <c r="E93" s="53" t="str">
        <f>IF(AND($E$92&gt;=$H$89,$E$92&lt;=$H$91), H93, IF(AND($E$92&gt;=$I$89,$E$92&lt;=$I$91),I93, IF(AND($E$92&gt;=$J$89,$E$92&lt;=$J$91), J93, IF(AND($E$92&gt;=$K$89,$E$92&lt;=$K$91), K93, IF(AND($E$92&gt;=$L$89,$E$92&lt;=$L$91), L93, IF(AND($E$92&gt;=$M$89,$E$92&lt;=$M$91), M93, IF(AND($E$92&gt;=$N$89,$E$92&lt;=$N$91), N93, IF(AND($E$92&gt;=$O$89,$E$92&lt;=$O$91),O93, IF($E$92&gt;=$P$89, P93, "Undefined") ))))))) )</f>
        <v>Buck-Boost</v>
      </c>
      <c r="F93" s="10"/>
      <c r="G93" s="156"/>
      <c r="H93" s="51" t="str">
        <f>$H$88</f>
        <v>Buck-Boost</v>
      </c>
      <c r="I93" s="51" t="str">
        <f t="shared" ref="I93:P93" si="1">Buck_Only</f>
        <v>Buck-Only</v>
      </c>
      <c r="J93" s="51" t="str">
        <f t="shared" si="1"/>
        <v>Buck-Only</v>
      </c>
      <c r="K93" s="51" t="str">
        <f t="shared" si="1"/>
        <v>Buck-Only</v>
      </c>
      <c r="L93" s="51" t="str">
        <f t="shared" si="1"/>
        <v>Buck-Only</v>
      </c>
      <c r="M93" s="51" t="str">
        <f t="shared" si="1"/>
        <v>Buck-Only</v>
      </c>
      <c r="N93" s="51" t="str">
        <f t="shared" si="1"/>
        <v>Buck-Only</v>
      </c>
      <c r="O93" s="51" t="str">
        <f t="shared" si="1"/>
        <v>Buck-Only</v>
      </c>
      <c r="P93" s="51" t="str">
        <f t="shared" si="1"/>
        <v>Buck-Only</v>
      </c>
      <c r="Q93" s="51"/>
      <c r="R93" s="51"/>
      <c r="S93" s="30"/>
      <c r="T93" s="18"/>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row>
    <row r="94" spans="1:165" x14ac:dyDescent="0.2">
      <c r="A94" s="36"/>
      <c r="B94" s="49"/>
      <c r="C94" s="49"/>
      <c r="D94" s="39" t="s">
        <v>116</v>
      </c>
      <c r="E94" s="39" t="str">
        <f>IF(AND($E$92&gt;=$H$89,$E$92&lt;=$H$91),H94, IF(AND( $E$92&gt;=$I$89,$E$92&lt;=$I$91),I94, IF(AND($E$92&gt;=$J$89,$E$92&lt;=$J$91),J94, IF(AND( $E$92&gt;=$K$89,$E$92&lt;=$K$91),K94, IF(AND( $E$92&gt;=$L$89,$E$92&lt;=$L$91),L94, IF(AND( $E$92&gt;=$M$89,$E$92&lt;=$M$91),M94, IF(AND( $E$92&gt;=$N$89,$E$92&lt;=$N$91),N94, IF(AND( $E$92&gt;=$O$89,$E$92&lt;=$O$91),O94, IF($E$92&gt;=$P$89, P94, "Undefined") ))))))) )</f>
        <v>2.2 - 15</v>
      </c>
      <c r="F94" s="10" t="s">
        <v>5</v>
      </c>
      <c r="G94" s="156"/>
      <c r="H94" s="13" t="s">
        <v>113</v>
      </c>
      <c r="I94" s="13">
        <v>3.3</v>
      </c>
      <c r="J94" s="29">
        <v>4.7</v>
      </c>
      <c r="K94" s="29">
        <v>5.6</v>
      </c>
      <c r="L94" s="29">
        <v>6.8</v>
      </c>
      <c r="M94" s="29">
        <v>8.1999999999999993</v>
      </c>
      <c r="N94" s="29">
        <v>10</v>
      </c>
      <c r="O94" s="29">
        <v>15</v>
      </c>
      <c r="P94" s="51"/>
      <c r="Q94" s="100">
        <f>IF(AND($E$92&lt;=$E$91,$E$92&gt;=$E$89), 0,1)</f>
        <v>0</v>
      </c>
      <c r="R94" s="51"/>
      <c r="S94" s="30"/>
      <c r="T94" s="18"/>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row>
    <row r="95" spans="1:165" x14ac:dyDescent="0.2">
      <c r="A95" s="36"/>
      <c r="B95" s="49"/>
      <c r="C95" s="49"/>
      <c r="D95" s="39" t="s">
        <v>115</v>
      </c>
      <c r="E95" s="40" t="e">
        <f>IF(AND($E$92&gt;=$H$89,$E$92&lt;=$H$91),H95, IF(AND( $E$92&gt;=$I$89,$E$92&lt;=$I$91),I95, IF(AND($E$92&gt;=$J$89,$E$92&lt;=$J$91),J95, IF(AND( $E$92&gt;=$K$89,$E$92&lt;=$K$91),K95, IF(AND( $E$92&gt;=$L$89,$E$92&lt;=$L$91),L95, IF(AND( $E$92&gt;=$M$89,$E$92&lt;=$M$91),M95, IF(AND( $E$92&gt;=$N$89,$E$92&lt;=$N$91),N95, IF(AND( $E$92&gt;=$O$89,$E$92&lt;=$O$91),O95, IF($E$92&gt;=$P$89, P95, "Undefined") ))))))) )</f>
        <v>#NAME?</v>
      </c>
      <c r="F95" s="10" t="s">
        <v>30</v>
      </c>
      <c r="G95" s="156"/>
      <c r="H95" s="51" t="e">
        <f>L/1260/10^-3</f>
        <v>#NAME?</v>
      </c>
      <c r="I95" s="51">
        <v>2.6</v>
      </c>
      <c r="J95" s="51">
        <v>3.7</v>
      </c>
      <c r="K95" s="51">
        <v>4.4000000000000004</v>
      </c>
      <c r="L95" s="51">
        <v>5.4</v>
      </c>
      <c r="M95" s="51">
        <v>6.5</v>
      </c>
      <c r="N95" s="51">
        <v>7.9</v>
      </c>
      <c r="O95" s="51">
        <v>11.9</v>
      </c>
      <c r="P95" s="51"/>
      <c r="Q95" s="100">
        <f>IF(AND($E$92&lt;=$E$91,$E$92&gt;=$E$89), 0,1)</f>
        <v>0</v>
      </c>
      <c r="R95" s="51"/>
      <c r="S95" s="30"/>
      <c r="T95" s="18"/>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row>
    <row r="96" spans="1:165" ht="16" thickBot="1" x14ac:dyDescent="0.25">
      <c r="A96" s="46"/>
      <c r="B96" s="47"/>
      <c r="C96" s="47"/>
      <c r="D96" s="43" t="s">
        <v>114</v>
      </c>
      <c r="E96" s="43">
        <f>IF(AND($E$92&gt;=$H$89,$E$92&lt;=$H$91),H96, IF(AND( $E$92&gt;=$I$89,$E$92&lt;=$I$91),I96, IF(AND($E$92&gt;=$J$89,$E$92&lt;=$J$91),J96, IF(AND( $E$92&gt;=$K$89,$E$92&lt;=$K$91),K96, IF(AND( $E$92&gt;=$L$89,$E$92&lt;=$L$91),L96, IF(AND( $E$92&gt;=$M$89,$E$92&lt;=$M$91),M96, IF(AND( $E$92&gt;=$N$89,$E$92&lt;=$N$91),N96, IF(AND( $E$92&gt;=$O$89,$E$92&lt;=$O$91),O96, IF($E$92&gt;=$P$89, P96, "Undefined") ))))))) )</f>
        <v>60</v>
      </c>
      <c r="F96" s="11" t="s">
        <v>30</v>
      </c>
      <c r="G96" s="156"/>
      <c r="H96" s="51">
        <v>60</v>
      </c>
      <c r="I96" s="51">
        <v>60</v>
      </c>
      <c r="J96" s="51">
        <v>60</v>
      </c>
      <c r="K96" s="51">
        <v>60</v>
      </c>
      <c r="L96" s="51">
        <v>60</v>
      </c>
      <c r="M96" s="51">
        <v>60</v>
      </c>
      <c r="N96" s="51">
        <v>60</v>
      </c>
      <c r="O96" s="51">
        <v>60</v>
      </c>
      <c r="P96" s="51"/>
      <c r="Q96" s="100">
        <f>IF(AND($E$92&lt;=$E$91,$E$92&gt;=$E$89), 0,1)</f>
        <v>0</v>
      </c>
      <c r="R96" s="51"/>
      <c r="S96" s="30"/>
      <c r="T96" s="18"/>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row>
    <row r="97" spans="1:165" x14ac:dyDescent="0.2">
      <c r="A97" s="48"/>
      <c r="B97" s="49"/>
      <c r="C97" s="49"/>
      <c r="E97" s="49"/>
      <c r="F97" s="135"/>
      <c r="G97" s="156"/>
      <c r="H97" s="13"/>
      <c r="I97" s="13"/>
      <c r="J97" s="29"/>
      <c r="K97" s="29"/>
      <c r="L97" s="29"/>
      <c r="M97" s="29"/>
      <c r="N97" s="29"/>
      <c r="O97" s="29"/>
      <c r="P97" s="29"/>
      <c r="Q97" s="29"/>
      <c r="R97" s="29"/>
      <c r="S97" s="30"/>
      <c r="T97" s="18"/>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row>
    <row r="98" spans="1:165" ht="16" thickBot="1" x14ac:dyDescent="0.25">
      <c r="A98" s="36" t="s">
        <v>249</v>
      </c>
      <c r="B98" s="49"/>
      <c r="C98" s="49"/>
      <c r="D98" s="39"/>
      <c r="E98" s="49"/>
      <c r="F98" s="105"/>
      <c r="G98" s="158"/>
      <c r="H98" s="13"/>
      <c r="I98" s="13"/>
      <c r="J98" s="13"/>
      <c r="K98" s="13"/>
      <c r="L98" s="13"/>
      <c r="M98" s="13"/>
      <c r="N98" s="13"/>
      <c r="O98" s="13"/>
      <c r="P98" s="13"/>
      <c r="Q98" s="29"/>
      <c r="R98" s="29"/>
      <c r="S98" s="30"/>
      <c r="T98" s="18"/>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row>
    <row r="99" spans="1:165" x14ac:dyDescent="0.2">
      <c r="A99" s="54"/>
      <c r="B99" s="50"/>
      <c r="C99" s="50"/>
      <c r="D99" s="37" t="s">
        <v>54</v>
      </c>
      <c r="E99" s="55">
        <v>160</v>
      </c>
      <c r="F99" s="72" t="s">
        <v>9</v>
      </c>
      <c r="G99" s="156" t="str">
        <f>_xlfn.CONCAT(E99, " ",F99)</f>
        <v>160 µF</v>
      </c>
      <c r="H99" s="13"/>
      <c r="I99" s="13"/>
      <c r="J99" s="13"/>
      <c r="K99" s="13"/>
      <c r="L99" s="13"/>
      <c r="M99" s="13"/>
      <c r="N99" s="13"/>
      <c r="O99" s="13"/>
      <c r="P99" s="13"/>
      <c r="Q99" s="29"/>
      <c r="R99" s="29"/>
      <c r="S99" s="30"/>
      <c r="T99" s="18"/>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row>
    <row r="100" spans="1:165" x14ac:dyDescent="0.2">
      <c r="A100" s="48"/>
      <c r="B100" s="49"/>
      <c r="C100" s="49"/>
      <c r="D100" s="32" t="s">
        <v>246</v>
      </c>
      <c r="E100" s="71">
        <v>178</v>
      </c>
      <c r="F100" s="9" t="s">
        <v>9</v>
      </c>
      <c r="G100" s="156" t="str">
        <f>_xlfn.CONCAT(E100, " ",F100)</f>
        <v>178 µF</v>
      </c>
      <c r="H100" s="94">
        <f>$E$99</f>
        <v>160</v>
      </c>
      <c r="I100" s="13"/>
      <c r="J100" s="13"/>
      <c r="K100" s="13"/>
      <c r="L100" s="13"/>
      <c r="M100" s="13"/>
      <c r="N100" s="13"/>
      <c r="O100" s="13"/>
      <c r="P100" s="13"/>
      <c r="Q100" s="29"/>
      <c r="R100" s="29"/>
      <c r="S100" s="30"/>
      <c r="T100" s="18"/>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row>
    <row r="101" spans="1:165" x14ac:dyDescent="0.2">
      <c r="A101" s="48"/>
      <c r="B101" s="49"/>
      <c r="C101" s="49"/>
      <c r="D101" s="32" t="s">
        <v>247</v>
      </c>
      <c r="E101" s="71">
        <v>90</v>
      </c>
      <c r="F101" s="9" t="s">
        <v>29</v>
      </c>
      <c r="G101" s="156" t="str">
        <f>_xlfn.CONCAT(E101, " ",F101)</f>
        <v>90 mΩ</v>
      </c>
      <c r="H101" s="13"/>
      <c r="I101" s="13"/>
      <c r="J101" s="13"/>
      <c r="K101" s="13"/>
      <c r="L101" s="13"/>
      <c r="M101" s="13"/>
      <c r="N101" s="13"/>
      <c r="O101" s="13"/>
      <c r="P101" s="13"/>
      <c r="Q101" s="29"/>
      <c r="R101" s="29"/>
      <c r="S101" s="30"/>
      <c r="T101" s="18"/>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row>
    <row r="102" spans="1:165" ht="16" thickBot="1" x14ac:dyDescent="0.25">
      <c r="A102" s="46"/>
      <c r="B102" s="47"/>
      <c r="C102" s="47"/>
      <c r="D102" s="43" t="s">
        <v>248</v>
      </c>
      <c r="E102" s="202">
        <f>Vbat*Ioutmax/VACmin*SQRT((Vbat/MIN( 2*Vbat,VACmax ))*(1-Vbat/MIN( 2*Vbat,VACmax )))</f>
        <v>9.6614682944748296</v>
      </c>
      <c r="F102" s="11" t="s">
        <v>2</v>
      </c>
      <c r="G102" s="156"/>
      <c r="H102" s="13"/>
      <c r="I102" s="13"/>
      <c r="J102" s="13"/>
      <c r="K102" s="13"/>
      <c r="L102" s="13"/>
      <c r="M102" s="13"/>
      <c r="N102" s="13"/>
      <c r="O102" s="13"/>
      <c r="P102" s="13"/>
      <c r="Q102" s="29"/>
      <c r="R102" s="29"/>
      <c r="S102" s="30"/>
      <c r="T102" s="18"/>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row>
    <row r="103" spans="1:165" x14ac:dyDescent="0.2">
      <c r="A103" s="29"/>
      <c r="B103" s="29"/>
      <c r="C103" s="29"/>
      <c r="D103" s="29"/>
      <c r="E103" s="29"/>
      <c r="F103" s="29"/>
      <c r="H103" s="13"/>
      <c r="I103" s="13"/>
      <c r="J103" s="13"/>
      <c r="K103" s="13"/>
      <c r="L103" s="13"/>
      <c r="M103" s="13"/>
      <c r="N103" s="13"/>
      <c r="O103" s="13"/>
      <c r="P103" s="13"/>
      <c r="Q103" s="29"/>
      <c r="R103" s="29"/>
      <c r="S103" s="30"/>
      <c r="T103" s="18"/>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row>
    <row r="104" spans="1:165" ht="16" thickBot="1" x14ac:dyDescent="0.25">
      <c r="A104" s="36" t="s">
        <v>250</v>
      </c>
      <c r="B104" s="49"/>
      <c r="C104" s="49"/>
      <c r="D104" s="39"/>
      <c r="E104" s="49"/>
      <c r="F104" s="105"/>
      <c r="G104" s="158"/>
      <c r="H104" s="13"/>
      <c r="I104" s="13"/>
      <c r="J104" s="13"/>
      <c r="K104" s="13"/>
      <c r="L104" s="13"/>
      <c r="M104" s="13"/>
      <c r="N104" s="13"/>
      <c r="O104" s="13"/>
      <c r="P104" s="13"/>
      <c r="Q104" s="29"/>
      <c r="R104" s="29"/>
      <c r="S104" s="30"/>
      <c r="T104" s="18"/>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row>
    <row r="105" spans="1:165" x14ac:dyDescent="0.2">
      <c r="A105" s="54"/>
      <c r="B105" s="50"/>
      <c r="C105" s="50"/>
      <c r="D105" s="37" t="s">
        <v>241</v>
      </c>
      <c r="E105" s="55">
        <v>160</v>
      </c>
      <c r="F105" s="72" t="s">
        <v>9</v>
      </c>
      <c r="G105" s="156" t="str">
        <f t="shared" ref="G105:G107" si="2">_xlfn.CONCAT(E105, " ",F105)</f>
        <v>160 µF</v>
      </c>
      <c r="H105" s="13"/>
      <c r="I105" s="13"/>
      <c r="J105" s="13"/>
      <c r="K105" s="13"/>
      <c r="L105" s="13"/>
      <c r="M105" s="13"/>
      <c r="N105" s="13"/>
      <c r="O105" s="13"/>
      <c r="P105" s="13"/>
      <c r="Q105" s="29"/>
      <c r="R105" s="29"/>
      <c r="S105" s="30"/>
      <c r="T105" s="18"/>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row>
    <row r="106" spans="1:165" x14ac:dyDescent="0.2">
      <c r="A106" s="48"/>
      <c r="B106" s="49"/>
      <c r="C106" s="49"/>
      <c r="D106" s="32" t="s">
        <v>240</v>
      </c>
      <c r="E106" s="71">
        <v>178</v>
      </c>
      <c r="F106" s="9" t="s">
        <v>9</v>
      </c>
      <c r="G106" s="156" t="str">
        <f>_xlfn.CONCAT(E106, " ",F106)</f>
        <v>178 µF</v>
      </c>
      <c r="H106" s="94">
        <f>$E$105</f>
        <v>160</v>
      </c>
      <c r="I106" s="13"/>
      <c r="J106" s="29"/>
      <c r="K106" s="29"/>
      <c r="L106" s="29"/>
      <c r="M106" s="29"/>
      <c r="N106" s="29"/>
      <c r="O106" s="29"/>
      <c r="P106" s="29"/>
      <c r="Q106" s="29"/>
      <c r="R106" s="29"/>
      <c r="S106" s="30"/>
      <c r="T106" s="18"/>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row>
    <row r="107" spans="1:165" x14ac:dyDescent="0.2">
      <c r="A107" s="48"/>
      <c r="B107" s="49"/>
      <c r="C107" s="49"/>
      <c r="D107" s="32" t="s">
        <v>8</v>
      </c>
      <c r="E107" s="71">
        <v>90</v>
      </c>
      <c r="F107" s="9" t="s">
        <v>29</v>
      </c>
      <c r="G107" s="156" t="str">
        <f t="shared" si="2"/>
        <v>90 mΩ</v>
      </c>
      <c r="H107" s="13"/>
      <c r="I107" s="13"/>
      <c r="J107" s="29"/>
      <c r="K107" s="29"/>
      <c r="L107" s="29"/>
      <c r="M107" s="29"/>
      <c r="N107" s="29"/>
      <c r="O107" s="29"/>
      <c r="P107" s="29"/>
      <c r="Q107" s="29"/>
      <c r="R107" s="29"/>
      <c r="S107" s="30"/>
      <c r="T107" s="18"/>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row>
    <row r="108" spans="1:165" x14ac:dyDescent="0.2">
      <c r="A108" s="48"/>
      <c r="B108" s="49"/>
      <c r="C108" s="49"/>
      <c r="D108" s="39" t="s">
        <v>242</v>
      </c>
      <c r="E108" s="201">
        <f>Ioutmax*SQRT(Vbat/VACmin-1)</f>
        <v>13.674794331177345</v>
      </c>
      <c r="F108" s="10" t="s">
        <v>2</v>
      </c>
      <c r="G108" s="156"/>
      <c r="H108" s="13"/>
      <c r="I108" s="13"/>
      <c r="J108" s="29"/>
      <c r="K108" s="29"/>
      <c r="L108" s="29"/>
      <c r="M108" s="29"/>
      <c r="N108" s="29"/>
      <c r="O108" s="29"/>
      <c r="P108" s="29"/>
      <c r="Q108" s="29"/>
      <c r="R108" s="29"/>
      <c r="S108" s="30"/>
      <c r="T108" s="18"/>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row>
    <row r="109" spans="1:165" x14ac:dyDescent="0.2">
      <c r="A109" s="48"/>
      <c r="B109" s="49"/>
      <c r="C109" s="49"/>
      <c r="D109" s="39" t="s">
        <v>245</v>
      </c>
      <c r="E109" s="105">
        <f>Ioutmax*Vbat/VACmin*COUT_ESR</f>
        <v>2583</v>
      </c>
      <c r="F109" s="10" t="s">
        <v>243</v>
      </c>
      <c r="G109" s="156"/>
      <c r="H109" s="13"/>
      <c r="I109" s="13"/>
      <c r="J109" s="29"/>
      <c r="K109" s="29"/>
      <c r="L109" s="29"/>
      <c r="M109" s="29"/>
      <c r="N109" s="29"/>
      <c r="O109" s="29"/>
      <c r="P109" s="29"/>
      <c r="Q109" s="29"/>
      <c r="R109" s="29"/>
      <c r="S109" s="30"/>
      <c r="T109" s="18"/>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row>
    <row r="110" spans="1:165" ht="16" thickBot="1" x14ac:dyDescent="0.25">
      <c r="A110" s="46"/>
      <c r="B110" s="47"/>
      <c r="C110" s="47"/>
      <c r="D110" s="43" t="s">
        <v>244</v>
      </c>
      <c r="E110" s="202">
        <f>Ioutmax*(1-VACmin/Vbat)/(Fsw*10^3*C_OUT*10^-6)/10^-3</f>
        <v>61.008234480418643</v>
      </c>
      <c r="F110" s="11" t="s">
        <v>243</v>
      </c>
      <c r="G110" s="156"/>
      <c r="H110" s="13"/>
      <c r="I110" s="13"/>
      <c r="J110" s="29"/>
      <c r="K110" s="29"/>
      <c r="L110" s="29"/>
      <c r="M110" s="29"/>
      <c r="N110" s="29"/>
      <c r="O110" s="29"/>
      <c r="P110" s="29"/>
      <c r="Q110" s="29"/>
      <c r="R110" s="29"/>
      <c r="S110" s="30"/>
      <c r="T110" s="18"/>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row>
    <row r="111" spans="1:165" ht="16" thickBot="1" x14ac:dyDescent="0.25">
      <c r="A111" s="48"/>
      <c r="B111" s="49"/>
      <c r="C111" s="49"/>
      <c r="D111" s="39"/>
      <c r="E111" s="49"/>
      <c r="F111" s="49"/>
      <c r="G111" s="49"/>
      <c r="H111" s="13"/>
      <c r="I111" s="13"/>
      <c r="J111" s="29"/>
      <c r="K111" s="29"/>
      <c r="L111" s="29"/>
      <c r="M111" s="29"/>
      <c r="N111" s="29"/>
      <c r="O111" s="29"/>
      <c r="P111" s="29"/>
      <c r="Q111" s="29"/>
      <c r="R111" s="29"/>
      <c r="S111" s="30"/>
      <c r="T111" s="18"/>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row>
    <row r="112" spans="1:165" ht="25.5" customHeight="1" thickBot="1" x14ac:dyDescent="0.25">
      <c r="A112" s="229" t="s">
        <v>337</v>
      </c>
      <c r="B112" s="230"/>
      <c r="C112" s="230"/>
      <c r="D112" s="230"/>
      <c r="E112" s="230"/>
      <c r="F112" s="56"/>
      <c r="G112" s="56"/>
      <c r="H112" s="57"/>
      <c r="I112" s="57"/>
      <c r="J112" s="58"/>
      <c r="K112" s="58"/>
      <c r="L112" s="58"/>
      <c r="M112" s="58"/>
      <c r="N112" s="58"/>
      <c r="O112" s="58"/>
      <c r="P112" s="58"/>
      <c r="Q112" s="58"/>
      <c r="R112" s="58"/>
      <c r="S112" s="59"/>
      <c r="T112" s="18"/>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60">
        <f ca="1">BK112</f>
        <v>0</v>
      </c>
      <c r="BK112" s="60">
        <f ca="1">BJ112</f>
        <v>0</v>
      </c>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row>
    <row r="113" spans="1:166" x14ac:dyDescent="0.2">
      <c r="A113" s="48"/>
      <c r="B113" s="49"/>
      <c r="C113" s="49"/>
      <c r="D113" s="39"/>
      <c r="E113" s="49"/>
      <c r="F113" s="49"/>
      <c r="G113" s="49"/>
      <c r="H113" s="13"/>
      <c r="I113" s="13"/>
      <c r="J113" s="29"/>
      <c r="K113" s="29"/>
      <c r="L113" s="29"/>
      <c r="M113" s="29"/>
      <c r="N113" s="29"/>
      <c r="O113" s="29"/>
      <c r="P113" s="29"/>
      <c r="Q113" s="29"/>
      <c r="R113" s="29"/>
      <c r="S113" s="30"/>
      <c r="T113" s="18"/>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row>
    <row r="114" spans="1:166" ht="16" thickBot="1" x14ac:dyDescent="0.25">
      <c r="A114" s="231" t="s">
        <v>139</v>
      </c>
      <c r="B114" s="214"/>
      <c r="C114" s="214"/>
      <c r="D114" s="214"/>
      <c r="E114" s="214"/>
      <c r="F114" s="214"/>
      <c r="G114" s="214"/>
      <c r="H114" s="13"/>
      <c r="I114" s="213" t="s">
        <v>254</v>
      </c>
      <c r="J114" s="213"/>
      <c r="K114" s="213"/>
      <c r="L114" s="213"/>
      <c r="M114" s="213"/>
      <c r="N114" s="213"/>
      <c r="O114" s="213"/>
      <c r="P114" s="213"/>
      <c r="Q114" s="29"/>
      <c r="R114" s="29"/>
      <c r="S114" s="30"/>
      <c r="T114" s="18"/>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row>
    <row r="115" spans="1:166" ht="16" thickBot="1" x14ac:dyDescent="0.25">
      <c r="A115" s="50"/>
      <c r="B115" s="62"/>
      <c r="C115" s="50"/>
      <c r="D115" s="63" t="s">
        <v>11</v>
      </c>
      <c r="E115" s="64"/>
      <c r="F115" s="50"/>
      <c r="G115" s="38"/>
      <c r="H115" s="13"/>
      <c r="I115" s="27"/>
      <c r="J115" s="50"/>
      <c r="K115" s="62"/>
      <c r="L115" s="50"/>
      <c r="M115" s="63" t="s">
        <v>11</v>
      </c>
      <c r="N115" s="125" t="s">
        <v>323</v>
      </c>
      <c r="O115" s="50"/>
      <c r="P115" s="38"/>
      <c r="Q115" s="29"/>
      <c r="R115" s="29" t="s">
        <v>252</v>
      </c>
      <c r="S115" s="30"/>
      <c r="T115" s="18"/>
      <c r="U115" s="19"/>
      <c r="V115" s="19"/>
      <c r="W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row>
    <row r="116" spans="1:166" x14ac:dyDescent="0.2">
      <c r="A116" s="49"/>
      <c r="B116" s="49"/>
      <c r="C116" s="49"/>
      <c r="D116" s="39"/>
      <c r="E116" s="49" t="s">
        <v>13</v>
      </c>
      <c r="F116" s="49" t="s">
        <v>14</v>
      </c>
      <c r="G116" s="42"/>
      <c r="H116" s="13"/>
      <c r="I116" s="31"/>
      <c r="J116" s="49"/>
      <c r="K116" s="49"/>
      <c r="L116" s="49"/>
      <c r="M116" s="39"/>
      <c r="N116" s="49" t="s">
        <v>13</v>
      </c>
      <c r="O116" s="49" t="s">
        <v>14</v>
      </c>
      <c r="P116" s="42"/>
      <c r="Q116" s="29"/>
      <c r="R116" s="29" t="s">
        <v>253</v>
      </c>
      <c r="S116" s="30"/>
      <c r="T116" s="18" t="s">
        <v>255</v>
      </c>
      <c r="U116" s="19" t="s">
        <v>253</v>
      </c>
      <c r="V116" s="19"/>
      <c r="W116" s="19"/>
      <c r="X116" s="103" t="s">
        <v>125</v>
      </c>
      <c r="Y116" s="64" t="s">
        <v>12</v>
      </c>
      <c r="Z116" s="64" t="s">
        <v>28</v>
      </c>
      <c r="AA116" s="102" t="s">
        <v>126</v>
      </c>
      <c r="AB116" s="102" t="s">
        <v>323</v>
      </c>
      <c r="AC116" s="102" t="s">
        <v>127</v>
      </c>
      <c r="AD116" s="102" t="s">
        <v>128</v>
      </c>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row>
    <row r="117" spans="1:166" x14ac:dyDescent="0.2">
      <c r="A117" s="49"/>
      <c r="B117" s="49"/>
      <c r="C117" s="49"/>
      <c r="D117" s="32" t="s">
        <v>130</v>
      </c>
      <c r="E117" s="1">
        <v>8.6</v>
      </c>
      <c r="F117" s="1">
        <v>8.6</v>
      </c>
      <c r="G117" s="42" t="s">
        <v>22</v>
      </c>
      <c r="H117" s="13"/>
      <c r="I117" s="48">
        <v>1</v>
      </c>
      <c r="J117" s="29"/>
      <c r="K117" s="49"/>
      <c r="L117" s="49"/>
      <c r="M117" s="32" t="s">
        <v>130</v>
      </c>
      <c r="N117" s="117" t="e">
        <f ca="1">INDIRECT("MOSFET_Selection["&amp;$N$115&amp;"]") OFFSET(INDIRECT("MOSFET_Selection[[#Headers], ["&amp;$N$115&amp;"]]"),$I117,)</f>
        <v>#REF!</v>
      </c>
      <c r="O117" s="117" t="e">
        <f ca="1">INDIRECT("MOSFET_Selection["&amp;$N$115&amp;"]") OFFSET(INDIRECT("MOSFET_Selection[[#Headers], ["&amp;$N$115&amp;"]]"),$I117,)</f>
        <v>#REF!</v>
      </c>
      <c r="P117" s="42" t="s">
        <v>22</v>
      </c>
      <c r="Q117" s="29"/>
      <c r="R117" s="85">
        <f>IF(OR($H$3=$E$3,R116="Yes"),0,1)</f>
        <v>1</v>
      </c>
      <c r="S117" s="30"/>
      <c r="T117" s="18"/>
      <c r="U117" s="19"/>
      <c r="V117" s="19"/>
      <c r="W117" s="19"/>
      <c r="X117" s="32" t="s">
        <v>130</v>
      </c>
      <c r="Y117" s="118">
        <v>8.6</v>
      </c>
      <c r="Z117" s="119">
        <v>2.1</v>
      </c>
      <c r="AA117" s="119">
        <v>4.0999999999999996</v>
      </c>
      <c r="AB117" s="119">
        <v>3.55</v>
      </c>
      <c r="AC117" s="119">
        <v>8</v>
      </c>
      <c r="AD117" s="42" t="s">
        <v>22</v>
      </c>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row>
    <row r="118" spans="1:166" x14ac:dyDescent="0.2">
      <c r="A118" s="49"/>
      <c r="B118" s="49"/>
      <c r="C118" s="49"/>
      <c r="D118" s="32" t="s">
        <v>131</v>
      </c>
      <c r="E118" s="1">
        <v>5.7</v>
      </c>
      <c r="F118" s="1">
        <v>5.7</v>
      </c>
      <c r="G118" s="42" t="s">
        <v>22</v>
      </c>
      <c r="H118" s="13"/>
      <c r="I118" s="48">
        <v>2</v>
      </c>
      <c r="J118" s="29"/>
      <c r="K118" s="49"/>
      <c r="L118" s="49"/>
      <c r="M118" s="32" t="s">
        <v>131</v>
      </c>
      <c r="N118" s="117" t="e">
        <f ca="1">INDIRECT("MOSFET_Selection["&amp;$N$115&amp;"]") OFFSET(INDIRECT("MOSFET_Selection[[#Headers], ["&amp;$N$115&amp;"]]"),$I118,)</f>
        <v>#REF!</v>
      </c>
      <c r="O118" s="117" t="e">
        <f ca="1">INDIRECT("MOSFET_Selection["&amp;$N$115&amp;"]") OFFSET(INDIRECT("MOSFET_Selection[[#Headers], ["&amp;$N$115&amp;"]]"),$I118,)</f>
        <v>#REF!</v>
      </c>
      <c r="P118" s="42" t="s">
        <v>22</v>
      </c>
      <c r="Q118" s="29"/>
      <c r="R118" s="29"/>
      <c r="S118" s="30"/>
      <c r="T118" s="18"/>
      <c r="U118" s="19"/>
      <c r="V118" s="19"/>
      <c r="W118" s="19"/>
      <c r="X118" s="32" t="s">
        <v>131</v>
      </c>
      <c r="Y118" s="119">
        <v>5.7</v>
      </c>
      <c r="Z118" s="119">
        <v>1.9</v>
      </c>
      <c r="AA118" s="119">
        <v>2.9</v>
      </c>
      <c r="AB118" s="119">
        <v>2.8</v>
      </c>
      <c r="AC118" s="119">
        <v>6.5</v>
      </c>
      <c r="AD118" s="42" t="s">
        <v>22</v>
      </c>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row>
    <row r="119" spans="1:166" x14ac:dyDescent="0.2">
      <c r="A119" s="49"/>
      <c r="B119" s="49"/>
      <c r="C119" s="49"/>
      <c r="D119" s="32" t="s">
        <v>133</v>
      </c>
      <c r="E119" s="2">
        <v>4.9000000000000004</v>
      </c>
      <c r="F119" s="2">
        <v>4.9000000000000004</v>
      </c>
      <c r="G119" s="42" t="s">
        <v>22</v>
      </c>
      <c r="H119" s="13"/>
      <c r="I119" s="48"/>
      <c r="J119" s="29"/>
      <c r="K119" s="49"/>
      <c r="L119" s="49"/>
      <c r="M119" s="32" t="s">
        <v>133</v>
      </c>
      <c r="N119" s="2"/>
      <c r="O119" s="2"/>
      <c r="P119" s="42" t="s">
        <v>22</v>
      </c>
      <c r="Q119" s="29"/>
      <c r="R119" s="29"/>
      <c r="S119" s="30"/>
      <c r="T119" s="18"/>
      <c r="U119" s="19"/>
      <c r="V119" s="19"/>
      <c r="W119" s="19"/>
      <c r="X119" s="32" t="s">
        <v>133</v>
      </c>
      <c r="Y119" s="119"/>
      <c r="Z119" s="119"/>
      <c r="AA119" s="119"/>
      <c r="AB119" s="119"/>
      <c r="AC119" s="119"/>
      <c r="AD119" s="42" t="s">
        <v>22</v>
      </c>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row>
    <row r="120" spans="1:166" x14ac:dyDescent="0.2">
      <c r="A120" s="49"/>
      <c r="B120" s="49"/>
      <c r="C120" s="49"/>
      <c r="D120" s="32" t="s">
        <v>134</v>
      </c>
      <c r="E120" s="2">
        <v>7.3</v>
      </c>
      <c r="F120" s="2">
        <v>7.3</v>
      </c>
      <c r="G120" s="42" t="s">
        <v>23</v>
      </c>
      <c r="H120" s="13"/>
      <c r="I120" s="48">
        <v>4</v>
      </c>
      <c r="J120" s="29"/>
      <c r="K120" s="49"/>
      <c r="L120" s="49"/>
      <c r="M120" s="32" t="s">
        <v>134</v>
      </c>
      <c r="N120" s="117" t="e">
        <f ca="1">INDIRECT("MOSFET_Selection["&amp;$N$115&amp;"]") OFFSET(INDIRECT("MOSFET_Selection[[#Headers], ["&amp;$N$115&amp;"]]"),$I120,)</f>
        <v>#REF!</v>
      </c>
      <c r="O120" s="117" t="e">
        <f ca="1">INDIRECT("MOSFET_Selection["&amp;$N$115&amp;"]") OFFSET(INDIRECT("MOSFET_Selection[[#Headers], ["&amp;$N$115&amp;"]]"),$I120,)</f>
        <v>#REF!</v>
      </c>
      <c r="P120" s="42" t="s">
        <v>23</v>
      </c>
      <c r="Q120" s="29"/>
      <c r="R120" s="29"/>
      <c r="S120" s="30"/>
      <c r="T120" s="18"/>
      <c r="U120" s="19"/>
      <c r="V120" s="19"/>
      <c r="W120" s="19"/>
      <c r="X120" s="32" t="s">
        <v>134</v>
      </c>
      <c r="Y120" s="119">
        <v>7.3</v>
      </c>
      <c r="Z120" s="119">
        <v>14</v>
      </c>
      <c r="AA120" s="119">
        <v>25</v>
      </c>
      <c r="AB120" s="119">
        <v>40.5</v>
      </c>
      <c r="AC120" s="119">
        <v>19.5</v>
      </c>
      <c r="AD120" s="42" t="s">
        <v>23</v>
      </c>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row>
    <row r="121" spans="1:166" x14ac:dyDescent="0.2">
      <c r="A121" s="49"/>
      <c r="B121" s="49"/>
      <c r="C121" s="49"/>
      <c r="D121" s="32" t="s">
        <v>135</v>
      </c>
      <c r="E121" s="2">
        <v>15</v>
      </c>
      <c r="F121" s="2">
        <v>15</v>
      </c>
      <c r="G121" s="42" t="s">
        <v>23</v>
      </c>
      <c r="H121" s="13"/>
      <c r="I121" s="48">
        <v>5</v>
      </c>
      <c r="J121" s="29"/>
      <c r="K121" s="49"/>
      <c r="L121" s="49"/>
      <c r="M121" s="32" t="s">
        <v>135</v>
      </c>
      <c r="N121" s="117" t="e">
        <f ca="1">INDIRECT("MOSFET_Selection["&amp;$N$115&amp;"]") OFFSET(INDIRECT("MOSFET_Selection[[#Headers], ["&amp;$N$115&amp;"]]"),$I121,)</f>
        <v>#REF!</v>
      </c>
      <c r="O121" s="117" t="e">
        <f ca="1">INDIRECT("MOSFET_Selection["&amp;$N$115&amp;"]") OFFSET(INDIRECT("MOSFET_Selection[[#Headers], ["&amp;$N$115&amp;"]]"),$I121,)</f>
        <v>#REF!</v>
      </c>
      <c r="P121" s="42" t="s">
        <v>23</v>
      </c>
      <c r="Q121" s="29"/>
      <c r="R121" s="29"/>
      <c r="S121" s="30"/>
      <c r="T121" s="18"/>
      <c r="U121" s="19"/>
      <c r="V121" s="19"/>
      <c r="W121" s="19"/>
      <c r="X121" s="32" t="s">
        <v>135</v>
      </c>
      <c r="Y121" s="119">
        <v>15</v>
      </c>
      <c r="Z121" s="119"/>
      <c r="AA121" s="119">
        <v>51</v>
      </c>
      <c r="AB121" s="119">
        <v>90</v>
      </c>
      <c r="AC121" s="119">
        <v>43.5</v>
      </c>
      <c r="AD121" s="42" t="s">
        <v>23</v>
      </c>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row>
    <row r="122" spans="1:166" x14ac:dyDescent="0.2">
      <c r="A122" s="49"/>
      <c r="B122" s="49"/>
      <c r="C122" s="49"/>
      <c r="D122" s="32" t="s">
        <v>136</v>
      </c>
      <c r="E122" s="2">
        <v>17</v>
      </c>
      <c r="F122" s="2">
        <v>17</v>
      </c>
      <c r="G122" s="42" t="s">
        <v>23</v>
      </c>
      <c r="H122" s="13"/>
      <c r="I122" s="48"/>
      <c r="J122" s="29"/>
      <c r="K122" s="49"/>
      <c r="L122" s="49"/>
      <c r="M122" s="32" t="s">
        <v>136</v>
      </c>
      <c r="N122" s="2"/>
      <c r="O122" s="2"/>
      <c r="P122" s="42" t="s">
        <v>23</v>
      </c>
      <c r="Q122" s="29"/>
      <c r="R122" s="29"/>
      <c r="S122" s="30"/>
      <c r="T122" s="18"/>
      <c r="U122" s="19"/>
      <c r="V122" s="19"/>
      <c r="W122" s="19"/>
      <c r="X122" s="32" t="s">
        <v>136</v>
      </c>
      <c r="Y122" s="119"/>
      <c r="Z122" s="119"/>
      <c r="AA122" s="119"/>
      <c r="AB122" s="119"/>
      <c r="AC122" s="119"/>
      <c r="AD122" s="42" t="s">
        <v>23</v>
      </c>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row>
    <row r="123" spans="1:166" x14ac:dyDescent="0.2">
      <c r="A123" s="49"/>
      <c r="B123" s="49"/>
      <c r="C123" s="49"/>
      <c r="D123" s="32" t="s">
        <v>15</v>
      </c>
      <c r="E123" s="2">
        <v>2.9</v>
      </c>
      <c r="F123" s="2">
        <v>2.9</v>
      </c>
      <c r="G123" s="42" t="s">
        <v>23</v>
      </c>
      <c r="H123" s="13"/>
      <c r="I123" s="48">
        <v>7</v>
      </c>
      <c r="J123" s="29"/>
      <c r="K123" s="49"/>
      <c r="L123" s="49"/>
      <c r="M123" s="32" t="s">
        <v>15</v>
      </c>
      <c r="N123" s="117" t="e">
        <f ca="1">INDIRECT("MOSFET_Selection["&amp;$N$115&amp;"]") OFFSET(INDIRECT("MOSFET_Selection[[#Headers], ["&amp;$N$115&amp;"]]"),$I123,)</f>
        <v>#REF!</v>
      </c>
      <c r="O123" s="117" t="e">
        <f ca="1">INDIRECT("MOSFET_Selection["&amp;$N$115&amp;"]") OFFSET(INDIRECT("MOSFET_Selection[[#Headers], ["&amp;$N$115&amp;"]]"),$I123,)</f>
        <v>#REF!</v>
      </c>
      <c r="P123" s="42" t="s">
        <v>23</v>
      </c>
      <c r="Q123" s="29"/>
      <c r="R123" s="29"/>
      <c r="S123" s="30"/>
      <c r="T123" s="18"/>
      <c r="U123" s="19"/>
      <c r="V123" s="19"/>
      <c r="W123" s="19"/>
      <c r="X123" s="32" t="s">
        <v>15</v>
      </c>
      <c r="Y123" s="119">
        <v>2.9</v>
      </c>
      <c r="Z123" s="119">
        <v>2.5</v>
      </c>
      <c r="AA123" s="119">
        <v>8.5</v>
      </c>
      <c r="AB123" s="119">
        <v>8.8000000000000007</v>
      </c>
      <c r="AC123" s="119">
        <v>4</v>
      </c>
      <c r="AD123" s="42" t="s">
        <v>23</v>
      </c>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row>
    <row r="124" spans="1:166" x14ac:dyDescent="0.2">
      <c r="A124" s="49"/>
      <c r="B124" s="49"/>
      <c r="C124" s="49"/>
      <c r="D124" s="32" t="s">
        <v>16</v>
      </c>
      <c r="E124" s="2">
        <v>3.3</v>
      </c>
      <c r="F124" s="2">
        <v>3.3</v>
      </c>
      <c r="G124" s="42" t="s">
        <v>23</v>
      </c>
      <c r="H124" s="13"/>
      <c r="I124" s="48">
        <v>8</v>
      </c>
      <c r="J124" s="29"/>
      <c r="K124" s="49"/>
      <c r="L124" s="49"/>
      <c r="M124" s="32" t="s">
        <v>16</v>
      </c>
      <c r="N124" s="117" t="e">
        <f ca="1">INDIRECT("MOSFET_Selection["&amp;$N$115&amp;"]") OFFSET(INDIRECT("MOSFET_Selection[[#Headers], ["&amp;$N$115&amp;"]]"),$I124,)</f>
        <v>#REF!</v>
      </c>
      <c r="O124" s="117" t="e">
        <f ca="1">INDIRECT("MOSFET_Selection["&amp;$N$115&amp;"]") OFFSET(INDIRECT("MOSFET_Selection[[#Headers], ["&amp;$N$115&amp;"]]"),$I124,)</f>
        <v>#REF!</v>
      </c>
      <c r="P124" s="42" t="s">
        <v>23</v>
      </c>
      <c r="Q124" s="29"/>
      <c r="R124" s="29"/>
      <c r="S124" s="30"/>
      <c r="T124" s="18"/>
      <c r="U124" s="19"/>
      <c r="V124" s="19"/>
      <c r="W124" s="19"/>
      <c r="X124" s="32" t="s">
        <v>16</v>
      </c>
      <c r="Y124" s="119">
        <v>3.3</v>
      </c>
      <c r="Z124" s="119">
        <v>4</v>
      </c>
      <c r="AA124" s="119">
        <v>10</v>
      </c>
      <c r="AB124" s="119">
        <v>20</v>
      </c>
      <c r="AC124" s="119">
        <v>9.4</v>
      </c>
      <c r="AD124" s="42" t="s">
        <v>23</v>
      </c>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row>
    <row r="125" spans="1:166" x14ac:dyDescent="0.2">
      <c r="A125" s="49"/>
      <c r="B125" s="49"/>
      <c r="C125" s="49"/>
      <c r="D125" s="32" t="s">
        <v>251</v>
      </c>
      <c r="E125" s="2">
        <v>36</v>
      </c>
      <c r="F125" s="2">
        <v>36</v>
      </c>
      <c r="G125" s="42" t="s">
        <v>23</v>
      </c>
      <c r="H125" s="13"/>
      <c r="I125" s="48">
        <v>9</v>
      </c>
      <c r="J125" s="29"/>
      <c r="K125" s="49"/>
      <c r="L125" s="49"/>
      <c r="M125" s="32" t="s">
        <v>61</v>
      </c>
      <c r="N125" s="117" t="e">
        <f ca="1">INDIRECT("MOSFET_Selection["&amp;$N$115&amp;"]") OFFSET(INDIRECT("MOSFET_Selection[[#Headers], ["&amp;$N$115&amp;"]]"),$I125,)</f>
        <v>#REF!</v>
      </c>
      <c r="O125" s="117" t="e">
        <f ca="1">INDIRECT("MOSFET_Selection["&amp;$N$115&amp;"]") OFFSET(INDIRECT("MOSFET_Selection[[#Headers], ["&amp;$N$115&amp;"]]"),$I125,)</f>
        <v>#REF!</v>
      </c>
      <c r="P125" s="42" t="s">
        <v>23</v>
      </c>
      <c r="Q125" s="29"/>
      <c r="R125" s="29"/>
      <c r="S125" s="30"/>
      <c r="T125" s="18"/>
      <c r="U125" s="19"/>
      <c r="V125" s="19"/>
      <c r="W125" s="19"/>
      <c r="X125" s="32" t="s">
        <v>61</v>
      </c>
      <c r="Y125" s="119">
        <v>36</v>
      </c>
      <c r="Z125" s="119">
        <v>36</v>
      </c>
      <c r="AA125" s="119">
        <v>46</v>
      </c>
      <c r="AB125" s="119">
        <v>73</v>
      </c>
      <c r="AC125" s="119">
        <v>35.4</v>
      </c>
      <c r="AD125" s="42" t="s">
        <v>23</v>
      </c>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row>
    <row r="126" spans="1:166" x14ac:dyDescent="0.2">
      <c r="A126" s="49"/>
      <c r="B126" s="49"/>
      <c r="C126" s="49"/>
      <c r="D126" s="32" t="s">
        <v>17</v>
      </c>
      <c r="E126" s="2">
        <v>1.5</v>
      </c>
      <c r="F126" s="2">
        <v>1.5</v>
      </c>
      <c r="G126" s="120" t="s">
        <v>24</v>
      </c>
      <c r="H126" s="13"/>
      <c r="I126" s="48">
        <v>10</v>
      </c>
      <c r="J126" s="29"/>
      <c r="K126" s="49"/>
      <c r="L126" s="49"/>
      <c r="M126" s="32" t="s">
        <v>17</v>
      </c>
      <c r="N126" s="117" t="e">
        <f ca="1">INDIRECT("MOSFET_Selection["&amp;$N$115&amp;"]") OFFSET(INDIRECT("MOSFET_Selection[[#Headers], ["&amp;$N$115&amp;"]]"),$I126,)</f>
        <v>#REF!</v>
      </c>
      <c r="O126" s="117" t="e">
        <f ca="1">INDIRECT("MOSFET_Selection["&amp;$N$115&amp;"]") OFFSET(INDIRECT("MOSFET_Selection[[#Headers], ["&amp;$N$115&amp;"]]"),$I126,)</f>
        <v>#REF!</v>
      </c>
      <c r="P126" s="120" t="s">
        <v>24</v>
      </c>
      <c r="Q126" s="29"/>
      <c r="R126" s="29"/>
      <c r="S126" s="30"/>
      <c r="T126" s="18"/>
      <c r="U126" s="19"/>
      <c r="V126" s="19"/>
      <c r="W126" s="19"/>
      <c r="X126" s="32" t="s">
        <v>17</v>
      </c>
      <c r="Y126" s="119">
        <v>1.5</v>
      </c>
      <c r="Z126" s="119">
        <v>1.5</v>
      </c>
      <c r="AA126" s="119">
        <v>1.1000000000000001</v>
      </c>
      <c r="AB126" s="119">
        <v>0.95</v>
      </c>
      <c r="AC126" s="119">
        <v>0.8</v>
      </c>
      <c r="AD126" s="120" t="s">
        <v>24</v>
      </c>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row>
    <row r="127" spans="1:166" x14ac:dyDescent="0.2">
      <c r="A127" s="49"/>
      <c r="B127" s="49"/>
      <c r="C127" s="49"/>
      <c r="D127" s="32" t="s">
        <v>18</v>
      </c>
      <c r="E127" s="2">
        <v>60</v>
      </c>
      <c r="F127" s="2">
        <v>60</v>
      </c>
      <c r="G127" s="42" t="s">
        <v>25</v>
      </c>
      <c r="H127" s="13"/>
      <c r="I127" s="48">
        <v>11</v>
      </c>
      <c r="J127" s="29"/>
      <c r="K127" s="49"/>
      <c r="L127" s="49"/>
      <c r="M127" s="32" t="s">
        <v>18</v>
      </c>
      <c r="N127" s="117" t="e">
        <f ca="1">INDIRECT("MOSFET_Selection["&amp;$N$115&amp;"]") OFFSET(INDIRECT("MOSFET_Selection[[#Headers], ["&amp;$N$115&amp;"]]"),$I127,)</f>
        <v>#REF!</v>
      </c>
      <c r="O127" s="117" t="e">
        <f ca="1">INDIRECT("MOSFET_Selection["&amp;$N$115&amp;"]") OFFSET(INDIRECT("MOSFET_Selection[[#Headers], ["&amp;$N$115&amp;"]]"),$I127,)</f>
        <v>#REF!</v>
      </c>
      <c r="P127" s="42" t="s">
        <v>25</v>
      </c>
      <c r="Q127" s="29"/>
      <c r="R127" s="29"/>
      <c r="S127" s="30"/>
      <c r="T127" s="18"/>
      <c r="U127" s="19"/>
      <c r="V127" s="19"/>
      <c r="W127" s="19"/>
      <c r="X127" s="32" t="s">
        <v>18</v>
      </c>
      <c r="Y127" s="119">
        <v>60</v>
      </c>
      <c r="Z127" s="119">
        <v>150</v>
      </c>
      <c r="AA127" s="119">
        <v>100</v>
      </c>
      <c r="AB127" s="119">
        <v>130</v>
      </c>
      <c r="AC127" s="119">
        <v>49</v>
      </c>
      <c r="AD127" s="42" t="s">
        <v>25</v>
      </c>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row>
    <row r="128" spans="1:166" x14ac:dyDescent="0.2">
      <c r="A128" s="49"/>
      <c r="B128" s="49"/>
      <c r="C128" s="49"/>
      <c r="D128" s="32" t="s">
        <v>19</v>
      </c>
      <c r="E128" s="2">
        <v>4</v>
      </c>
      <c r="F128" s="2">
        <v>4</v>
      </c>
      <c r="G128" s="42" t="s">
        <v>1</v>
      </c>
      <c r="H128" s="13"/>
      <c r="I128" s="48">
        <v>12</v>
      </c>
      <c r="J128" s="29"/>
      <c r="K128" s="49"/>
      <c r="L128" s="49"/>
      <c r="M128" s="32" t="s">
        <v>19</v>
      </c>
      <c r="N128" s="117" t="e">
        <f ca="1">INDIRECT("MOSFET_Selection["&amp;$N$115&amp;"]") OFFSET(INDIRECT("MOSFET_Selection[[#Headers], ["&amp;$N$115&amp;"]]"),$I128,)</f>
        <v>#REF!</v>
      </c>
      <c r="O128" s="117" t="e">
        <f ca="1">INDIRECT("MOSFET_Selection["&amp;$N$115&amp;"]") OFFSET(INDIRECT("MOSFET_Selection[[#Headers], ["&amp;$N$115&amp;"]]"),$I128,)</f>
        <v>#REF!</v>
      </c>
      <c r="P128" s="42" t="s">
        <v>1</v>
      </c>
      <c r="Q128" s="29"/>
      <c r="R128" s="29"/>
      <c r="S128" s="30"/>
      <c r="T128" s="18"/>
      <c r="U128" s="19"/>
      <c r="V128" s="19"/>
      <c r="W128" s="19"/>
      <c r="X128" s="32" t="s">
        <v>19</v>
      </c>
      <c r="Y128" s="119">
        <v>2</v>
      </c>
      <c r="Z128" s="119">
        <v>1.1000000000000001</v>
      </c>
      <c r="AA128" s="119">
        <v>1.8</v>
      </c>
      <c r="AB128" s="119">
        <v>1.75</v>
      </c>
      <c r="AC128" s="119">
        <v>1.7</v>
      </c>
      <c r="AD128" s="42" t="s">
        <v>1</v>
      </c>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row>
    <row r="129" spans="1:166" x14ac:dyDescent="0.2">
      <c r="A129" s="49"/>
      <c r="B129" s="49"/>
      <c r="C129" s="49"/>
      <c r="D129" s="32" t="s">
        <v>137</v>
      </c>
      <c r="E129" s="2">
        <v>0.8</v>
      </c>
      <c r="F129" s="2">
        <v>0.8</v>
      </c>
      <c r="G129" s="42" t="s">
        <v>1</v>
      </c>
      <c r="H129" s="13"/>
      <c r="I129" s="48">
        <v>13</v>
      </c>
      <c r="J129" s="29"/>
      <c r="K129" s="49"/>
      <c r="L129" s="49"/>
      <c r="M129" s="32" t="s">
        <v>137</v>
      </c>
      <c r="N129" s="117" t="e">
        <f ca="1">INDIRECT("MOSFET_Selection["&amp;$N$115&amp;"]") OFFSET(INDIRECT("MOSFET_Selection[[#Headers], ["&amp;$N$115&amp;"]]"),$I129,)</f>
        <v>#REF!</v>
      </c>
      <c r="O129" s="117" t="e">
        <f ca="1">INDIRECT("MOSFET_Selection["&amp;$N$115&amp;"]") OFFSET(INDIRECT("MOSFET_Selection[[#Headers], ["&amp;$N$115&amp;"]]"),$I129,)</f>
        <v>#REF!</v>
      </c>
      <c r="P129" s="42" t="s">
        <v>1</v>
      </c>
      <c r="Q129" s="29"/>
      <c r="R129" s="29"/>
      <c r="S129" s="30"/>
      <c r="T129" s="18"/>
      <c r="U129" s="19"/>
      <c r="V129" s="19"/>
      <c r="W129" s="19"/>
      <c r="X129" s="32" t="s">
        <v>137</v>
      </c>
      <c r="Y129" s="119">
        <v>0.8</v>
      </c>
      <c r="Z129" s="119">
        <v>0.8</v>
      </c>
      <c r="AA129" s="119">
        <v>0.69</v>
      </c>
      <c r="AB129" s="119">
        <v>0.72</v>
      </c>
      <c r="AC129" s="119">
        <v>0.74</v>
      </c>
      <c r="AD129" s="42" t="s">
        <v>1</v>
      </c>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row>
    <row r="130" spans="1:166" x14ac:dyDescent="0.2">
      <c r="A130" s="49"/>
      <c r="B130" s="49"/>
      <c r="C130" s="49"/>
      <c r="D130" s="32" t="s">
        <v>138</v>
      </c>
      <c r="E130" s="49"/>
      <c r="F130" s="2">
        <v>63</v>
      </c>
      <c r="G130" s="42" t="s">
        <v>23</v>
      </c>
      <c r="H130" s="13"/>
      <c r="I130" s="48">
        <v>14</v>
      </c>
      <c r="J130" s="29"/>
      <c r="K130" s="49"/>
      <c r="L130" s="49"/>
      <c r="M130" s="32" t="s">
        <v>138</v>
      </c>
      <c r="N130" s="49"/>
      <c r="O130" s="117" t="e">
        <f ca="1">INDIRECT("MOSFET_Selection["&amp;$N$115&amp;"]") OFFSET(INDIRECT("MOSFET_Selection[[#Headers], ["&amp;$N$115&amp;"]]"),$I130,)</f>
        <v>#REF!</v>
      </c>
      <c r="P130" s="42" t="s">
        <v>23</v>
      </c>
      <c r="Q130" s="29"/>
      <c r="R130" s="29"/>
      <c r="S130" s="30"/>
      <c r="T130" s="18"/>
      <c r="U130" s="19"/>
      <c r="V130" s="19"/>
      <c r="W130" s="19"/>
      <c r="X130" s="32" t="s">
        <v>138</v>
      </c>
      <c r="Y130" s="119">
        <v>63</v>
      </c>
      <c r="Z130" s="119">
        <v>33</v>
      </c>
      <c r="AA130" s="119">
        <v>73</v>
      </c>
      <c r="AB130" s="119">
        <v>77</v>
      </c>
      <c r="AC130" s="119">
        <v>52</v>
      </c>
      <c r="AD130" s="42" t="s">
        <v>23</v>
      </c>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row>
    <row r="131" spans="1:166" ht="16" thickBot="1" x14ac:dyDescent="0.25">
      <c r="A131" s="47"/>
      <c r="B131" s="47"/>
      <c r="C131" s="47"/>
      <c r="D131" s="35" t="s">
        <v>21</v>
      </c>
      <c r="E131" s="3">
        <v>50</v>
      </c>
      <c r="F131" s="3">
        <v>50</v>
      </c>
      <c r="G131" s="45" t="s">
        <v>26</v>
      </c>
      <c r="H131" s="13"/>
      <c r="I131" s="46">
        <v>15</v>
      </c>
      <c r="J131" s="114"/>
      <c r="K131" s="47"/>
      <c r="L131" s="47"/>
      <c r="M131" s="35" t="s">
        <v>21</v>
      </c>
      <c r="N131" s="121" t="e">
        <f ca="1">INDIRECT("MOSFET_Selection["&amp;$N$115&amp;"]") OFFSET(INDIRECT("MOSFET_Selection[[#Headers], ["&amp;$N$115&amp;"]]"),$I131,)</f>
        <v>#REF!</v>
      </c>
      <c r="O131" s="121" t="e">
        <f ca="1">INDIRECT("MOSFET_Selection["&amp;$N$115&amp;"]") OFFSET(INDIRECT("MOSFET_Selection[[#Headers], ["&amp;$N$115&amp;"]]"),$I131,)</f>
        <v>#REF!</v>
      </c>
      <c r="P131" s="45" t="s">
        <v>26</v>
      </c>
      <c r="Q131" s="29"/>
      <c r="R131" s="29"/>
      <c r="S131" s="30"/>
      <c r="T131" s="18"/>
      <c r="U131" s="19"/>
      <c r="V131" s="19"/>
      <c r="W131" s="19"/>
      <c r="X131" s="32" t="s">
        <v>21</v>
      </c>
      <c r="Y131" s="119">
        <v>50</v>
      </c>
      <c r="Z131" s="122">
        <v>50</v>
      </c>
      <c r="AA131" s="119">
        <v>50</v>
      </c>
      <c r="AB131" s="119">
        <v>15</v>
      </c>
      <c r="AC131" s="119">
        <v>25</v>
      </c>
      <c r="AD131" s="45" t="s">
        <v>26</v>
      </c>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row>
    <row r="132" spans="1:166" ht="16" thickBot="1" x14ac:dyDescent="0.25">
      <c r="A132" s="49"/>
      <c r="B132" s="49"/>
      <c r="C132" s="49"/>
      <c r="D132" s="39"/>
      <c r="E132" s="49"/>
      <c r="F132" s="49"/>
      <c r="G132" s="49"/>
      <c r="H132" s="13"/>
      <c r="I132" s="49"/>
      <c r="J132" s="29"/>
      <c r="K132" s="49"/>
      <c r="L132" s="49"/>
      <c r="M132" s="39"/>
      <c r="N132" s="49"/>
      <c r="O132" s="49"/>
      <c r="P132" s="49"/>
      <c r="Q132" s="29"/>
      <c r="R132" s="29"/>
      <c r="S132" s="30"/>
      <c r="T132" s="18"/>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row>
    <row r="133" spans="1:166" x14ac:dyDescent="0.2">
      <c r="A133" s="50"/>
      <c r="B133" s="62"/>
      <c r="C133" s="50"/>
      <c r="D133" s="63" t="s">
        <v>27</v>
      </c>
      <c r="E133" s="64"/>
      <c r="F133" s="50"/>
      <c r="G133" s="38"/>
      <c r="H133" s="13"/>
      <c r="I133" s="54"/>
      <c r="J133" s="25"/>
      <c r="K133" s="62"/>
      <c r="L133" s="50"/>
      <c r="M133" s="63" t="s">
        <v>27</v>
      </c>
      <c r="N133" s="125" t="s">
        <v>323</v>
      </c>
      <c r="O133" s="50"/>
      <c r="P133" s="38"/>
      <c r="Q133" s="29"/>
      <c r="R133" s="29"/>
      <c r="S133" s="30"/>
      <c r="T133" s="18"/>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row>
    <row r="134" spans="1:166" x14ac:dyDescent="0.2">
      <c r="A134" s="49"/>
      <c r="B134" s="49"/>
      <c r="C134" s="49"/>
      <c r="D134" s="39"/>
      <c r="E134" s="49" t="s">
        <v>13</v>
      </c>
      <c r="F134" s="49" t="s">
        <v>14</v>
      </c>
      <c r="G134" s="42"/>
      <c r="H134" s="13"/>
      <c r="I134" s="48"/>
      <c r="J134" s="29"/>
      <c r="K134" s="49"/>
      <c r="L134" s="49"/>
      <c r="M134" s="39"/>
      <c r="N134" s="49" t="s">
        <v>13</v>
      </c>
      <c r="O134" s="49" t="s">
        <v>14</v>
      </c>
      <c r="P134" s="42"/>
      <c r="Q134" s="29"/>
      <c r="R134" s="29"/>
      <c r="S134" s="30"/>
      <c r="T134" s="18"/>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row>
    <row r="135" spans="1:166" x14ac:dyDescent="0.2">
      <c r="A135" s="49"/>
      <c r="B135" s="49"/>
      <c r="C135" s="49"/>
      <c r="D135" s="32" t="s">
        <v>130</v>
      </c>
      <c r="E135" s="2">
        <v>2.1</v>
      </c>
      <c r="F135" s="2">
        <v>2.1</v>
      </c>
      <c r="G135" s="42" t="s">
        <v>22</v>
      </c>
      <c r="H135" s="13"/>
      <c r="I135" s="48">
        <v>1</v>
      </c>
      <c r="J135" s="29"/>
      <c r="K135" s="49"/>
      <c r="L135" s="49"/>
      <c r="M135" s="32" t="s">
        <v>130</v>
      </c>
      <c r="N135" s="117" t="e">
        <f ca="1">INDIRECT("MOSFET_Selection["&amp;$N$133&amp;"]") OFFSET(INDIRECT("MOSFET_Selection[[#Headers], ["&amp;$N$133&amp;"]]"),$I135,)</f>
        <v>#REF!</v>
      </c>
      <c r="O135" s="117" t="e">
        <f ca="1">INDIRECT("MOSFET_Selection["&amp;$N$133&amp;"]") OFFSET(INDIRECT("MOSFET_Selection[[#Headers], ["&amp;$N$133&amp;"]]"),$I135,)</f>
        <v>#REF!</v>
      </c>
      <c r="P135" s="42" t="s">
        <v>22</v>
      </c>
      <c r="Q135" s="29"/>
      <c r="R135" s="29"/>
      <c r="S135" s="30"/>
      <c r="T135" s="18"/>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row>
    <row r="136" spans="1:166" x14ac:dyDescent="0.2">
      <c r="A136" s="49"/>
      <c r="B136" s="49"/>
      <c r="C136" s="49"/>
      <c r="D136" s="32" t="s">
        <v>131</v>
      </c>
      <c r="E136" s="2">
        <v>1.9</v>
      </c>
      <c r="F136" s="2">
        <v>1.9</v>
      </c>
      <c r="G136" s="42"/>
      <c r="H136" s="13"/>
      <c r="I136" s="48">
        <v>2</v>
      </c>
      <c r="J136" s="29"/>
      <c r="K136" s="49"/>
      <c r="L136" s="49"/>
      <c r="M136" s="32" t="s">
        <v>131</v>
      </c>
      <c r="N136" s="117" t="e">
        <f ca="1">INDIRECT("MOSFET_Selection["&amp;$N$133&amp;"]") OFFSET(INDIRECT("MOSFET_Selection[[#Headers], ["&amp;$N$133&amp;"]]"),$I136,)</f>
        <v>#REF!</v>
      </c>
      <c r="O136" s="117" t="e">
        <f ca="1">INDIRECT("MOSFET_Selection["&amp;$N$133&amp;"]") OFFSET(INDIRECT("MOSFET_Selection[[#Headers], ["&amp;$N$133&amp;"]]"),$I136,)</f>
        <v>#REF!</v>
      </c>
      <c r="P136" s="42"/>
      <c r="Q136" s="29"/>
      <c r="R136" s="29"/>
      <c r="S136" s="30"/>
      <c r="T136" s="18"/>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row>
    <row r="137" spans="1:166" x14ac:dyDescent="0.2">
      <c r="A137" s="49"/>
      <c r="B137" s="49"/>
      <c r="C137" s="49"/>
      <c r="D137" s="32" t="s">
        <v>133</v>
      </c>
      <c r="E137" s="2">
        <v>1.7</v>
      </c>
      <c r="F137" s="2">
        <v>1.7</v>
      </c>
      <c r="G137" s="42"/>
      <c r="H137" s="13"/>
      <c r="I137" s="48"/>
      <c r="J137" s="29"/>
      <c r="K137" s="49"/>
      <c r="L137" s="49"/>
      <c r="M137" s="32" t="s">
        <v>133</v>
      </c>
      <c r="N137" s="2"/>
      <c r="O137" s="2"/>
      <c r="P137" s="42"/>
      <c r="Q137" s="29"/>
      <c r="R137" s="29"/>
      <c r="S137" s="30"/>
      <c r="T137" s="18"/>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row>
    <row r="138" spans="1:166" x14ac:dyDescent="0.2">
      <c r="A138" s="49"/>
      <c r="B138" s="49"/>
      <c r="C138" s="49"/>
      <c r="D138" s="32" t="s">
        <v>134</v>
      </c>
      <c r="E138" s="2">
        <v>22</v>
      </c>
      <c r="F138" s="2">
        <v>22</v>
      </c>
      <c r="G138" s="42" t="s">
        <v>23</v>
      </c>
      <c r="H138" s="13"/>
      <c r="I138" s="48">
        <v>4</v>
      </c>
      <c r="J138" s="29"/>
      <c r="K138" s="49"/>
      <c r="L138" s="49"/>
      <c r="M138" s="32" t="s">
        <v>134</v>
      </c>
      <c r="N138" s="117" t="e">
        <f ca="1">INDIRECT("MOSFET_Selection["&amp;$N$133&amp;"]") OFFSET(INDIRECT("MOSFET_Selection[[#Headers], ["&amp;$N$133&amp;"]]"),$I138,)</f>
        <v>#REF!</v>
      </c>
      <c r="O138" s="117" t="e">
        <f ca="1">INDIRECT("MOSFET_Selection["&amp;$N$133&amp;"]") OFFSET(INDIRECT("MOSFET_Selection[[#Headers], ["&amp;$N$133&amp;"]]"),$I138,)</f>
        <v>#REF!</v>
      </c>
      <c r="P138" s="42" t="s">
        <v>23</v>
      </c>
      <c r="Q138" s="29"/>
      <c r="R138" s="29"/>
      <c r="S138" s="30"/>
      <c r="T138" s="18"/>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row>
    <row r="139" spans="1:166" x14ac:dyDescent="0.2">
      <c r="A139" s="49"/>
      <c r="B139" s="49"/>
      <c r="C139" s="49"/>
      <c r="D139" s="32" t="s">
        <v>135</v>
      </c>
      <c r="E139" s="2">
        <v>25</v>
      </c>
      <c r="F139" s="2">
        <v>25</v>
      </c>
      <c r="G139" s="42"/>
      <c r="H139" s="13"/>
      <c r="I139" s="48">
        <v>5</v>
      </c>
      <c r="J139" s="29"/>
      <c r="K139" s="49"/>
      <c r="L139" s="49"/>
      <c r="M139" s="32" t="s">
        <v>135</v>
      </c>
      <c r="N139" s="117" t="e">
        <f ca="1">INDIRECT("MOSFET_Selection["&amp;$N$133&amp;"]") OFFSET(INDIRECT("MOSFET_Selection[[#Headers], ["&amp;$N$133&amp;"]]"),$I139,)</f>
        <v>#REF!</v>
      </c>
      <c r="O139" s="117" t="e">
        <f ca="1">INDIRECT("MOSFET_Selection["&amp;$N$133&amp;"]") OFFSET(INDIRECT("MOSFET_Selection[[#Headers], ["&amp;$N$133&amp;"]]"),$I139,)</f>
        <v>#REF!</v>
      </c>
      <c r="P139" s="42"/>
      <c r="Q139" s="29"/>
      <c r="R139" s="29"/>
      <c r="S139" s="30"/>
      <c r="T139" s="18"/>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row>
    <row r="140" spans="1:166" x14ac:dyDescent="0.2">
      <c r="A140" s="49"/>
      <c r="B140" s="49"/>
      <c r="C140" s="49"/>
      <c r="D140" s="32" t="s">
        <v>136</v>
      </c>
      <c r="E140" s="2">
        <v>30</v>
      </c>
      <c r="F140" s="2">
        <v>30</v>
      </c>
      <c r="G140" s="42"/>
      <c r="H140" s="13"/>
      <c r="I140" s="48"/>
      <c r="J140" s="29"/>
      <c r="K140" s="49"/>
      <c r="L140" s="49"/>
      <c r="M140" s="32" t="s">
        <v>136</v>
      </c>
      <c r="N140" s="2"/>
      <c r="O140" s="2"/>
      <c r="P140" s="42"/>
      <c r="Q140" s="29"/>
      <c r="R140" s="29"/>
      <c r="S140" s="30"/>
      <c r="T140" s="18"/>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row>
    <row r="141" spans="1:166" x14ac:dyDescent="0.2">
      <c r="A141" s="49"/>
      <c r="B141" s="49"/>
      <c r="C141" s="49"/>
      <c r="D141" s="32" t="s">
        <v>15</v>
      </c>
      <c r="E141" s="2">
        <v>2.5</v>
      </c>
      <c r="F141" s="2">
        <v>2.5</v>
      </c>
      <c r="G141" s="42" t="s">
        <v>23</v>
      </c>
      <c r="H141" s="13"/>
      <c r="I141" s="48">
        <v>7</v>
      </c>
      <c r="J141" s="29"/>
      <c r="K141" s="49"/>
      <c r="L141" s="49"/>
      <c r="M141" s="32" t="s">
        <v>15</v>
      </c>
      <c r="N141" s="117" t="e">
        <f ca="1">INDIRECT("MOSFET_Selection["&amp;$N$133&amp;"]") OFFSET(INDIRECT("MOSFET_Selection[[#Headers], ["&amp;$N$133&amp;"]]"),$I141,)</f>
        <v>#REF!</v>
      </c>
      <c r="O141" s="117" t="e">
        <f ca="1">INDIRECT("MOSFET_Selection["&amp;$N$133&amp;"]") OFFSET(INDIRECT("MOSFET_Selection[[#Headers], ["&amp;$N$133&amp;"]]"),$I141,)</f>
        <v>#REF!</v>
      </c>
      <c r="P141" s="42" t="s">
        <v>23</v>
      </c>
      <c r="Q141" s="29"/>
      <c r="R141" s="29"/>
      <c r="S141" s="30"/>
      <c r="T141" s="18"/>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row>
    <row r="142" spans="1:166" x14ac:dyDescent="0.2">
      <c r="A142" s="49"/>
      <c r="B142" s="49"/>
      <c r="C142" s="49"/>
      <c r="D142" s="32" t="s">
        <v>16</v>
      </c>
      <c r="E142" s="2">
        <v>4</v>
      </c>
      <c r="F142" s="2">
        <v>4</v>
      </c>
      <c r="G142" s="42" t="s">
        <v>23</v>
      </c>
      <c r="H142" s="13"/>
      <c r="I142" s="48">
        <v>8</v>
      </c>
      <c r="J142" s="29"/>
      <c r="K142" s="49"/>
      <c r="L142" s="49"/>
      <c r="M142" s="32" t="s">
        <v>16</v>
      </c>
      <c r="N142" s="117" t="e">
        <f ca="1">INDIRECT("MOSFET_Selection["&amp;$N$133&amp;"]") OFFSET(INDIRECT("MOSFET_Selection[[#Headers], ["&amp;$N$133&amp;"]]"),$I142,)</f>
        <v>#REF!</v>
      </c>
      <c r="O142" s="117" t="e">
        <f ca="1">INDIRECT("MOSFET_Selection["&amp;$N$133&amp;"]") OFFSET(INDIRECT("MOSFET_Selection[[#Headers], ["&amp;$N$133&amp;"]]"),$I142,)</f>
        <v>#REF!</v>
      </c>
      <c r="P142" s="42" t="s">
        <v>23</v>
      </c>
      <c r="Q142" s="29"/>
      <c r="R142" s="29"/>
      <c r="S142" s="30"/>
      <c r="T142" s="18"/>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row>
    <row r="143" spans="1:166" x14ac:dyDescent="0.2">
      <c r="A143" s="49"/>
      <c r="B143" s="49"/>
      <c r="C143" s="49"/>
      <c r="D143" s="32" t="s">
        <v>251</v>
      </c>
      <c r="E143" s="2">
        <v>36</v>
      </c>
      <c r="F143" s="2">
        <v>36</v>
      </c>
      <c r="G143" s="42" t="s">
        <v>23</v>
      </c>
      <c r="H143" s="13"/>
      <c r="I143" s="48">
        <v>9</v>
      </c>
      <c r="J143" s="29"/>
      <c r="K143" s="49"/>
      <c r="L143" s="49"/>
      <c r="M143" s="32" t="s">
        <v>61</v>
      </c>
      <c r="N143" s="117" t="e">
        <f ca="1">INDIRECT("MOSFET_Selection["&amp;$N$133&amp;"]") OFFSET(INDIRECT("MOSFET_Selection[[#Headers], ["&amp;$N$133&amp;"]]"),$I143,)</f>
        <v>#REF!</v>
      </c>
      <c r="O143" s="117" t="e">
        <f ca="1">INDIRECT("MOSFET_Selection["&amp;$N$133&amp;"]") OFFSET(INDIRECT("MOSFET_Selection[[#Headers], ["&amp;$N$133&amp;"]]"),$I143,)</f>
        <v>#REF!</v>
      </c>
      <c r="P143" s="42" t="s">
        <v>23</v>
      </c>
      <c r="Q143" s="29"/>
      <c r="R143" s="29"/>
      <c r="S143" s="30"/>
      <c r="T143" s="18"/>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row>
    <row r="144" spans="1:166" x14ac:dyDescent="0.2">
      <c r="A144" s="49"/>
      <c r="B144" s="49"/>
      <c r="C144" s="49"/>
      <c r="D144" s="32" t="s">
        <v>17</v>
      </c>
      <c r="E144" s="2">
        <v>1.5</v>
      </c>
      <c r="F144" s="2">
        <v>1.5</v>
      </c>
      <c r="G144" s="120" t="s">
        <v>24</v>
      </c>
      <c r="H144" s="13"/>
      <c r="I144" s="48">
        <v>10</v>
      </c>
      <c r="J144" s="29"/>
      <c r="K144" s="49"/>
      <c r="L144" s="49"/>
      <c r="M144" s="32" t="s">
        <v>17</v>
      </c>
      <c r="N144" s="117" t="e">
        <f ca="1">INDIRECT("MOSFET_Selection["&amp;$N$133&amp;"]") OFFSET(INDIRECT("MOSFET_Selection[[#Headers], ["&amp;$N$133&amp;"]]"),$I144,)</f>
        <v>#REF!</v>
      </c>
      <c r="O144" s="117" t="e">
        <f ca="1">INDIRECT("MOSFET_Selection["&amp;$N$133&amp;"]") OFFSET(INDIRECT("MOSFET_Selection[[#Headers], ["&amp;$N$133&amp;"]]"),$I144,)</f>
        <v>#REF!</v>
      </c>
      <c r="P144" s="120" t="s">
        <v>24</v>
      </c>
      <c r="Q144" s="29"/>
      <c r="R144" s="29"/>
      <c r="S144" s="30"/>
      <c r="T144" s="18"/>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row>
    <row r="145" spans="1:165" x14ac:dyDescent="0.2">
      <c r="A145" s="49"/>
      <c r="B145" s="49"/>
      <c r="C145" s="49"/>
      <c r="D145" s="32" t="s">
        <v>18</v>
      </c>
      <c r="E145" s="2">
        <v>150</v>
      </c>
      <c r="F145" s="2">
        <v>150</v>
      </c>
      <c r="G145" s="42" t="s">
        <v>25</v>
      </c>
      <c r="H145" s="13"/>
      <c r="I145" s="48">
        <v>11</v>
      </c>
      <c r="J145" s="29"/>
      <c r="K145" s="49"/>
      <c r="L145" s="49"/>
      <c r="M145" s="32" t="s">
        <v>18</v>
      </c>
      <c r="N145" s="117" t="e">
        <f ca="1">INDIRECT("MOSFET_Selection["&amp;$N$133&amp;"]") OFFSET(INDIRECT("MOSFET_Selection[[#Headers], ["&amp;$N$133&amp;"]]"),$I145,)</f>
        <v>#REF!</v>
      </c>
      <c r="O145" s="117" t="e">
        <f ca="1">INDIRECT("MOSFET_Selection["&amp;$N$133&amp;"]") OFFSET(INDIRECT("MOSFET_Selection[[#Headers], ["&amp;$N$133&amp;"]]"),$I145,)</f>
        <v>#REF!</v>
      </c>
      <c r="P145" s="42" t="s">
        <v>25</v>
      </c>
      <c r="Q145" s="29"/>
      <c r="R145" s="29"/>
      <c r="S145" s="30"/>
      <c r="T145" s="18"/>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row>
    <row r="146" spans="1:165" x14ac:dyDescent="0.2">
      <c r="A146" s="49"/>
      <c r="B146" s="49"/>
      <c r="C146" s="49"/>
      <c r="D146" s="32" t="s">
        <v>19</v>
      </c>
      <c r="E146" s="2">
        <v>2</v>
      </c>
      <c r="F146" s="2">
        <v>2</v>
      </c>
      <c r="G146" s="42" t="s">
        <v>1</v>
      </c>
      <c r="H146" s="13"/>
      <c r="I146" s="48">
        <v>12</v>
      </c>
      <c r="J146" s="29"/>
      <c r="K146" s="49"/>
      <c r="L146" s="49"/>
      <c r="M146" s="32" t="s">
        <v>19</v>
      </c>
      <c r="N146" s="117" t="e">
        <f ca="1">INDIRECT("MOSFET_Selection["&amp;$N$133&amp;"]") OFFSET(INDIRECT("MOSFET_Selection[[#Headers], ["&amp;$N$133&amp;"]]"),$I146,)</f>
        <v>#REF!</v>
      </c>
      <c r="O146" s="117" t="e">
        <f ca="1">INDIRECT("MOSFET_Selection["&amp;$N$133&amp;"]") OFFSET(INDIRECT("MOSFET_Selection[[#Headers], ["&amp;$N$133&amp;"]]"),$I146,)</f>
        <v>#REF!</v>
      </c>
      <c r="P146" s="42" t="s">
        <v>1</v>
      </c>
      <c r="Q146" s="29"/>
      <c r="R146" s="29"/>
      <c r="S146" s="30"/>
      <c r="T146" s="18"/>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row>
    <row r="147" spans="1:165" x14ac:dyDescent="0.2">
      <c r="A147" s="49"/>
      <c r="B147" s="49"/>
      <c r="C147" s="49"/>
      <c r="D147" s="32" t="s">
        <v>167</v>
      </c>
      <c r="E147" s="2">
        <v>0.8</v>
      </c>
      <c r="F147" s="2">
        <v>0.8</v>
      </c>
      <c r="G147" s="42" t="s">
        <v>1</v>
      </c>
      <c r="H147" s="13"/>
      <c r="I147" s="48">
        <v>13</v>
      </c>
      <c r="J147" s="29"/>
      <c r="K147" s="49"/>
      <c r="L147" s="49"/>
      <c r="M147" s="32" t="s">
        <v>167</v>
      </c>
      <c r="N147" s="117" t="e">
        <f ca="1">INDIRECT("MOSFET_Selection["&amp;$N$133&amp;"]") OFFSET(INDIRECT("MOSFET_Selection[[#Headers], ["&amp;$N$133&amp;"]]"),$I147,)</f>
        <v>#REF!</v>
      </c>
      <c r="O147" s="117" t="e">
        <f ca="1">INDIRECT("MOSFET_Selection["&amp;$N$133&amp;"]") OFFSET(INDIRECT("MOSFET_Selection[[#Headers], ["&amp;$N$133&amp;"]]"),$I147,)</f>
        <v>#REF!</v>
      </c>
      <c r="P147" s="42" t="s">
        <v>1</v>
      </c>
      <c r="Q147" s="29"/>
      <c r="R147" s="29"/>
      <c r="S147" s="30"/>
      <c r="T147" s="18"/>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row>
    <row r="148" spans="1:165" x14ac:dyDescent="0.2">
      <c r="A148" s="49"/>
      <c r="B148" s="49"/>
      <c r="C148" s="49"/>
      <c r="D148" s="32" t="s">
        <v>20</v>
      </c>
      <c r="E148" s="2">
        <v>33</v>
      </c>
      <c r="F148" s="65"/>
      <c r="G148" s="42" t="s">
        <v>23</v>
      </c>
      <c r="H148" s="13"/>
      <c r="I148" s="48">
        <v>14</v>
      </c>
      <c r="J148" s="29"/>
      <c r="K148" s="49"/>
      <c r="L148" s="49"/>
      <c r="M148" s="32" t="s">
        <v>20</v>
      </c>
      <c r="N148" s="117" t="e">
        <f ca="1">INDIRECT("MOSFET_Selection["&amp;$N$133&amp;"]") OFFSET(INDIRECT("MOSFET_Selection[[#Headers], ["&amp;$N$133&amp;"]]"),$I148,)</f>
        <v>#REF!</v>
      </c>
      <c r="O148" s="49"/>
      <c r="P148" s="42" t="s">
        <v>23</v>
      </c>
      <c r="Q148" s="29"/>
      <c r="R148" s="29"/>
      <c r="S148" s="30"/>
      <c r="T148" s="18"/>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row>
    <row r="149" spans="1:165" ht="16" thickBot="1" x14ac:dyDescent="0.25">
      <c r="A149" s="47"/>
      <c r="B149" s="47"/>
      <c r="C149" s="47"/>
      <c r="D149" s="35" t="s">
        <v>21</v>
      </c>
      <c r="E149" s="3">
        <v>50</v>
      </c>
      <c r="F149" s="3">
        <v>50</v>
      </c>
      <c r="G149" s="45" t="s">
        <v>26</v>
      </c>
      <c r="H149" s="13"/>
      <c r="I149" s="46">
        <v>15</v>
      </c>
      <c r="J149" s="114"/>
      <c r="K149" s="47"/>
      <c r="L149" s="47"/>
      <c r="M149" s="35" t="s">
        <v>21</v>
      </c>
      <c r="N149" s="121" t="e">
        <f ca="1">INDIRECT("MOSFET_Selection["&amp;$N$133&amp;"]") OFFSET(INDIRECT("MOSFET_Selection[[#Headers], ["&amp;$N$133&amp;"]]"),$I149,)</f>
        <v>#REF!</v>
      </c>
      <c r="O149" s="121" t="e">
        <f ca="1">INDIRECT("MOSFET_Selection["&amp;$N$133&amp;"]") OFFSET(INDIRECT("MOSFET_Selection[[#Headers], ["&amp;$N$133&amp;"]]"),$I149,)</f>
        <v>#REF!</v>
      </c>
      <c r="P149" s="45" t="s">
        <v>26</v>
      </c>
      <c r="Q149" s="29"/>
      <c r="R149" s="29"/>
      <c r="S149" s="30"/>
      <c r="T149" s="18"/>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row>
    <row r="150" spans="1:165" x14ac:dyDescent="0.2">
      <c r="A150" s="48"/>
      <c r="B150" s="49"/>
      <c r="C150" s="49"/>
      <c r="D150" s="39"/>
      <c r="E150" s="49"/>
      <c r="F150" s="49"/>
      <c r="G150" s="49"/>
      <c r="H150" s="13"/>
      <c r="I150" s="13"/>
      <c r="J150" s="29"/>
      <c r="K150" s="29"/>
      <c r="L150" s="29"/>
      <c r="M150" s="29"/>
      <c r="N150" s="29"/>
      <c r="O150" s="29"/>
      <c r="P150" s="29"/>
      <c r="Q150" s="29"/>
      <c r="R150" s="29"/>
      <c r="S150" s="30"/>
      <c r="T150" s="18"/>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row>
    <row r="151" spans="1:165" ht="16" thickBot="1" x14ac:dyDescent="0.25">
      <c r="A151" s="36" t="s">
        <v>140</v>
      </c>
      <c r="B151" s="49"/>
      <c r="C151" s="49"/>
      <c r="D151" s="39"/>
      <c r="E151" s="49"/>
      <c r="F151" s="49"/>
      <c r="G151" s="49"/>
      <c r="H151" s="13"/>
      <c r="I151" s="13"/>
      <c r="J151" s="29"/>
      <c r="K151" s="29"/>
      <c r="L151" s="29"/>
      <c r="M151" s="29"/>
      <c r="N151" s="29"/>
      <c r="O151" s="29"/>
      <c r="P151" s="29"/>
      <c r="Q151" s="29"/>
      <c r="R151" s="29"/>
      <c r="S151" s="30"/>
      <c r="T151" s="18"/>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row>
    <row r="152" spans="1:165" ht="16" thickBot="1" x14ac:dyDescent="0.25">
      <c r="A152" s="110"/>
      <c r="B152" s="104"/>
      <c r="C152" s="104"/>
      <c r="D152" s="111" t="s">
        <v>132</v>
      </c>
      <c r="E152" s="126">
        <v>12</v>
      </c>
      <c r="F152" s="137" t="s">
        <v>1</v>
      </c>
      <c r="G152" s="49"/>
      <c r="H152" s="13"/>
      <c r="I152" s="13"/>
      <c r="J152" s="29"/>
      <c r="K152" s="29"/>
      <c r="L152" s="29"/>
      <c r="M152" s="29"/>
      <c r="N152" s="29"/>
      <c r="O152" s="29"/>
      <c r="P152" s="29"/>
      <c r="Q152" s="29"/>
      <c r="R152" s="29"/>
      <c r="S152" s="30"/>
      <c r="T152" s="18"/>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row>
    <row r="153" spans="1:165" ht="16" thickBot="1" x14ac:dyDescent="0.25">
      <c r="A153" s="48"/>
      <c r="B153" s="49"/>
      <c r="C153" s="49"/>
      <c r="D153" s="39"/>
      <c r="E153" s="49"/>
      <c r="F153" s="49"/>
      <c r="G153" s="49"/>
      <c r="H153" s="13"/>
      <c r="I153" s="13"/>
      <c r="J153" s="29"/>
      <c r="K153" s="29"/>
      <c r="L153" s="29"/>
      <c r="M153" s="29"/>
      <c r="N153" s="29"/>
      <c r="O153" s="29"/>
      <c r="P153" s="29"/>
      <c r="Q153" s="29"/>
      <c r="R153" s="29"/>
      <c r="S153" s="30"/>
      <c r="T153" s="18"/>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row>
    <row r="154" spans="1:165" ht="25.5" customHeight="1" thickBot="1" x14ac:dyDescent="0.35">
      <c r="A154" s="216" t="s">
        <v>10</v>
      </c>
      <c r="B154" s="217"/>
      <c r="C154" s="217"/>
      <c r="D154" s="217"/>
      <c r="E154" s="217"/>
      <c r="F154" s="56"/>
      <c r="G154" s="56"/>
      <c r="H154" s="57"/>
      <c r="I154" s="57"/>
      <c r="J154" s="58"/>
      <c r="K154" s="58"/>
      <c r="L154" s="58"/>
      <c r="M154" s="58"/>
      <c r="N154" s="58"/>
      <c r="O154" s="58"/>
      <c r="P154" s="58"/>
      <c r="Q154" s="58"/>
      <c r="R154" s="58"/>
      <c r="S154" s="59"/>
      <c r="T154" s="18"/>
      <c r="U154" s="19"/>
      <c r="V154" s="19"/>
      <c r="W154" s="19"/>
      <c r="X154" s="19"/>
      <c r="Y154" s="19"/>
      <c r="Z154" s="19"/>
      <c r="AA154" s="19"/>
      <c r="AB154" s="19"/>
      <c r="AC154" s="19"/>
      <c r="AD154" s="19"/>
      <c r="AE154" s="19"/>
      <c r="AF154" s="219" t="s">
        <v>347</v>
      </c>
      <c r="AG154" s="220"/>
      <c r="AH154" s="220"/>
      <c r="AI154" s="220"/>
      <c r="AJ154" s="220"/>
      <c r="AK154" s="220"/>
      <c r="AL154" s="220"/>
      <c r="AM154" s="141"/>
      <c r="AN154" s="222" t="s">
        <v>183</v>
      </c>
      <c r="AO154" s="223"/>
      <c r="AP154" s="223"/>
      <c r="AQ154" s="223"/>
      <c r="AR154" s="223"/>
      <c r="AS154" s="223"/>
      <c r="AT154" s="223"/>
      <c r="AU154" s="223"/>
      <c r="AV154" s="223"/>
      <c r="AW154" s="223"/>
      <c r="AX154" s="223"/>
      <c r="AY154" s="223"/>
      <c r="AZ154" s="223"/>
      <c r="BA154" s="223"/>
      <c r="BB154" s="223"/>
      <c r="BC154" s="223"/>
      <c r="BD154" s="223"/>
      <c r="BE154" s="223"/>
      <c r="BF154" s="141"/>
      <c r="BG154" s="222" t="s">
        <v>184</v>
      </c>
      <c r="BH154" s="223"/>
      <c r="BI154" s="223"/>
      <c r="BJ154" s="223"/>
      <c r="BK154" s="223"/>
      <c r="BL154" s="223"/>
      <c r="BM154" s="223"/>
      <c r="BN154" s="223"/>
      <c r="BO154" s="223"/>
      <c r="BP154" s="223"/>
      <c r="BQ154" s="223"/>
      <c r="BR154" s="223"/>
      <c r="BS154" s="223"/>
      <c r="BT154" s="223"/>
      <c r="BU154" s="223"/>
      <c r="BV154" s="223"/>
      <c r="BW154" s="223"/>
      <c r="BX154" s="223"/>
      <c r="BY154" s="141"/>
      <c r="BZ154" s="141"/>
      <c r="CA154" s="141"/>
      <c r="CB154" s="224" t="s">
        <v>208</v>
      </c>
      <c r="CC154" s="225"/>
      <c r="CD154" s="225"/>
      <c r="CE154" s="141"/>
      <c r="CF154" s="222" t="s">
        <v>212</v>
      </c>
      <c r="CG154" s="223"/>
      <c r="CH154" s="223"/>
      <c r="CI154" s="223"/>
      <c r="CJ154" s="141"/>
      <c r="CK154" s="222" t="s">
        <v>223</v>
      </c>
      <c r="CL154" s="223"/>
      <c r="CM154" s="223"/>
      <c r="CN154" s="223"/>
      <c r="CO154" s="141"/>
      <c r="CP154" s="218" t="s">
        <v>224</v>
      </c>
      <c r="CQ154" s="218"/>
      <c r="CR154" s="218"/>
      <c r="CS154" s="141"/>
      <c r="CT154" s="218" t="s">
        <v>227</v>
      </c>
      <c r="CU154" s="218"/>
      <c r="CV154" s="218"/>
      <c r="CW154" s="141"/>
      <c r="CX154" s="218" t="s">
        <v>234</v>
      </c>
      <c r="CY154" s="218"/>
      <c r="CZ154" s="218"/>
      <c r="DA154" s="141"/>
      <c r="DB154" s="218" t="s">
        <v>235</v>
      </c>
      <c r="DC154" s="218"/>
      <c r="DD154" s="218"/>
      <c r="DE154" s="141"/>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row>
    <row r="155" spans="1:165" ht="18" thickBot="1" x14ac:dyDescent="0.25">
      <c r="A155" s="48"/>
      <c r="B155" s="49"/>
      <c r="C155" s="49"/>
      <c r="D155" s="39"/>
      <c r="E155" s="49"/>
      <c r="F155" s="49"/>
      <c r="G155" s="49"/>
      <c r="H155" s="29"/>
      <c r="I155" s="29"/>
      <c r="J155" s="29"/>
      <c r="K155" s="29"/>
      <c r="L155" s="29"/>
      <c r="M155" s="29"/>
      <c r="N155" s="29"/>
      <c r="O155" s="29"/>
      <c r="P155" s="29"/>
      <c r="Q155" s="29"/>
      <c r="R155" s="29"/>
      <c r="S155" s="30"/>
      <c r="T155" s="18"/>
      <c r="U155" s="19"/>
      <c r="V155" s="19"/>
      <c r="W155" s="19"/>
      <c r="X155" s="19"/>
      <c r="Y155" s="19"/>
      <c r="Z155" s="19"/>
      <c r="AA155" s="19"/>
      <c r="AB155" s="19"/>
      <c r="AC155" s="19"/>
      <c r="AD155" s="19"/>
      <c r="AE155" s="19"/>
      <c r="AF155" s="138" t="s">
        <v>58</v>
      </c>
      <c r="AG155" s="138" t="s">
        <v>211</v>
      </c>
      <c r="AH155" s="139" t="s">
        <v>210</v>
      </c>
      <c r="AI155" s="139" t="s">
        <v>40</v>
      </c>
      <c r="AJ155" s="139" t="s">
        <v>43</v>
      </c>
      <c r="AK155" s="139" t="s">
        <v>44</v>
      </c>
      <c r="AL155" s="139" t="s">
        <v>42</v>
      </c>
      <c r="AM155" s="140" t="s">
        <v>175</v>
      </c>
      <c r="AN155" s="139" t="s">
        <v>154</v>
      </c>
      <c r="AO155" s="139" t="s">
        <v>155</v>
      </c>
      <c r="AP155" s="139" t="s">
        <v>156</v>
      </c>
      <c r="AQ155" s="139" t="s">
        <v>157</v>
      </c>
      <c r="AR155" s="139" t="s">
        <v>158</v>
      </c>
      <c r="AS155" s="139" t="s">
        <v>159</v>
      </c>
      <c r="AT155" s="139" t="s">
        <v>161</v>
      </c>
      <c r="AU155" s="139" t="s">
        <v>162</v>
      </c>
      <c r="AV155" s="139" t="s">
        <v>170</v>
      </c>
      <c r="AW155" s="139" t="s">
        <v>166</v>
      </c>
      <c r="AX155" s="139" t="s">
        <v>168</v>
      </c>
      <c r="AY155" s="139" t="s">
        <v>169</v>
      </c>
      <c r="AZ155" s="139" t="s">
        <v>153</v>
      </c>
      <c r="BA155" s="139" t="s">
        <v>163</v>
      </c>
      <c r="BB155" s="139" t="s">
        <v>164</v>
      </c>
      <c r="BC155" s="139" t="s">
        <v>165</v>
      </c>
      <c r="BD155" s="139" t="s">
        <v>186</v>
      </c>
      <c r="BE155" s="139" t="s">
        <v>171</v>
      </c>
      <c r="BF155" s="139" t="s">
        <v>185</v>
      </c>
      <c r="BG155" s="140" t="s">
        <v>160</v>
      </c>
      <c r="BH155" s="139" t="s">
        <v>187</v>
      </c>
      <c r="BI155" s="139" t="s">
        <v>188</v>
      </c>
      <c r="BJ155" s="139" t="s">
        <v>189</v>
      </c>
      <c r="BK155" s="139" t="s">
        <v>190</v>
      </c>
      <c r="BL155" s="139" t="s">
        <v>191</v>
      </c>
      <c r="BM155" s="139" t="s">
        <v>192</v>
      </c>
      <c r="BN155" s="139" t="s">
        <v>193</v>
      </c>
      <c r="BO155" s="139" t="s">
        <v>194</v>
      </c>
      <c r="BP155" s="139" t="s">
        <v>195</v>
      </c>
      <c r="BQ155" s="139" t="s">
        <v>196</v>
      </c>
      <c r="BR155" s="139" t="s">
        <v>197</v>
      </c>
      <c r="BS155" s="139" t="s">
        <v>198</v>
      </c>
      <c r="BT155" s="139" t="s">
        <v>199</v>
      </c>
      <c r="BU155" s="139" t="s">
        <v>200</v>
      </c>
      <c r="BV155" s="139" t="s">
        <v>201</v>
      </c>
      <c r="BW155" s="139" t="s">
        <v>202</v>
      </c>
      <c r="BX155" s="139" t="s">
        <v>203</v>
      </c>
      <c r="BY155" s="139" t="s">
        <v>204</v>
      </c>
      <c r="BZ155" s="151" t="s">
        <v>218</v>
      </c>
      <c r="CA155" s="140" t="s">
        <v>182</v>
      </c>
      <c r="CB155" s="139" t="s">
        <v>205</v>
      </c>
      <c r="CC155" s="139" t="s">
        <v>207</v>
      </c>
      <c r="CD155" s="139" t="s">
        <v>206</v>
      </c>
      <c r="CE155" s="140" t="s">
        <v>176</v>
      </c>
      <c r="CF155" s="139" t="s">
        <v>59</v>
      </c>
      <c r="CG155" s="139" t="s">
        <v>60</v>
      </c>
      <c r="CH155" s="139" t="s">
        <v>209</v>
      </c>
      <c r="CI155" s="139" t="s">
        <v>41</v>
      </c>
      <c r="CJ155" s="140" t="s">
        <v>177</v>
      </c>
      <c r="CK155" s="139" t="s">
        <v>214</v>
      </c>
      <c r="CL155" s="139" t="s">
        <v>215</v>
      </c>
      <c r="CM155" s="139" t="s">
        <v>216</v>
      </c>
      <c r="CN155" s="139" t="s">
        <v>217</v>
      </c>
      <c r="CO155" s="140" t="s">
        <v>213</v>
      </c>
      <c r="CP155" s="139" t="s">
        <v>219</v>
      </c>
      <c r="CQ155" s="139" t="s">
        <v>220</v>
      </c>
      <c r="CR155" s="139" t="s">
        <v>221</v>
      </c>
      <c r="CS155" s="140" t="s">
        <v>178</v>
      </c>
      <c r="CT155" s="139" t="s">
        <v>225</v>
      </c>
      <c r="CU155" s="139" t="s">
        <v>226</v>
      </c>
      <c r="CV155" s="139" t="s">
        <v>222</v>
      </c>
      <c r="CW155" s="140" t="s">
        <v>179</v>
      </c>
      <c r="CX155" s="139" t="s">
        <v>228</v>
      </c>
      <c r="CY155" s="139" t="s">
        <v>229</v>
      </c>
      <c r="CZ155" s="139" t="s">
        <v>230</v>
      </c>
      <c r="DA155" s="140" t="s">
        <v>181</v>
      </c>
      <c r="DB155" s="139" t="s">
        <v>231</v>
      </c>
      <c r="DC155" s="139" t="s">
        <v>232</v>
      </c>
      <c r="DD155" s="139" t="s">
        <v>233</v>
      </c>
      <c r="DE155" s="140" t="s">
        <v>180</v>
      </c>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row>
    <row r="156" spans="1:165" ht="16" thickBot="1" x14ac:dyDescent="0.25">
      <c r="A156" s="36" t="s">
        <v>338</v>
      </c>
      <c r="B156" s="49"/>
      <c r="C156" s="49"/>
      <c r="D156" s="39"/>
      <c r="E156" s="49"/>
      <c r="F156" s="49"/>
      <c r="G156" s="49"/>
      <c r="H156" s="29"/>
      <c r="I156" s="29"/>
      <c r="J156" s="29"/>
      <c r="K156" s="29"/>
      <c r="L156" s="29"/>
      <c r="M156" s="29"/>
      <c r="N156" s="29"/>
      <c r="O156" s="29"/>
      <c r="P156" s="29"/>
      <c r="Q156" s="29"/>
      <c r="R156" s="29"/>
      <c r="S156" s="30"/>
      <c r="T156" s="18"/>
      <c r="U156" s="19"/>
      <c r="V156" s="19"/>
      <c r="W156" s="19"/>
      <c r="X156" s="19"/>
      <c r="Y156" s="19"/>
      <c r="Z156" s="19"/>
      <c r="AA156" s="19"/>
      <c r="AB156" s="19"/>
      <c r="AC156" s="19"/>
      <c r="AD156" s="19"/>
      <c r="AE156" s="19"/>
      <c r="AF156" s="143">
        <v>0</v>
      </c>
      <c r="AG156" s="143">
        <f>0</f>
        <v>0</v>
      </c>
      <c r="AH156" s="144">
        <f t="shared" ref="AH156:AH187" si="3">AG156*VACnom</f>
        <v>0</v>
      </c>
      <c r="AI156" s="145">
        <f t="shared" ref="AI156:AI187" si="4">IF(VACnom&lt;Vbat, (Vbat-VACnom)/Vbat, Vbat/VACnom)</f>
        <v>0.16376306620209058</v>
      </c>
      <c r="AJ156" s="145">
        <f t="shared" ref="AJ156:AJ187" si="5">IF(VACnom&lt;Vbat, AG156/(1-AI156), AG156*AI156)</f>
        <v>0</v>
      </c>
      <c r="AK156" s="145" t="e">
        <f t="shared" ref="AK156:AK184" si="6">Ipkpk_VACnom</f>
        <v>#NAME?</v>
      </c>
      <c r="AL156" s="145" t="e">
        <f t="shared" ref="AL156:AL184" si="7">SQRT(AJ156^2+AK156^2/12)</f>
        <v>#NAME?</v>
      </c>
      <c r="AM156" s="146"/>
      <c r="AN156" s="145" t="e">
        <f>MAX(0,Table7[[#This Row],[I_L]]-0.5*Table7[[#This Row],[I_L pkpk]])</f>
        <v>#NAME?</v>
      </c>
      <c r="AO156" s="145" t="e">
        <f>Table7[[#This Row],[I_L]]+0.5*Table7[[#This Row],[I_L pkpk]]</f>
        <v>#NAME?</v>
      </c>
      <c r="AP156" s="145" t="e">
        <f ca="1">IF(VACnom&gt;Vbat, (VGS_S-(TI_MOSFET_S_VTH_H_BU+Table7[[#This Row],[I_L]]/TI_MOSFET_S_gFS_H_BU))/3.4, (VGS_S-(TI_MOSFET_S_VTH_L_BO+Table7[[#This Row],[I_L]]/TI_MOSFET_S_gFS_L_BO))/3.4 )</f>
        <v>#REF!</v>
      </c>
      <c r="AQ156" s="145" t="e">
        <f ca="1">IF(VACnom&gt;Vbat, ((TI_MOSFET_S_VTH_H_BU+Table7[[#This Row],[I_L]]/TI_MOSFET_S_gFS_H_BU))/1, ((TI_MOSFET_S_VTH_L_BO+Table7[[#This Row],[I_L]]/TI_MOSFET_S_gFS_L_BO))/1 )</f>
        <v>#REF!</v>
      </c>
      <c r="AR156" s="145" t="e">
        <f ca="1">IF(VACnom&gt;Vbat, (TI_MOSFET_S_QGD_H_BU+TI_MOSFET_S_QGS_H_BU)*10^-9/Table7[[#This Row],[Ion (A)]], (TI_MOSFET_S_QGD_L_BO+TI_MOSFET_S_QGS_L_BO)*10^-9/Table7[[#This Row],[Ion (A)]])/10^-9</f>
        <v>#REF!</v>
      </c>
      <c r="AS156" s="145" t="e">
        <f ca="1">IF(VACnom&gt;Vbat, (TI_MOSFET_S_QGD_H_BU+TI_MOSFET_S_QGS_H_BU)*10^-9/Table7[[#This Row],[Ioff (A)]], (TI_MOSFET_S_QGD_L_BO+TI_MOSFET_S_QGS_L_BO)*10^-9/Table7[[#This Row],[Ioff (A)]])/10^-9</f>
        <v>#REF!</v>
      </c>
      <c r="AT156" s="145" t="e">
        <f ca="1" xml:space="preserve"> 0.5*VACnom*Table7[[#This Row],[Ivalley (A)]]*Table7[[#This Row],[ton (ns)]]*10^-9*Fsw*10^3+0.5*VACnom*Table7[[#This Row],[Ipeak (A)]]*Table7[[#This Row],[toff (ns)]]*10^-9*Fsw*10^3/10^-3</f>
        <v>#NAME?</v>
      </c>
      <c r="AU156" s="145" t="e">
        <f t="shared" ref="AU156:AU187" ca="1" si="8">IF(VACnom&gt;Vbat, 0.5*VACnom*TI_MOSFET_S_QOSS_H_BU*10^-9*Fsw*10^3,0.5*VACnom*TI_MOSFET_S_QOSS_L_BO*10^-9*Fsw*10^3)/10^-3</f>
        <v>#REF!</v>
      </c>
      <c r="AV156" s="145" t="e">
        <f t="shared" ref="AV156:AV187" ca="1" si="9">IF(VACnom&gt;Vbat, VACnom*TI_MOSFET_S_QG_H_BU*10^-9*Fsw*10^3,VACnom*TI_MOSFET_S_QG_H_BO*10^-9*Fsw*10^3)/10^-3</f>
        <v>#REF!</v>
      </c>
      <c r="AW156" s="145" t="e">
        <f t="shared" ref="AW156:AW187" ca="1" si="10">IF(VACnom&gt;Vbat, VACnom*TI_MOSFET_S_QRR_L_BU*10^-9*Fsw*10^3, VACnom*TI_MOSFET_S_QRR_H_BO*10^-9*Fsw*10^3)/10^-3</f>
        <v>#REF!</v>
      </c>
      <c r="AX156" s="145" t="e">
        <f ca="1">IF(VACnom&gt;Vbat, TI_MOSFET_S_VSD_L_BU*Table7[[#This Row],[Ivalley (A)]]*Fsw*10^3*40*10^-9+TI_MOSFET_S_VSD_L_BU*Table7[[#This Row],[Ipeak (A)]]*Fsw*10^3*30*10^-9, TI_MOSFET_S_VSD_H_BO*Table7[[#This Row],[Ivalley (A)]]*Fsw*10^3*40*10^-9+TI_MOSFET_S_VSD_H_BO*Table7[[#This Row],[Ipeak (A)]]*Fsw*10^3*30*10^-9)/10^-3</f>
        <v>#REF!</v>
      </c>
      <c r="AY156" s="145" t="e">
        <f t="shared" ref="AY156:AY187" ca="1" si="11">IF(VACnom&gt;Vbat, VACnom*TI_MOSFET_S_QG_L_BU*10^-9*Fsw*10^3, VACnom*TI_MOSFET_S_QG_L_BO*10^-9*Fsw*10^3)/10^-3</f>
        <v>#REF!</v>
      </c>
      <c r="AZ156" s="145" t="e">
        <f ca="1">IF(VACnom&lt;Vbat, Table7[[#This Row],[Duty Cycle]]*Table7[[#This Row],[I_L RMS]]^2*TI_MOSFET_S_RDSON_H_BU*10^-3, (1-Table7[[#This Row],[Duty Cycle]])*Table7[[#This Row],[I_L RMS]]^2*TI_MOSFET_S_RDSON_H_BO*10^-3)/10^-3</f>
        <v>#NAME?</v>
      </c>
      <c r="BA156" s="145" t="e">
        <f ca="1">IF(VACnom&gt;Vbat, Table7[[#This Row],[PIV (mW)]]+Table7[[#This Row],[Pqoss (mW)]]+Table7[[#This Row],[Pgate_top (mW)]], Table7[[#This Row],[PRR (mW)]]+Table7[[#This Row],[Pdead (mW)]]+Table7[[#This Row],[Pgate_top (mW)]])</f>
        <v>#REF!</v>
      </c>
      <c r="BB156" s="145" t="e">
        <f ca="1">Table7[[#This Row],[Pcon_top (mW)]]+Table7[[#This Row],[Psw_top (mW)]]</f>
        <v>#NAME?</v>
      </c>
      <c r="BC156" s="145" t="e">
        <f ca="1">IF(VACnom&gt;Vbat, (1-Table7[[#This Row],[Duty Cycle]])*Table7[[#This Row],[I_L RMS]]^2*TI_MOSFET_S_RDSON_L_BU*10^-3, Table7[[#This Row],[Duty Cycle]]*Table7[[#This Row],[I_L RMS]]^2*TI_MOSFET_S_RDSON_L_BO*10^-3)/10^-3</f>
        <v>#NAME?</v>
      </c>
      <c r="BD156" s="145" t="e">
        <f ca="1">IF(VACnom&gt;Vbat, Table7[[#This Row],[PRR (mW)]]+Table7[[#This Row],[Pdead (mW)]]+Table7[[#This Row],[Pgate_bottom (mW)]], Table7[[#This Row],[PIV (mW)]]+Table7[[#This Row],[Pqoss (mW)]]+Table7[[#This Row],[Pgate_bottom (mW)]])</f>
        <v>#NAME?</v>
      </c>
      <c r="BE156" s="147" t="e">
        <f ca="1">Table7[[#This Row],[Pcon_bottom (mW)]]+Table7[[#This Row],[Psw_bottom (mW)]]</f>
        <v>#NAME?</v>
      </c>
      <c r="BF156" s="145" t="e">
        <f ca="1">Table7[[#This Row],[Pbottom (mW)]]+Table7[[#This Row],[Ptop (mW)]]</f>
        <v>#NAME?</v>
      </c>
      <c r="BG156" s="142"/>
      <c r="BH156" s="145" t="e">
        <f>MAX(0,Table7[[#This Row],[I_L]]-0.5*Table7[[#This Row],[I_L pkpk]])</f>
        <v>#NAME?</v>
      </c>
      <c r="BI156" s="145" t="e">
        <f>Table7[[#This Row],[I_L]]+0.5*Table7[[#This Row],[I_L pkpk]]</f>
        <v>#NAME?</v>
      </c>
      <c r="BJ156" s="145">
        <f>IF(VACnom&gt;Vbat, (VGS_S-(C_MOSFET_S_VTH_H_BU+Table7[[#This Row],[I_L]]/C_MOSFET_S_gFS_H_BU))/3.4, (VGS_S-(C_MOSFET_S_VTH_L_BO+Table7[[#This Row],[I_L]]/C_MOSFET_S_gFS_L_BO))/3.4 )</f>
        <v>2.3529411764705883</v>
      </c>
      <c r="BK156" s="145">
        <f>IF(VACnom&gt;Vbat, ((C_MOSFET_S_VTH_H_BU+Table7[[#This Row],[I_L]]/C_MOSFET_S_gFS_H_BU))/1, ((C_MOSFET_S_VTH_L_BO+Table7[[#This Row],[I_L]]/C_MOSFET_S_gFS_L_BO))/1 )</f>
        <v>2</v>
      </c>
      <c r="BL156" s="145">
        <f>IF(VACnom&gt;Vbat, (C_MOSFET_S_QGD_H_BU+C_MOSFET_S_QGS_H_BU)*10^-9/Table7[[#This Row],[Ion (A) C]], (C_MOSFET_S_QGD_L_BO+C_MOSFET_S_QGS_L_BO)*10^-9/Table7[[#This Row],[Ion (A) C]])/10^-9</f>
        <v>2.7624999999999997</v>
      </c>
      <c r="BM156" s="145">
        <f>IF(VACnom&gt;Vbat, (C_MOSFET_S_QGD_H_BU+C_MOSFET_S_QGS_H_BU)*10^-9/Table7[[#This Row],[Ioff (A) C]], (C_MOSFET_S_QGD_L_BO+C_MOSFET_S_QGS_L_BO)*10^-9/Table7[[#This Row],[Ioff (A) C]])/10^-9</f>
        <v>3.25</v>
      </c>
      <c r="BN156" s="145" t="e">
        <f xml:space="preserve"> 0.5*VACnom*Table7[[#This Row],[Ivalley (A) C]]*Table7[[#This Row],[ton (ns) C]]*10^-9*Fsw*10^3+0.5*VACnom*Table7[[#This Row],[Ipeak (A) C]]*Table7[[#This Row],[toff (ns) C]]*10^-9*Fsw*10^3/10^-3</f>
        <v>#NAME?</v>
      </c>
      <c r="BO156" s="145">
        <f t="shared" ref="BO156:BO187" si="12">IF(VACnom&gt;Vbat, 0.5*VACnom*C_MOSFET_S_QOSS_H_BU*10^-9*Fsw*10^3,0.5*VACnom*C_MOSFET_S_QOSS_L_BO*10^-9*Fsw*10^3)/10^-3</f>
        <v>259.2</v>
      </c>
      <c r="BP156" s="145" t="e">
        <f t="shared" ref="BP156:BP187" ca="1" si="13">IF(VACnom&gt;Vbat, VACnom*C_MOSFET_S_QG_H_BU*10^-9*Fsw*10^3,VACnom*C_MOSFET_S_QG_H_BO*10^-9*Fsw*10^3)/10^-3</f>
        <v>#REF!</v>
      </c>
      <c r="BQ156" s="145">
        <f t="shared" ref="BQ156:BQ187" si="14">IF(VACnom&gt;Vbat, VACnom*C_MOSFET_S_QRR_L_BU*10^-9*Fsw*10^3, VACnom*C_MOSFET_S_QRR_H_BO*10^-9*Fsw*10^3)/10^-3</f>
        <v>475.2</v>
      </c>
      <c r="BR156" s="145" t="e">
        <f>IF(VACnom&gt;Vbat, C_MOSFET_S_VSD_L_BU*Table7[[#This Row],[Ivalley (A) C]]*Fsw*10^3*40*10^-9+C_MOSFET_S_VSD_L_BU*Table7[[#This Row],[Ipeak (A) C]]*Fsw*10^3*30*10^-9, C_MOSFET_S_VSD_H_BO*Table7[[#This Row],[Ivalley (A) C]]*Fsw*10^3*40*10^-9+C_MOSFET_S_VSD_H_BO*Table7[[#This Row],[Ipeak (A) C]]*Fsw*10^3*30*10^-9)/10^-3</f>
        <v>#NAME?</v>
      </c>
      <c r="BS156" s="145" t="e">
        <f t="shared" ref="BS156:BS187" ca="1" si="15">IF(VACnom&gt;Vbat, VACnom*C_MOSFET_S_QG_L_BU*10^-9*Fsw*10^3, VACnom*C_MOSFET_S_QG_L_BO*10^-9*Fsw*10^3)/10^-3</f>
        <v>#REF!</v>
      </c>
      <c r="BT156" s="145" t="e">
        <f>IF(VACnom&lt;Vbat, Table7[[#This Row],[Duty Cycle]]*Table7[[#This Row],[I_L RMS]]^2*C_MOSFET_S_RDSON_H_BU*10^-3, (1-Table7[[#This Row],[Duty Cycle]])*Table7[[#This Row],[I_L RMS]]^2*C_MOSFET_S_RDSON_H_BO*10^-3)/10^-3</f>
        <v>#NAME?</v>
      </c>
      <c r="BU156" s="145" t="e">
        <f ca="1">IF(VACnom&gt;Vbat, Table7[[#This Row],[PIV (mW) C]]+Table7[[#This Row],[PQoss (mW) C]]+Table7[[#This Row],[Pgate_top (mW) C]], Table7[[#This Row],[PRR (mW) C]]+Table7[[#This Row],[Pdead (mW) C]]+Table7[[#This Row],[Pgate_top (mW) C]])</f>
        <v>#NAME?</v>
      </c>
      <c r="BV156" s="145" t="e">
        <f ca="1">Table7[[#This Row],[Pcon_top (mW) C]]+Table7[[#This Row],[Psw_top (mW) C]]</f>
        <v>#NAME?</v>
      </c>
      <c r="BW156" s="145" t="e">
        <f ca="1">IF(VACnom&gt;Vbat, (1-Table7[[#This Row],[Duty Cycle]])*Table7[[#This Row],[I_L RMS]]^2*C_MOSFET_S_RDSON_L_BU*10^-3, Table7[[#This Row],[Duty Cycle]]*Table7[[#This Row],[I_L RMS]]^2*C_MOSFET_S_RDSON_L_BO*10^-3)/10^-3</f>
        <v>#NAME?</v>
      </c>
      <c r="BX156" s="145" t="e">
        <f ca="1">IF(VACnom&gt;Vbat, Table7[[#This Row],[PRR (mW) C]]+Table7[[#This Row],[Pdead (mW) C]]+Table7[[#This Row],[Pgate_bottom (mW) C]], Table7[[#This Row],[PIV (mW) C]]+Table7[[#This Row],[PQoss (mW) C]]+Table7[[#This Row],[Pgate_bottom (mW) C]])</f>
        <v>#NAME?</v>
      </c>
      <c r="BY156" s="145" t="e">
        <f ca="1">Table7[[#This Row],[Pcon_bottom (mW) C]]+Table7[[#This Row],[Psw_bottom (mV) C]]</f>
        <v>#NAME?</v>
      </c>
      <c r="BZ156" s="145" t="e">
        <f ca="1">Table7[[#This Row],[Pbottom (mW) C]]+Table7[[#This Row],[Ptop (mW) C]]</f>
        <v>#NAME?</v>
      </c>
      <c r="CA156" s="148"/>
      <c r="CB156" s="144">
        <f>(RAC_SNS*10^-3*(Table7[[#This Row],[IOUT (A)]]*Vbat/VACnom)^2/10^-3)</f>
        <v>0</v>
      </c>
      <c r="CC156" s="144">
        <f>(RBAT_SNS*10^-3*Table7[[#This Row],[IOUT (A)]]^2)/10^-3</f>
        <v>0</v>
      </c>
      <c r="CD156" s="144">
        <f>IF(VACnom&gt;Vbat,(L_DRC*10^-3*(Table7[[#This Row],[IOUT (A)]])^2/10^-3),(L_DRC*10^-3*(Table7[[#This Row],[IOUT (A)]]*Vbat/VACnom)^2/10^-3))</f>
        <v>0</v>
      </c>
      <c r="CE156" s="152"/>
      <c r="CF156" s="145">
        <f>(Table7[[#This Row],[R_AC (mW)]]+Table7[[#This Row],[R_SR (mW)]]+Table7[[#This Row],[Inductor Loss (mW)]])/10^3</f>
        <v>0</v>
      </c>
      <c r="CG156" s="145" t="e">
        <f ca="1">Table7[[#This Row],[Total TI (mW)]]/10^3</f>
        <v>#NAME?</v>
      </c>
      <c r="CH156" s="145" t="e">
        <f ca="1">Table7[[#This Row],[Total Sense Loss]]+Table7[[#This Row],[Total MOSFET Loss]]</f>
        <v>#NAME?</v>
      </c>
      <c r="CI156" s="149">
        <f>IF(Table7[[#This Row],[POUT (W)]]=0,0,(Table7[[#This Row],[POUT (W)]])/(Table7[[#This Row],[POUT (W)]]+Table7[[#This Row],[Total Power Loss (W)]]))*100</f>
        <v>0</v>
      </c>
      <c r="CJ156" s="153"/>
      <c r="CK156" s="145">
        <f>(Table7[[#This Row],[R_AC (mW)]]+Table7[[#This Row],[R_SR (mW)]]+Table7[[#This Row],[Inductor Loss (mW)]])/10^3</f>
        <v>0</v>
      </c>
      <c r="CL156" s="145" t="e">
        <f ca="1">Table7[[#This Row],[Total (mW) C]]/10^3</f>
        <v>#NAME?</v>
      </c>
      <c r="CM156" s="145" t="e">
        <f ca="1">Table7[[#This Row],[Total Sense Loss C]]+Table7[[#This Row],[Total MOSFET Loss C]]</f>
        <v>#NAME?</v>
      </c>
      <c r="CN156" s="149">
        <f>IF(Table7[[#This Row],[POUT (W)]]=0,0,(Table7[[#This Row],[POUT (W)]])/(Table7[[#This Row],[POUT (W)]]+Table7[[#This Row],[Total Power Loss (W) C]]))*100</f>
        <v>0</v>
      </c>
      <c r="CO156" s="153"/>
      <c r="CP156" s="149">
        <f>IF(MOSFET_S=Custom_MOSFET,Table7[[#This Row],[Total Sense Loss C]],Table7[[#This Row],[Total Sense Loss]])</f>
        <v>0</v>
      </c>
      <c r="CQ156" s="149" t="e">
        <f ca="1">IF(MOSFET_S=Custom_MOSFET,Table7[[#This Row],[Total MOSFET Loss C]],Table7[[#This Row],[Total MOSFET Loss]])</f>
        <v>#NAME?</v>
      </c>
      <c r="CR156" s="149">
        <f>IF(MOSFET_S=Custom_MOSFET,Table7[[#This Row],[Efficiency C]],Table7[[#This Row],[Efficiency]])</f>
        <v>0</v>
      </c>
      <c r="CS156" s="153"/>
      <c r="CT156" s="149">
        <f>IF(MOSFET_S=Compare_MOSFET, Table7[[#This Row],[Total Sense Loss C]], -100)</f>
        <v>-100</v>
      </c>
      <c r="CU156" s="149">
        <f>IF(MOSFET_S=Compare_MOSFET, Table7[[#This Row],[Total MOSFET Loss C]], -100)</f>
        <v>-100</v>
      </c>
      <c r="CV156" s="149">
        <f>IF(MOSFET_S=Compare_MOSFET, Table7[[#This Row],[Efficiency C]], -100)</f>
        <v>-100</v>
      </c>
      <c r="CW156" s="153"/>
      <c r="CX156" s="149">
        <f ca="1">IF(Save_Sel=CLR_Save,  Table7[[#This Row],[Total Sense Loss P1]], Table7[[#This Row],[Total Sense Loss P1 Saved]])</f>
        <v>0</v>
      </c>
      <c r="CY156" s="149">
        <f ca="1">IF(Save_Sel=CLR_Save,  Table7[[#This Row],[Total MOSFET Loss P1]], Table7[[#This Row],[Total MOSFET Loss P1 Saved]] )</f>
        <v>0</v>
      </c>
      <c r="CZ156" s="149">
        <f ca="1">IF(Save_Sel=CLR_Save, Table7[[#This Row],[Efficiency P1]], Table7[[#This Row],[Efficiency P1 Saved]])</f>
        <v>0</v>
      </c>
      <c r="DA156" s="153"/>
      <c r="DB156" s="149">
        <f ca="1">IF(Save_Sel=CLR_Save,  Table7[[#This Row],[Total Sense Loss P2]], Table7[[#This Row],[Total Sense Loss P2 Saved]])</f>
        <v>0</v>
      </c>
      <c r="DC156" s="149">
        <f ca="1">IF(Save_Sel=CLR_Save,  Table7[[#This Row],[Total MOSFET Loss P2]], Table7[[#This Row],[Total MOSFET Loss P2 Saved]] )</f>
        <v>0.96190451895043727</v>
      </c>
      <c r="DD156" s="149">
        <f ca="1">IF(Save_Sel=CLR_Save, Table7[[#This Row],[Efficiency P2]], Table7[[#This Row],[Efficiency P2 Saved]])</f>
        <v>0</v>
      </c>
      <c r="DE156" s="153"/>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row>
    <row r="157" spans="1:165" x14ac:dyDescent="0.2">
      <c r="A157" s="54"/>
      <c r="B157" s="50"/>
      <c r="C157" s="50"/>
      <c r="D157" s="28" t="s">
        <v>141</v>
      </c>
      <c r="E157" s="215" t="s">
        <v>142</v>
      </c>
      <c r="F157" s="215"/>
      <c r="G157" s="38"/>
      <c r="H157" s="13"/>
      <c r="I157" s="29" t="s">
        <v>142</v>
      </c>
      <c r="J157" s="29" t="s">
        <v>129</v>
      </c>
      <c r="K157" s="29" t="s">
        <v>143</v>
      </c>
      <c r="L157" s="29"/>
      <c r="M157" s="29"/>
      <c r="N157" s="29"/>
      <c r="O157" s="29"/>
      <c r="P157" s="29"/>
      <c r="Q157" s="29"/>
      <c r="R157" s="29"/>
      <c r="S157" s="30"/>
      <c r="T157" s="18"/>
      <c r="U157" s="19"/>
      <c r="V157" s="19"/>
      <c r="W157" s="19"/>
      <c r="X157" s="19"/>
      <c r="Y157" s="19"/>
      <c r="Z157" s="19"/>
      <c r="AA157" s="19"/>
      <c r="AB157" s="19"/>
      <c r="AC157" s="19"/>
      <c r="AD157" s="19"/>
      <c r="AE157" s="19"/>
      <c r="AF157" s="143">
        <f>AF156+1</f>
        <v>1</v>
      </c>
      <c r="AG157" s="143">
        <f t="shared" ref="AG157:AG188" si="16">$AG$156+AF157*($AG$256-$AG$156)/$AF$256</f>
        <v>0.1</v>
      </c>
      <c r="AH157" s="144">
        <f t="shared" si="3"/>
        <v>2.4000000000000004</v>
      </c>
      <c r="AI157" s="145">
        <f t="shared" si="4"/>
        <v>0.16376306620209058</v>
      </c>
      <c r="AJ157" s="145">
        <f t="shared" si="5"/>
        <v>0.11958333333333333</v>
      </c>
      <c r="AK157" s="145" t="e">
        <f t="shared" si="6"/>
        <v>#NAME?</v>
      </c>
      <c r="AL157" s="145" t="e">
        <f t="shared" si="7"/>
        <v>#NAME?</v>
      </c>
      <c r="AM157" s="146"/>
      <c r="AN157" s="145" t="e">
        <f>MAX(0,Table7[[#This Row],[I_L]]-0.5*Table7[[#This Row],[I_L pkpk]])</f>
        <v>#NAME?</v>
      </c>
      <c r="AO157" s="145" t="e">
        <f>Table7[[#This Row],[I_L]]+0.5*Table7[[#This Row],[I_L pkpk]]</f>
        <v>#NAME?</v>
      </c>
      <c r="AP157" s="145" t="e">
        <f ca="1">IF(VACnom&gt;Vbat, (VGS_S-(TI_MOSFET_S_VTH_H_BU+Table7[[#This Row],[I_L]]/TI_MOSFET_S_gFS_H_BU))/3.4, (VGS_S-(TI_MOSFET_S_VTH_L_BO+Table7[[#This Row],[I_L]]/TI_MOSFET_S_gFS_L_BO))/3.4 )</f>
        <v>#REF!</v>
      </c>
      <c r="AQ157" s="145" t="e">
        <f ca="1">IF(VACnom&gt;Vbat, ((TI_MOSFET_S_VTH_H_BU+Table7[[#This Row],[I_L]]/TI_MOSFET_S_gFS_H_BU))/1, ((TI_MOSFET_S_VTH_L_BO+Table7[[#This Row],[I_L]]/TI_MOSFET_S_gFS_L_BO))/1 )</f>
        <v>#REF!</v>
      </c>
      <c r="AR157" s="145" t="e">
        <f ca="1">IF(VACnom&gt;Vbat, (TI_MOSFET_S_QGD_H_BU+TI_MOSFET_S_QGS_H_BU)*10^-9/Table7[[#This Row],[Ion (A)]], (TI_MOSFET_S_QGD_L_BO+TI_MOSFET_S_QGS_L_BO)*10^-9/Table7[[#This Row],[Ion (A)]])/10^-9</f>
        <v>#REF!</v>
      </c>
      <c r="AS157" s="145" t="e">
        <f ca="1">IF(VACnom&gt;Vbat, (TI_MOSFET_S_QGD_H_BU+TI_MOSFET_S_QGS_H_BU)*10^-9/Table7[[#This Row],[Ioff (A)]], (TI_MOSFET_S_QGD_L_BO+TI_MOSFET_S_QGS_L_BO)*10^-9/Table7[[#This Row],[Ioff (A)]])/10^-9</f>
        <v>#REF!</v>
      </c>
      <c r="AT157" s="145" t="e">
        <f ca="1" xml:space="preserve"> 0.5*VACnom*Table7[[#This Row],[Ivalley (A)]]*Table7[[#This Row],[ton (ns)]]*10^-9*Fsw*10^3+0.5*VACnom*Table7[[#This Row],[Ipeak (A)]]*Table7[[#This Row],[toff (ns)]]*10^-9*Fsw*10^3/10^-3</f>
        <v>#NAME?</v>
      </c>
      <c r="AU157" s="145" t="e">
        <f t="shared" ca="1" si="8"/>
        <v>#REF!</v>
      </c>
      <c r="AV157" s="145" t="e">
        <f t="shared" ca="1" si="9"/>
        <v>#REF!</v>
      </c>
      <c r="AW157" s="145" t="e">
        <f t="shared" ca="1" si="10"/>
        <v>#REF!</v>
      </c>
      <c r="AX157" s="145" t="e">
        <f ca="1">IF(VACnom&gt;Vbat, TI_MOSFET_S_VSD_L_BU*Table7[[#This Row],[Ivalley (A)]]*Fsw*10^3*40*10^-9+TI_MOSFET_S_VSD_L_BU*Table7[[#This Row],[Ipeak (A)]]*Fsw*10^3*30*10^-9, TI_MOSFET_S_VSD_H_BO*Table7[[#This Row],[Ivalley (A)]]*Fsw*10^3*40*10^-9+TI_MOSFET_S_VSD_H_BO*Table7[[#This Row],[Ipeak (A)]]*Fsw*10^3*30*10^-9)/10^-3</f>
        <v>#REF!</v>
      </c>
      <c r="AY157" s="145" t="e">
        <f t="shared" ca="1" si="11"/>
        <v>#REF!</v>
      </c>
      <c r="AZ157" s="145" t="e">
        <f ca="1">IF(VACnom&lt;Vbat, Table7[[#This Row],[Duty Cycle]]*Table7[[#This Row],[I_L RMS]]^2*TI_MOSFET_S_RDSON_H_BU*10^-3, (1-Table7[[#This Row],[Duty Cycle]])*Table7[[#This Row],[I_L RMS]]^2*TI_MOSFET_S_RDSON_H_BO*10^-3)/10^-3</f>
        <v>#NAME?</v>
      </c>
      <c r="BA157" s="145" t="e">
        <f ca="1">IF(VACnom&gt;Vbat, Table7[[#This Row],[PIV (mW)]]+Table7[[#This Row],[Pqoss (mW)]]+Table7[[#This Row],[Pgate_top (mW)]], Table7[[#This Row],[PRR (mW)]]+Table7[[#This Row],[Pdead (mW)]]+Table7[[#This Row],[Pgate_top (mW)]])</f>
        <v>#REF!</v>
      </c>
      <c r="BB157" s="145" t="e">
        <f ca="1">Table7[[#This Row],[Pcon_top (mW)]]+Table7[[#This Row],[Psw_top (mW)]]</f>
        <v>#NAME?</v>
      </c>
      <c r="BC157" s="145" t="e">
        <f ca="1">IF(VACnom&gt;Vbat, (1-Table7[[#This Row],[Duty Cycle]])*Table7[[#This Row],[I_L RMS]]^2*TI_MOSFET_S_RDSON_L_BU*10^-3, Table7[[#This Row],[Duty Cycle]]*Table7[[#This Row],[I_L RMS]]^2*TI_MOSFET_S_RDSON_L_BO*10^-3)/10^-3</f>
        <v>#NAME?</v>
      </c>
      <c r="BD157" s="145" t="e">
        <f ca="1">IF(VACnom&gt;Vbat, Table7[[#This Row],[PRR (mW)]]+Table7[[#This Row],[Pdead (mW)]]+Table7[[#This Row],[Pgate_bottom (mW)]], Table7[[#This Row],[PIV (mW)]]+Table7[[#This Row],[Pqoss (mW)]]+Table7[[#This Row],[Pgate_bottom (mW)]])</f>
        <v>#NAME?</v>
      </c>
      <c r="BE157" s="147" t="e">
        <f ca="1">Table7[[#This Row],[Pcon_bottom (mW)]]+Table7[[#This Row],[Psw_bottom (mW)]]</f>
        <v>#NAME?</v>
      </c>
      <c r="BF157" s="145" t="e">
        <f ca="1">Table7[[#This Row],[Pbottom (mW)]]+Table7[[#This Row],[Ptop (mW)]]</f>
        <v>#NAME?</v>
      </c>
      <c r="BG157" s="142"/>
      <c r="BH157" s="145" t="e">
        <f>MAX(0,Table7[[#This Row],[I_L]]-0.5*Table7[[#This Row],[I_L pkpk]])</f>
        <v>#NAME?</v>
      </c>
      <c r="BI157" s="145" t="e">
        <f>Table7[[#This Row],[I_L]]+0.5*Table7[[#This Row],[I_L pkpk]]</f>
        <v>#NAME?</v>
      </c>
      <c r="BJ157" s="145">
        <f>IF(VACnom&gt;Vbat, (VGS_S-(C_MOSFET_S_VTH_H_BU+Table7[[#This Row],[I_L]]/C_MOSFET_S_gFS_H_BU))/3.4, (VGS_S-(C_MOSFET_S_VTH_L_BO+Table7[[#This Row],[I_L]]/C_MOSFET_S_gFS_L_BO))/3.4 )</f>
        <v>2.3527066993464052</v>
      </c>
      <c r="BK157" s="145">
        <f>IF(VACnom&gt;Vbat, ((C_MOSFET_S_VTH_H_BU+Table7[[#This Row],[I_L]]/C_MOSFET_S_gFS_H_BU))/1, ((C_MOSFET_S_VTH_L_BO+Table7[[#This Row],[I_L]]/C_MOSFET_S_gFS_L_BO))/1 )</f>
        <v>2.0007972222222223</v>
      </c>
      <c r="BL157" s="145">
        <f>IF(VACnom&gt;Vbat, (C_MOSFET_S_QGD_H_BU+C_MOSFET_S_QGS_H_BU)*10^-9/Table7[[#This Row],[Ion (A) C]], (C_MOSFET_S_QGD_L_BO+C_MOSFET_S_QGS_L_BO)*10^-9/Table7[[#This Row],[Ion (A) C]])/10^-9</f>
        <v>2.762775318234838</v>
      </c>
      <c r="BM157" s="145">
        <f>IF(VACnom&gt;Vbat, (C_MOSFET_S_QGD_H_BU+C_MOSFET_S_QGS_H_BU)*10^-9/Table7[[#This Row],[Ioff (A) C]], (C_MOSFET_S_QGD_L_BO+C_MOSFET_S_QGS_L_BO)*10^-9/Table7[[#This Row],[Ioff (A) C]])/10^-9</f>
        <v>3.248705030078288</v>
      </c>
      <c r="BN157" s="145" t="e">
        <f xml:space="preserve"> 0.5*VACnom*Table7[[#This Row],[Ivalley (A) C]]*Table7[[#This Row],[ton (ns) C]]*10^-9*Fsw*10^3+0.5*VACnom*Table7[[#This Row],[Ipeak (A) C]]*Table7[[#This Row],[toff (ns) C]]*10^-9*Fsw*10^3/10^-3</f>
        <v>#NAME?</v>
      </c>
      <c r="BO157" s="145">
        <f t="shared" si="12"/>
        <v>259.2</v>
      </c>
      <c r="BP157" s="145" t="e">
        <f t="shared" ca="1" si="13"/>
        <v>#REF!</v>
      </c>
      <c r="BQ157" s="145">
        <f t="shared" si="14"/>
        <v>475.2</v>
      </c>
      <c r="BR157" s="145" t="e">
        <f>IF(VACnom&gt;Vbat, C_MOSFET_S_VSD_L_BU*Table7[[#This Row],[Ivalley (A) C]]*Fsw*10^3*40*10^-9+C_MOSFET_S_VSD_L_BU*Table7[[#This Row],[Ipeak (A) C]]*Fsw*10^3*30*10^-9, C_MOSFET_S_VSD_H_BO*Table7[[#This Row],[Ivalley (A) C]]*Fsw*10^3*40*10^-9+C_MOSFET_S_VSD_H_BO*Table7[[#This Row],[Ipeak (A) C]]*Fsw*10^3*30*10^-9)/10^-3</f>
        <v>#NAME?</v>
      </c>
      <c r="BS157" s="145" t="e">
        <f t="shared" ca="1" si="15"/>
        <v>#REF!</v>
      </c>
      <c r="BT157" s="145" t="e">
        <f>IF(VACnom&lt;Vbat, Table7[[#This Row],[Duty Cycle]]*Table7[[#This Row],[I_L RMS]]^2*C_MOSFET_S_RDSON_H_BU*10^-3, (1-Table7[[#This Row],[Duty Cycle]])*Table7[[#This Row],[I_L RMS]]^2*C_MOSFET_S_RDSON_H_BO*10^-3)/10^-3</f>
        <v>#NAME?</v>
      </c>
      <c r="BU157" s="145" t="e">
        <f ca="1">IF(VACnom&gt;Vbat, Table7[[#This Row],[PIV (mW) C]]+Table7[[#This Row],[PQoss (mW) C]]+Table7[[#This Row],[Pgate_top (mW) C]], Table7[[#This Row],[PRR (mW) C]]+Table7[[#This Row],[Pdead (mW) C]]+Table7[[#This Row],[Pgate_top (mW) C]])</f>
        <v>#NAME?</v>
      </c>
      <c r="BV157" s="145" t="e">
        <f ca="1">Table7[[#This Row],[Pcon_top (mW) C]]+Table7[[#This Row],[Psw_top (mW) C]]</f>
        <v>#NAME?</v>
      </c>
      <c r="BW157" s="145" t="e">
        <f ca="1">IF(VACnom&gt;Vbat, (1-Table7[[#This Row],[Duty Cycle]])*Table7[[#This Row],[I_L RMS]]^2*C_MOSFET_S_RDSON_L_BU*10^-3, Table7[[#This Row],[Duty Cycle]]*Table7[[#This Row],[I_L RMS]]^2*C_MOSFET_S_RDSON_L_BO*10^-3)/10^-3</f>
        <v>#NAME?</v>
      </c>
      <c r="BX157" s="145" t="e">
        <f ca="1">IF(VACnom&gt;Vbat, Table7[[#This Row],[PRR (mW) C]]+Table7[[#This Row],[Pdead (mW) C]]+Table7[[#This Row],[Pgate_bottom (mW) C]], Table7[[#This Row],[PIV (mW) C]]+Table7[[#This Row],[PQoss (mW) C]]+Table7[[#This Row],[Pgate_bottom (mW) C]])</f>
        <v>#NAME?</v>
      </c>
      <c r="BY157" s="145" t="e">
        <f ca="1">Table7[[#This Row],[Pcon_bottom (mW) C]]+Table7[[#This Row],[Psw_bottom (mV) C]]</f>
        <v>#NAME?</v>
      </c>
      <c r="BZ157" s="145" t="e">
        <f ca="1">Table7[[#This Row],[Pbottom (mW) C]]+Table7[[#This Row],[Ptop (mW) C]]</f>
        <v>#NAME?</v>
      </c>
      <c r="CA157" s="148"/>
      <c r="CB157" s="144">
        <f>(RAC_SNS*10^-3*(Table7[[#This Row],[IOUT (A)]]*Vbat/VACnom)^2/10^-3)</f>
        <v>7.1500868055555555E-2</v>
      </c>
      <c r="CC157" s="144">
        <f>(RBAT_SNS*10^-3*Table7[[#This Row],[IOUT (A)]]^2)/10^-3</f>
        <v>5.000000000000001E-2</v>
      </c>
      <c r="CD157" s="144">
        <f>IF(VACnom&gt;Vbat,(L_DRC*10^-3*(Table7[[#This Row],[IOUT (A)]])^2/10^-3),(L_DRC*10^-3*(Table7[[#This Row],[IOUT (A)]]*Vbat/VACnom)^2/10^-3))</f>
        <v>4.8620590277777771E-2</v>
      </c>
      <c r="CE157" s="152"/>
      <c r="CF157" s="145">
        <f>(Table7[[#This Row],[R_AC (mW)]]+Table7[[#This Row],[R_SR (mW)]]+Table7[[#This Row],[Inductor Loss (mW)]])/10^3</f>
        <v>1.7012145833333333E-4</v>
      </c>
      <c r="CG157" s="145" t="e">
        <f ca="1">Table7[[#This Row],[Total TI (mW)]]/10^3</f>
        <v>#NAME?</v>
      </c>
      <c r="CH157" s="145" t="e">
        <f ca="1">Table7[[#This Row],[Total Sense Loss]]+Table7[[#This Row],[Total MOSFET Loss]]</f>
        <v>#NAME?</v>
      </c>
      <c r="CI157" s="149" t="e">
        <f ca="1">IF(Table7[[#This Row],[POUT (W)]]=0,0,(Table7[[#This Row],[POUT (W)]])/(Table7[[#This Row],[POUT (W)]]+Table7[[#This Row],[Total Power Loss (W)]]))*100</f>
        <v>#NAME?</v>
      </c>
      <c r="CJ157" s="153"/>
      <c r="CK157" s="145">
        <f>(Table7[[#This Row],[R_AC (mW)]]+Table7[[#This Row],[R_SR (mW)]]+Table7[[#This Row],[Inductor Loss (mW)]])/10^3</f>
        <v>1.7012145833333333E-4</v>
      </c>
      <c r="CL157" s="145" t="e">
        <f ca="1">Table7[[#This Row],[Total (mW) C]]/10^3</f>
        <v>#NAME?</v>
      </c>
      <c r="CM157" s="145" t="e">
        <f ca="1">Table7[[#This Row],[Total Sense Loss C]]+Table7[[#This Row],[Total MOSFET Loss C]]</f>
        <v>#NAME?</v>
      </c>
      <c r="CN157" s="149" t="e">
        <f ca="1">IF(Table7[[#This Row],[POUT (W)]]=0,0,(Table7[[#This Row],[POUT (W)]])/(Table7[[#This Row],[POUT (W)]]+Table7[[#This Row],[Total Power Loss (W) C]]))*100</f>
        <v>#NAME?</v>
      </c>
      <c r="CO157" s="153"/>
      <c r="CP157" s="149">
        <f>IF(MOSFET_S=Custom_MOSFET,Table7[[#This Row],[Total Sense Loss C]],Table7[[#This Row],[Total Sense Loss]])</f>
        <v>1.7012145833333333E-4</v>
      </c>
      <c r="CQ157" s="149" t="e">
        <f ca="1">IF(MOSFET_S=Custom_MOSFET,Table7[[#This Row],[Total MOSFET Loss C]],Table7[[#This Row],[Total MOSFET Loss]])</f>
        <v>#NAME?</v>
      </c>
      <c r="CR157" s="149" t="e">
        <f ca="1">IF(MOSFET_S=Custom_MOSFET,Table7[[#This Row],[Efficiency C]],Table7[[#This Row],[Efficiency]])</f>
        <v>#NAME?</v>
      </c>
      <c r="CS157" s="153"/>
      <c r="CT157" s="149">
        <f>IF(MOSFET_S=Compare_MOSFET, Table7[[#This Row],[Total Sense Loss C]], -100)</f>
        <v>-100</v>
      </c>
      <c r="CU157" s="149">
        <f>IF(MOSFET_S=Compare_MOSFET, Table7[[#This Row],[Total MOSFET Loss C]], -100)</f>
        <v>-100</v>
      </c>
      <c r="CV157" s="149">
        <f>IF(MOSFET_S=Compare_MOSFET, Table7[[#This Row],[Efficiency C]], -100)</f>
        <v>-100</v>
      </c>
      <c r="CW157" s="153"/>
      <c r="CX157" s="149">
        <f ca="1">IF(Save_Sel=CLR_Save,  Table7[[#This Row],[Total Sense Loss P1]], Table7[[#This Row],[Total Sense Loss P1 Saved]])</f>
        <v>1.4265625000000004E-4</v>
      </c>
      <c r="CY157" s="149">
        <f ca="1">IF(Save_Sel=CLR_Save,  Table7[[#This Row],[Total MOSFET Loss P1]], Table7[[#This Row],[Total MOSFET Loss P1 Saved]] )</f>
        <v>1.4378611452715013</v>
      </c>
      <c r="CZ157" s="149">
        <f ca="1">IF(Save_Sel=CLR_Save, Table7[[#This Row],[Efficiency P1]], Table7[[#This Row],[Efficiency P1 Saved]])</f>
        <v>29.440573150651701</v>
      </c>
      <c r="DA157" s="153"/>
      <c r="DB157" s="149">
        <f ca="1">IF(Save_Sel=CLR_Save,  Table7[[#This Row],[Total Sense Loss P2]], Table7[[#This Row],[Total Sense Loss P2 Saved]])</f>
        <v>1.4265625000000004E-4</v>
      </c>
      <c r="DC157" s="149">
        <f ca="1">IF(Save_Sel=CLR_Save,  Table7[[#This Row],[Total MOSFET Loss P2]], Table7[[#This Row],[Total MOSFET Loss P2 Saved]] )</f>
        <v>0.96422637555768986</v>
      </c>
      <c r="DD157" s="149">
        <f ca="1">IF(Save_Sel=CLR_Save, Table7[[#This Row],[Efficiency P2]], Table7[[#This Row],[Efficiency P2 Saved]])</f>
        <v>38.354121553191092</v>
      </c>
      <c r="DE157" s="153"/>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row>
    <row r="158" spans="1:165" x14ac:dyDescent="0.2">
      <c r="A158" s="36"/>
      <c r="B158" s="49"/>
      <c r="C158" s="49"/>
      <c r="D158" s="32" t="s">
        <v>236</v>
      </c>
      <c r="E158" s="228">
        <v>10</v>
      </c>
      <c r="F158" s="228"/>
      <c r="G158" s="42" t="s">
        <v>1</v>
      </c>
      <c r="H158" s="13"/>
      <c r="I158" s="13">
        <v>4.5</v>
      </c>
      <c r="J158" s="29">
        <v>10</v>
      </c>
      <c r="K158" s="29">
        <f>$E$152</f>
        <v>12</v>
      </c>
      <c r="L158" s="29"/>
      <c r="M158" s="29"/>
      <c r="N158" s="29"/>
      <c r="O158" s="29"/>
      <c r="P158" s="29"/>
      <c r="Q158" s="29"/>
      <c r="R158" s="29"/>
      <c r="S158" s="30"/>
      <c r="T158" s="18"/>
      <c r="U158" s="19"/>
      <c r="V158" s="19"/>
      <c r="W158" s="19"/>
      <c r="X158" s="19"/>
      <c r="Y158" s="19"/>
      <c r="Z158" s="19"/>
      <c r="AA158" s="19"/>
      <c r="AB158" s="19"/>
      <c r="AC158" s="19"/>
      <c r="AD158" s="19"/>
      <c r="AE158" s="19"/>
      <c r="AF158" s="143">
        <f>AF157+1</f>
        <v>2</v>
      </c>
      <c r="AG158" s="143">
        <f t="shared" si="16"/>
        <v>0.2</v>
      </c>
      <c r="AH158" s="144">
        <f t="shared" si="3"/>
        <v>4.8000000000000007</v>
      </c>
      <c r="AI158" s="145">
        <f t="shared" si="4"/>
        <v>0.16376306620209058</v>
      </c>
      <c r="AJ158" s="145">
        <f t="shared" si="5"/>
        <v>0.23916666666666667</v>
      </c>
      <c r="AK158" s="145" t="e">
        <f t="shared" si="6"/>
        <v>#NAME?</v>
      </c>
      <c r="AL158" s="145" t="e">
        <f t="shared" si="7"/>
        <v>#NAME?</v>
      </c>
      <c r="AM158" s="146"/>
      <c r="AN158" s="145" t="e">
        <f>MAX(0,Table7[[#This Row],[I_L]]-0.5*Table7[[#This Row],[I_L pkpk]])</f>
        <v>#NAME?</v>
      </c>
      <c r="AO158" s="145" t="e">
        <f>Table7[[#This Row],[I_L]]+0.5*Table7[[#This Row],[I_L pkpk]]</f>
        <v>#NAME?</v>
      </c>
      <c r="AP158" s="145" t="e">
        <f ca="1">IF(VACnom&gt;Vbat, (VGS_S-(TI_MOSFET_S_VTH_H_BU+Table7[[#This Row],[I_L]]/TI_MOSFET_S_gFS_H_BU))/3.4, (VGS_S-(TI_MOSFET_S_VTH_L_BO+Table7[[#This Row],[I_L]]/TI_MOSFET_S_gFS_L_BO))/3.4 )</f>
        <v>#REF!</v>
      </c>
      <c r="AQ158" s="145" t="e">
        <f ca="1">IF(VACnom&gt;Vbat, ((TI_MOSFET_S_VTH_H_BU+Table7[[#This Row],[I_L]]/TI_MOSFET_S_gFS_H_BU))/1, ((TI_MOSFET_S_VTH_L_BO+Table7[[#This Row],[I_L]]/TI_MOSFET_S_gFS_L_BO))/1 )</f>
        <v>#REF!</v>
      </c>
      <c r="AR158" s="145" t="e">
        <f ca="1">IF(VACnom&gt;Vbat, (TI_MOSFET_S_QGD_H_BU+TI_MOSFET_S_QGS_H_BU)*10^-9/Table7[[#This Row],[Ion (A)]], (TI_MOSFET_S_QGD_L_BO+TI_MOSFET_S_QGS_L_BO)*10^-9/Table7[[#This Row],[Ion (A)]])/10^-9</f>
        <v>#REF!</v>
      </c>
      <c r="AS158" s="145" t="e">
        <f ca="1">IF(VACnom&gt;Vbat, (TI_MOSFET_S_QGD_H_BU+TI_MOSFET_S_QGS_H_BU)*10^-9/Table7[[#This Row],[Ioff (A)]], (TI_MOSFET_S_QGD_L_BO+TI_MOSFET_S_QGS_L_BO)*10^-9/Table7[[#This Row],[Ioff (A)]])/10^-9</f>
        <v>#REF!</v>
      </c>
      <c r="AT158" s="145" t="e">
        <f ca="1" xml:space="preserve"> 0.5*VACnom*Table7[[#This Row],[Ivalley (A)]]*Table7[[#This Row],[ton (ns)]]*10^-9*Fsw*10^3+0.5*VACnom*Table7[[#This Row],[Ipeak (A)]]*Table7[[#This Row],[toff (ns)]]*10^-9*Fsw*10^3/10^-3</f>
        <v>#NAME?</v>
      </c>
      <c r="AU158" s="145" t="e">
        <f t="shared" ca="1" si="8"/>
        <v>#REF!</v>
      </c>
      <c r="AV158" s="145" t="e">
        <f t="shared" ca="1" si="9"/>
        <v>#REF!</v>
      </c>
      <c r="AW158" s="145" t="e">
        <f t="shared" ca="1" si="10"/>
        <v>#REF!</v>
      </c>
      <c r="AX158" s="145" t="e">
        <f ca="1">IF(VACnom&gt;Vbat, TI_MOSFET_S_VSD_L_BU*Table7[[#This Row],[Ivalley (A)]]*Fsw*10^3*40*10^-9+TI_MOSFET_S_VSD_L_BU*Table7[[#This Row],[Ipeak (A)]]*Fsw*10^3*30*10^-9, TI_MOSFET_S_VSD_H_BO*Table7[[#This Row],[Ivalley (A)]]*Fsw*10^3*40*10^-9+TI_MOSFET_S_VSD_H_BO*Table7[[#This Row],[Ipeak (A)]]*Fsw*10^3*30*10^-9)/10^-3</f>
        <v>#REF!</v>
      </c>
      <c r="AY158" s="145" t="e">
        <f t="shared" ca="1" si="11"/>
        <v>#REF!</v>
      </c>
      <c r="AZ158" s="145" t="e">
        <f ca="1">IF(VACnom&lt;Vbat, Table7[[#This Row],[Duty Cycle]]*Table7[[#This Row],[I_L RMS]]^2*TI_MOSFET_S_RDSON_H_BU*10^-3, (1-Table7[[#This Row],[Duty Cycle]])*Table7[[#This Row],[I_L RMS]]^2*TI_MOSFET_S_RDSON_H_BO*10^-3)/10^-3</f>
        <v>#NAME?</v>
      </c>
      <c r="BA158" s="145" t="e">
        <f ca="1">IF(VACnom&gt;Vbat, Table7[[#This Row],[PIV (mW)]]+Table7[[#This Row],[Pqoss (mW)]]+Table7[[#This Row],[Pgate_top (mW)]], Table7[[#This Row],[PRR (mW)]]+Table7[[#This Row],[Pdead (mW)]]+Table7[[#This Row],[Pgate_top (mW)]])</f>
        <v>#REF!</v>
      </c>
      <c r="BB158" s="145" t="e">
        <f ca="1">Table7[[#This Row],[Pcon_top (mW)]]+Table7[[#This Row],[Psw_top (mW)]]</f>
        <v>#NAME?</v>
      </c>
      <c r="BC158" s="145" t="e">
        <f ca="1">IF(VACnom&gt;Vbat, (1-Table7[[#This Row],[Duty Cycle]])*Table7[[#This Row],[I_L RMS]]^2*TI_MOSFET_S_RDSON_L_BU*10^-3, Table7[[#This Row],[Duty Cycle]]*Table7[[#This Row],[I_L RMS]]^2*TI_MOSFET_S_RDSON_L_BO*10^-3)/10^-3</f>
        <v>#NAME?</v>
      </c>
      <c r="BD158" s="145" t="e">
        <f ca="1">IF(VACnom&gt;Vbat, Table7[[#This Row],[PRR (mW)]]+Table7[[#This Row],[Pdead (mW)]]+Table7[[#This Row],[Pgate_bottom (mW)]], Table7[[#This Row],[PIV (mW)]]+Table7[[#This Row],[Pqoss (mW)]]+Table7[[#This Row],[Pgate_bottom (mW)]])</f>
        <v>#NAME?</v>
      </c>
      <c r="BE158" s="147" t="e">
        <f ca="1">Table7[[#This Row],[Pcon_bottom (mW)]]+Table7[[#This Row],[Psw_bottom (mW)]]</f>
        <v>#NAME?</v>
      </c>
      <c r="BF158" s="145" t="e">
        <f ca="1">Table7[[#This Row],[Pbottom (mW)]]+Table7[[#This Row],[Ptop (mW)]]</f>
        <v>#NAME?</v>
      </c>
      <c r="BG158" s="142"/>
      <c r="BH158" s="145" t="e">
        <f>MAX(0,Table7[[#This Row],[I_L]]-0.5*Table7[[#This Row],[I_L pkpk]])</f>
        <v>#NAME?</v>
      </c>
      <c r="BI158" s="145" t="e">
        <f>Table7[[#This Row],[I_L]]+0.5*Table7[[#This Row],[I_L pkpk]]</f>
        <v>#NAME?</v>
      </c>
      <c r="BJ158" s="145">
        <f>IF(VACnom&gt;Vbat, (VGS_S-(C_MOSFET_S_VTH_H_BU+Table7[[#This Row],[I_L]]/C_MOSFET_S_gFS_H_BU))/3.4, (VGS_S-(C_MOSFET_S_VTH_L_BO+Table7[[#This Row],[I_L]]/C_MOSFET_S_gFS_L_BO))/3.4 )</f>
        <v>2.3524722222222221</v>
      </c>
      <c r="BK158" s="145">
        <f>IF(VACnom&gt;Vbat, ((C_MOSFET_S_VTH_H_BU+Table7[[#This Row],[I_L]]/C_MOSFET_S_gFS_H_BU))/1, ((C_MOSFET_S_VTH_L_BO+Table7[[#This Row],[I_L]]/C_MOSFET_S_gFS_L_BO))/1 )</f>
        <v>2.0015944444444442</v>
      </c>
      <c r="BL158" s="145">
        <f>IF(VACnom&gt;Vbat, (C_MOSFET_S_QGD_H_BU+C_MOSFET_S_QGS_H_BU)*10^-9/Table7[[#This Row],[Ion (A) C]], (C_MOSFET_S_QGD_L_BO+C_MOSFET_S_QGS_L_BO)*10^-9/Table7[[#This Row],[Ion (A) C]])/10^-9</f>
        <v>2.7630506913530684</v>
      </c>
      <c r="BM158" s="145">
        <f>IF(VACnom&gt;Vbat, (C_MOSFET_S_QGD_H_BU+C_MOSFET_S_QGS_H_BU)*10^-9/Table7[[#This Row],[Ioff (A) C]], (C_MOSFET_S_QGD_L_BO+C_MOSFET_S_QGS_L_BO)*10^-9/Table7[[#This Row],[Ioff (A) C]])/10^-9</f>
        <v>3.2474110917129959</v>
      </c>
      <c r="BN158" s="145" t="e">
        <f xml:space="preserve"> 0.5*VACnom*Table7[[#This Row],[Ivalley (A) C]]*Table7[[#This Row],[ton (ns) C]]*10^-9*Fsw*10^3+0.5*VACnom*Table7[[#This Row],[Ipeak (A) C]]*Table7[[#This Row],[toff (ns) C]]*10^-9*Fsw*10^3/10^-3</f>
        <v>#NAME?</v>
      </c>
      <c r="BO158" s="145">
        <f t="shared" si="12"/>
        <v>259.2</v>
      </c>
      <c r="BP158" s="145" t="e">
        <f t="shared" ca="1" si="13"/>
        <v>#REF!</v>
      </c>
      <c r="BQ158" s="145">
        <f t="shared" si="14"/>
        <v>475.2</v>
      </c>
      <c r="BR158" s="145" t="e">
        <f>IF(VACnom&gt;Vbat, C_MOSFET_S_VSD_L_BU*Table7[[#This Row],[Ivalley (A) C]]*Fsw*10^3*40*10^-9+C_MOSFET_S_VSD_L_BU*Table7[[#This Row],[Ipeak (A) C]]*Fsw*10^3*30*10^-9, C_MOSFET_S_VSD_H_BO*Table7[[#This Row],[Ivalley (A) C]]*Fsw*10^3*40*10^-9+C_MOSFET_S_VSD_H_BO*Table7[[#This Row],[Ipeak (A) C]]*Fsw*10^3*30*10^-9)/10^-3</f>
        <v>#NAME?</v>
      </c>
      <c r="BS158" s="145" t="e">
        <f t="shared" ca="1" si="15"/>
        <v>#REF!</v>
      </c>
      <c r="BT158" s="145" t="e">
        <f>IF(VACnom&lt;Vbat, Table7[[#This Row],[Duty Cycle]]*Table7[[#This Row],[I_L RMS]]^2*C_MOSFET_S_RDSON_H_BU*10^-3, (1-Table7[[#This Row],[Duty Cycle]])*Table7[[#This Row],[I_L RMS]]^2*C_MOSFET_S_RDSON_H_BO*10^-3)/10^-3</f>
        <v>#NAME?</v>
      </c>
      <c r="BU158" s="145" t="e">
        <f ca="1">IF(VACnom&gt;Vbat, Table7[[#This Row],[PIV (mW) C]]+Table7[[#This Row],[PQoss (mW) C]]+Table7[[#This Row],[Pgate_top (mW) C]], Table7[[#This Row],[PRR (mW) C]]+Table7[[#This Row],[Pdead (mW) C]]+Table7[[#This Row],[Pgate_top (mW) C]])</f>
        <v>#NAME?</v>
      </c>
      <c r="BV158" s="145" t="e">
        <f ca="1">Table7[[#This Row],[Pcon_top (mW) C]]+Table7[[#This Row],[Psw_top (mW) C]]</f>
        <v>#NAME?</v>
      </c>
      <c r="BW158" s="145" t="e">
        <f ca="1">IF(VACnom&gt;Vbat, (1-Table7[[#This Row],[Duty Cycle]])*Table7[[#This Row],[I_L RMS]]^2*C_MOSFET_S_RDSON_L_BU*10^-3, Table7[[#This Row],[Duty Cycle]]*Table7[[#This Row],[I_L RMS]]^2*C_MOSFET_S_RDSON_L_BO*10^-3)/10^-3</f>
        <v>#NAME?</v>
      </c>
      <c r="BX158" s="145" t="e">
        <f ca="1">IF(VACnom&gt;Vbat, Table7[[#This Row],[PRR (mW) C]]+Table7[[#This Row],[Pdead (mW) C]]+Table7[[#This Row],[Pgate_bottom (mW) C]], Table7[[#This Row],[PIV (mW) C]]+Table7[[#This Row],[PQoss (mW) C]]+Table7[[#This Row],[Pgate_bottom (mW) C]])</f>
        <v>#NAME?</v>
      </c>
      <c r="BY158" s="145" t="e">
        <f ca="1">Table7[[#This Row],[Pcon_bottom (mW) C]]+Table7[[#This Row],[Psw_bottom (mV) C]]</f>
        <v>#NAME?</v>
      </c>
      <c r="BZ158" s="145" t="e">
        <f ca="1">Table7[[#This Row],[Pbottom (mW) C]]+Table7[[#This Row],[Ptop (mW) C]]</f>
        <v>#NAME?</v>
      </c>
      <c r="CA158" s="148"/>
      <c r="CB158" s="144">
        <f>(RAC_SNS*10^-3*(Table7[[#This Row],[IOUT (A)]]*Vbat/VACnom)^2/10^-3)</f>
        <v>0.28600347222222222</v>
      </c>
      <c r="CC158" s="144">
        <f>(RBAT_SNS*10^-3*Table7[[#This Row],[IOUT (A)]]^2)/10^-3</f>
        <v>0.20000000000000004</v>
      </c>
      <c r="CD158" s="144">
        <f>IF(VACnom&gt;Vbat,(L_DRC*10^-3*(Table7[[#This Row],[IOUT (A)]])^2/10^-3),(L_DRC*10^-3*(Table7[[#This Row],[IOUT (A)]]*Vbat/VACnom)^2/10^-3))</f>
        <v>0.19448236111111109</v>
      </c>
      <c r="CE158" s="152"/>
      <c r="CF158" s="145">
        <f>(Table7[[#This Row],[R_AC (mW)]]+Table7[[#This Row],[R_SR (mW)]]+Table7[[#This Row],[Inductor Loss (mW)]])/10^3</f>
        <v>6.8048583333333332E-4</v>
      </c>
      <c r="CG158" s="145" t="e">
        <f ca="1">Table7[[#This Row],[Total TI (mW)]]/10^3</f>
        <v>#NAME?</v>
      </c>
      <c r="CH158" s="145" t="e">
        <f ca="1">Table7[[#This Row],[Total Sense Loss]]+Table7[[#This Row],[Total MOSFET Loss]]</f>
        <v>#NAME?</v>
      </c>
      <c r="CI158" s="149" t="e">
        <f ca="1">IF(Table7[[#This Row],[POUT (W)]]=0,0,(Table7[[#This Row],[POUT (W)]])/(Table7[[#This Row],[POUT (W)]]+Table7[[#This Row],[Total Power Loss (W)]]))*100</f>
        <v>#NAME?</v>
      </c>
      <c r="CJ158" s="153"/>
      <c r="CK158" s="145">
        <f>(Table7[[#This Row],[R_AC (mW)]]+Table7[[#This Row],[R_SR (mW)]]+Table7[[#This Row],[Inductor Loss (mW)]])/10^3</f>
        <v>6.8048583333333332E-4</v>
      </c>
      <c r="CL158" s="145" t="e">
        <f ca="1">Table7[[#This Row],[Total (mW) C]]/10^3</f>
        <v>#NAME?</v>
      </c>
      <c r="CM158" s="145" t="e">
        <f ca="1">Table7[[#This Row],[Total Sense Loss C]]+Table7[[#This Row],[Total MOSFET Loss C]]</f>
        <v>#NAME?</v>
      </c>
      <c r="CN158" s="149" t="e">
        <f ca="1">IF(Table7[[#This Row],[POUT (W)]]=0,0,(Table7[[#This Row],[POUT (W)]])/(Table7[[#This Row],[POUT (W)]]+Table7[[#This Row],[Total Power Loss (W) C]]))*100</f>
        <v>#NAME?</v>
      </c>
      <c r="CO158" s="153"/>
      <c r="CP158" s="149">
        <f>IF(MOSFET_S=Custom_MOSFET,Table7[[#This Row],[Total Sense Loss C]],Table7[[#This Row],[Total Sense Loss]])</f>
        <v>6.8048583333333332E-4</v>
      </c>
      <c r="CQ158" s="149" t="e">
        <f ca="1">IF(MOSFET_S=Custom_MOSFET,Table7[[#This Row],[Total MOSFET Loss C]],Table7[[#This Row],[Total MOSFET Loss]])</f>
        <v>#NAME?</v>
      </c>
      <c r="CR158" s="149" t="e">
        <f ca="1">IF(MOSFET_S=Custom_MOSFET,Table7[[#This Row],[Efficiency C]],Table7[[#This Row],[Efficiency]])</f>
        <v>#NAME?</v>
      </c>
      <c r="CS158" s="153"/>
      <c r="CT158" s="149">
        <f>IF(MOSFET_S=Compare_MOSFET, Table7[[#This Row],[Total Sense Loss C]], -100)</f>
        <v>-100</v>
      </c>
      <c r="CU158" s="149">
        <f>IF(MOSFET_S=Compare_MOSFET, Table7[[#This Row],[Total MOSFET Loss C]], -100)</f>
        <v>-100</v>
      </c>
      <c r="CV158" s="149">
        <f>IF(MOSFET_S=Compare_MOSFET, Table7[[#This Row],[Efficiency C]], -100)</f>
        <v>-100</v>
      </c>
      <c r="CW158" s="153"/>
      <c r="CX158" s="149">
        <f ca="1">IF(Save_Sel=CLR_Save,  Table7[[#This Row],[Total Sense Loss P1]], Table7[[#This Row],[Total Sense Loss P1 Saved]])</f>
        <v>5.7062500000000017E-4</v>
      </c>
      <c r="CY158" s="149">
        <f ca="1">IF(Save_Sel=CLR_Save,  Table7[[#This Row],[Total MOSFET Loss P1]], Table7[[#This Row],[Total MOSFET Loss P1 Saved]] )</f>
        <v>1.4442333052026866</v>
      </c>
      <c r="CZ158" s="149">
        <f ca="1">IF(Save_Sel=CLR_Save, Table7[[#This Row],[Efficiency P1]], Table7[[#This Row],[Efficiency P1 Saved]])</f>
        <v>45.371983393416883</v>
      </c>
      <c r="DA158" s="153"/>
      <c r="DB158" s="149">
        <f ca="1">IF(Save_Sel=CLR_Save,  Table7[[#This Row],[Total Sense Loss P2]], Table7[[#This Row],[Total Sense Loss P2 Saved]])</f>
        <v>5.7062500000000017E-4</v>
      </c>
      <c r="DC158" s="149">
        <f ca="1">IF(Save_Sel=CLR_Save,  Table7[[#This Row],[Total MOSFET Loss P2]], Table7[[#This Row],[Total MOSFET Loss P2 Saved]] )</f>
        <v>0.96662737072700522</v>
      </c>
      <c r="DD158" s="149">
        <f ca="1">IF(Save_Sel=CLR_Save, Table7[[#This Row],[Efficiency P2]], Table7[[#This Row],[Efficiency P2 Saved]])</f>
        <v>55.371036811864968</v>
      </c>
      <c r="DE158" s="153"/>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row>
    <row r="159" spans="1:165" ht="16" thickBot="1" x14ac:dyDescent="0.25">
      <c r="A159" s="101"/>
      <c r="B159" s="47"/>
      <c r="C159" s="47"/>
      <c r="D159" s="35" t="s">
        <v>256</v>
      </c>
      <c r="E159" s="221" t="s">
        <v>62</v>
      </c>
      <c r="F159" s="221"/>
      <c r="G159" s="45"/>
      <c r="H159" s="13"/>
      <c r="I159" s="29" t="s">
        <v>62</v>
      </c>
      <c r="J159" s="29" t="s">
        <v>63</v>
      </c>
      <c r="K159" s="85">
        <f ca="1">IF(Save_Sel=Save,K159,Ioutmax)</f>
        <v>5</v>
      </c>
      <c r="L159" s="29"/>
      <c r="M159" s="29"/>
      <c r="N159" s="29"/>
      <c r="O159" s="29"/>
      <c r="P159" s="29"/>
      <c r="Q159" s="29"/>
      <c r="R159" s="29"/>
      <c r="S159" s="30"/>
      <c r="T159" s="18"/>
      <c r="U159" s="19"/>
      <c r="V159" s="19"/>
      <c r="W159" s="19"/>
      <c r="X159" s="19"/>
      <c r="Y159" s="19"/>
      <c r="Z159" s="19"/>
      <c r="AA159" s="19"/>
      <c r="AB159" s="19"/>
      <c r="AC159" s="19"/>
      <c r="AD159" s="19"/>
      <c r="AE159" s="19"/>
      <c r="AF159" s="143">
        <f>AF158+1</f>
        <v>3</v>
      </c>
      <c r="AG159" s="143">
        <f t="shared" si="16"/>
        <v>0.3</v>
      </c>
      <c r="AH159" s="144">
        <f t="shared" si="3"/>
        <v>7.1999999999999993</v>
      </c>
      <c r="AI159" s="145">
        <f t="shared" si="4"/>
        <v>0.16376306620209058</v>
      </c>
      <c r="AJ159" s="145">
        <f t="shared" si="5"/>
        <v>0.35874999999999996</v>
      </c>
      <c r="AK159" s="145" t="e">
        <f t="shared" si="6"/>
        <v>#NAME?</v>
      </c>
      <c r="AL159" s="145" t="e">
        <f t="shared" si="7"/>
        <v>#NAME?</v>
      </c>
      <c r="AM159" s="146"/>
      <c r="AN159" s="145" t="e">
        <f>MAX(0,Table7[[#This Row],[I_L]]-0.5*Table7[[#This Row],[I_L pkpk]])</f>
        <v>#NAME?</v>
      </c>
      <c r="AO159" s="145" t="e">
        <f>Table7[[#This Row],[I_L]]+0.5*Table7[[#This Row],[I_L pkpk]]</f>
        <v>#NAME?</v>
      </c>
      <c r="AP159" s="145" t="e">
        <f ca="1">IF(VACnom&gt;Vbat, (VGS_S-(TI_MOSFET_S_VTH_H_BU+Table7[[#This Row],[I_L]]/TI_MOSFET_S_gFS_H_BU))/3.4, (VGS_S-(TI_MOSFET_S_VTH_L_BO+Table7[[#This Row],[I_L]]/TI_MOSFET_S_gFS_L_BO))/3.4 )</f>
        <v>#REF!</v>
      </c>
      <c r="AQ159" s="145" t="e">
        <f ca="1">IF(VACnom&gt;Vbat, ((TI_MOSFET_S_VTH_H_BU+Table7[[#This Row],[I_L]]/TI_MOSFET_S_gFS_H_BU))/1, ((TI_MOSFET_S_VTH_L_BO+Table7[[#This Row],[I_L]]/TI_MOSFET_S_gFS_L_BO))/1 )</f>
        <v>#REF!</v>
      </c>
      <c r="AR159" s="145" t="e">
        <f ca="1">IF(VACnom&gt;Vbat, (TI_MOSFET_S_QGD_H_BU+TI_MOSFET_S_QGS_H_BU)*10^-9/Table7[[#This Row],[Ion (A)]], (TI_MOSFET_S_QGD_L_BO+TI_MOSFET_S_QGS_L_BO)*10^-9/Table7[[#This Row],[Ion (A)]])/10^-9</f>
        <v>#REF!</v>
      </c>
      <c r="AS159" s="145" t="e">
        <f ca="1">IF(VACnom&gt;Vbat, (TI_MOSFET_S_QGD_H_BU+TI_MOSFET_S_QGS_H_BU)*10^-9/Table7[[#This Row],[Ioff (A)]], (TI_MOSFET_S_QGD_L_BO+TI_MOSFET_S_QGS_L_BO)*10^-9/Table7[[#This Row],[Ioff (A)]])/10^-9</f>
        <v>#REF!</v>
      </c>
      <c r="AT159" s="145" t="e">
        <f ca="1" xml:space="preserve"> 0.5*VACnom*Table7[[#This Row],[Ivalley (A)]]*Table7[[#This Row],[ton (ns)]]*10^-9*Fsw*10^3+0.5*VACnom*Table7[[#This Row],[Ipeak (A)]]*Table7[[#This Row],[toff (ns)]]*10^-9*Fsw*10^3/10^-3</f>
        <v>#NAME?</v>
      </c>
      <c r="AU159" s="145" t="e">
        <f t="shared" ca="1" si="8"/>
        <v>#REF!</v>
      </c>
      <c r="AV159" s="145" t="e">
        <f t="shared" ca="1" si="9"/>
        <v>#REF!</v>
      </c>
      <c r="AW159" s="145" t="e">
        <f t="shared" ca="1" si="10"/>
        <v>#REF!</v>
      </c>
      <c r="AX159" s="145" t="e">
        <f ca="1">IF(VACnom&gt;Vbat, TI_MOSFET_S_VSD_L_BU*Table7[[#This Row],[Ivalley (A)]]*Fsw*10^3*40*10^-9+TI_MOSFET_S_VSD_L_BU*Table7[[#This Row],[Ipeak (A)]]*Fsw*10^3*30*10^-9, TI_MOSFET_S_VSD_H_BO*Table7[[#This Row],[Ivalley (A)]]*Fsw*10^3*40*10^-9+TI_MOSFET_S_VSD_H_BO*Table7[[#This Row],[Ipeak (A)]]*Fsw*10^3*30*10^-9)/10^-3</f>
        <v>#REF!</v>
      </c>
      <c r="AY159" s="145" t="e">
        <f t="shared" ca="1" si="11"/>
        <v>#REF!</v>
      </c>
      <c r="AZ159" s="145" t="e">
        <f ca="1">IF(VACnom&lt;Vbat, Table7[[#This Row],[Duty Cycle]]*Table7[[#This Row],[I_L RMS]]^2*TI_MOSFET_S_RDSON_H_BU*10^-3, (1-Table7[[#This Row],[Duty Cycle]])*Table7[[#This Row],[I_L RMS]]^2*TI_MOSFET_S_RDSON_H_BO*10^-3)/10^-3</f>
        <v>#NAME?</v>
      </c>
      <c r="BA159" s="145" t="e">
        <f ca="1">IF(VACnom&gt;Vbat, Table7[[#This Row],[PIV (mW)]]+Table7[[#This Row],[Pqoss (mW)]]+Table7[[#This Row],[Pgate_top (mW)]], Table7[[#This Row],[PRR (mW)]]+Table7[[#This Row],[Pdead (mW)]]+Table7[[#This Row],[Pgate_top (mW)]])</f>
        <v>#REF!</v>
      </c>
      <c r="BB159" s="145" t="e">
        <f ca="1">Table7[[#This Row],[Pcon_top (mW)]]+Table7[[#This Row],[Psw_top (mW)]]</f>
        <v>#NAME?</v>
      </c>
      <c r="BC159" s="145" t="e">
        <f ca="1">IF(VACnom&gt;Vbat, (1-Table7[[#This Row],[Duty Cycle]])*Table7[[#This Row],[I_L RMS]]^2*TI_MOSFET_S_RDSON_L_BU*10^-3, Table7[[#This Row],[Duty Cycle]]*Table7[[#This Row],[I_L RMS]]^2*TI_MOSFET_S_RDSON_L_BO*10^-3)/10^-3</f>
        <v>#NAME?</v>
      </c>
      <c r="BD159" s="145" t="e">
        <f ca="1">IF(VACnom&gt;Vbat, Table7[[#This Row],[PRR (mW)]]+Table7[[#This Row],[Pdead (mW)]]+Table7[[#This Row],[Pgate_bottom (mW)]], Table7[[#This Row],[PIV (mW)]]+Table7[[#This Row],[Pqoss (mW)]]+Table7[[#This Row],[Pgate_bottom (mW)]])</f>
        <v>#NAME?</v>
      </c>
      <c r="BE159" s="147" t="e">
        <f ca="1">Table7[[#This Row],[Pcon_bottom (mW)]]+Table7[[#This Row],[Psw_bottom (mW)]]</f>
        <v>#NAME?</v>
      </c>
      <c r="BF159" s="145" t="e">
        <f ca="1">Table7[[#This Row],[Pbottom (mW)]]+Table7[[#This Row],[Ptop (mW)]]</f>
        <v>#NAME?</v>
      </c>
      <c r="BG159" s="142"/>
      <c r="BH159" s="145" t="e">
        <f>MAX(0,Table7[[#This Row],[I_L]]-0.5*Table7[[#This Row],[I_L pkpk]])</f>
        <v>#NAME?</v>
      </c>
      <c r="BI159" s="145" t="e">
        <f>Table7[[#This Row],[I_L]]+0.5*Table7[[#This Row],[I_L pkpk]]</f>
        <v>#NAME?</v>
      </c>
      <c r="BJ159" s="145">
        <f>IF(VACnom&gt;Vbat, (VGS_S-(C_MOSFET_S_VTH_H_BU+Table7[[#This Row],[I_L]]/C_MOSFET_S_gFS_H_BU))/3.4, (VGS_S-(C_MOSFET_S_VTH_L_BO+Table7[[#This Row],[I_L]]/C_MOSFET_S_gFS_L_BO))/3.4 )</f>
        <v>2.3522377450980394</v>
      </c>
      <c r="BK159" s="145">
        <f>IF(VACnom&gt;Vbat, ((C_MOSFET_S_VTH_H_BU+Table7[[#This Row],[I_L]]/C_MOSFET_S_gFS_H_BU))/1, ((C_MOSFET_S_VTH_L_BO+Table7[[#This Row],[I_L]]/C_MOSFET_S_gFS_L_BO))/1 )</f>
        <v>2.0023916666666666</v>
      </c>
      <c r="BL159" s="145">
        <f>IF(VACnom&gt;Vbat, (C_MOSFET_S_QGD_H_BU+C_MOSFET_S_QGS_H_BU)*10^-9/Table7[[#This Row],[Ion (A) C]], (C_MOSFET_S_QGD_L_BO+C_MOSFET_S_QGS_L_BO)*10^-9/Table7[[#This Row],[Ion (A) C]])/10^-9</f>
        <v>2.7633261193711034</v>
      </c>
      <c r="BM159" s="145">
        <f>IF(VACnom&gt;Vbat, (C_MOSFET_S_QGD_H_BU+C_MOSFET_S_QGS_H_BU)*10^-9/Table7[[#This Row],[Ioff (A) C]], (C_MOSFET_S_QGD_L_BO+C_MOSFET_S_QGS_L_BO)*10^-9/Table7[[#This Row],[Ioff (A) C]])/10^-9</f>
        <v>3.2461181836720256</v>
      </c>
      <c r="BN159" s="145" t="e">
        <f xml:space="preserve"> 0.5*VACnom*Table7[[#This Row],[Ivalley (A) C]]*Table7[[#This Row],[ton (ns) C]]*10^-9*Fsw*10^3+0.5*VACnom*Table7[[#This Row],[Ipeak (A) C]]*Table7[[#This Row],[toff (ns) C]]*10^-9*Fsw*10^3/10^-3</f>
        <v>#NAME?</v>
      </c>
      <c r="BO159" s="145">
        <f t="shared" si="12"/>
        <v>259.2</v>
      </c>
      <c r="BP159" s="145" t="e">
        <f t="shared" ca="1" si="13"/>
        <v>#REF!</v>
      </c>
      <c r="BQ159" s="145">
        <f t="shared" si="14"/>
        <v>475.2</v>
      </c>
      <c r="BR159" s="145" t="e">
        <f>IF(VACnom&gt;Vbat, C_MOSFET_S_VSD_L_BU*Table7[[#This Row],[Ivalley (A) C]]*Fsw*10^3*40*10^-9+C_MOSFET_S_VSD_L_BU*Table7[[#This Row],[Ipeak (A) C]]*Fsw*10^3*30*10^-9, C_MOSFET_S_VSD_H_BO*Table7[[#This Row],[Ivalley (A) C]]*Fsw*10^3*40*10^-9+C_MOSFET_S_VSD_H_BO*Table7[[#This Row],[Ipeak (A) C]]*Fsw*10^3*30*10^-9)/10^-3</f>
        <v>#NAME?</v>
      </c>
      <c r="BS159" s="145" t="e">
        <f t="shared" ca="1" si="15"/>
        <v>#REF!</v>
      </c>
      <c r="BT159" s="145" t="e">
        <f>IF(VACnom&lt;Vbat, Table7[[#This Row],[Duty Cycle]]*Table7[[#This Row],[I_L RMS]]^2*C_MOSFET_S_RDSON_H_BU*10^-3, (1-Table7[[#This Row],[Duty Cycle]])*Table7[[#This Row],[I_L RMS]]^2*C_MOSFET_S_RDSON_H_BO*10^-3)/10^-3</f>
        <v>#NAME?</v>
      </c>
      <c r="BU159" s="145" t="e">
        <f ca="1">IF(VACnom&gt;Vbat, Table7[[#This Row],[PIV (mW) C]]+Table7[[#This Row],[PQoss (mW) C]]+Table7[[#This Row],[Pgate_top (mW) C]], Table7[[#This Row],[PRR (mW) C]]+Table7[[#This Row],[Pdead (mW) C]]+Table7[[#This Row],[Pgate_top (mW) C]])</f>
        <v>#NAME?</v>
      </c>
      <c r="BV159" s="145" t="e">
        <f ca="1">Table7[[#This Row],[Pcon_top (mW) C]]+Table7[[#This Row],[Psw_top (mW) C]]</f>
        <v>#NAME?</v>
      </c>
      <c r="BW159" s="145" t="e">
        <f ca="1">IF(VACnom&gt;Vbat, (1-Table7[[#This Row],[Duty Cycle]])*Table7[[#This Row],[I_L RMS]]^2*C_MOSFET_S_RDSON_L_BU*10^-3, Table7[[#This Row],[Duty Cycle]]*Table7[[#This Row],[I_L RMS]]^2*C_MOSFET_S_RDSON_L_BO*10^-3)/10^-3</f>
        <v>#NAME?</v>
      </c>
      <c r="BX159" s="145" t="e">
        <f ca="1">IF(VACnom&gt;Vbat, Table7[[#This Row],[PRR (mW) C]]+Table7[[#This Row],[Pdead (mW) C]]+Table7[[#This Row],[Pgate_bottom (mW) C]], Table7[[#This Row],[PIV (mW) C]]+Table7[[#This Row],[PQoss (mW) C]]+Table7[[#This Row],[Pgate_bottom (mW) C]])</f>
        <v>#NAME?</v>
      </c>
      <c r="BY159" s="145" t="e">
        <f ca="1">Table7[[#This Row],[Pcon_bottom (mW) C]]+Table7[[#This Row],[Psw_bottom (mV) C]]</f>
        <v>#NAME?</v>
      </c>
      <c r="BZ159" s="145" t="e">
        <f ca="1">Table7[[#This Row],[Pbottom (mW) C]]+Table7[[#This Row],[Ptop (mW) C]]</f>
        <v>#NAME?</v>
      </c>
      <c r="CA159" s="148"/>
      <c r="CB159" s="144">
        <f>(RAC_SNS*10^-3*(Table7[[#This Row],[IOUT (A)]]*Vbat/VACnom)^2/10^-3)</f>
        <v>0.64350781249999989</v>
      </c>
      <c r="CC159" s="144">
        <f>(RBAT_SNS*10^-3*Table7[[#This Row],[IOUT (A)]]^2)/10^-3</f>
        <v>0.44999999999999996</v>
      </c>
      <c r="CD159" s="144">
        <f>IF(VACnom&gt;Vbat,(L_DRC*10^-3*(Table7[[#This Row],[IOUT (A)]])^2/10^-3),(L_DRC*10^-3*(Table7[[#This Row],[IOUT (A)]]*Vbat/VACnom)^2/10^-3))</f>
        <v>0.43758531249999988</v>
      </c>
      <c r="CE159" s="152"/>
      <c r="CF159" s="145">
        <f>(Table7[[#This Row],[R_AC (mW)]]+Table7[[#This Row],[R_SR (mW)]]+Table7[[#This Row],[Inductor Loss (mW)]])/10^3</f>
        <v>1.531093125E-3</v>
      </c>
      <c r="CG159" s="145" t="e">
        <f ca="1">Table7[[#This Row],[Total TI (mW)]]/10^3</f>
        <v>#NAME?</v>
      </c>
      <c r="CH159" s="145" t="e">
        <f ca="1">Table7[[#This Row],[Total Sense Loss]]+Table7[[#This Row],[Total MOSFET Loss]]</f>
        <v>#NAME?</v>
      </c>
      <c r="CI159" s="149" t="e">
        <f ca="1">IF(Table7[[#This Row],[POUT (W)]]=0,0,(Table7[[#This Row],[POUT (W)]])/(Table7[[#This Row],[POUT (W)]]+Table7[[#This Row],[Total Power Loss (W)]]))*100</f>
        <v>#NAME?</v>
      </c>
      <c r="CJ159" s="153"/>
      <c r="CK159" s="145">
        <f>(Table7[[#This Row],[R_AC (mW)]]+Table7[[#This Row],[R_SR (mW)]]+Table7[[#This Row],[Inductor Loss (mW)]])/10^3</f>
        <v>1.531093125E-3</v>
      </c>
      <c r="CL159" s="145" t="e">
        <f ca="1">Table7[[#This Row],[Total (mW) C]]/10^3</f>
        <v>#NAME?</v>
      </c>
      <c r="CM159" s="145" t="e">
        <f ca="1">Table7[[#This Row],[Total Sense Loss C]]+Table7[[#This Row],[Total MOSFET Loss C]]</f>
        <v>#NAME?</v>
      </c>
      <c r="CN159" s="149" t="e">
        <f ca="1">IF(Table7[[#This Row],[POUT (W)]]=0,0,(Table7[[#This Row],[POUT (W)]])/(Table7[[#This Row],[POUT (W)]]+Table7[[#This Row],[Total Power Loss (W) C]]))*100</f>
        <v>#NAME?</v>
      </c>
      <c r="CO159" s="153"/>
      <c r="CP159" s="149">
        <f>IF(MOSFET_S=Custom_MOSFET,Table7[[#This Row],[Total Sense Loss C]],Table7[[#This Row],[Total Sense Loss]])</f>
        <v>1.531093125E-3</v>
      </c>
      <c r="CQ159" s="149" t="e">
        <f ca="1">IF(MOSFET_S=Custom_MOSFET,Table7[[#This Row],[Total MOSFET Loss C]],Table7[[#This Row],[Total MOSFET Loss]])</f>
        <v>#NAME?</v>
      </c>
      <c r="CR159" s="149" t="e">
        <f ca="1">IF(MOSFET_S=Custom_MOSFET,Table7[[#This Row],[Efficiency C]],Table7[[#This Row],[Efficiency]])</f>
        <v>#NAME?</v>
      </c>
      <c r="CS159" s="153"/>
      <c r="CT159" s="149">
        <f>IF(MOSFET_S=Compare_MOSFET, Table7[[#This Row],[Total Sense Loss C]], -100)</f>
        <v>-100</v>
      </c>
      <c r="CU159" s="149">
        <f>IF(MOSFET_S=Compare_MOSFET, Table7[[#This Row],[Total MOSFET Loss C]], -100)</f>
        <v>-100</v>
      </c>
      <c r="CV159" s="149">
        <f>IF(MOSFET_S=Compare_MOSFET, Table7[[#This Row],[Efficiency C]], -100)</f>
        <v>-100</v>
      </c>
      <c r="CW159" s="153"/>
      <c r="CX159" s="149">
        <f ca="1">IF(Save_Sel=CLR_Save,  Table7[[#This Row],[Total Sense Loss P1]], Table7[[#This Row],[Total Sense Loss P1 Saved]])</f>
        <v>1.2839062500000001E-3</v>
      </c>
      <c r="CY159" s="149">
        <f ca="1">IF(Save_Sel=CLR_Save,  Table7[[#This Row],[Total MOSFET Loss P1]], Table7[[#This Row],[Total MOSFET Loss P1 Saved]] )</f>
        <v>1.4506480878740322</v>
      </c>
      <c r="CZ159" s="149">
        <f ca="1">IF(Save_Sel=CLR_Save, Table7[[#This Row],[Efficiency P1]], Table7[[#This Row],[Efficiency P1 Saved]])</f>
        <v>55.351711021400476</v>
      </c>
      <c r="DA159" s="153"/>
      <c r="DB159" s="149">
        <f ca="1">IF(Save_Sel=CLR_Save,  Table7[[#This Row],[Total Sense Loss P2]], Table7[[#This Row],[Total Sense Loss P2 Saved]])</f>
        <v>1.2839062500000001E-3</v>
      </c>
      <c r="DC159" s="149">
        <f ca="1">IF(Save_Sel=CLR_Save,  Table7[[#This Row],[Total MOSFET Loss P2]], Table7[[#This Row],[Total MOSFET Loss P2 Saved]] )</f>
        <v>0.96910750497926368</v>
      </c>
      <c r="DD159" s="149">
        <f ca="1">IF(Save_Sel=CLR_Save, Table7[[#This Row],[Efficiency P2]], Table7[[#This Row],[Efficiency P2 Saved]])</f>
        <v>64.972768566349018</v>
      </c>
      <c r="DE159" s="153"/>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row>
    <row r="160" spans="1:165" x14ac:dyDescent="0.2">
      <c r="A160" s="36"/>
      <c r="B160" s="49"/>
      <c r="C160" s="49"/>
      <c r="D160" s="32"/>
      <c r="E160" s="106"/>
      <c r="F160" s="106"/>
      <c r="G160" s="49"/>
      <c r="H160" s="29"/>
      <c r="I160" s="29"/>
      <c r="J160" s="29"/>
      <c r="K160" s="29"/>
      <c r="L160" s="29"/>
      <c r="M160" s="29"/>
      <c r="N160" s="29"/>
      <c r="O160" s="29"/>
      <c r="P160" s="29"/>
      <c r="Q160" s="29"/>
      <c r="R160" s="29"/>
      <c r="S160" s="30"/>
      <c r="T160" s="18"/>
      <c r="U160" s="19"/>
      <c r="V160" s="19"/>
      <c r="W160" s="19"/>
      <c r="X160" s="19"/>
      <c r="Y160" s="19"/>
      <c r="Z160" s="19"/>
      <c r="AA160" s="19"/>
      <c r="AB160" s="19"/>
      <c r="AC160" s="19"/>
      <c r="AD160" s="19"/>
      <c r="AE160" s="19"/>
      <c r="AF160" s="143">
        <f t="shared" ref="AF160:AF221" si="17">AF159+1</f>
        <v>4</v>
      </c>
      <c r="AG160" s="143">
        <f t="shared" si="16"/>
        <v>0.4</v>
      </c>
      <c r="AH160" s="144">
        <f t="shared" si="3"/>
        <v>9.6000000000000014</v>
      </c>
      <c r="AI160" s="145">
        <f t="shared" si="4"/>
        <v>0.16376306620209058</v>
      </c>
      <c r="AJ160" s="145">
        <f t="shared" si="5"/>
        <v>0.47833333333333333</v>
      </c>
      <c r="AK160" s="145" t="e">
        <f t="shared" si="6"/>
        <v>#NAME?</v>
      </c>
      <c r="AL160" s="145" t="e">
        <f t="shared" si="7"/>
        <v>#NAME?</v>
      </c>
      <c r="AM160" s="146"/>
      <c r="AN160" s="145" t="e">
        <f>MAX(0,Table7[[#This Row],[I_L]]-0.5*Table7[[#This Row],[I_L pkpk]])</f>
        <v>#NAME?</v>
      </c>
      <c r="AO160" s="145" t="e">
        <f>Table7[[#This Row],[I_L]]+0.5*Table7[[#This Row],[I_L pkpk]]</f>
        <v>#NAME?</v>
      </c>
      <c r="AP160" s="145" t="e">
        <f ca="1">IF(VACnom&gt;Vbat, (VGS_S-(TI_MOSFET_S_VTH_H_BU+Table7[[#This Row],[I_L]]/TI_MOSFET_S_gFS_H_BU))/3.4, (VGS_S-(TI_MOSFET_S_VTH_L_BO+Table7[[#This Row],[I_L]]/TI_MOSFET_S_gFS_L_BO))/3.4 )</f>
        <v>#REF!</v>
      </c>
      <c r="AQ160" s="145" t="e">
        <f ca="1">IF(VACnom&gt;Vbat, ((TI_MOSFET_S_VTH_H_BU+Table7[[#This Row],[I_L]]/TI_MOSFET_S_gFS_H_BU))/1, ((TI_MOSFET_S_VTH_L_BO+Table7[[#This Row],[I_L]]/TI_MOSFET_S_gFS_L_BO))/1 )</f>
        <v>#REF!</v>
      </c>
      <c r="AR160" s="145" t="e">
        <f ca="1">IF(VACnom&gt;Vbat, (TI_MOSFET_S_QGD_H_BU+TI_MOSFET_S_QGS_H_BU)*10^-9/Table7[[#This Row],[Ion (A)]], (TI_MOSFET_S_QGD_L_BO+TI_MOSFET_S_QGS_L_BO)*10^-9/Table7[[#This Row],[Ion (A)]])/10^-9</f>
        <v>#REF!</v>
      </c>
      <c r="AS160" s="145" t="e">
        <f ca="1">IF(VACnom&gt;Vbat, (TI_MOSFET_S_QGD_H_BU+TI_MOSFET_S_QGS_H_BU)*10^-9/Table7[[#This Row],[Ioff (A)]], (TI_MOSFET_S_QGD_L_BO+TI_MOSFET_S_QGS_L_BO)*10^-9/Table7[[#This Row],[Ioff (A)]])/10^-9</f>
        <v>#REF!</v>
      </c>
      <c r="AT160" s="145" t="e">
        <f ca="1" xml:space="preserve"> 0.5*VACnom*Table7[[#This Row],[Ivalley (A)]]*Table7[[#This Row],[ton (ns)]]*10^-9*Fsw*10^3+0.5*VACnom*Table7[[#This Row],[Ipeak (A)]]*Table7[[#This Row],[toff (ns)]]*10^-9*Fsw*10^3/10^-3</f>
        <v>#NAME?</v>
      </c>
      <c r="AU160" s="145" t="e">
        <f t="shared" ca="1" si="8"/>
        <v>#REF!</v>
      </c>
      <c r="AV160" s="145" t="e">
        <f t="shared" ca="1" si="9"/>
        <v>#REF!</v>
      </c>
      <c r="AW160" s="145" t="e">
        <f t="shared" ca="1" si="10"/>
        <v>#REF!</v>
      </c>
      <c r="AX160" s="145" t="e">
        <f ca="1">IF(VACnom&gt;Vbat, TI_MOSFET_S_VSD_L_BU*Table7[[#This Row],[Ivalley (A)]]*Fsw*10^3*40*10^-9+TI_MOSFET_S_VSD_L_BU*Table7[[#This Row],[Ipeak (A)]]*Fsw*10^3*30*10^-9, TI_MOSFET_S_VSD_H_BO*Table7[[#This Row],[Ivalley (A)]]*Fsw*10^3*40*10^-9+TI_MOSFET_S_VSD_H_BO*Table7[[#This Row],[Ipeak (A)]]*Fsw*10^3*30*10^-9)/10^-3</f>
        <v>#REF!</v>
      </c>
      <c r="AY160" s="145" t="e">
        <f t="shared" ca="1" si="11"/>
        <v>#REF!</v>
      </c>
      <c r="AZ160" s="145" t="e">
        <f ca="1">IF(VACnom&lt;Vbat, Table7[[#This Row],[Duty Cycle]]*Table7[[#This Row],[I_L RMS]]^2*TI_MOSFET_S_RDSON_H_BU*10^-3, (1-Table7[[#This Row],[Duty Cycle]])*Table7[[#This Row],[I_L RMS]]^2*TI_MOSFET_S_RDSON_H_BO*10^-3)/10^-3</f>
        <v>#NAME?</v>
      </c>
      <c r="BA160" s="145" t="e">
        <f ca="1">IF(VACnom&gt;Vbat, Table7[[#This Row],[PIV (mW)]]+Table7[[#This Row],[Pqoss (mW)]]+Table7[[#This Row],[Pgate_top (mW)]], Table7[[#This Row],[PRR (mW)]]+Table7[[#This Row],[Pdead (mW)]]+Table7[[#This Row],[Pgate_top (mW)]])</f>
        <v>#REF!</v>
      </c>
      <c r="BB160" s="145" t="e">
        <f ca="1">Table7[[#This Row],[Pcon_top (mW)]]+Table7[[#This Row],[Psw_top (mW)]]</f>
        <v>#NAME?</v>
      </c>
      <c r="BC160" s="145" t="e">
        <f ca="1">IF(VACnom&gt;Vbat, (1-Table7[[#This Row],[Duty Cycle]])*Table7[[#This Row],[I_L RMS]]^2*TI_MOSFET_S_RDSON_L_BU*10^-3, Table7[[#This Row],[Duty Cycle]]*Table7[[#This Row],[I_L RMS]]^2*TI_MOSFET_S_RDSON_L_BO*10^-3)/10^-3</f>
        <v>#NAME?</v>
      </c>
      <c r="BD160" s="145" t="e">
        <f ca="1">IF(VACnom&gt;Vbat, Table7[[#This Row],[PRR (mW)]]+Table7[[#This Row],[Pdead (mW)]]+Table7[[#This Row],[Pgate_bottom (mW)]], Table7[[#This Row],[PIV (mW)]]+Table7[[#This Row],[Pqoss (mW)]]+Table7[[#This Row],[Pgate_bottom (mW)]])</f>
        <v>#NAME?</v>
      </c>
      <c r="BE160" s="147" t="e">
        <f ca="1">Table7[[#This Row],[Pcon_bottom (mW)]]+Table7[[#This Row],[Psw_bottom (mW)]]</f>
        <v>#NAME?</v>
      </c>
      <c r="BF160" s="145" t="e">
        <f ca="1">Table7[[#This Row],[Pbottom (mW)]]+Table7[[#This Row],[Ptop (mW)]]</f>
        <v>#NAME?</v>
      </c>
      <c r="BG160" s="142"/>
      <c r="BH160" s="145" t="e">
        <f>MAX(0,Table7[[#This Row],[I_L]]-0.5*Table7[[#This Row],[I_L pkpk]])</f>
        <v>#NAME?</v>
      </c>
      <c r="BI160" s="145" t="e">
        <f>Table7[[#This Row],[I_L]]+0.5*Table7[[#This Row],[I_L pkpk]]</f>
        <v>#NAME?</v>
      </c>
      <c r="BJ160" s="145">
        <f>IF(VACnom&gt;Vbat, (VGS_S-(C_MOSFET_S_VTH_H_BU+Table7[[#This Row],[I_L]]/C_MOSFET_S_gFS_H_BU))/3.4, (VGS_S-(C_MOSFET_S_VTH_L_BO+Table7[[#This Row],[I_L]]/C_MOSFET_S_gFS_L_BO))/3.4 )</f>
        <v>2.3520032679738563</v>
      </c>
      <c r="BK160" s="145">
        <f>IF(VACnom&gt;Vbat, ((C_MOSFET_S_VTH_H_BU+Table7[[#This Row],[I_L]]/C_MOSFET_S_gFS_H_BU))/1, ((C_MOSFET_S_VTH_L_BO+Table7[[#This Row],[I_L]]/C_MOSFET_S_gFS_L_BO))/1 )</f>
        <v>2.0031888888888889</v>
      </c>
      <c r="BL160" s="145">
        <f>IF(VACnom&gt;Vbat, (C_MOSFET_S_QGD_H_BU+C_MOSFET_S_QGS_H_BU)*10^-9/Table7[[#This Row],[Ion (A) C]], (C_MOSFET_S_QGD_L_BO+C_MOSFET_S_QGS_L_BO)*10^-9/Table7[[#This Row],[Ion (A) C]])/10^-9</f>
        <v>2.7636016023053633</v>
      </c>
      <c r="BM160" s="145">
        <f>IF(VACnom&gt;Vbat, (C_MOSFET_S_QGD_H_BU+C_MOSFET_S_QGS_H_BU)*10^-9/Table7[[#This Row],[Ioff (A) C]], (C_MOSFET_S_QGD_L_BO+C_MOSFET_S_QGS_L_BO)*10^-9/Table7[[#This Row],[Ioff (A) C]])/10^-9</f>
        <v>3.2448263047252439</v>
      </c>
      <c r="BN160" s="145" t="e">
        <f xml:space="preserve"> 0.5*VACnom*Table7[[#This Row],[Ivalley (A) C]]*Table7[[#This Row],[ton (ns) C]]*10^-9*Fsw*10^3+0.5*VACnom*Table7[[#This Row],[Ipeak (A) C]]*Table7[[#This Row],[toff (ns) C]]*10^-9*Fsw*10^3/10^-3</f>
        <v>#NAME?</v>
      </c>
      <c r="BO160" s="145">
        <f t="shared" si="12"/>
        <v>259.2</v>
      </c>
      <c r="BP160" s="145" t="e">
        <f t="shared" ca="1" si="13"/>
        <v>#REF!</v>
      </c>
      <c r="BQ160" s="145">
        <f t="shared" si="14"/>
        <v>475.2</v>
      </c>
      <c r="BR160" s="145" t="e">
        <f>IF(VACnom&gt;Vbat, C_MOSFET_S_VSD_L_BU*Table7[[#This Row],[Ivalley (A) C]]*Fsw*10^3*40*10^-9+C_MOSFET_S_VSD_L_BU*Table7[[#This Row],[Ipeak (A) C]]*Fsw*10^3*30*10^-9, C_MOSFET_S_VSD_H_BO*Table7[[#This Row],[Ivalley (A) C]]*Fsw*10^3*40*10^-9+C_MOSFET_S_VSD_H_BO*Table7[[#This Row],[Ipeak (A) C]]*Fsw*10^3*30*10^-9)/10^-3</f>
        <v>#NAME?</v>
      </c>
      <c r="BS160" s="145" t="e">
        <f t="shared" ca="1" si="15"/>
        <v>#REF!</v>
      </c>
      <c r="BT160" s="145" t="e">
        <f>IF(VACnom&lt;Vbat, Table7[[#This Row],[Duty Cycle]]*Table7[[#This Row],[I_L RMS]]^2*C_MOSFET_S_RDSON_H_BU*10^-3, (1-Table7[[#This Row],[Duty Cycle]])*Table7[[#This Row],[I_L RMS]]^2*C_MOSFET_S_RDSON_H_BO*10^-3)/10^-3</f>
        <v>#NAME?</v>
      </c>
      <c r="BU160" s="145" t="e">
        <f ca="1">IF(VACnom&gt;Vbat, Table7[[#This Row],[PIV (mW) C]]+Table7[[#This Row],[PQoss (mW) C]]+Table7[[#This Row],[Pgate_top (mW) C]], Table7[[#This Row],[PRR (mW) C]]+Table7[[#This Row],[Pdead (mW) C]]+Table7[[#This Row],[Pgate_top (mW) C]])</f>
        <v>#NAME?</v>
      </c>
      <c r="BV160" s="145" t="e">
        <f ca="1">Table7[[#This Row],[Pcon_top (mW) C]]+Table7[[#This Row],[Psw_top (mW) C]]</f>
        <v>#NAME?</v>
      </c>
      <c r="BW160" s="145" t="e">
        <f ca="1">IF(VACnom&gt;Vbat, (1-Table7[[#This Row],[Duty Cycle]])*Table7[[#This Row],[I_L RMS]]^2*C_MOSFET_S_RDSON_L_BU*10^-3, Table7[[#This Row],[Duty Cycle]]*Table7[[#This Row],[I_L RMS]]^2*C_MOSFET_S_RDSON_L_BO*10^-3)/10^-3</f>
        <v>#NAME?</v>
      </c>
      <c r="BX160" s="145" t="e">
        <f ca="1">IF(VACnom&gt;Vbat, Table7[[#This Row],[PRR (mW) C]]+Table7[[#This Row],[Pdead (mW) C]]+Table7[[#This Row],[Pgate_bottom (mW) C]], Table7[[#This Row],[PIV (mW) C]]+Table7[[#This Row],[PQoss (mW) C]]+Table7[[#This Row],[Pgate_bottom (mW) C]])</f>
        <v>#NAME?</v>
      </c>
      <c r="BY160" s="145" t="e">
        <f ca="1">Table7[[#This Row],[Pcon_bottom (mW) C]]+Table7[[#This Row],[Psw_bottom (mV) C]]</f>
        <v>#NAME?</v>
      </c>
      <c r="BZ160" s="145" t="e">
        <f ca="1">Table7[[#This Row],[Pbottom (mW) C]]+Table7[[#This Row],[Ptop (mW) C]]</f>
        <v>#NAME?</v>
      </c>
      <c r="CA160" s="148"/>
      <c r="CB160" s="144">
        <f>(RAC_SNS*10^-3*(Table7[[#This Row],[IOUT (A)]]*Vbat/VACnom)^2/10^-3)</f>
        <v>1.1440138888888889</v>
      </c>
      <c r="CC160" s="144">
        <f>(RBAT_SNS*10^-3*Table7[[#This Row],[IOUT (A)]]^2)/10^-3</f>
        <v>0.80000000000000016</v>
      </c>
      <c r="CD160" s="144">
        <f>IF(VACnom&gt;Vbat,(L_DRC*10^-3*(Table7[[#This Row],[IOUT (A)]])^2/10^-3),(L_DRC*10^-3*(Table7[[#This Row],[IOUT (A)]]*Vbat/VACnom)^2/10^-3))</f>
        <v>0.77792944444444434</v>
      </c>
      <c r="CE160" s="152"/>
      <c r="CF160" s="145">
        <f>(Table7[[#This Row],[R_AC (mW)]]+Table7[[#This Row],[R_SR (mW)]]+Table7[[#This Row],[Inductor Loss (mW)]])/10^3</f>
        <v>2.7219433333333333E-3</v>
      </c>
      <c r="CG160" s="145" t="e">
        <f ca="1">Table7[[#This Row],[Total TI (mW)]]/10^3</f>
        <v>#NAME?</v>
      </c>
      <c r="CH160" s="145" t="e">
        <f ca="1">Table7[[#This Row],[Total Sense Loss]]+Table7[[#This Row],[Total MOSFET Loss]]</f>
        <v>#NAME?</v>
      </c>
      <c r="CI160" s="149" t="e">
        <f ca="1">IF(Table7[[#This Row],[POUT (W)]]=0,0,(Table7[[#This Row],[POUT (W)]])/(Table7[[#This Row],[POUT (W)]]+Table7[[#This Row],[Total Power Loss (W)]]))*100</f>
        <v>#NAME?</v>
      </c>
      <c r="CJ160" s="153"/>
      <c r="CK160" s="145">
        <f>(Table7[[#This Row],[R_AC (mW)]]+Table7[[#This Row],[R_SR (mW)]]+Table7[[#This Row],[Inductor Loss (mW)]])/10^3</f>
        <v>2.7219433333333333E-3</v>
      </c>
      <c r="CL160" s="145" t="e">
        <f ca="1">Table7[[#This Row],[Total (mW) C]]/10^3</f>
        <v>#NAME?</v>
      </c>
      <c r="CM160" s="145" t="e">
        <f ca="1">Table7[[#This Row],[Total Sense Loss C]]+Table7[[#This Row],[Total MOSFET Loss C]]</f>
        <v>#NAME?</v>
      </c>
      <c r="CN160" s="149" t="e">
        <f ca="1">IF(Table7[[#This Row],[POUT (W)]]=0,0,(Table7[[#This Row],[POUT (W)]])/(Table7[[#This Row],[POUT (W)]]+Table7[[#This Row],[Total Power Loss (W) C]]))*100</f>
        <v>#NAME?</v>
      </c>
      <c r="CO160" s="153"/>
      <c r="CP160" s="149">
        <f>IF(MOSFET_S=Custom_MOSFET,Table7[[#This Row],[Total Sense Loss C]],Table7[[#This Row],[Total Sense Loss]])</f>
        <v>2.7219433333333333E-3</v>
      </c>
      <c r="CQ160" s="149" t="e">
        <f ca="1">IF(MOSFET_S=Custom_MOSFET,Table7[[#This Row],[Total MOSFET Loss C]],Table7[[#This Row],[Total MOSFET Loss]])</f>
        <v>#NAME?</v>
      </c>
      <c r="CR160" s="149" t="e">
        <f ca="1">IF(MOSFET_S=Custom_MOSFET,Table7[[#This Row],[Efficiency C]],Table7[[#This Row],[Efficiency]])</f>
        <v>#NAME?</v>
      </c>
      <c r="CS160" s="153"/>
      <c r="CT160" s="149">
        <f>IF(MOSFET_S=Compare_MOSFET, Table7[[#This Row],[Total Sense Loss C]], -100)</f>
        <v>-100</v>
      </c>
      <c r="CU160" s="149">
        <f>IF(MOSFET_S=Compare_MOSFET, Table7[[#This Row],[Total MOSFET Loss C]], -100)</f>
        <v>-100</v>
      </c>
      <c r="CV160" s="149">
        <f>IF(MOSFET_S=Compare_MOSFET, Table7[[#This Row],[Efficiency C]], -100)</f>
        <v>-100</v>
      </c>
      <c r="CW160" s="153"/>
      <c r="CX160" s="149">
        <f ca="1">IF(Save_Sel=CLR_Save,  Table7[[#This Row],[Total Sense Loss P1]], Table7[[#This Row],[Total Sense Loss P1 Saved]])</f>
        <v>2.2825000000000007E-3</v>
      </c>
      <c r="CY160" s="149">
        <f ca="1">IF(Save_Sel=CLR_Save,  Table7[[#This Row],[Total MOSFET Loss P1]], Table7[[#This Row],[Total MOSFET Loss P1 Saved]] )</f>
        <v>1.4571054978604345</v>
      </c>
      <c r="CZ160" s="149">
        <f ca="1">IF(Save_Sel=CLR_Save, Table7[[#This Row],[Efficiency P1]], Table7[[#This Row],[Efficiency P1 Saved]])</f>
        <v>62.186025383571454</v>
      </c>
      <c r="DA160" s="153"/>
      <c r="DB160" s="149">
        <f ca="1">IF(Save_Sel=CLR_Save,  Table7[[#This Row],[Total Sense Loss P2]], Table7[[#This Row],[Total Sense Loss P2 Saved]])</f>
        <v>2.2825000000000007E-3</v>
      </c>
      <c r="DC160" s="149">
        <f ca="1">IF(Save_Sel=CLR_Save,  Table7[[#This Row],[Total MOSFET Loss P2]], Table7[[#This Row],[Total MOSFET Loss P2 Saved]] )</f>
        <v>0.97166677883473906</v>
      </c>
      <c r="DD160" s="149">
        <f ca="1">IF(Save_Sel=CLR_Save, Table7[[#This Row],[Efficiency P2]], Table7[[#This Row],[Efficiency P2 Saved]])</f>
        <v>71.133256657281109</v>
      </c>
      <c r="DE160" s="153"/>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row>
    <row r="161" spans="1:165" ht="16" thickBot="1" x14ac:dyDescent="0.25">
      <c r="A161" s="212" t="str">
        <f>IF(MOSFET_S=Custom_MOSFET, "TI MOSFET Recommendation", "TI MOSFET Recommendation (Plot 1)")</f>
        <v>TI MOSFET Recommendation (Plot 1)</v>
      </c>
      <c r="B161" s="213"/>
      <c r="C161" s="213"/>
      <c r="D161" s="213"/>
      <c r="E161" s="213"/>
      <c r="F161" s="213"/>
      <c r="G161" s="213"/>
      <c r="H161" s="29"/>
      <c r="I161" s="214" t="str">
        <f>IF(MOSFET_S=Custom_MOSFET, "Custom MOSFET Comparison (Plot 1)", IF(MOSFET_S=Compare_MOSFET, "Custom MOSFET Comparison (Plot 2)", "Custom MOSFET Comparison"))</f>
        <v>Custom MOSFET Comparison</v>
      </c>
      <c r="J161" s="214"/>
      <c r="K161" s="214"/>
      <c r="L161" s="214"/>
      <c r="M161" s="214"/>
      <c r="N161" s="214"/>
      <c r="O161" s="214"/>
      <c r="P161" s="214"/>
      <c r="Q161" s="29"/>
      <c r="R161" s="29"/>
      <c r="S161" s="30"/>
      <c r="T161" s="18"/>
      <c r="U161" s="19"/>
      <c r="V161" s="19"/>
      <c r="W161" s="19"/>
      <c r="X161" s="19"/>
      <c r="Y161" s="19"/>
      <c r="Z161" s="19"/>
      <c r="AA161" s="19"/>
      <c r="AB161" s="19"/>
      <c r="AC161" s="19"/>
      <c r="AD161" s="19"/>
      <c r="AE161" s="19"/>
      <c r="AF161" s="143">
        <f t="shared" si="17"/>
        <v>5</v>
      </c>
      <c r="AG161" s="143">
        <f t="shared" si="16"/>
        <v>0.5</v>
      </c>
      <c r="AH161" s="144">
        <f t="shared" si="3"/>
        <v>12</v>
      </c>
      <c r="AI161" s="145">
        <f t="shared" si="4"/>
        <v>0.16376306620209058</v>
      </c>
      <c r="AJ161" s="145">
        <f t="shared" si="5"/>
        <v>0.59791666666666665</v>
      </c>
      <c r="AK161" s="145" t="e">
        <f t="shared" si="6"/>
        <v>#NAME?</v>
      </c>
      <c r="AL161" s="145" t="e">
        <f t="shared" si="7"/>
        <v>#NAME?</v>
      </c>
      <c r="AM161" s="146"/>
      <c r="AN161" s="145" t="e">
        <f>MAX(0,Table7[[#This Row],[I_L]]-0.5*Table7[[#This Row],[I_L pkpk]])</f>
        <v>#NAME?</v>
      </c>
      <c r="AO161" s="145" t="e">
        <f>Table7[[#This Row],[I_L]]+0.5*Table7[[#This Row],[I_L pkpk]]</f>
        <v>#NAME?</v>
      </c>
      <c r="AP161" s="145" t="e">
        <f ca="1">IF(VACnom&gt;Vbat, (VGS_S-(TI_MOSFET_S_VTH_H_BU+Table7[[#This Row],[I_L]]/TI_MOSFET_S_gFS_H_BU))/3.4, (VGS_S-(TI_MOSFET_S_VTH_L_BO+Table7[[#This Row],[I_L]]/TI_MOSFET_S_gFS_L_BO))/3.4 )</f>
        <v>#REF!</v>
      </c>
      <c r="AQ161" s="145" t="e">
        <f ca="1">IF(VACnom&gt;Vbat, ((TI_MOSFET_S_VTH_H_BU+Table7[[#This Row],[I_L]]/TI_MOSFET_S_gFS_H_BU))/1, ((TI_MOSFET_S_VTH_L_BO+Table7[[#This Row],[I_L]]/TI_MOSFET_S_gFS_L_BO))/1 )</f>
        <v>#REF!</v>
      </c>
      <c r="AR161" s="145" t="e">
        <f ca="1">IF(VACnom&gt;Vbat, (TI_MOSFET_S_QGD_H_BU+TI_MOSFET_S_QGS_H_BU)*10^-9/Table7[[#This Row],[Ion (A)]], (TI_MOSFET_S_QGD_L_BO+TI_MOSFET_S_QGS_L_BO)*10^-9/Table7[[#This Row],[Ion (A)]])/10^-9</f>
        <v>#REF!</v>
      </c>
      <c r="AS161" s="145" t="e">
        <f ca="1">IF(VACnom&gt;Vbat, (TI_MOSFET_S_QGD_H_BU+TI_MOSFET_S_QGS_H_BU)*10^-9/Table7[[#This Row],[Ioff (A)]], (TI_MOSFET_S_QGD_L_BO+TI_MOSFET_S_QGS_L_BO)*10^-9/Table7[[#This Row],[Ioff (A)]])/10^-9</f>
        <v>#REF!</v>
      </c>
      <c r="AT161" s="145" t="e">
        <f ca="1" xml:space="preserve"> 0.5*VACnom*Table7[[#This Row],[Ivalley (A)]]*Table7[[#This Row],[ton (ns)]]*10^-9*Fsw*10^3+0.5*VACnom*Table7[[#This Row],[Ipeak (A)]]*Table7[[#This Row],[toff (ns)]]*10^-9*Fsw*10^3/10^-3</f>
        <v>#NAME?</v>
      </c>
      <c r="AU161" s="145" t="e">
        <f t="shared" ca="1" si="8"/>
        <v>#REF!</v>
      </c>
      <c r="AV161" s="145" t="e">
        <f t="shared" ca="1" si="9"/>
        <v>#REF!</v>
      </c>
      <c r="AW161" s="145" t="e">
        <f t="shared" ca="1" si="10"/>
        <v>#REF!</v>
      </c>
      <c r="AX161" s="145" t="e">
        <f ca="1">IF(VACnom&gt;Vbat, TI_MOSFET_S_VSD_L_BU*Table7[[#This Row],[Ivalley (A)]]*Fsw*10^3*40*10^-9+TI_MOSFET_S_VSD_L_BU*Table7[[#This Row],[Ipeak (A)]]*Fsw*10^3*30*10^-9, TI_MOSFET_S_VSD_H_BO*Table7[[#This Row],[Ivalley (A)]]*Fsw*10^3*40*10^-9+TI_MOSFET_S_VSD_H_BO*Table7[[#This Row],[Ipeak (A)]]*Fsw*10^3*30*10^-9)/10^-3</f>
        <v>#REF!</v>
      </c>
      <c r="AY161" s="145" t="e">
        <f t="shared" ca="1" si="11"/>
        <v>#REF!</v>
      </c>
      <c r="AZ161" s="145" t="e">
        <f ca="1">IF(VACnom&lt;Vbat, Table7[[#This Row],[Duty Cycle]]*Table7[[#This Row],[I_L RMS]]^2*TI_MOSFET_S_RDSON_H_BU*10^-3, (1-Table7[[#This Row],[Duty Cycle]])*Table7[[#This Row],[I_L RMS]]^2*TI_MOSFET_S_RDSON_H_BO*10^-3)/10^-3</f>
        <v>#NAME?</v>
      </c>
      <c r="BA161" s="145" t="e">
        <f ca="1">IF(VACnom&gt;Vbat, Table7[[#This Row],[PIV (mW)]]+Table7[[#This Row],[Pqoss (mW)]]+Table7[[#This Row],[Pgate_top (mW)]], Table7[[#This Row],[PRR (mW)]]+Table7[[#This Row],[Pdead (mW)]]+Table7[[#This Row],[Pgate_top (mW)]])</f>
        <v>#REF!</v>
      </c>
      <c r="BB161" s="145" t="e">
        <f ca="1">Table7[[#This Row],[Pcon_top (mW)]]+Table7[[#This Row],[Psw_top (mW)]]</f>
        <v>#NAME?</v>
      </c>
      <c r="BC161" s="145" t="e">
        <f ca="1">IF(VACnom&gt;Vbat, (1-Table7[[#This Row],[Duty Cycle]])*Table7[[#This Row],[I_L RMS]]^2*TI_MOSFET_S_RDSON_L_BU*10^-3, Table7[[#This Row],[Duty Cycle]]*Table7[[#This Row],[I_L RMS]]^2*TI_MOSFET_S_RDSON_L_BO*10^-3)/10^-3</f>
        <v>#NAME?</v>
      </c>
      <c r="BD161" s="145" t="e">
        <f ca="1">IF(VACnom&gt;Vbat, Table7[[#This Row],[PRR (mW)]]+Table7[[#This Row],[Pdead (mW)]]+Table7[[#This Row],[Pgate_bottom (mW)]], Table7[[#This Row],[PIV (mW)]]+Table7[[#This Row],[Pqoss (mW)]]+Table7[[#This Row],[Pgate_bottom (mW)]])</f>
        <v>#NAME?</v>
      </c>
      <c r="BE161" s="147" t="e">
        <f ca="1">Table7[[#This Row],[Pcon_bottom (mW)]]+Table7[[#This Row],[Psw_bottom (mW)]]</f>
        <v>#NAME?</v>
      </c>
      <c r="BF161" s="145" t="e">
        <f ca="1">Table7[[#This Row],[Pbottom (mW)]]+Table7[[#This Row],[Ptop (mW)]]</f>
        <v>#NAME?</v>
      </c>
      <c r="BG161" s="142"/>
      <c r="BH161" s="145" t="e">
        <f>MAX(0,Table7[[#This Row],[I_L]]-0.5*Table7[[#This Row],[I_L pkpk]])</f>
        <v>#NAME?</v>
      </c>
      <c r="BI161" s="145" t="e">
        <f>Table7[[#This Row],[I_L]]+0.5*Table7[[#This Row],[I_L pkpk]]</f>
        <v>#NAME?</v>
      </c>
      <c r="BJ161" s="145">
        <f>IF(VACnom&gt;Vbat, (VGS_S-(C_MOSFET_S_VTH_H_BU+Table7[[#This Row],[I_L]]/C_MOSFET_S_gFS_H_BU))/3.4, (VGS_S-(C_MOSFET_S_VTH_L_BO+Table7[[#This Row],[I_L]]/C_MOSFET_S_gFS_L_BO))/3.4 )</f>
        <v>2.3517687908496732</v>
      </c>
      <c r="BK161" s="145">
        <f>IF(VACnom&gt;Vbat, ((C_MOSFET_S_VTH_H_BU+Table7[[#This Row],[I_L]]/C_MOSFET_S_gFS_H_BU))/1, ((C_MOSFET_S_VTH_L_BO+Table7[[#This Row],[I_L]]/C_MOSFET_S_gFS_L_BO))/1 )</f>
        <v>2.0039861111111112</v>
      </c>
      <c r="BL161" s="145">
        <f>IF(VACnom&gt;Vbat, (C_MOSFET_S_QGD_H_BU+C_MOSFET_S_QGS_H_BU)*10^-9/Table7[[#This Row],[Ion (A) C]], (C_MOSFET_S_QGD_L_BO+C_MOSFET_S_QGS_L_BO)*10^-9/Table7[[#This Row],[Ion (A) C]])/10^-9</f>
        <v>2.7638771401722733</v>
      </c>
      <c r="BM161" s="145">
        <f>IF(VACnom&gt;Vbat, (C_MOSFET_S_QGD_H_BU+C_MOSFET_S_QGS_H_BU)*10^-9/Table7[[#This Row],[Ioff (A) C]], (C_MOSFET_S_QGD_L_BO+C_MOSFET_S_QGS_L_BO)*10^-9/Table7[[#This Row],[Ioff (A) C]])/10^-9</f>
        <v>3.2435354536444723</v>
      </c>
      <c r="BN161" s="145" t="e">
        <f xml:space="preserve"> 0.5*VACnom*Table7[[#This Row],[Ivalley (A) C]]*Table7[[#This Row],[ton (ns) C]]*10^-9*Fsw*10^3+0.5*VACnom*Table7[[#This Row],[Ipeak (A) C]]*Table7[[#This Row],[toff (ns) C]]*10^-9*Fsw*10^3/10^-3</f>
        <v>#NAME?</v>
      </c>
      <c r="BO161" s="145">
        <f t="shared" si="12"/>
        <v>259.2</v>
      </c>
      <c r="BP161" s="145" t="e">
        <f t="shared" ca="1" si="13"/>
        <v>#REF!</v>
      </c>
      <c r="BQ161" s="145">
        <f t="shared" si="14"/>
        <v>475.2</v>
      </c>
      <c r="BR161" s="145" t="e">
        <f>IF(VACnom&gt;Vbat, C_MOSFET_S_VSD_L_BU*Table7[[#This Row],[Ivalley (A) C]]*Fsw*10^3*40*10^-9+C_MOSFET_S_VSD_L_BU*Table7[[#This Row],[Ipeak (A) C]]*Fsw*10^3*30*10^-9, C_MOSFET_S_VSD_H_BO*Table7[[#This Row],[Ivalley (A) C]]*Fsw*10^3*40*10^-9+C_MOSFET_S_VSD_H_BO*Table7[[#This Row],[Ipeak (A) C]]*Fsw*10^3*30*10^-9)/10^-3</f>
        <v>#NAME?</v>
      </c>
      <c r="BS161" s="145" t="e">
        <f t="shared" ca="1" si="15"/>
        <v>#REF!</v>
      </c>
      <c r="BT161" s="145" t="e">
        <f>IF(VACnom&lt;Vbat, Table7[[#This Row],[Duty Cycle]]*Table7[[#This Row],[I_L RMS]]^2*C_MOSFET_S_RDSON_H_BU*10^-3, (1-Table7[[#This Row],[Duty Cycle]])*Table7[[#This Row],[I_L RMS]]^2*C_MOSFET_S_RDSON_H_BO*10^-3)/10^-3</f>
        <v>#NAME?</v>
      </c>
      <c r="BU161" s="145" t="e">
        <f ca="1">IF(VACnom&gt;Vbat, Table7[[#This Row],[PIV (mW) C]]+Table7[[#This Row],[PQoss (mW) C]]+Table7[[#This Row],[Pgate_top (mW) C]], Table7[[#This Row],[PRR (mW) C]]+Table7[[#This Row],[Pdead (mW) C]]+Table7[[#This Row],[Pgate_top (mW) C]])</f>
        <v>#NAME?</v>
      </c>
      <c r="BV161" s="145" t="e">
        <f ca="1">Table7[[#This Row],[Pcon_top (mW) C]]+Table7[[#This Row],[Psw_top (mW) C]]</f>
        <v>#NAME?</v>
      </c>
      <c r="BW161" s="145" t="e">
        <f ca="1">IF(VACnom&gt;Vbat, (1-Table7[[#This Row],[Duty Cycle]])*Table7[[#This Row],[I_L RMS]]^2*C_MOSFET_S_RDSON_L_BU*10^-3, Table7[[#This Row],[Duty Cycle]]*Table7[[#This Row],[I_L RMS]]^2*C_MOSFET_S_RDSON_L_BO*10^-3)/10^-3</f>
        <v>#NAME?</v>
      </c>
      <c r="BX161" s="145" t="e">
        <f ca="1">IF(VACnom&gt;Vbat, Table7[[#This Row],[PRR (mW) C]]+Table7[[#This Row],[Pdead (mW) C]]+Table7[[#This Row],[Pgate_bottom (mW) C]], Table7[[#This Row],[PIV (mW) C]]+Table7[[#This Row],[PQoss (mW) C]]+Table7[[#This Row],[Pgate_bottom (mW) C]])</f>
        <v>#NAME?</v>
      </c>
      <c r="BY161" s="145" t="e">
        <f ca="1">Table7[[#This Row],[Pcon_bottom (mW) C]]+Table7[[#This Row],[Psw_bottom (mV) C]]</f>
        <v>#NAME?</v>
      </c>
      <c r="BZ161" s="145" t="e">
        <f ca="1">Table7[[#This Row],[Pbottom (mW) C]]+Table7[[#This Row],[Ptop (mW) C]]</f>
        <v>#NAME?</v>
      </c>
      <c r="CA161" s="148"/>
      <c r="CB161" s="144">
        <f>(RAC_SNS*10^-3*(Table7[[#This Row],[IOUT (A)]]*Vbat/VACnom)^2/10^-3)</f>
        <v>1.7875217013888889</v>
      </c>
      <c r="CC161" s="144">
        <f>(RBAT_SNS*10^-3*Table7[[#This Row],[IOUT (A)]]^2)/10^-3</f>
        <v>1.25</v>
      </c>
      <c r="CD161" s="144">
        <f>IF(VACnom&gt;Vbat,(L_DRC*10^-3*(Table7[[#This Row],[IOUT (A)]])^2/10^-3),(L_DRC*10^-3*(Table7[[#This Row],[IOUT (A)]]*Vbat/VACnom)^2/10^-3))</f>
        <v>1.2155147569444444</v>
      </c>
      <c r="CE161" s="152"/>
      <c r="CF161" s="145">
        <f>(Table7[[#This Row],[R_AC (mW)]]+Table7[[#This Row],[R_SR (mW)]]+Table7[[#This Row],[Inductor Loss (mW)]])/10^3</f>
        <v>4.2530364583333339E-3</v>
      </c>
      <c r="CG161" s="145" t="e">
        <f ca="1">Table7[[#This Row],[Total TI (mW)]]/10^3</f>
        <v>#NAME?</v>
      </c>
      <c r="CH161" s="145" t="e">
        <f ca="1">Table7[[#This Row],[Total Sense Loss]]+Table7[[#This Row],[Total MOSFET Loss]]</f>
        <v>#NAME?</v>
      </c>
      <c r="CI161" s="149" t="e">
        <f ca="1">IF(Table7[[#This Row],[POUT (W)]]=0,0,(Table7[[#This Row],[POUT (W)]])/(Table7[[#This Row],[POUT (W)]]+Table7[[#This Row],[Total Power Loss (W)]]))*100</f>
        <v>#NAME?</v>
      </c>
      <c r="CJ161" s="153"/>
      <c r="CK161" s="145">
        <f>(Table7[[#This Row],[R_AC (mW)]]+Table7[[#This Row],[R_SR (mW)]]+Table7[[#This Row],[Inductor Loss (mW)]])/10^3</f>
        <v>4.2530364583333339E-3</v>
      </c>
      <c r="CL161" s="145" t="e">
        <f ca="1">Table7[[#This Row],[Total (mW) C]]/10^3</f>
        <v>#NAME?</v>
      </c>
      <c r="CM161" s="145" t="e">
        <f ca="1">Table7[[#This Row],[Total Sense Loss C]]+Table7[[#This Row],[Total MOSFET Loss C]]</f>
        <v>#NAME?</v>
      </c>
      <c r="CN161" s="149" t="e">
        <f ca="1">IF(Table7[[#This Row],[POUT (W)]]=0,0,(Table7[[#This Row],[POUT (W)]])/(Table7[[#This Row],[POUT (W)]]+Table7[[#This Row],[Total Power Loss (W) C]]))*100</f>
        <v>#NAME?</v>
      </c>
      <c r="CO161" s="153"/>
      <c r="CP161" s="149">
        <f>IF(MOSFET_S=Custom_MOSFET,Table7[[#This Row],[Total Sense Loss C]],Table7[[#This Row],[Total Sense Loss]])</f>
        <v>4.2530364583333339E-3</v>
      </c>
      <c r="CQ161" s="149" t="e">
        <f ca="1">IF(MOSFET_S=Custom_MOSFET,Table7[[#This Row],[Total MOSFET Loss C]],Table7[[#This Row],[Total MOSFET Loss]])</f>
        <v>#NAME?</v>
      </c>
      <c r="CR161" s="149" t="e">
        <f ca="1">IF(MOSFET_S=Custom_MOSFET,Table7[[#This Row],[Efficiency C]],Table7[[#This Row],[Efficiency]])</f>
        <v>#NAME?</v>
      </c>
      <c r="CS161" s="153"/>
      <c r="CT161" s="149">
        <f>IF(MOSFET_S=Compare_MOSFET, Table7[[#This Row],[Total Sense Loss C]], -100)</f>
        <v>-100</v>
      </c>
      <c r="CU161" s="149">
        <f>IF(MOSFET_S=Compare_MOSFET, Table7[[#This Row],[Total MOSFET Loss C]], -100)</f>
        <v>-100</v>
      </c>
      <c r="CV161" s="149">
        <f>IF(MOSFET_S=Compare_MOSFET, Table7[[#This Row],[Efficiency C]], -100)</f>
        <v>-100</v>
      </c>
      <c r="CW161" s="153"/>
      <c r="CX161" s="149">
        <f ca="1">IF(Save_Sel=CLR_Save,  Table7[[#This Row],[Total Sense Loss P1]], Table7[[#This Row],[Total Sense Loss P1 Saved]])</f>
        <v>3.5664062500000001E-3</v>
      </c>
      <c r="CY161" s="149">
        <f ca="1">IF(Save_Sel=CLR_Save,  Table7[[#This Row],[Total MOSFET Loss P1]], Table7[[#This Row],[Total MOSFET Loss P1 Saved]] )</f>
        <v>1.4637609713658826</v>
      </c>
      <c r="CZ161" s="149">
        <f ca="1">IF(Save_Sel=CLR_Save, Table7[[#This Row],[Efficiency P1]], Table7[[#This Row],[Efficiency P1 Saved]])</f>
        <v>67.154245624170855</v>
      </c>
      <c r="DA161" s="153"/>
      <c r="DB161" s="149">
        <f ca="1">IF(Save_Sel=CLR_Save,  Table7[[#This Row],[Total Sense Loss P2]], Table7[[#This Row],[Total Sense Loss P2 Saved]])</f>
        <v>3.5664062500000001E-3</v>
      </c>
      <c r="DC161" s="149">
        <f ca="1">IF(Save_Sel=CLR_Save,  Table7[[#This Row],[Total MOSFET Loss P2]], Table7[[#This Row],[Total MOSFET Loss P2 Saved]] )</f>
        <v>0.97447690585927149</v>
      </c>
      <c r="DD161" s="149">
        <f ca="1">IF(Save_Sel=CLR_Save, Table7[[#This Row],[Efficiency P2]], Table7[[#This Row],[Efficiency P2 Saved]])</f>
        <v>75.413960196660483</v>
      </c>
      <c r="DE161" s="153"/>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row>
    <row r="162" spans="1:165" x14ac:dyDescent="0.2">
      <c r="A162" s="54"/>
      <c r="B162" s="62"/>
      <c r="C162" s="50"/>
      <c r="D162" s="63" t="s">
        <v>11</v>
      </c>
      <c r="E162" s="64"/>
      <c r="F162" s="50"/>
      <c r="G162" s="38"/>
      <c r="H162" s="29"/>
      <c r="I162" s="112"/>
      <c r="J162" s="50"/>
      <c r="K162" s="62"/>
      <c r="L162" s="50"/>
      <c r="M162" s="63" t="s">
        <v>11</v>
      </c>
      <c r="N162" s="64"/>
      <c r="O162" s="50"/>
      <c r="P162" s="38"/>
      <c r="Q162" s="29"/>
      <c r="R162" s="29"/>
      <c r="S162" s="30"/>
      <c r="T162" s="18"/>
      <c r="U162" s="19"/>
      <c r="V162" s="19"/>
      <c r="W162" s="19"/>
      <c r="X162" s="19"/>
      <c r="Y162" s="19"/>
      <c r="Z162" s="19"/>
      <c r="AA162" s="19"/>
      <c r="AB162" s="19"/>
      <c r="AC162" s="19"/>
      <c r="AD162" s="19"/>
      <c r="AE162" s="19"/>
      <c r="AF162" s="143">
        <f t="shared" si="17"/>
        <v>6</v>
      </c>
      <c r="AG162" s="143">
        <f t="shared" si="16"/>
        <v>0.6</v>
      </c>
      <c r="AH162" s="144">
        <f t="shared" si="3"/>
        <v>14.399999999999999</v>
      </c>
      <c r="AI162" s="145">
        <f t="shared" si="4"/>
        <v>0.16376306620209058</v>
      </c>
      <c r="AJ162" s="145">
        <f t="shared" si="5"/>
        <v>0.71749999999999992</v>
      </c>
      <c r="AK162" s="145" t="e">
        <f t="shared" si="6"/>
        <v>#NAME?</v>
      </c>
      <c r="AL162" s="145" t="e">
        <f t="shared" si="7"/>
        <v>#NAME?</v>
      </c>
      <c r="AM162" s="146"/>
      <c r="AN162" s="145" t="e">
        <f>MAX(0,Table7[[#This Row],[I_L]]-0.5*Table7[[#This Row],[I_L pkpk]])</f>
        <v>#NAME?</v>
      </c>
      <c r="AO162" s="145" t="e">
        <f>Table7[[#This Row],[I_L]]+0.5*Table7[[#This Row],[I_L pkpk]]</f>
        <v>#NAME?</v>
      </c>
      <c r="AP162" s="145" t="e">
        <f ca="1">IF(VACnom&gt;Vbat, (VGS_S-(TI_MOSFET_S_VTH_H_BU+Table7[[#This Row],[I_L]]/TI_MOSFET_S_gFS_H_BU))/3.4, (VGS_S-(TI_MOSFET_S_VTH_L_BO+Table7[[#This Row],[I_L]]/TI_MOSFET_S_gFS_L_BO))/3.4 )</f>
        <v>#REF!</v>
      </c>
      <c r="AQ162" s="145" t="e">
        <f ca="1">IF(VACnom&gt;Vbat, ((TI_MOSFET_S_VTH_H_BU+Table7[[#This Row],[I_L]]/TI_MOSFET_S_gFS_H_BU))/1, ((TI_MOSFET_S_VTH_L_BO+Table7[[#This Row],[I_L]]/TI_MOSFET_S_gFS_L_BO))/1 )</f>
        <v>#REF!</v>
      </c>
      <c r="AR162" s="145" t="e">
        <f ca="1">IF(VACnom&gt;Vbat, (TI_MOSFET_S_QGD_H_BU+TI_MOSFET_S_QGS_H_BU)*10^-9/Table7[[#This Row],[Ion (A)]], (TI_MOSFET_S_QGD_L_BO+TI_MOSFET_S_QGS_L_BO)*10^-9/Table7[[#This Row],[Ion (A)]])/10^-9</f>
        <v>#REF!</v>
      </c>
      <c r="AS162" s="145" t="e">
        <f ca="1">IF(VACnom&gt;Vbat, (TI_MOSFET_S_QGD_H_BU+TI_MOSFET_S_QGS_H_BU)*10^-9/Table7[[#This Row],[Ioff (A)]], (TI_MOSFET_S_QGD_L_BO+TI_MOSFET_S_QGS_L_BO)*10^-9/Table7[[#This Row],[Ioff (A)]])/10^-9</f>
        <v>#REF!</v>
      </c>
      <c r="AT162" s="145" t="e">
        <f ca="1" xml:space="preserve"> 0.5*VACnom*Table7[[#This Row],[Ivalley (A)]]*Table7[[#This Row],[ton (ns)]]*10^-9*Fsw*10^3+0.5*VACnom*Table7[[#This Row],[Ipeak (A)]]*Table7[[#This Row],[toff (ns)]]*10^-9*Fsw*10^3/10^-3</f>
        <v>#NAME?</v>
      </c>
      <c r="AU162" s="145" t="e">
        <f t="shared" ca="1" si="8"/>
        <v>#REF!</v>
      </c>
      <c r="AV162" s="145" t="e">
        <f t="shared" ca="1" si="9"/>
        <v>#REF!</v>
      </c>
      <c r="AW162" s="145" t="e">
        <f t="shared" ca="1" si="10"/>
        <v>#REF!</v>
      </c>
      <c r="AX162" s="145" t="e">
        <f ca="1">IF(VACnom&gt;Vbat, TI_MOSFET_S_VSD_L_BU*Table7[[#This Row],[Ivalley (A)]]*Fsw*10^3*40*10^-9+TI_MOSFET_S_VSD_L_BU*Table7[[#This Row],[Ipeak (A)]]*Fsw*10^3*30*10^-9, TI_MOSFET_S_VSD_H_BO*Table7[[#This Row],[Ivalley (A)]]*Fsw*10^3*40*10^-9+TI_MOSFET_S_VSD_H_BO*Table7[[#This Row],[Ipeak (A)]]*Fsw*10^3*30*10^-9)/10^-3</f>
        <v>#REF!</v>
      </c>
      <c r="AY162" s="145" t="e">
        <f t="shared" ca="1" si="11"/>
        <v>#REF!</v>
      </c>
      <c r="AZ162" s="145" t="e">
        <f ca="1">IF(VACnom&lt;Vbat, Table7[[#This Row],[Duty Cycle]]*Table7[[#This Row],[I_L RMS]]^2*TI_MOSFET_S_RDSON_H_BU*10^-3, (1-Table7[[#This Row],[Duty Cycle]])*Table7[[#This Row],[I_L RMS]]^2*TI_MOSFET_S_RDSON_H_BO*10^-3)/10^-3</f>
        <v>#NAME?</v>
      </c>
      <c r="BA162" s="145" t="e">
        <f ca="1">IF(VACnom&gt;Vbat, Table7[[#This Row],[PIV (mW)]]+Table7[[#This Row],[Pqoss (mW)]]+Table7[[#This Row],[Pgate_top (mW)]], Table7[[#This Row],[PRR (mW)]]+Table7[[#This Row],[Pdead (mW)]]+Table7[[#This Row],[Pgate_top (mW)]])</f>
        <v>#REF!</v>
      </c>
      <c r="BB162" s="145" t="e">
        <f ca="1">Table7[[#This Row],[Pcon_top (mW)]]+Table7[[#This Row],[Psw_top (mW)]]</f>
        <v>#NAME?</v>
      </c>
      <c r="BC162" s="145" t="e">
        <f ca="1">IF(VACnom&gt;Vbat, (1-Table7[[#This Row],[Duty Cycle]])*Table7[[#This Row],[I_L RMS]]^2*TI_MOSFET_S_RDSON_L_BU*10^-3, Table7[[#This Row],[Duty Cycle]]*Table7[[#This Row],[I_L RMS]]^2*TI_MOSFET_S_RDSON_L_BO*10^-3)/10^-3</f>
        <v>#NAME?</v>
      </c>
      <c r="BD162" s="145" t="e">
        <f ca="1">IF(VACnom&gt;Vbat, Table7[[#This Row],[PRR (mW)]]+Table7[[#This Row],[Pdead (mW)]]+Table7[[#This Row],[Pgate_bottom (mW)]], Table7[[#This Row],[PIV (mW)]]+Table7[[#This Row],[Pqoss (mW)]]+Table7[[#This Row],[Pgate_bottom (mW)]])</f>
        <v>#NAME?</v>
      </c>
      <c r="BE162" s="147" t="e">
        <f ca="1">Table7[[#This Row],[Pcon_bottom (mW)]]+Table7[[#This Row],[Psw_bottom (mW)]]</f>
        <v>#NAME?</v>
      </c>
      <c r="BF162" s="145" t="e">
        <f ca="1">Table7[[#This Row],[Pbottom (mW)]]+Table7[[#This Row],[Ptop (mW)]]</f>
        <v>#NAME?</v>
      </c>
      <c r="BG162" s="142"/>
      <c r="BH162" s="145" t="e">
        <f>MAX(0,Table7[[#This Row],[I_L]]-0.5*Table7[[#This Row],[I_L pkpk]])</f>
        <v>#NAME?</v>
      </c>
      <c r="BI162" s="145" t="e">
        <f>Table7[[#This Row],[I_L]]+0.5*Table7[[#This Row],[I_L pkpk]]</f>
        <v>#NAME?</v>
      </c>
      <c r="BJ162" s="145">
        <f>IF(VACnom&gt;Vbat, (VGS_S-(C_MOSFET_S_VTH_H_BU+Table7[[#This Row],[I_L]]/C_MOSFET_S_gFS_H_BU))/3.4, (VGS_S-(C_MOSFET_S_VTH_L_BO+Table7[[#This Row],[I_L]]/C_MOSFET_S_gFS_L_BO))/3.4 )</f>
        <v>2.3515343137254905</v>
      </c>
      <c r="BK162" s="145">
        <f>IF(VACnom&gt;Vbat, ((C_MOSFET_S_VTH_H_BU+Table7[[#This Row],[I_L]]/C_MOSFET_S_gFS_H_BU))/1, ((C_MOSFET_S_VTH_L_BO+Table7[[#This Row],[I_L]]/C_MOSFET_S_gFS_L_BO))/1 )</f>
        <v>2.0047833333333331</v>
      </c>
      <c r="BL162" s="145">
        <f>IF(VACnom&gt;Vbat, (C_MOSFET_S_QGD_H_BU+C_MOSFET_S_QGS_H_BU)*10^-9/Table7[[#This Row],[Ion (A) C]], (C_MOSFET_S_QGD_L_BO+C_MOSFET_S_QGS_L_BO)*10^-9/Table7[[#This Row],[Ion (A) C]])/10^-9</f>
        <v>2.7641527329882658</v>
      </c>
      <c r="BM162" s="145">
        <f>IF(VACnom&gt;Vbat, (C_MOSFET_S_QGD_H_BU+C_MOSFET_S_QGS_H_BU)*10^-9/Table7[[#This Row],[Ioff (A) C]], (C_MOSFET_S_QGD_L_BO+C_MOSFET_S_QGS_L_BO)*10^-9/Table7[[#This Row],[Ioff (A) C]])/10^-9</f>
        <v>3.2422456292034889</v>
      </c>
      <c r="BN162" s="145" t="e">
        <f xml:space="preserve"> 0.5*VACnom*Table7[[#This Row],[Ivalley (A) C]]*Table7[[#This Row],[ton (ns) C]]*10^-9*Fsw*10^3+0.5*VACnom*Table7[[#This Row],[Ipeak (A) C]]*Table7[[#This Row],[toff (ns) C]]*10^-9*Fsw*10^3/10^-3</f>
        <v>#NAME?</v>
      </c>
      <c r="BO162" s="145">
        <f t="shared" si="12"/>
        <v>259.2</v>
      </c>
      <c r="BP162" s="145" t="e">
        <f t="shared" ca="1" si="13"/>
        <v>#REF!</v>
      </c>
      <c r="BQ162" s="145">
        <f t="shared" si="14"/>
        <v>475.2</v>
      </c>
      <c r="BR162" s="145" t="e">
        <f>IF(VACnom&gt;Vbat, C_MOSFET_S_VSD_L_BU*Table7[[#This Row],[Ivalley (A) C]]*Fsw*10^3*40*10^-9+C_MOSFET_S_VSD_L_BU*Table7[[#This Row],[Ipeak (A) C]]*Fsw*10^3*30*10^-9, C_MOSFET_S_VSD_H_BO*Table7[[#This Row],[Ivalley (A) C]]*Fsw*10^3*40*10^-9+C_MOSFET_S_VSD_H_BO*Table7[[#This Row],[Ipeak (A) C]]*Fsw*10^3*30*10^-9)/10^-3</f>
        <v>#NAME?</v>
      </c>
      <c r="BS162" s="145" t="e">
        <f t="shared" ca="1" si="15"/>
        <v>#REF!</v>
      </c>
      <c r="BT162" s="145" t="e">
        <f>IF(VACnom&lt;Vbat, Table7[[#This Row],[Duty Cycle]]*Table7[[#This Row],[I_L RMS]]^2*C_MOSFET_S_RDSON_H_BU*10^-3, (1-Table7[[#This Row],[Duty Cycle]])*Table7[[#This Row],[I_L RMS]]^2*C_MOSFET_S_RDSON_H_BO*10^-3)/10^-3</f>
        <v>#NAME?</v>
      </c>
      <c r="BU162" s="145" t="e">
        <f ca="1">IF(VACnom&gt;Vbat, Table7[[#This Row],[PIV (mW) C]]+Table7[[#This Row],[PQoss (mW) C]]+Table7[[#This Row],[Pgate_top (mW) C]], Table7[[#This Row],[PRR (mW) C]]+Table7[[#This Row],[Pdead (mW) C]]+Table7[[#This Row],[Pgate_top (mW) C]])</f>
        <v>#NAME?</v>
      </c>
      <c r="BV162" s="145" t="e">
        <f ca="1">Table7[[#This Row],[Pcon_top (mW) C]]+Table7[[#This Row],[Psw_top (mW) C]]</f>
        <v>#NAME?</v>
      </c>
      <c r="BW162" s="145" t="e">
        <f ca="1">IF(VACnom&gt;Vbat, (1-Table7[[#This Row],[Duty Cycle]])*Table7[[#This Row],[I_L RMS]]^2*C_MOSFET_S_RDSON_L_BU*10^-3, Table7[[#This Row],[Duty Cycle]]*Table7[[#This Row],[I_L RMS]]^2*C_MOSFET_S_RDSON_L_BO*10^-3)/10^-3</f>
        <v>#NAME?</v>
      </c>
      <c r="BX162" s="145" t="e">
        <f ca="1">IF(VACnom&gt;Vbat, Table7[[#This Row],[PRR (mW) C]]+Table7[[#This Row],[Pdead (mW) C]]+Table7[[#This Row],[Pgate_bottom (mW) C]], Table7[[#This Row],[PIV (mW) C]]+Table7[[#This Row],[PQoss (mW) C]]+Table7[[#This Row],[Pgate_bottom (mW) C]])</f>
        <v>#NAME?</v>
      </c>
      <c r="BY162" s="145" t="e">
        <f ca="1">Table7[[#This Row],[Pcon_bottom (mW) C]]+Table7[[#This Row],[Psw_bottom (mV) C]]</f>
        <v>#NAME?</v>
      </c>
      <c r="BZ162" s="145" t="e">
        <f ca="1">Table7[[#This Row],[Pbottom (mW) C]]+Table7[[#This Row],[Ptop (mW) C]]</f>
        <v>#NAME?</v>
      </c>
      <c r="CA162" s="148"/>
      <c r="CB162" s="144">
        <f>(RAC_SNS*10^-3*(Table7[[#This Row],[IOUT (A)]]*Vbat/VACnom)^2/10^-3)</f>
        <v>2.5740312499999995</v>
      </c>
      <c r="CC162" s="144">
        <f>(RBAT_SNS*10^-3*Table7[[#This Row],[IOUT (A)]]^2)/10^-3</f>
        <v>1.7999999999999998</v>
      </c>
      <c r="CD162" s="144">
        <f>IF(VACnom&gt;Vbat,(L_DRC*10^-3*(Table7[[#This Row],[IOUT (A)]])^2/10^-3),(L_DRC*10^-3*(Table7[[#This Row],[IOUT (A)]]*Vbat/VACnom)^2/10^-3))</f>
        <v>1.7503412499999995</v>
      </c>
      <c r="CE162" s="152"/>
      <c r="CF162" s="145">
        <f>(Table7[[#This Row],[R_AC (mW)]]+Table7[[#This Row],[R_SR (mW)]]+Table7[[#This Row],[Inductor Loss (mW)]])/10^3</f>
        <v>6.1243725000000001E-3</v>
      </c>
      <c r="CG162" s="145" t="e">
        <f ca="1">Table7[[#This Row],[Total TI (mW)]]/10^3</f>
        <v>#NAME?</v>
      </c>
      <c r="CH162" s="145" t="e">
        <f ca="1">Table7[[#This Row],[Total Sense Loss]]+Table7[[#This Row],[Total MOSFET Loss]]</f>
        <v>#NAME?</v>
      </c>
      <c r="CI162" s="149" t="e">
        <f ca="1">IF(Table7[[#This Row],[POUT (W)]]=0,0,(Table7[[#This Row],[POUT (W)]])/(Table7[[#This Row],[POUT (W)]]+Table7[[#This Row],[Total Power Loss (W)]]))*100</f>
        <v>#NAME?</v>
      </c>
      <c r="CJ162" s="153"/>
      <c r="CK162" s="145">
        <f>(Table7[[#This Row],[R_AC (mW)]]+Table7[[#This Row],[R_SR (mW)]]+Table7[[#This Row],[Inductor Loss (mW)]])/10^3</f>
        <v>6.1243725000000001E-3</v>
      </c>
      <c r="CL162" s="145" t="e">
        <f ca="1">Table7[[#This Row],[Total (mW) C]]/10^3</f>
        <v>#NAME?</v>
      </c>
      <c r="CM162" s="145" t="e">
        <f ca="1">Table7[[#This Row],[Total Sense Loss C]]+Table7[[#This Row],[Total MOSFET Loss C]]</f>
        <v>#NAME?</v>
      </c>
      <c r="CN162" s="149" t="e">
        <f ca="1">IF(Table7[[#This Row],[POUT (W)]]=0,0,(Table7[[#This Row],[POUT (W)]])/(Table7[[#This Row],[POUT (W)]]+Table7[[#This Row],[Total Power Loss (W) C]]))*100</f>
        <v>#NAME?</v>
      </c>
      <c r="CO162" s="153"/>
      <c r="CP162" s="149">
        <f>IF(MOSFET_S=Custom_MOSFET,Table7[[#This Row],[Total Sense Loss C]],Table7[[#This Row],[Total Sense Loss]])</f>
        <v>6.1243725000000001E-3</v>
      </c>
      <c r="CQ162" s="149" t="e">
        <f ca="1">IF(MOSFET_S=Custom_MOSFET,Table7[[#This Row],[Total MOSFET Loss C]],Table7[[#This Row],[Total MOSFET Loss]])</f>
        <v>#NAME?</v>
      </c>
      <c r="CR162" s="149" t="e">
        <f ca="1">IF(MOSFET_S=Custom_MOSFET,Table7[[#This Row],[Efficiency C]],Table7[[#This Row],[Efficiency]])</f>
        <v>#NAME?</v>
      </c>
      <c r="CS162" s="153"/>
      <c r="CT162" s="149">
        <f>IF(MOSFET_S=Compare_MOSFET, Table7[[#This Row],[Total Sense Loss C]], -100)</f>
        <v>-100</v>
      </c>
      <c r="CU162" s="149">
        <f>IF(MOSFET_S=Compare_MOSFET, Table7[[#This Row],[Total MOSFET Loss C]], -100)</f>
        <v>-100</v>
      </c>
      <c r="CV162" s="149">
        <f>IF(MOSFET_S=Compare_MOSFET, Table7[[#This Row],[Efficiency C]], -100)</f>
        <v>-100</v>
      </c>
      <c r="CW162" s="153"/>
      <c r="CX162" s="149">
        <f ca="1">IF(Save_Sel=CLR_Save,  Table7[[#This Row],[Total Sense Loss P1]], Table7[[#This Row],[Total Sense Loss P1 Saved]])</f>
        <v>5.1356250000000004E-3</v>
      </c>
      <c r="CY162" s="149">
        <f ca="1">IF(Save_Sel=CLR_Save,  Table7[[#This Row],[Total MOSFET Loss P1]], Table7[[#This Row],[Total MOSFET Loss P1 Saved]] )</f>
        <v>1.4718268827464931</v>
      </c>
      <c r="CZ162" s="149">
        <f ca="1">IF(Save_Sel=CLR_Save, Table7[[#This Row],[Efficiency P1]], Table7[[#This Row],[Efficiency P1 Saved]])</f>
        <v>70.908540185338666</v>
      </c>
      <c r="DA162" s="153"/>
      <c r="DB162" s="149">
        <f ca="1">IF(Save_Sel=CLR_Save,  Table7[[#This Row],[Total Sense Loss P2]], Table7[[#This Row],[Total Sense Loss P2 Saved]])</f>
        <v>5.1356250000000004E-3</v>
      </c>
      <c r="DC162" s="149">
        <f ca="1">IF(Save_Sel=CLR_Save,  Table7[[#This Row],[Total MOSFET Loss P2]], Table7[[#This Row],[Total MOSFET Loss P2 Saved]] )</f>
        <v>0.97887724904995344</v>
      </c>
      <c r="DD162" s="149">
        <f ca="1">IF(Save_Sel=CLR_Save, Table7[[#This Row],[Efficiency P2]], Table7[[#This Row],[Efficiency P2 Saved]])</f>
        <v>78.533810853358659</v>
      </c>
      <c r="DE162" s="153"/>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row>
    <row r="163" spans="1:165" x14ac:dyDescent="0.2">
      <c r="A163" s="48"/>
      <c r="B163" s="49"/>
      <c r="C163" s="49"/>
      <c r="D163" s="39"/>
      <c r="E163" s="49" t="s">
        <v>13</v>
      </c>
      <c r="F163" s="49" t="s">
        <v>14</v>
      </c>
      <c r="G163" s="42"/>
      <c r="H163" s="29"/>
      <c r="I163" s="113"/>
      <c r="J163" s="49"/>
      <c r="K163" s="49"/>
      <c r="L163" s="49"/>
      <c r="M163" s="39"/>
      <c r="N163" s="49" t="s">
        <v>13</v>
      </c>
      <c r="O163" s="49" t="s">
        <v>14</v>
      </c>
      <c r="P163" s="42"/>
      <c r="Q163" s="29"/>
      <c r="R163" s="29"/>
      <c r="S163" s="30"/>
      <c r="T163" s="18"/>
      <c r="U163" s="19"/>
      <c r="V163" s="19"/>
      <c r="W163" s="19"/>
      <c r="X163" s="19"/>
      <c r="Y163" s="19"/>
      <c r="Z163" s="19"/>
      <c r="AA163" s="19"/>
      <c r="AB163" s="19"/>
      <c r="AC163" s="19"/>
      <c r="AD163" s="19"/>
      <c r="AE163" s="19"/>
      <c r="AF163" s="143">
        <f>AF162+1</f>
        <v>7</v>
      </c>
      <c r="AG163" s="143">
        <f t="shared" si="16"/>
        <v>0.7</v>
      </c>
      <c r="AH163" s="144">
        <f t="shared" si="3"/>
        <v>16.799999999999997</v>
      </c>
      <c r="AI163" s="145">
        <f t="shared" si="4"/>
        <v>0.16376306620209058</v>
      </c>
      <c r="AJ163" s="145">
        <f t="shared" si="5"/>
        <v>0.83708333333333329</v>
      </c>
      <c r="AK163" s="145" t="e">
        <f t="shared" si="6"/>
        <v>#NAME?</v>
      </c>
      <c r="AL163" s="145" t="e">
        <f t="shared" si="7"/>
        <v>#NAME?</v>
      </c>
      <c r="AM163" s="146"/>
      <c r="AN163" s="145" t="e">
        <f>MAX(0,Table7[[#This Row],[I_L]]-0.5*Table7[[#This Row],[I_L pkpk]])</f>
        <v>#NAME?</v>
      </c>
      <c r="AO163" s="145" t="e">
        <f>Table7[[#This Row],[I_L]]+0.5*Table7[[#This Row],[I_L pkpk]]</f>
        <v>#NAME?</v>
      </c>
      <c r="AP163" s="145" t="e">
        <f ca="1">IF(VACnom&gt;Vbat, (VGS_S-(TI_MOSFET_S_VTH_H_BU+Table7[[#This Row],[I_L]]/TI_MOSFET_S_gFS_H_BU))/3.4, (VGS_S-(TI_MOSFET_S_VTH_L_BO+Table7[[#This Row],[I_L]]/TI_MOSFET_S_gFS_L_BO))/3.4 )</f>
        <v>#REF!</v>
      </c>
      <c r="AQ163" s="145" t="e">
        <f ca="1">IF(VACnom&gt;Vbat, ((TI_MOSFET_S_VTH_H_BU+Table7[[#This Row],[I_L]]/TI_MOSFET_S_gFS_H_BU))/1, ((TI_MOSFET_S_VTH_L_BO+Table7[[#This Row],[I_L]]/TI_MOSFET_S_gFS_L_BO))/1 )</f>
        <v>#REF!</v>
      </c>
      <c r="AR163" s="145" t="e">
        <f ca="1">IF(VACnom&gt;Vbat, (TI_MOSFET_S_QGD_H_BU+TI_MOSFET_S_QGS_H_BU)*10^-9/Table7[[#This Row],[Ion (A)]], (TI_MOSFET_S_QGD_L_BO+TI_MOSFET_S_QGS_L_BO)*10^-9/Table7[[#This Row],[Ion (A)]])/10^-9</f>
        <v>#REF!</v>
      </c>
      <c r="AS163" s="145" t="e">
        <f ca="1">IF(VACnom&gt;Vbat, (TI_MOSFET_S_QGD_H_BU+TI_MOSFET_S_QGS_H_BU)*10^-9/Table7[[#This Row],[Ioff (A)]], (TI_MOSFET_S_QGD_L_BO+TI_MOSFET_S_QGS_L_BO)*10^-9/Table7[[#This Row],[Ioff (A)]])/10^-9</f>
        <v>#REF!</v>
      </c>
      <c r="AT163" s="145" t="e">
        <f ca="1" xml:space="preserve"> 0.5*VACnom*Table7[[#This Row],[Ivalley (A)]]*Table7[[#This Row],[ton (ns)]]*10^-9*Fsw*10^3+0.5*VACnom*Table7[[#This Row],[Ipeak (A)]]*Table7[[#This Row],[toff (ns)]]*10^-9*Fsw*10^3/10^-3</f>
        <v>#NAME?</v>
      </c>
      <c r="AU163" s="145" t="e">
        <f t="shared" ca="1" si="8"/>
        <v>#REF!</v>
      </c>
      <c r="AV163" s="145" t="e">
        <f t="shared" ca="1" si="9"/>
        <v>#REF!</v>
      </c>
      <c r="AW163" s="145" t="e">
        <f t="shared" ca="1" si="10"/>
        <v>#REF!</v>
      </c>
      <c r="AX163" s="145" t="e">
        <f ca="1">IF(VACnom&gt;Vbat, TI_MOSFET_S_VSD_L_BU*Table7[[#This Row],[Ivalley (A)]]*Fsw*10^3*40*10^-9+TI_MOSFET_S_VSD_L_BU*Table7[[#This Row],[Ipeak (A)]]*Fsw*10^3*30*10^-9, TI_MOSFET_S_VSD_H_BO*Table7[[#This Row],[Ivalley (A)]]*Fsw*10^3*40*10^-9+TI_MOSFET_S_VSD_H_BO*Table7[[#This Row],[Ipeak (A)]]*Fsw*10^3*30*10^-9)/10^-3</f>
        <v>#REF!</v>
      </c>
      <c r="AY163" s="145" t="e">
        <f t="shared" ca="1" si="11"/>
        <v>#REF!</v>
      </c>
      <c r="AZ163" s="145" t="e">
        <f ca="1">IF(VACnom&lt;Vbat, Table7[[#This Row],[Duty Cycle]]*Table7[[#This Row],[I_L RMS]]^2*TI_MOSFET_S_RDSON_H_BU*10^-3, (1-Table7[[#This Row],[Duty Cycle]])*Table7[[#This Row],[I_L RMS]]^2*TI_MOSFET_S_RDSON_H_BO*10^-3)/10^-3</f>
        <v>#NAME?</v>
      </c>
      <c r="BA163" s="145" t="e">
        <f ca="1">IF(VACnom&gt;Vbat, Table7[[#This Row],[PIV (mW)]]+Table7[[#This Row],[Pqoss (mW)]]+Table7[[#This Row],[Pgate_top (mW)]], Table7[[#This Row],[PRR (mW)]]+Table7[[#This Row],[Pdead (mW)]]+Table7[[#This Row],[Pgate_top (mW)]])</f>
        <v>#REF!</v>
      </c>
      <c r="BB163" s="145" t="e">
        <f ca="1">Table7[[#This Row],[Pcon_top (mW)]]+Table7[[#This Row],[Psw_top (mW)]]</f>
        <v>#NAME?</v>
      </c>
      <c r="BC163" s="145" t="e">
        <f ca="1">IF(VACnom&gt;Vbat, (1-Table7[[#This Row],[Duty Cycle]])*Table7[[#This Row],[I_L RMS]]^2*TI_MOSFET_S_RDSON_L_BU*10^-3, Table7[[#This Row],[Duty Cycle]]*Table7[[#This Row],[I_L RMS]]^2*TI_MOSFET_S_RDSON_L_BO*10^-3)/10^-3</f>
        <v>#NAME?</v>
      </c>
      <c r="BD163" s="145" t="e">
        <f ca="1">IF(VACnom&gt;Vbat, Table7[[#This Row],[PRR (mW)]]+Table7[[#This Row],[Pdead (mW)]]+Table7[[#This Row],[Pgate_bottom (mW)]], Table7[[#This Row],[PIV (mW)]]+Table7[[#This Row],[Pqoss (mW)]]+Table7[[#This Row],[Pgate_bottom (mW)]])</f>
        <v>#NAME?</v>
      </c>
      <c r="BE163" s="147" t="e">
        <f ca="1">Table7[[#This Row],[Pcon_bottom (mW)]]+Table7[[#This Row],[Psw_bottom (mW)]]</f>
        <v>#NAME?</v>
      </c>
      <c r="BF163" s="145" t="e">
        <f ca="1">Table7[[#This Row],[Pbottom (mW)]]+Table7[[#This Row],[Ptop (mW)]]</f>
        <v>#NAME?</v>
      </c>
      <c r="BG163" s="142"/>
      <c r="BH163" s="145" t="e">
        <f>MAX(0,Table7[[#This Row],[I_L]]-0.5*Table7[[#This Row],[I_L pkpk]])</f>
        <v>#NAME?</v>
      </c>
      <c r="BI163" s="145" t="e">
        <f>Table7[[#This Row],[I_L]]+0.5*Table7[[#This Row],[I_L pkpk]]</f>
        <v>#NAME?</v>
      </c>
      <c r="BJ163" s="145">
        <f>IF(VACnom&gt;Vbat, (VGS_S-(C_MOSFET_S_VTH_H_BU+Table7[[#This Row],[I_L]]/C_MOSFET_S_gFS_H_BU))/3.4, (VGS_S-(C_MOSFET_S_VTH_L_BO+Table7[[#This Row],[I_L]]/C_MOSFET_S_gFS_L_BO))/3.4 )</f>
        <v>2.3512998366013074</v>
      </c>
      <c r="BK163" s="145">
        <f>IF(VACnom&gt;Vbat, ((C_MOSFET_S_VTH_H_BU+Table7[[#This Row],[I_L]]/C_MOSFET_S_gFS_H_BU))/1, ((C_MOSFET_S_VTH_L_BO+Table7[[#This Row],[I_L]]/C_MOSFET_S_gFS_L_BO))/1 )</f>
        <v>2.0055805555555555</v>
      </c>
      <c r="BL163" s="145">
        <f>IF(VACnom&gt;Vbat, (C_MOSFET_S_QGD_H_BU+C_MOSFET_S_QGS_H_BU)*10^-9/Table7[[#This Row],[Ion (A) C]], (C_MOSFET_S_QGD_L_BO+C_MOSFET_S_QGS_L_BO)*10^-9/Table7[[#This Row],[Ion (A) C]])/10^-9</f>
        <v>2.7644283807697798</v>
      </c>
      <c r="BM163" s="145">
        <f>IF(VACnom&gt;Vbat, (C_MOSFET_S_QGD_H_BU+C_MOSFET_S_QGS_H_BU)*10^-9/Table7[[#This Row],[Ioff (A) C]], (C_MOSFET_S_QGD_L_BO+C_MOSFET_S_QGS_L_BO)*10^-9/Table7[[#This Row],[Ioff (A) C]])/10^-9</f>
        <v>3.2409568301780176</v>
      </c>
      <c r="BN163" s="145" t="e">
        <f xml:space="preserve"> 0.5*VACnom*Table7[[#This Row],[Ivalley (A) C]]*Table7[[#This Row],[ton (ns) C]]*10^-9*Fsw*10^3+0.5*VACnom*Table7[[#This Row],[Ipeak (A) C]]*Table7[[#This Row],[toff (ns) C]]*10^-9*Fsw*10^3/10^-3</f>
        <v>#NAME?</v>
      </c>
      <c r="BO163" s="145">
        <f t="shared" si="12"/>
        <v>259.2</v>
      </c>
      <c r="BP163" s="145" t="e">
        <f t="shared" ca="1" si="13"/>
        <v>#REF!</v>
      </c>
      <c r="BQ163" s="145">
        <f t="shared" si="14"/>
        <v>475.2</v>
      </c>
      <c r="BR163" s="145" t="e">
        <f>IF(VACnom&gt;Vbat, C_MOSFET_S_VSD_L_BU*Table7[[#This Row],[Ivalley (A) C]]*Fsw*10^3*40*10^-9+C_MOSFET_S_VSD_L_BU*Table7[[#This Row],[Ipeak (A) C]]*Fsw*10^3*30*10^-9, C_MOSFET_S_VSD_H_BO*Table7[[#This Row],[Ivalley (A) C]]*Fsw*10^3*40*10^-9+C_MOSFET_S_VSD_H_BO*Table7[[#This Row],[Ipeak (A) C]]*Fsw*10^3*30*10^-9)/10^-3</f>
        <v>#NAME?</v>
      </c>
      <c r="BS163" s="145" t="e">
        <f t="shared" ca="1" si="15"/>
        <v>#REF!</v>
      </c>
      <c r="BT163" s="145" t="e">
        <f>IF(VACnom&lt;Vbat, Table7[[#This Row],[Duty Cycle]]*Table7[[#This Row],[I_L RMS]]^2*C_MOSFET_S_RDSON_H_BU*10^-3, (1-Table7[[#This Row],[Duty Cycle]])*Table7[[#This Row],[I_L RMS]]^2*C_MOSFET_S_RDSON_H_BO*10^-3)/10^-3</f>
        <v>#NAME?</v>
      </c>
      <c r="BU163" s="145" t="e">
        <f ca="1">IF(VACnom&gt;Vbat, Table7[[#This Row],[PIV (mW) C]]+Table7[[#This Row],[PQoss (mW) C]]+Table7[[#This Row],[Pgate_top (mW) C]], Table7[[#This Row],[PRR (mW) C]]+Table7[[#This Row],[Pdead (mW) C]]+Table7[[#This Row],[Pgate_top (mW) C]])</f>
        <v>#NAME?</v>
      </c>
      <c r="BV163" s="145" t="e">
        <f ca="1">Table7[[#This Row],[Pcon_top (mW) C]]+Table7[[#This Row],[Psw_top (mW) C]]</f>
        <v>#NAME?</v>
      </c>
      <c r="BW163" s="145" t="e">
        <f ca="1">IF(VACnom&gt;Vbat, (1-Table7[[#This Row],[Duty Cycle]])*Table7[[#This Row],[I_L RMS]]^2*C_MOSFET_S_RDSON_L_BU*10^-3, Table7[[#This Row],[Duty Cycle]]*Table7[[#This Row],[I_L RMS]]^2*C_MOSFET_S_RDSON_L_BO*10^-3)/10^-3</f>
        <v>#NAME?</v>
      </c>
      <c r="BX163" s="145" t="e">
        <f ca="1">IF(VACnom&gt;Vbat, Table7[[#This Row],[PRR (mW) C]]+Table7[[#This Row],[Pdead (mW) C]]+Table7[[#This Row],[Pgate_bottom (mW) C]], Table7[[#This Row],[PIV (mW) C]]+Table7[[#This Row],[PQoss (mW) C]]+Table7[[#This Row],[Pgate_bottom (mW) C]])</f>
        <v>#NAME?</v>
      </c>
      <c r="BY163" s="145" t="e">
        <f ca="1">Table7[[#This Row],[Pcon_bottom (mW) C]]+Table7[[#This Row],[Psw_bottom (mV) C]]</f>
        <v>#NAME?</v>
      </c>
      <c r="BZ163" s="145" t="e">
        <f ca="1">Table7[[#This Row],[Pbottom (mW) C]]+Table7[[#This Row],[Ptop (mW) C]]</f>
        <v>#NAME?</v>
      </c>
      <c r="CA163" s="148"/>
      <c r="CB163" s="144">
        <f>(RAC_SNS*10^-3*(Table7[[#This Row],[IOUT (A)]]*Vbat/VACnom)^2/10^-3)</f>
        <v>3.5035425347222224</v>
      </c>
      <c r="CC163" s="144">
        <f>(RBAT_SNS*10^-3*Table7[[#This Row],[IOUT (A)]]^2)/10^-3</f>
        <v>2.4499999999999997</v>
      </c>
      <c r="CD163" s="144">
        <f>IF(VACnom&gt;Vbat,(L_DRC*10^-3*(Table7[[#This Row],[IOUT (A)]])^2/10^-3),(L_DRC*10^-3*(Table7[[#This Row],[IOUT (A)]]*Vbat/VACnom)^2/10^-3))</f>
        <v>2.3824089236111106</v>
      </c>
      <c r="CE163" s="152"/>
      <c r="CF163" s="145">
        <f>(Table7[[#This Row],[R_AC (mW)]]+Table7[[#This Row],[R_SR (mW)]]+Table7[[#This Row],[Inductor Loss (mW)]])/10^3</f>
        <v>8.3359514583333343E-3</v>
      </c>
      <c r="CG163" s="145" t="e">
        <f ca="1">Table7[[#This Row],[Total TI (mW)]]/10^3</f>
        <v>#NAME?</v>
      </c>
      <c r="CH163" s="145" t="e">
        <f ca="1">Table7[[#This Row],[Total Sense Loss]]+Table7[[#This Row],[Total MOSFET Loss]]</f>
        <v>#NAME?</v>
      </c>
      <c r="CI163" s="149" t="e">
        <f ca="1">IF(Table7[[#This Row],[POUT (W)]]=0,0,(Table7[[#This Row],[POUT (W)]])/(Table7[[#This Row],[POUT (W)]]+Table7[[#This Row],[Total Power Loss (W)]]))*100</f>
        <v>#NAME?</v>
      </c>
      <c r="CJ163" s="153"/>
      <c r="CK163" s="145">
        <f>(Table7[[#This Row],[R_AC (mW)]]+Table7[[#This Row],[R_SR (mW)]]+Table7[[#This Row],[Inductor Loss (mW)]])/10^3</f>
        <v>8.3359514583333343E-3</v>
      </c>
      <c r="CL163" s="145" t="e">
        <f ca="1">Table7[[#This Row],[Total (mW) C]]/10^3</f>
        <v>#NAME?</v>
      </c>
      <c r="CM163" s="145" t="e">
        <f ca="1">Table7[[#This Row],[Total Sense Loss C]]+Table7[[#This Row],[Total MOSFET Loss C]]</f>
        <v>#NAME?</v>
      </c>
      <c r="CN163" s="149" t="e">
        <f ca="1">IF(Table7[[#This Row],[POUT (W)]]=0,0,(Table7[[#This Row],[POUT (W)]])/(Table7[[#This Row],[POUT (W)]]+Table7[[#This Row],[Total Power Loss (W) C]]))*100</f>
        <v>#NAME?</v>
      </c>
      <c r="CO163" s="153"/>
      <c r="CP163" s="149">
        <f>IF(MOSFET_S=Custom_MOSFET,Table7[[#This Row],[Total Sense Loss C]],Table7[[#This Row],[Total Sense Loss]])</f>
        <v>8.3359514583333343E-3</v>
      </c>
      <c r="CQ163" s="149" t="e">
        <f ca="1">IF(MOSFET_S=Custom_MOSFET,Table7[[#This Row],[Total MOSFET Loss C]],Table7[[#This Row],[Total MOSFET Loss]])</f>
        <v>#NAME?</v>
      </c>
      <c r="CR163" s="149" t="e">
        <f ca="1">IF(MOSFET_S=Custom_MOSFET,Table7[[#This Row],[Efficiency C]],Table7[[#This Row],[Efficiency]])</f>
        <v>#NAME?</v>
      </c>
      <c r="CS163" s="153"/>
      <c r="CT163" s="149">
        <f>IF(MOSFET_S=Compare_MOSFET, Table7[[#This Row],[Total Sense Loss C]], -100)</f>
        <v>-100</v>
      </c>
      <c r="CU163" s="149">
        <f>IF(MOSFET_S=Compare_MOSFET, Table7[[#This Row],[Total MOSFET Loss C]], -100)</f>
        <v>-100</v>
      </c>
      <c r="CV163" s="149">
        <f>IF(MOSFET_S=Compare_MOSFET, Table7[[#This Row],[Efficiency C]], -100)</f>
        <v>-100</v>
      </c>
      <c r="CW163" s="153"/>
      <c r="CX163" s="149">
        <f ca="1">IF(Save_Sel=CLR_Save,  Table7[[#This Row],[Total Sense Loss P1]], Table7[[#This Row],[Total Sense Loss P1 Saved]])</f>
        <v>6.9901562499999981E-3</v>
      </c>
      <c r="CY163" s="149">
        <f ca="1">IF(Save_Sel=CLR_Save,  Table7[[#This Row],[Total MOSFET Loss P1]], Table7[[#This Row],[Total MOSFET Loss P1 Saved]] )</f>
        <v>1.4799354406328953</v>
      </c>
      <c r="CZ163" s="149">
        <f ca="1">IF(Save_Sel=CLR_Save, Table7[[#This Row],[Efficiency P1]], Table7[[#This Row],[Efficiency P1 Saved]])</f>
        <v>73.853612614557406</v>
      </c>
      <c r="DA163" s="153"/>
      <c r="DB163" s="149">
        <f ca="1">IF(Save_Sel=CLR_Save,  Table7[[#This Row],[Total Sense Loss P2]], Table7[[#This Row],[Total Sense Loss P2 Saved]])</f>
        <v>6.9901562499999981E-3</v>
      </c>
      <c r="DC163" s="149">
        <f ca="1">IF(Save_Sel=CLR_Save,  Table7[[#This Row],[Total MOSFET Loss P2]], Table7[[#This Row],[Total MOSFET Loss P2 Saved]] )</f>
        <v>0.98335673470450158</v>
      </c>
      <c r="DD163" s="149">
        <f ca="1">IF(Save_Sel=CLR_Save, Table7[[#This Row],[Efficiency P2]], Table7[[#This Row],[Efficiency P2 Saved]])</f>
        <v>80.919446970289528</v>
      </c>
      <c r="DE163" s="153"/>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row>
    <row r="164" spans="1:165" x14ac:dyDescent="0.2">
      <c r="A164" s="48">
        <v>1</v>
      </c>
      <c r="B164" s="49"/>
      <c r="C164" s="49"/>
      <c r="D164" s="32" t="s">
        <v>151</v>
      </c>
      <c r="E164" s="66" t="e">
        <f ca="1">IF( VGS_S=Vgs_4P5,TI_RDS_4P5_H_BU, IF(VGS_S=Vgs_10, TI_RDS_10_H_BU, IF( AND(VGS_S=Vgs_C, ISNUMBER(TI_RDS_C_H_BU)), TI_RDS_C_H_BU, "ERROR" )))</f>
        <v>#REF!</v>
      </c>
      <c r="F164" s="66" t="e">
        <f ca="1">IF( VGS_S=Vgs_4P5,TI_RDS_4P5_L_BU, IF(VGS_S=Vgs_10, TI_RDS_10_L_BU, IF( AND(VGS_S=Vgs_C, ISNUMBER(TI_RDS_C_L_BU)), TI_RDS_C_L_BU, "ERROR" )))</f>
        <v>#REF!</v>
      </c>
      <c r="G164" s="42" t="s">
        <v>22</v>
      </c>
      <c r="H164" s="29"/>
      <c r="I164" s="48">
        <v>1</v>
      </c>
      <c r="J164" s="29"/>
      <c r="K164" s="49"/>
      <c r="L164" s="49"/>
      <c r="M164" s="32" t="s">
        <v>130</v>
      </c>
      <c r="N164" s="66">
        <f>IF( VGS_S=Vgs_4P5,C_RDS_4P5_H_BU, IF(VGS_S=Vgs_10, C_RDS_10_H_BU, IF( AND(VGS_S=Vgs_C, ISNUMBER(C_RDS_C_H_BU)), C_RDS_C_H_BU, "ERROR" )))</f>
        <v>5.7</v>
      </c>
      <c r="O164" s="66">
        <f>IF( VGS_S=Vgs_4P5,C_RDS_4P5_L_BU, IF(VGS_S=Vgs_10, C_RDS_10_L_BU, IF( AND(VGS_S=Vgs_C, ISNUMBER(C_RDS_C_L_BU)), C_RDS_C_L_BU, "ERROR" )))</f>
        <v>5.7</v>
      </c>
      <c r="P164" s="42" t="s">
        <v>22</v>
      </c>
      <c r="Q164" s="29"/>
      <c r="R164" s="29"/>
      <c r="S164" s="30"/>
      <c r="T164" s="18"/>
      <c r="U164" s="19"/>
      <c r="V164" s="19"/>
      <c r="W164" s="19"/>
      <c r="X164" s="19"/>
      <c r="Y164" s="19"/>
      <c r="Z164" s="19"/>
      <c r="AA164" s="19"/>
      <c r="AB164" s="19"/>
      <c r="AC164" s="19"/>
      <c r="AD164" s="19"/>
      <c r="AE164" s="19"/>
      <c r="AF164" s="143">
        <f t="shared" si="17"/>
        <v>8</v>
      </c>
      <c r="AG164" s="143">
        <f t="shared" si="16"/>
        <v>0.8</v>
      </c>
      <c r="AH164" s="144">
        <f t="shared" si="3"/>
        <v>19.200000000000003</v>
      </c>
      <c r="AI164" s="145">
        <f t="shared" si="4"/>
        <v>0.16376306620209058</v>
      </c>
      <c r="AJ164" s="145">
        <f t="shared" si="5"/>
        <v>0.95666666666666667</v>
      </c>
      <c r="AK164" s="145" t="e">
        <f t="shared" si="6"/>
        <v>#NAME?</v>
      </c>
      <c r="AL164" s="145" t="e">
        <f t="shared" si="7"/>
        <v>#NAME?</v>
      </c>
      <c r="AM164" s="146"/>
      <c r="AN164" s="145" t="e">
        <f>MAX(0,Table7[[#This Row],[I_L]]-0.5*Table7[[#This Row],[I_L pkpk]])</f>
        <v>#NAME?</v>
      </c>
      <c r="AO164" s="145" t="e">
        <f>Table7[[#This Row],[I_L]]+0.5*Table7[[#This Row],[I_L pkpk]]</f>
        <v>#NAME?</v>
      </c>
      <c r="AP164" s="145" t="e">
        <f ca="1">IF(VACnom&gt;Vbat, (VGS_S-(TI_MOSFET_S_VTH_H_BU+Table7[[#This Row],[I_L]]/TI_MOSFET_S_gFS_H_BU))/3.4, (VGS_S-(TI_MOSFET_S_VTH_L_BO+Table7[[#This Row],[I_L]]/TI_MOSFET_S_gFS_L_BO))/3.4 )</f>
        <v>#REF!</v>
      </c>
      <c r="AQ164" s="145" t="e">
        <f ca="1">IF(VACnom&gt;Vbat, ((TI_MOSFET_S_VTH_H_BU+Table7[[#This Row],[I_L]]/TI_MOSFET_S_gFS_H_BU))/1, ((TI_MOSFET_S_VTH_L_BO+Table7[[#This Row],[I_L]]/TI_MOSFET_S_gFS_L_BO))/1 )</f>
        <v>#REF!</v>
      </c>
      <c r="AR164" s="145" t="e">
        <f ca="1">IF(VACnom&gt;Vbat, (TI_MOSFET_S_QGD_H_BU+TI_MOSFET_S_QGS_H_BU)*10^-9/Table7[[#This Row],[Ion (A)]], (TI_MOSFET_S_QGD_L_BO+TI_MOSFET_S_QGS_L_BO)*10^-9/Table7[[#This Row],[Ion (A)]])/10^-9</f>
        <v>#REF!</v>
      </c>
      <c r="AS164" s="145" t="e">
        <f ca="1">IF(VACnom&gt;Vbat, (TI_MOSFET_S_QGD_H_BU+TI_MOSFET_S_QGS_H_BU)*10^-9/Table7[[#This Row],[Ioff (A)]], (TI_MOSFET_S_QGD_L_BO+TI_MOSFET_S_QGS_L_BO)*10^-9/Table7[[#This Row],[Ioff (A)]])/10^-9</f>
        <v>#REF!</v>
      </c>
      <c r="AT164" s="145" t="e">
        <f ca="1" xml:space="preserve"> 0.5*VACnom*Table7[[#This Row],[Ivalley (A)]]*Table7[[#This Row],[ton (ns)]]*10^-9*Fsw*10^3+0.5*VACnom*Table7[[#This Row],[Ipeak (A)]]*Table7[[#This Row],[toff (ns)]]*10^-9*Fsw*10^3/10^-3</f>
        <v>#NAME?</v>
      </c>
      <c r="AU164" s="145" t="e">
        <f t="shared" ca="1" si="8"/>
        <v>#REF!</v>
      </c>
      <c r="AV164" s="145" t="e">
        <f t="shared" ca="1" si="9"/>
        <v>#REF!</v>
      </c>
      <c r="AW164" s="145" t="e">
        <f t="shared" ca="1" si="10"/>
        <v>#REF!</v>
      </c>
      <c r="AX164" s="145" t="e">
        <f ca="1">IF(VACnom&gt;Vbat, TI_MOSFET_S_VSD_L_BU*Table7[[#This Row],[Ivalley (A)]]*Fsw*10^3*40*10^-9+TI_MOSFET_S_VSD_L_BU*Table7[[#This Row],[Ipeak (A)]]*Fsw*10^3*30*10^-9, TI_MOSFET_S_VSD_H_BO*Table7[[#This Row],[Ivalley (A)]]*Fsw*10^3*40*10^-9+TI_MOSFET_S_VSD_H_BO*Table7[[#This Row],[Ipeak (A)]]*Fsw*10^3*30*10^-9)/10^-3</f>
        <v>#REF!</v>
      </c>
      <c r="AY164" s="145" t="e">
        <f t="shared" ca="1" si="11"/>
        <v>#REF!</v>
      </c>
      <c r="AZ164" s="145" t="e">
        <f ca="1">IF(VACnom&lt;Vbat, Table7[[#This Row],[Duty Cycle]]*Table7[[#This Row],[I_L RMS]]^2*TI_MOSFET_S_RDSON_H_BU*10^-3, (1-Table7[[#This Row],[Duty Cycle]])*Table7[[#This Row],[I_L RMS]]^2*TI_MOSFET_S_RDSON_H_BO*10^-3)/10^-3</f>
        <v>#NAME?</v>
      </c>
      <c r="BA164" s="145" t="e">
        <f ca="1">IF(VACnom&gt;Vbat, Table7[[#This Row],[PIV (mW)]]+Table7[[#This Row],[Pqoss (mW)]]+Table7[[#This Row],[Pgate_top (mW)]], Table7[[#This Row],[PRR (mW)]]+Table7[[#This Row],[Pdead (mW)]]+Table7[[#This Row],[Pgate_top (mW)]])</f>
        <v>#REF!</v>
      </c>
      <c r="BB164" s="145" t="e">
        <f ca="1">Table7[[#This Row],[Pcon_top (mW)]]+Table7[[#This Row],[Psw_top (mW)]]</f>
        <v>#NAME?</v>
      </c>
      <c r="BC164" s="145" t="e">
        <f ca="1">IF(VACnom&gt;Vbat, (1-Table7[[#This Row],[Duty Cycle]])*Table7[[#This Row],[I_L RMS]]^2*TI_MOSFET_S_RDSON_L_BU*10^-3, Table7[[#This Row],[Duty Cycle]]*Table7[[#This Row],[I_L RMS]]^2*TI_MOSFET_S_RDSON_L_BO*10^-3)/10^-3</f>
        <v>#NAME?</v>
      </c>
      <c r="BD164" s="145" t="e">
        <f ca="1">IF(VACnom&gt;Vbat, Table7[[#This Row],[PRR (mW)]]+Table7[[#This Row],[Pdead (mW)]]+Table7[[#This Row],[Pgate_bottom (mW)]], Table7[[#This Row],[PIV (mW)]]+Table7[[#This Row],[Pqoss (mW)]]+Table7[[#This Row],[Pgate_bottom (mW)]])</f>
        <v>#NAME?</v>
      </c>
      <c r="BE164" s="147" t="e">
        <f ca="1">Table7[[#This Row],[Pcon_bottom (mW)]]+Table7[[#This Row],[Psw_bottom (mW)]]</f>
        <v>#NAME?</v>
      </c>
      <c r="BF164" s="145" t="e">
        <f ca="1">Table7[[#This Row],[Pbottom (mW)]]+Table7[[#This Row],[Ptop (mW)]]</f>
        <v>#NAME?</v>
      </c>
      <c r="BG164" s="142"/>
      <c r="BH164" s="145" t="e">
        <f>MAX(0,Table7[[#This Row],[I_L]]-0.5*Table7[[#This Row],[I_L pkpk]])</f>
        <v>#NAME?</v>
      </c>
      <c r="BI164" s="145" t="e">
        <f>Table7[[#This Row],[I_L]]+0.5*Table7[[#This Row],[I_L pkpk]]</f>
        <v>#NAME?</v>
      </c>
      <c r="BJ164" s="145">
        <f>IF(VACnom&gt;Vbat, (VGS_S-(C_MOSFET_S_VTH_H_BU+Table7[[#This Row],[I_L]]/C_MOSFET_S_gFS_H_BU))/3.4, (VGS_S-(C_MOSFET_S_VTH_L_BO+Table7[[#This Row],[I_L]]/C_MOSFET_S_gFS_L_BO))/3.4 )</f>
        <v>2.3510653594771243</v>
      </c>
      <c r="BK164" s="145">
        <f>IF(VACnom&gt;Vbat, ((C_MOSFET_S_VTH_H_BU+Table7[[#This Row],[I_L]]/C_MOSFET_S_gFS_H_BU))/1, ((C_MOSFET_S_VTH_L_BO+Table7[[#This Row],[I_L]]/C_MOSFET_S_gFS_L_BO))/1 )</f>
        <v>2.0063777777777778</v>
      </c>
      <c r="BL164" s="145">
        <f>IF(VACnom&gt;Vbat, (C_MOSFET_S_QGD_H_BU+C_MOSFET_S_QGS_H_BU)*10^-9/Table7[[#This Row],[Ion (A) C]], (C_MOSFET_S_QGD_L_BO+C_MOSFET_S_QGS_L_BO)*10^-9/Table7[[#This Row],[Ion (A) C]])/10^-9</f>
        <v>2.7647040835332612</v>
      </c>
      <c r="BM164" s="145">
        <f>IF(VACnom&gt;Vbat, (C_MOSFET_S_QGD_H_BU+C_MOSFET_S_QGS_H_BU)*10^-9/Table7[[#This Row],[Ioff (A) C]], (C_MOSFET_S_QGD_L_BO+C_MOSFET_S_QGS_L_BO)*10^-9/Table7[[#This Row],[Ioff (A) C]])/10^-9</f>
        <v>3.2396690553457304</v>
      </c>
      <c r="BN164" s="145" t="e">
        <f xml:space="preserve"> 0.5*VACnom*Table7[[#This Row],[Ivalley (A) C]]*Table7[[#This Row],[ton (ns) C]]*10^-9*Fsw*10^3+0.5*VACnom*Table7[[#This Row],[Ipeak (A) C]]*Table7[[#This Row],[toff (ns) C]]*10^-9*Fsw*10^3/10^-3</f>
        <v>#NAME?</v>
      </c>
      <c r="BO164" s="145">
        <f t="shared" si="12"/>
        <v>259.2</v>
      </c>
      <c r="BP164" s="145" t="e">
        <f t="shared" ca="1" si="13"/>
        <v>#REF!</v>
      </c>
      <c r="BQ164" s="145">
        <f t="shared" si="14"/>
        <v>475.2</v>
      </c>
      <c r="BR164" s="145" t="e">
        <f>IF(VACnom&gt;Vbat, C_MOSFET_S_VSD_L_BU*Table7[[#This Row],[Ivalley (A) C]]*Fsw*10^3*40*10^-9+C_MOSFET_S_VSD_L_BU*Table7[[#This Row],[Ipeak (A) C]]*Fsw*10^3*30*10^-9, C_MOSFET_S_VSD_H_BO*Table7[[#This Row],[Ivalley (A) C]]*Fsw*10^3*40*10^-9+C_MOSFET_S_VSD_H_BO*Table7[[#This Row],[Ipeak (A) C]]*Fsw*10^3*30*10^-9)/10^-3</f>
        <v>#NAME?</v>
      </c>
      <c r="BS164" s="145" t="e">
        <f t="shared" ca="1" si="15"/>
        <v>#REF!</v>
      </c>
      <c r="BT164" s="145" t="e">
        <f>IF(VACnom&lt;Vbat, Table7[[#This Row],[Duty Cycle]]*Table7[[#This Row],[I_L RMS]]^2*C_MOSFET_S_RDSON_H_BU*10^-3, (1-Table7[[#This Row],[Duty Cycle]])*Table7[[#This Row],[I_L RMS]]^2*C_MOSFET_S_RDSON_H_BO*10^-3)/10^-3</f>
        <v>#NAME?</v>
      </c>
      <c r="BU164" s="145" t="e">
        <f ca="1">IF(VACnom&gt;Vbat, Table7[[#This Row],[PIV (mW) C]]+Table7[[#This Row],[PQoss (mW) C]]+Table7[[#This Row],[Pgate_top (mW) C]], Table7[[#This Row],[PRR (mW) C]]+Table7[[#This Row],[Pdead (mW) C]]+Table7[[#This Row],[Pgate_top (mW) C]])</f>
        <v>#NAME?</v>
      </c>
      <c r="BV164" s="145" t="e">
        <f ca="1">Table7[[#This Row],[Pcon_top (mW) C]]+Table7[[#This Row],[Psw_top (mW) C]]</f>
        <v>#NAME?</v>
      </c>
      <c r="BW164" s="145" t="e">
        <f ca="1">IF(VACnom&gt;Vbat, (1-Table7[[#This Row],[Duty Cycle]])*Table7[[#This Row],[I_L RMS]]^2*C_MOSFET_S_RDSON_L_BU*10^-3, Table7[[#This Row],[Duty Cycle]]*Table7[[#This Row],[I_L RMS]]^2*C_MOSFET_S_RDSON_L_BO*10^-3)/10^-3</f>
        <v>#NAME?</v>
      </c>
      <c r="BX164" s="145" t="e">
        <f ca="1">IF(VACnom&gt;Vbat, Table7[[#This Row],[PRR (mW) C]]+Table7[[#This Row],[Pdead (mW) C]]+Table7[[#This Row],[Pgate_bottom (mW) C]], Table7[[#This Row],[PIV (mW) C]]+Table7[[#This Row],[PQoss (mW) C]]+Table7[[#This Row],[Pgate_bottom (mW) C]])</f>
        <v>#NAME?</v>
      </c>
      <c r="BY164" s="145" t="e">
        <f ca="1">Table7[[#This Row],[Pcon_bottom (mW) C]]+Table7[[#This Row],[Psw_bottom (mV) C]]</f>
        <v>#NAME?</v>
      </c>
      <c r="BZ164" s="145" t="e">
        <f ca="1">Table7[[#This Row],[Pbottom (mW) C]]+Table7[[#This Row],[Ptop (mW) C]]</f>
        <v>#NAME?</v>
      </c>
      <c r="CA164" s="148"/>
      <c r="CB164" s="144">
        <f>(RAC_SNS*10^-3*(Table7[[#This Row],[IOUT (A)]]*Vbat/VACnom)^2/10^-3)</f>
        <v>4.5760555555555555</v>
      </c>
      <c r="CC164" s="144">
        <f>(RBAT_SNS*10^-3*Table7[[#This Row],[IOUT (A)]]^2)/10^-3</f>
        <v>3.2000000000000006</v>
      </c>
      <c r="CD164" s="144">
        <f>IF(VACnom&gt;Vbat,(L_DRC*10^-3*(Table7[[#This Row],[IOUT (A)]])^2/10^-3),(L_DRC*10^-3*(Table7[[#This Row],[IOUT (A)]]*Vbat/VACnom)^2/10^-3))</f>
        <v>3.1117177777777774</v>
      </c>
      <c r="CE164" s="152"/>
      <c r="CF164" s="145">
        <f>(Table7[[#This Row],[R_AC (mW)]]+Table7[[#This Row],[R_SR (mW)]]+Table7[[#This Row],[Inductor Loss (mW)]])/10^3</f>
        <v>1.0887773333333333E-2</v>
      </c>
      <c r="CG164" s="145" t="e">
        <f ca="1">Table7[[#This Row],[Total TI (mW)]]/10^3</f>
        <v>#NAME?</v>
      </c>
      <c r="CH164" s="145" t="e">
        <f ca="1">Table7[[#This Row],[Total Sense Loss]]+Table7[[#This Row],[Total MOSFET Loss]]</f>
        <v>#NAME?</v>
      </c>
      <c r="CI164" s="149" t="e">
        <f ca="1">IF(Table7[[#This Row],[POUT (W)]]=0,0,(Table7[[#This Row],[POUT (W)]])/(Table7[[#This Row],[POUT (W)]]+Table7[[#This Row],[Total Power Loss (W)]]))*100</f>
        <v>#NAME?</v>
      </c>
      <c r="CJ164" s="153"/>
      <c r="CK164" s="145">
        <f>(Table7[[#This Row],[R_AC (mW)]]+Table7[[#This Row],[R_SR (mW)]]+Table7[[#This Row],[Inductor Loss (mW)]])/10^3</f>
        <v>1.0887773333333333E-2</v>
      </c>
      <c r="CL164" s="145" t="e">
        <f ca="1">Table7[[#This Row],[Total (mW) C]]/10^3</f>
        <v>#NAME?</v>
      </c>
      <c r="CM164" s="145" t="e">
        <f ca="1">Table7[[#This Row],[Total Sense Loss C]]+Table7[[#This Row],[Total MOSFET Loss C]]</f>
        <v>#NAME?</v>
      </c>
      <c r="CN164" s="149" t="e">
        <f ca="1">IF(Table7[[#This Row],[POUT (W)]]=0,0,(Table7[[#This Row],[POUT (W)]])/(Table7[[#This Row],[POUT (W)]]+Table7[[#This Row],[Total Power Loss (W) C]]))*100</f>
        <v>#NAME?</v>
      </c>
      <c r="CO164" s="153"/>
      <c r="CP164" s="149">
        <f>IF(MOSFET_S=Custom_MOSFET,Table7[[#This Row],[Total Sense Loss C]],Table7[[#This Row],[Total Sense Loss]])</f>
        <v>1.0887773333333333E-2</v>
      </c>
      <c r="CQ164" s="149" t="e">
        <f ca="1">IF(MOSFET_S=Custom_MOSFET,Table7[[#This Row],[Total MOSFET Loss C]],Table7[[#This Row],[Total MOSFET Loss]])</f>
        <v>#NAME?</v>
      </c>
      <c r="CR164" s="149" t="e">
        <f ca="1">IF(MOSFET_S=Custom_MOSFET,Table7[[#This Row],[Efficiency C]],Table7[[#This Row],[Efficiency]])</f>
        <v>#NAME?</v>
      </c>
      <c r="CS164" s="153"/>
      <c r="CT164" s="149">
        <f>IF(MOSFET_S=Compare_MOSFET, Table7[[#This Row],[Total Sense Loss C]], -100)</f>
        <v>-100</v>
      </c>
      <c r="CU164" s="149">
        <f>IF(MOSFET_S=Compare_MOSFET, Table7[[#This Row],[Total MOSFET Loss C]], -100)</f>
        <v>-100</v>
      </c>
      <c r="CV164" s="149">
        <f>IF(MOSFET_S=Compare_MOSFET, Table7[[#This Row],[Efficiency C]], -100)</f>
        <v>-100</v>
      </c>
      <c r="CW164" s="153"/>
      <c r="CX164" s="149">
        <f ca="1">IF(Save_Sel=CLR_Save,  Table7[[#This Row],[Total Sense Loss P1]], Table7[[#This Row],[Total Sense Loss P1 Saved]])</f>
        <v>9.1300000000000027E-3</v>
      </c>
      <c r="CY164" s="149">
        <f ca="1">IF(Save_Sel=CLR_Save,  Table7[[#This Row],[Total MOSFET Loss P1]], Table7[[#This Row],[Total MOSFET Loss P1 Saved]] )</f>
        <v>1.4880866495760192</v>
      </c>
      <c r="CZ164" s="149">
        <f ca="1">IF(Save_Sel=CLR_Save, Table7[[#This Row],[Efficiency P1]], Table7[[#This Row],[Efficiency P1 Saved]])</f>
        <v>76.224152147015232</v>
      </c>
      <c r="DA164" s="153"/>
      <c r="DB164" s="149">
        <f ca="1">IF(Save_Sel=CLR_Save,  Table7[[#This Row],[Total Sense Loss P2]], Table7[[#This Row],[Total Sense Loss P2 Saved]])</f>
        <v>9.1300000000000027E-3</v>
      </c>
      <c r="DC164" s="149">
        <f ca="1">IF(Save_Sel=CLR_Save,  Table7[[#This Row],[Total MOSFET Loss P2]], Table7[[#This Row],[Total MOSFET Loss P2 Saved]] )</f>
        <v>0.98791536334168473</v>
      </c>
      <c r="DD164" s="149">
        <f ca="1">IF(Save_Sel=CLR_Save, Table7[[#This Row],[Efficiency P2]], Table7[[#This Row],[Efficiency P2 Saved]])</f>
        <v>82.800801083141067</v>
      </c>
      <c r="DE164" s="153"/>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row>
    <row r="165" spans="1:165" x14ac:dyDescent="0.2">
      <c r="A165" s="48">
        <v>4</v>
      </c>
      <c r="B165" s="49"/>
      <c r="C165" s="49"/>
      <c r="D165" s="32" t="s">
        <v>152</v>
      </c>
      <c r="E165" s="66" t="e">
        <f ca="1">IF( VGS_S=Vgs_4P5,TI_QG_4P5_H_BU, IF(VGS_S=Vgs_10, TI_QG_10_H_BU, IF( AND(VGS_S=Vgs_C, ISNUMBER(TI_QG_C_H_BU)), TI_QG_C_H_BU, "ERROR" )))</f>
        <v>#REF!</v>
      </c>
      <c r="F165" s="66" t="e">
        <f ca="1">IF( VGS_S=Vgs_4P5,TI_QG_4P5_L_BU, IF(VGS_S=Vgs_10, TI_QG_10_L_BU, IF( AND(VGS_S=Vgs_C, ISNUMBER(TI_QG_C_L_BU)), TI_QG_C_L_BU, "ERROR" )))</f>
        <v>#REF!</v>
      </c>
      <c r="G165" s="42" t="s">
        <v>23</v>
      </c>
      <c r="H165" s="29"/>
      <c r="I165" s="48">
        <v>4</v>
      </c>
      <c r="J165" s="29"/>
      <c r="K165" s="49"/>
      <c r="L165" s="49"/>
      <c r="M165" s="32" t="s">
        <v>134</v>
      </c>
      <c r="N165" s="66">
        <f>IF( VGS_S=Vgs_4P5,C_QG_4P5_H_BU, IF(VGS_S=Vgs_10, C_QG_10_H_BU, IF( AND(VGS_S=Vgs_C, ISNUMBER(C_QG_C_H_BU)), C_QG_C_H_BU, "ERROR" )))</f>
        <v>15</v>
      </c>
      <c r="O165" s="66">
        <f>IF( VGS_S=Vgs_4P5,C_QG_4P5_L_BU, IF(VGS_S=Vgs_10, C_QG_10_L_BU, IF( AND(VGS_S=Vgs_C, ISNUMBER(C_QG_C_L_BU)), C_QG_C_L_BU, "ERROR" )))</f>
        <v>15</v>
      </c>
      <c r="P165" s="42" t="s">
        <v>23</v>
      </c>
      <c r="Q165" s="29"/>
      <c r="R165" s="29"/>
      <c r="S165" s="30"/>
      <c r="T165" s="18"/>
      <c r="U165" s="19"/>
      <c r="V165" s="19"/>
      <c r="W165" s="19"/>
      <c r="X165" s="19"/>
      <c r="Y165" s="19"/>
      <c r="Z165" s="19"/>
      <c r="AA165" s="19"/>
      <c r="AB165" s="19"/>
      <c r="AC165" s="19"/>
      <c r="AD165" s="19"/>
      <c r="AE165" s="19"/>
      <c r="AF165" s="143">
        <f t="shared" si="17"/>
        <v>9</v>
      </c>
      <c r="AG165" s="143">
        <f t="shared" si="16"/>
        <v>0.9</v>
      </c>
      <c r="AH165" s="144">
        <f t="shared" si="3"/>
        <v>21.6</v>
      </c>
      <c r="AI165" s="145">
        <f t="shared" si="4"/>
        <v>0.16376306620209058</v>
      </c>
      <c r="AJ165" s="145">
        <f t="shared" si="5"/>
        <v>1.0762499999999999</v>
      </c>
      <c r="AK165" s="145" t="e">
        <f t="shared" si="6"/>
        <v>#NAME?</v>
      </c>
      <c r="AL165" s="145" t="e">
        <f t="shared" si="7"/>
        <v>#NAME?</v>
      </c>
      <c r="AM165" s="146"/>
      <c r="AN165" s="145" t="e">
        <f>MAX(0,Table7[[#This Row],[I_L]]-0.5*Table7[[#This Row],[I_L pkpk]])</f>
        <v>#NAME?</v>
      </c>
      <c r="AO165" s="145" t="e">
        <f>Table7[[#This Row],[I_L]]+0.5*Table7[[#This Row],[I_L pkpk]]</f>
        <v>#NAME?</v>
      </c>
      <c r="AP165" s="145" t="e">
        <f ca="1">IF(VACnom&gt;Vbat, (VGS_S-(TI_MOSFET_S_VTH_H_BU+Table7[[#This Row],[I_L]]/TI_MOSFET_S_gFS_H_BU))/3.4, (VGS_S-(TI_MOSFET_S_VTH_L_BO+Table7[[#This Row],[I_L]]/TI_MOSFET_S_gFS_L_BO))/3.4 )</f>
        <v>#REF!</v>
      </c>
      <c r="AQ165" s="145" t="e">
        <f ca="1">IF(VACnom&gt;Vbat, ((TI_MOSFET_S_VTH_H_BU+Table7[[#This Row],[I_L]]/TI_MOSFET_S_gFS_H_BU))/1, ((TI_MOSFET_S_VTH_L_BO+Table7[[#This Row],[I_L]]/TI_MOSFET_S_gFS_L_BO))/1 )</f>
        <v>#REF!</v>
      </c>
      <c r="AR165" s="145" t="e">
        <f ca="1">IF(VACnom&gt;Vbat, (TI_MOSFET_S_QGD_H_BU+TI_MOSFET_S_QGS_H_BU)*10^-9/Table7[[#This Row],[Ion (A)]], (TI_MOSFET_S_QGD_L_BO+TI_MOSFET_S_QGS_L_BO)*10^-9/Table7[[#This Row],[Ion (A)]])/10^-9</f>
        <v>#REF!</v>
      </c>
      <c r="AS165" s="145" t="e">
        <f ca="1">IF(VACnom&gt;Vbat, (TI_MOSFET_S_QGD_H_BU+TI_MOSFET_S_QGS_H_BU)*10^-9/Table7[[#This Row],[Ioff (A)]], (TI_MOSFET_S_QGD_L_BO+TI_MOSFET_S_QGS_L_BO)*10^-9/Table7[[#This Row],[Ioff (A)]])/10^-9</f>
        <v>#REF!</v>
      </c>
      <c r="AT165" s="145" t="e">
        <f ca="1" xml:space="preserve"> 0.5*VACnom*Table7[[#This Row],[Ivalley (A)]]*Table7[[#This Row],[ton (ns)]]*10^-9*Fsw*10^3+0.5*VACnom*Table7[[#This Row],[Ipeak (A)]]*Table7[[#This Row],[toff (ns)]]*10^-9*Fsw*10^3/10^-3</f>
        <v>#NAME?</v>
      </c>
      <c r="AU165" s="145" t="e">
        <f t="shared" ca="1" si="8"/>
        <v>#REF!</v>
      </c>
      <c r="AV165" s="145" t="e">
        <f t="shared" ca="1" si="9"/>
        <v>#REF!</v>
      </c>
      <c r="AW165" s="145" t="e">
        <f t="shared" ca="1" si="10"/>
        <v>#REF!</v>
      </c>
      <c r="AX165" s="145" t="e">
        <f ca="1">IF(VACnom&gt;Vbat, TI_MOSFET_S_VSD_L_BU*Table7[[#This Row],[Ivalley (A)]]*Fsw*10^3*40*10^-9+TI_MOSFET_S_VSD_L_BU*Table7[[#This Row],[Ipeak (A)]]*Fsw*10^3*30*10^-9, TI_MOSFET_S_VSD_H_BO*Table7[[#This Row],[Ivalley (A)]]*Fsw*10^3*40*10^-9+TI_MOSFET_S_VSD_H_BO*Table7[[#This Row],[Ipeak (A)]]*Fsw*10^3*30*10^-9)/10^-3</f>
        <v>#REF!</v>
      </c>
      <c r="AY165" s="145" t="e">
        <f t="shared" ca="1" si="11"/>
        <v>#REF!</v>
      </c>
      <c r="AZ165" s="145" t="e">
        <f ca="1">IF(VACnom&lt;Vbat, Table7[[#This Row],[Duty Cycle]]*Table7[[#This Row],[I_L RMS]]^2*TI_MOSFET_S_RDSON_H_BU*10^-3, (1-Table7[[#This Row],[Duty Cycle]])*Table7[[#This Row],[I_L RMS]]^2*TI_MOSFET_S_RDSON_H_BO*10^-3)/10^-3</f>
        <v>#NAME?</v>
      </c>
      <c r="BA165" s="145" t="e">
        <f ca="1">IF(VACnom&gt;Vbat, Table7[[#This Row],[PIV (mW)]]+Table7[[#This Row],[Pqoss (mW)]]+Table7[[#This Row],[Pgate_top (mW)]], Table7[[#This Row],[PRR (mW)]]+Table7[[#This Row],[Pdead (mW)]]+Table7[[#This Row],[Pgate_top (mW)]])</f>
        <v>#REF!</v>
      </c>
      <c r="BB165" s="145" t="e">
        <f ca="1">Table7[[#This Row],[Pcon_top (mW)]]+Table7[[#This Row],[Psw_top (mW)]]</f>
        <v>#NAME?</v>
      </c>
      <c r="BC165" s="145" t="e">
        <f ca="1">IF(VACnom&gt;Vbat, (1-Table7[[#This Row],[Duty Cycle]])*Table7[[#This Row],[I_L RMS]]^2*TI_MOSFET_S_RDSON_L_BU*10^-3, Table7[[#This Row],[Duty Cycle]]*Table7[[#This Row],[I_L RMS]]^2*TI_MOSFET_S_RDSON_L_BO*10^-3)/10^-3</f>
        <v>#NAME?</v>
      </c>
      <c r="BD165" s="145" t="e">
        <f ca="1">IF(VACnom&gt;Vbat, Table7[[#This Row],[PRR (mW)]]+Table7[[#This Row],[Pdead (mW)]]+Table7[[#This Row],[Pgate_bottom (mW)]], Table7[[#This Row],[PIV (mW)]]+Table7[[#This Row],[Pqoss (mW)]]+Table7[[#This Row],[Pgate_bottom (mW)]])</f>
        <v>#NAME?</v>
      </c>
      <c r="BE165" s="147" t="e">
        <f ca="1">Table7[[#This Row],[Pcon_bottom (mW)]]+Table7[[#This Row],[Psw_bottom (mW)]]</f>
        <v>#NAME?</v>
      </c>
      <c r="BF165" s="145" t="e">
        <f ca="1">Table7[[#This Row],[Pbottom (mW)]]+Table7[[#This Row],[Ptop (mW)]]</f>
        <v>#NAME?</v>
      </c>
      <c r="BG165" s="142"/>
      <c r="BH165" s="145" t="e">
        <f>MAX(0,Table7[[#This Row],[I_L]]-0.5*Table7[[#This Row],[I_L pkpk]])</f>
        <v>#NAME?</v>
      </c>
      <c r="BI165" s="145" t="e">
        <f>Table7[[#This Row],[I_L]]+0.5*Table7[[#This Row],[I_L pkpk]]</f>
        <v>#NAME?</v>
      </c>
      <c r="BJ165" s="145">
        <f>IF(VACnom&gt;Vbat, (VGS_S-(C_MOSFET_S_VTH_H_BU+Table7[[#This Row],[I_L]]/C_MOSFET_S_gFS_H_BU))/3.4, (VGS_S-(C_MOSFET_S_VTH_L_BO+Table7[[#This Row],[I_L]]/C_MOSFET_S_gFS_L_BO))/3.4 )</f>
        <v>2.3508308823529411</v>
      </c>
      <c r="BK165" s="145">
        <f>IF(VACnom&gt;Vbat, ((C_MOSFET_S_VTH_H_BU+Table7[[#This Row],[I_L]]/C_MOSFET_S_gFS_H_BU))/1, ((C_MOSFET_S_VTH_L_BO+Table7[[#This Row],[I_L]]/C_MOSFET_S_gFS_L_BO))/1 )</f>
        <v>2.0071750000000002</v>
      </c>
      <c r="BL165" s="145">
        <f>IF(VACnom&gt;Vbat, (C_MOSFET_S_QGD_H_BU+C_MOSFET_S_QGS_H_BU)*10^-9/Table7[[#This Row],[Ion (A) C]], (C_MOSFET_S_QGD_L_BO+C_MOSFET_S_QGS_L_BO)*10^-9/Table7[[#This Row],[Ion (A) C]])/10^-9</f>
        <v>2.7649798412951618</v>
      </c>
      <c r="BM165" s="145">
        <f>IF(VACnom&gt;Vbat, (C_MOSFET_S_QGD_H_BU+C_MOSFET_S_QGS_H_BU)*10^-9/Table7[[#This Row],[Ioff (A) C]], (C_MOSFET_S_QGD_L_BO+C_MOSFET_S_QGS_L_BO)*10^-9/Table7[[#This Row],[Ioff (A) C]])/10^-9</f>
        <v>3.2383823034862429</v>
      </c>
      <c r="BN165" s="145" t="e">
        <f xml:space="preserve"> 0.5*VACnom*Table7[[#This Row],[Ivalley (A) C]]*Table7[[#This Row],[ton (ns) C]]*10^-9*Fsw*10^3+0.5*VACnom*Table7[[#This Row],[Ipeak (A) C]]*Table7[[#This Row],[toff (ns) C]]*10^-9*Fsw*10^3/10^-3</f>
        <v>#NAME?</v>
      </c>
      <c r="BO165" s="145">
        <f t="shared" si="12"/>
        <v>259.2</v>
      </c>
      <c r="BP165" s="145" t="e">
        <f t="shared" ca="1" si="13"/>
        <v>#REF!</v>
      </c>
      <c r="BQ165" s="145">
        <f t="shared" si="14"/>
        <v>475.2</v>
      </c>
      <c r="BR165" s="145" t="e">
        <f>IF(VACnom&gt;Vbat, C_MOSFET_S_VSD_L_BU*Table7[[#This Row],[Ivalley (A) C]]*Fsw*10^3*40*10^-9+C_MOSFET_S_VSD_L_BU*Table7[[#This Row],[Ipeak (A) C]]*Fsw*10^3*30*10^-9, C_MOSFET_S_VSD_H_BO*Table7[[#This Row],[Ivalley (A) C]]*Fsw*10^3*40*10^-9+C_MOSFET_S_VSD_H_BO*Table7[[#This Row],[Ipeak (A) C]]*Fsw*10^3*30*10^-9)/10^-3</f>
        <v>#NAME?</v>
      </c>
      <c r="BS165" s="145" t="e">
        <f t="shared" ca="1" si="15"/>
        <v>#REF!</v>
      </c>
      <c r="BT165" s="145" t="e">
        <f>IF(VACnom&lt;Vbat, Table7[[#This Row],[Duty Cycle]]*Table7[[#This Row],[I_L RMS]]^2*C_MOSFET_S_RDSON_H_BU*10^-3, (1-Table7[[#This Row],[Duty Cycle]])*Table7[[#This Row],[I_L RMS]]^2*C_MOSFET_S_RDSON_H_BO*10^-3)/10^-3</f>
        <v>#NAME?</v>
      </c>
      <c r="BU165" s="145" t="e">
        <f ca="1">IF(VACnom&gt;Vbat, Table7[[#This Row],[PIV (mW) C]]+Table7[[#This Row],[PQoss (mW) C]]+Table7[[#This Row],[Pgate_top (mW) C]], Table7[[#This Row],[PRR (mW) C]]+Table7[[#This Row],[Pdead (mW) C]]+Table7[[#This Row],[Pgate_top (mW) C]])</f>
        <v>#NAME?</v>
      </c>
      <c r="BV165" s="145" t="e">
        <f ca="1">Table7[[#This Row],[Pcon_top (mW) C]]+Table7[[#This Row],[Psw_top (mW) C]]</f>
        <v>#NAME?</v>
      </c>
      <c r="BW165" s="145" t="e">
        <f ca="1">IF(VACnom&gt;Vbat, (1-Table7[[#This Row],[Duty Cycle]])*Table7[[#This Row],[I_L RMS]]^2*C_MOSFET_S_RDSON_L_BU*10^-3, Table7[[#This Row],[Duty Cycle]]*Table7[[#This Row],[I_L RMS]]^2*C_MOSFET_S_RDSON_L_BO*10^-3)/10^-3</f>
        <v>#NAME?</v>
      </c>
      <c r="BX165" s="145" t="e">
        <f ca="1">IF(VACnom&gt;Vbat, Table7[[#This Row],[PRR (mW) C]]+Table7[[#This Row],[Pdead (mW) C]]+Table7[[#This Row],[Pgate_bottom (mW) C]], Table7[[#This Row],[PIV (mW) C]]+Table7[[#This Row],[PQoss (mW) C]]+Table7[[#This Row],[Pgate_bottom (mW) C]])</f>
        <v>#NAME?</v>
      </c>
      <c r="BY165" s="145" t="e">
        <f ca="1">Table7[[#This Row],[Pcon_bottom (mW) C]]+Table7[[#This Row],[Psw_bottom (mV) C]]</f>
        <v>#NAME?</v>
      </c>
      <c r="BZ165" s="145" t="e">
        <f ca="1">Table7[[#This Row],[Pbottom (mW) C]]+Table7[[#This Row],[Ptop (mW) C]]</f>
        <v>#NAME?</v>
      </c>
      <c r="CA165" s="148"/>
      <c r="CB165" s="144">
        <f>(RAC_SNS*10^-3*(Table7[[#This Row],[IOUT (A)]]*Vbat/VACnom)^2/10^-3)</f>
        <v>5.7915703125000002</v>
      </c>
      <c r="CC165" s="144">
        <f>(RBAT_SNS*10^-3*Table7[[#This Row],[IOUT (A)]]^2)/10^-3</f>
        <v>4.0500000000000007</v>
      </c>
      <c r="CD165" s="144">
        <f>IF(VACnom&gt;Vbat,(L_DRC*10^-3*(Table7[[#This Row],[IOUT (A)]])^2/10^-3),(L_DRC*10^-3*(Table7[[#This Row],[IOUT (A)]]*Vbat/VACnom)^2/10^-3))</f>
        <v>3.938267812499999</v>
      </c>
      <c r="CE165" s="152"/>
      <c r="CF165" s="145">
        <f>(Table7[[#This Row],[R_AC (mW)]]+Table7[[#This Row],[R_SR (mW)]]+Table7[[#This Row],[Inductor Loss (mW)]])/10^3</f>
        <v>1.3779838124999999E-2</v>
      </c>
      <c r="CG165" s="145" t="e">
        <f ca="1">Table7[[#This Row],[Total TI (mW)]]/10^3</f>
        <v>#NAME?</v>
      </c>
      <c r="CH165" s="145" t="e">
        <f ca="1">Table7[[#This Row],[Total Sense Loss]]+Table7[[#This Row],[Total MOSFET Loss]]</f>
        <v>#NAME?</v>
      </c>
      <c r="CI165" s="149" t="e">
        <f ca="1">IF(Table7[[#This Row],[POUT (W)]]=0,0,(Table7[[#This Row],[POUT (W)]])/(Table7[[#This Row],[POUT (W)]]+Table7[[#This Row],[Total Power Loss (W)]]))*100</f>
        <v>#NAME?</v>
      </c>
      <c r="CJ165" s="153"/>
      <c r="CK165" s="145">
        <f>(Table7[[#This Row],[R_AC (mW)]]+Table7[[#This Row],[R_SR (mW)]]+Table7[[#This Row],[Inductor Loss (mW)]])/10^3</f>
        <v>1.3779838124999999E-2</v>
      </c>
      <c r="CL165" s="145" t="e">
        <f ca="1">Table7[[#This Row],[Total (mW) C]]/10^3</f>
        <v>#NAME?</v>
      </c>
      <c r="CM165" s="145" t="e">
        <f ca="1">Table7[[#This Row],[Total Sense Loss C]]+Table7[[#This Row],[Total MOSFET Loss C]]</f>
        <v>#NAME?</v>
      </c>
      <c r="CN165" s="149" t="e">
        <f ca="1">IF(Table7[[#This Row],[POUT (W)]]=0,0,(Table7[[#This Row],[POUT (W)]])/(Table7[[#This Row],[POUT (W)]]+Table7[[#This Row],[Total Power Loss (W) C]]))*100</f>
        <v>#NAME?</v>
      </c>
      <c r="CO165" s="153"/>
      <c r="CP165" s="149">
        <f>IF(MOSFET_S=Custom_MOSFET,Table7[[#This Row],[Total Sense Loss C]],Table7[[#This Row],[Total Sense Loss]])</f>
        <v>1.3779838124999999E-2</v>
      </c>
      <c r="CQ165" s="149" t="e">
        <f ca="1">IF(MOSFET_S=Custom_MOSFET,Table7[[#This Row],[Total MOSFET Loss C]],Table7[[#This Row],[Total MOSFET Loss]])</f>
        <v>#NAME?</v>
      </c>
      <c r="CR165" s="149" t="e">
        <f ca="1">IF(MOSFET_S=Custom_MOSFET,Table7[[#This Row],[Efficiency C]],Table7[[#This Row],[Efficiency]])</f>
        <v>#NAME?</v>
      </c>
      <c r="CS165" s="153"/>
      <c r="CT165" s="149">
        <f>IF(MOSFET_S=Compare_MOSFET, Table7[[#This Row],[Total Sense Loss C]], -100)</f>
        <v>-100</v>
      </c>
      <c r="CU165" s="149">
        <f>IF(MOSFET_S=Compare_MOSFET, Table7[[#This Row],[Total MOSFET Loss C]], -100)</f>
        <v>-100</v>
      </c>
      <c r="CV165" s="149">
        <f>IF(MOSFET_S=Compare_MOSFET, Table7[[#This Row],[Efficiency C]], -100)</f>
        <v>-100</v>
      </c>
      <c r="CW165" s="153"/>
      <c r="CX165" s="149">
        <f ca="1">IF(Save_Sel=CLR_Save,  Table7[[#This Row],[Total Sense Loss P1]], Table7[[#This Row],[Total Sense Loss P1 Saved]])</f>
        <v>1.1555156250000004E-2</v>
      </c>
      <c r="CY165" s="149">
        <f ca="1">IF(Save_Sel=CLR_Save,  Table7[[#This Row],[Total MOSFET Loss P1]], Table7[[#This Row],[Total MOSFET Loss P1 Saved]] )</f>
        <v>1.4962805141198272</v>
      </c>
      <c r="CZ165" s="149">
        <f ca="1">IF(Save_Sel=CLR_Save, Table7[[#This Row],[Efficiency P1]], Table7[[#This Row],[Efficiency P1 Saved]])</f>
        <v>78.172096987809468</v>
      </c>
      <c r="DA165" s="153"/>
      <c r="DB165" s="149">
        <f ca="1">IF(Save_Sel=CLR_Save,  Table7[[#This Row],[Total Sense Loss P2]], Table7[[#This Row],[Total Sense Loss P2 Saved]])</f>
        <v>1.1555156250000004E-2</v>
      </c>
      <c r="DC165" s="149">
        <f ca="1">IF(Save_Sel=CLR_Save,  Table7[[#This Row],[Total MOSFET Loss P2]], Table7[[#This Row],[Total MOSFET Loss P2 Saved]] )</f>
        <v>0.99255313547966961</v>
      </c>
      <c r="DD165" s="149">
        <f ca="1">IF(Save_Sel=CLR_Save, Table7[[#This Row],[Efficiency P2]], Table7[[#This Row],[Efficiency P2 Saved]])</f>
        <v>84.320872696259926</v>
      </c>
      <c r="DE165" s="153"/>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row>
    <row r="166" spans="1:165" x14ac:dyDescent="0.2">
      <c r="A166" s="48">
        <v>7</v>
      </c>
      <c r="B166" s="49"/>
      <c r="C166" s="49"/>
      <c r="D166" s="32" t="s">
        <v>15</v>
      </c>
      <c r="E166" s="66" t="e">
        <f ca="1">TI_QGD_H_BU</f>
        <v>#REF!</v>
      </c>
      <c r="F166" s="66" t="e">
        <f ca="1">TI_QGD_L_BU</f>
        <v>#REF!</v>
      </c>
      <c r="G166" s="42" t="s">
        <v>23</v>
      </c>
      <c r="H166" s="29"/>
      <c r="I166" s="48">
        <v>7</v>
      </c>
      <c r="J166" s="29"/>
      <c r="K166" s="49"/>
      <c r="L166" s="49"/>
      <c r="M166" s="32" t="s">
        <v>15</v>
      </c>
      <c r="N166" s="117">
        <f t="shared" ref="N166:N172" si="18">$E123</f>
        <v>2.9</v>
      </c>
      <c r="O166" s="117">
        <f t="shared" ref="O166:O174" si="19">$F123</f>
        <v>2.9</v>
      </c>
      <c r="P166" s="42" t="s">
        <v>23</v>
      </c>
      <c r="Q166" s="29"/>
      <c r="R166" s="29"/>
      <c r="S166" s="30"/>
      <c r="T166" s="18"/>
      <c r="U166" s="19"/>
      <c r="V166" s="19"/>
      <c r="W166" s="19"/>
      <c r="X166" s="19"/>
      <c r="Y166" s="19"/>
      <c r="Z166" s="19"/>
      <c r="AA166" s="19"/>
      <c r="AB166" s="19"/>
      <c r="AC166" s="19"/>
      <c r="AD166" s="19"/>
      <c r="AE166" s="19"/>
      <c r="AF166" s="143">
        <f t="shared" si="17"/>
        <v>10</v>
      </c>
      <c r="AG166" s="143">
        <f t="shared" si="16"/>
        <v>1</v>
      </c>
      <c r="AH166" s="144">
        <f t="shared" si="3"/>
        <v>24</v>
      </c>
      <c r="AI166" s="145">
        <f t="shared" si="4"/>
        <v>0.16376306620209058</v>
      </c>
      <c r="AJ166" s="145">
        <f t="shared" si="5"/>
        <v>1.1958333333333333</v>
      </c>
      <c r="AK166" s="145" t="e">
        <f t="shared" si="6"/>
        <v>#NAME?</v>
      </c>
      <c r="AL166" s="145" t="e">
        <f t="shared" si="7"/>
        <v>#NAME?</v>
      </c>
      <c r="AM166" s="146"/>
      <c r="AN166" s="145" t="e">
        <f>MAX(0,Table7[[#This Row],[I_L]]-0.5*Table7[[#This Row],[I_L pkpk]])</f>
        <v>#NAME?</v>
      </c>
      <c r="AO166" s="145" t="e">
        <f>Table7[[#This Row],[I_L]]+0.5*Table7[[#This Row],[I_L pkpk]]</f>
        <v>#NAME?</v>
      </c>
      <c r="AP166" s="145" t="e">
        <f ca="1">IF(VACnom&gt;Vbat, (VGS_S-(TI_MOSFET_S_VTH_H_BU+Table7[[#This Row],[I_L]]/TI_MOSFET_S_gFS_H_BU))/3.4, (VGS_S-(TI_MOSFET_S_VTH_L_BO+Table7[[#This Row],[I_L]]/TI_MOSFET_S_gFS_L_BO))/3.4 )</f>
        <v>#REF!</v>
      </c>
      <c r="AQ166" s="145" t="e">
        <f ca="1">IF(VACnom&gt;Vbat, ((TI_MOSFET_S_VTH_H_BU+Table7[[#This Row],[I_L]]/TI_MOSFET_S_gFS_H_BU))/1, ((TI_MOSFET_S_VTH_L_BO+Table7[[#This Row],[I_L]]/TI_MOSFET_S_gFS_L_BO))/1 )</f>
        <v>#REF!</v>
      </c>
      <c r="AR166" s="145" t="e">
        <f ca="1">IF(VACnom&gt;Vbat, (TI_MOSFET_S_QGD_H_BU+TI_MOSFET_S_QGS_H_BU)*10^-9/Table7[[#This Row],[Ion (A)]], (TI_MOSFET_S_QGD_L_BO+TI_MOSFET_S_QGS_L_BO)*10^-9/Table7[[#This Row],[Ion (A)]])/10^-9</f>
        <v>#REF!</v>
      </c>
      <c r="AS166" s="145" t="e">
        <f ca="1">IF(VACnom&gt;Vbat, (TI_MOSFET_S_QGD_H_BU+TI_MOSFET_S_QGS_H_BU)*10^-9/Table7[[#This Row],[Ioff (A)]], (TI_MOSFET_S_QGD_L_BO+TI_MOSFET_S_QGS_L_BO)*10^-9/Table7[[#This Row],[Ioff (A)]])/10^-9</f>
        <v>#REF!</v>
      </c>
      <c r="AT166" s="145" t="e">
        <f ca="1" xml:space="preserve"> 0.5*VACnom*Table7[[#This Row],[Ivalley (A)]]*Table7[[#This Row],[ton (ns)]]*10^-9*Fsw*10^3+0.5*VACnom*Table7[[#This Row],[Ipeak (A)]]*Table7[[#This Row],[toff (ns)]]*10^-9*Fsw*10^3/10^-3</f>
        <v>#NAME?</v>
      </c>
      <c r="AU166" s="145" t="e">
        <f t="shared" ca="1" si="8"/>
        <v>#REF!</v>
      </c>
      <c r="AV166" s="145" t="e">
        <f t="shared" ca="1" si="9"/>
        <v>#REF!</v>
      </c>
      <c r="AW166" s="145" t="e">
        <f t="shared" ca="1" si="10"/>
        <v>#REF!</v>
      </c>
      <c r="AX166" s="145" t="e">
        <f ca="1">IF(VACnom&gt;Vbat, TI_MOSFET_S_VSD_L_BU*Table7[[#This Row],[Ivalley (A)]]*Fsw*10^3*40*10^-9+TI_MOSFET_S_VSD_L_BU*Table7[[#This Row],[Ipeak (A)]]*Fsw*10^3*30*10^-9, TI_MOSFET_S_VSD_H_BO*Table7[[#This Row],[Ivalley (A)]]*Fsw*10^3*40*10^-9+TI_MOSFET_S_VSD_H_BO*Table7[[#This Row],[Ipeak (A)]]*Fsw*10^3*30*10^-9)/10^-3</f>
        <v>#REF!</v>
      </c>
      <c r="AY166" s="145" t="e">
        <f t="shared" ca="1" si="11"/>
        <v>#REF!</v>
      </c>
      <c r="AZ166" s="145" t="e">
        <f ca="1">IF(VACnom&lt;Vbat, Table7[[#This Row],[Duty Cycle]]*Table7[[#This Row],[I_L RMS]]^2*TI_MOSFET_S_RDSON_H_BU*10^-3, (1-Table7[[#This Row],[Duty Cycle]])*Table7[[#This Row],[I_L RMS]]^2*TI_MOSFET_S_RDSON_H_BO*10^-3)/10^-3</f>
        <v>#NAME?</v>
      </c>
      <c r="BA166" s="145" t="e">
        <f ca="1">IF(VACnom&gt;Vbat, Table7[[#This Row],[PIV (mW)]]+Table7[[#This Row],[Pqoss (mW)]]+Table7[[#This Row],[Pgate_top (mW)]], Table7[[#This Row],[PRR (mW)]]+Table7[[#This Row],[Pdead (mW)]]+Table7[[#This Row],[Pgate_top (mW)]])</f>
        <v>#REF!</v>
      </c>
      <c r="BB166" s="145" t="e">
        <f ca="1">Table7[[#This Row],[Pcon_top (mW)]]+Table7[[#This Row],[Psw_top (mW)]]</f>
        <v>#NAME?</v>
      </c>
      <c r="BC166" s="145" t="e">
        <f ca="1">IF(VACnom&gt;Vbat, (1-Table7[[#This Row],[Duty Cycle]])*Table7[[#This Row],[I_L RMS]]^2*TI_MOSFET_S_RDSON_L_BU*10^-3, Table7[[#This Row],[Duty Cycle]]*Table7[[#This Row],[I_L RMS]]^2*TI_MOSFET_S_RDSON_L_BO*10^-3)/10^-3</f>
        <v>#NAME?</v>
      </c>
      <c r="BD166" s="145" t="e">
        <f ca="1">IF(VACnom&gt;Vbat, Table7[[#This Row],[PRR (mW)]]+Table7[[#This Row],[Pdead (mW)]]+Table7[[#This Row],[Pgate_bottom (mW)]], Table7[[#This Row],[PIV (mW)]]+Table7[[#This Row],[Pqoss (mW)]]+Table7[[#This Row],[Pgate_bottom (mW)]])</f>
        <v>#NAME?</v>
      </c>
      <c r="BE166" s="147" t="e">
        <f ca="1">Table7[[#This Row],[Pcon_bottom (mW)]]+Table7[[#This Row],[Psw_bottom (mW)]]</f>
        <v>#NAME?</v>
      </c>
      <c r="BF166" s="145" t="e">
        <f ca="1">Table7[[#This Row],[Pbottom (mW)]]+Table7[[#This Row],[Ptop (mW)]]</f>
        <v>#NAME?</v>
      </c>
      <c r="BG166" s="142"/>
      <c r="BH166" s="145" t="e">
        <f>MAX(0,Table7[[#This Row],[I_L]]-0.5*Table7[[#This Row],[I_L pkpk]])</f>
        <v>#NAME?</v>
      </c>
      <c r="BI166" s="145" t="e">
        <f>Table7[[#This Row],[I_L]]+0.5*Table7[[#This Row],[I_L pkpk]]</f>
        <v>#NAME?</v>
      </c>
      <c r="BJ166" s="145">
        <f>IF(VACnom&gt;Vbat, (VGS_S-(C_MOSFET_S_VTH_H_BU+Table7[[#This Row],[I_L]]/C_MOSFET_S_gFS_H_BU))/3.4, (VGS_S-(C_MOSFET_S_VTH_L_BO+Table7[[#This Row],[I_L]]/C_MOSFET_S_gFS_L_BO))/3.4 )</f>
        <v>2.3505964052287585</v>
      </c>
      <c r="BK166" s="145">
        <f>IF(VACnom&gt;Vbat, ((C_MOSFET_S_VTH_H_BU+Table7[[#This Row],[I_L]]/C_MOSFET_S_gFS_H_BU))/1, ((C_MOSFET_S_VTH_L_BO+Table7[[#This Row],[I_L]]/C_MOSFET_S_gFS_L_BO))/1 )</f>
        <v>2.007972222222222</v>
      </c>
      <c r="BL166" s="145">
        <f>IF(VACnom&gt;Vbat, (C_MOSFET_S_QGD_H_BU+C_MOSFET_S_QGS_H_BU)*10^-9/Table7[[#This Row],[Ion (A) C]], (C_MOSFET_S_QGD_L_BO+C_MOSFET_S_QGS_L_BO)*10^-9/Table7[[#This Row],[Ion (A) C]])/10^-9</f>
        <v>2.7652556540719395</v>
      </c>
      <c r="BM166" s="145">
        <f>IF(VACnom&gt;Vbat, (C_MOSFET_S_QGD_H_BU+C_MOSFET_S_QGS_H_BU)*10^-9/Table7[[#This Row],[Ioff (A) C]], (C_MOSFET_S_QGD_L_BO+C_MOSFET_S_QGS_L_BO)*10^-9/Table7[[#This Row],[Ioff (A) C]])/10^-9</f>
        <v>3.2370965733811059</v>
      </c>
      <c r="BN166" s="145" t="e">
        <f xml:space="preserve"> 0.5*VACnom*Table7[[#This Row],[Ivalley (A) C]]*Table7[[#This Row],[ton (ns) C]]*10^-9*Fsw*10^3+0.5*VACnom*Table7[[#This Row],[Ipeak (A) C]]*Table7[[#This Row],[toff (ns) C]]*10^-9*Fsw*10^3/10^-3</f>
        <v>#NAME?</v>
      </c>
      <c r="BO166" s="145">
        <f t="shared" si="12"/>
        <v>259.2</v>
      </c>
      <c r="BP166" s="145" t="e">
        <f t="shared" ca="1" si="13"/>
        <v>#REF!</v>
      </c>
      <c r="BQ166" s="145">
        <f t="shared" si="14"/>
        <v>475.2</v>
      </c>
      <c r="BR166" s="145" t="e">
        <f>IF(VACnom&gt;Vbat, C_MOSFET_S_VSD_L_BU*Table7[[#This Row],[Ivalley (A) C]]*Fsw*10^3*40*10^-9+C_MOSFET_S_VSD_L_BU*Table7[[#This Row],[Ipeak (A) C]]*Fsw*10^3*30*10^-9, C_MOSFET_S_VSD_H_BO*Table7[[#This Row],[Ivalley (A) C]]*Fsw*10^3*40*10^-9+C_MOSFET_S_VSD_H_BO*Table7[[#This Row],[Ipeak (A) C]]*Fsw*10^3*30*10^-9)/10^-3</f>
        <v>#NAME?</v>
      </c>
      <c r="BS166" s="145" t="e">
        <f t="shared" ca="1" si="15"/>
        <v>#REF!</v>
      </c>
      <c r="BT166" s="145" t="e">
        <f>IF(VACnom&lt;Vbat, Table7[[#This Row],[Duty Cycle]]*Table7[[#This Row],[I_L RMS]]^2*C_MOSFET_S_RDSON_H_BU*10^-3, (1-Table7[[#This Row],[Duty Cycle]])*Table7[[#This Row],[I_L RMS]]^2*C_MOSFET_S_RDSON_H_BO*10^-3)/10^-3</f>
        <v>#NAME?</v>
      </c>
      <c r="BU166" s="145" t="e">
        <f ca="1">IF(VACnom&gt;Vbat, Table7[[#This Row],[PIV (mW) C]]+Table7[[#This Row],[PQoss (mW) C]]+Table7[[#This Row],[Pgate_top (mW) C]], Table7[[#This Row],[PRR (mW) C]]+Table7[[#This Row],[Pdead (mW) C]]+Table7[[#This Row],[Pgate_top (mW) C]])</f>
        <v>#NAME?</v>
      </c>
      <c r="BV166" s="145" t="e">
        <f ca="1">Table7[[#This Row],[Pcon_top (mW) C]]+Table7[[#This Row],[Psw_top (mW) C]]</f>
        <v>#NAME?</v>
      </c>
      <c r="BW166" s="145" t="e">
        <f ca="1">IF(VACnom&gt;Vbat, (1-Table7[[#This Row],[Duty Cycle]])*Table7[[#This Row],[I_L RMS]]^2*C_MOSFET_S_RDSON_L_BU*10^-3, Table7[[#This Row],[Duty Cycle]]*Table7[[#This Row],[I_L RMS]]^2*C_MOSFET_S_RDSON_L_BO*10^-3)/10^-3</f>
        <v>#NAME?</v>
      </c>
      <c r="BX166" s="145" t="e">
        <f ca="1">IF(VACnom&gt;Vbat, Table7[[#This Row],[PRR (mW) C]]+Table7[[#This Row],[Pdead (mW) C]]+Table7[[#This Row],[Pgate_bottom (mW) C]], Table7[[#This Row],[PIV (mW) C]]+Table7[[#This Row],[PQoss (mW) C]]+Table7[[#This Row],[Pgate_bottom (mW) C]])</f>
        <v>#NAME?</v>
      </c>
      <c r="BY166" s="145" t="e">
        <f ca="1">Table7[[#This Row],[Pcon_bottom (mW) C]]+Table7[[#This Row],[Psw_bottom (mV) C]]</f>
        <v>#NAME?</v>
      </c>
      <c r="BZ166" s="145" t="e">
        <f ca="1">Table7[[#This Row],[Pbottom (mW) C]]+Table7[[#This Row],[Ptop (mW) C]]</f>
        <v>#NAME?</v>
      </c>
      <c r="CA166" s="148"/>
      <c r="CB166" s="144">
        <f>(RAC_SNS*10^-3*(Table7[[#This Row],[IOUT (A)]]*Vbat/VACnom)^2/10^-3)</f>
        <v>7.1500868055555555</v>
      </c>
      <c r="CC166" s="144">
        <f>(RBAT_SNS*10^-3*Table7[[#This Row],[IOUT (A)]]^2)/10^-3</f>
        <v>5</v>
      </c>
      <c r="CD166" s="144">
        <f>IF(VACnom&gt;Vbat,(L_DRC*10^-3*(Table7[[#This Row],[IOUT (A)]])^2/10^-3),(L_DRC*10^-3*(Table7[[#This Row],[IOUT (A)]]*Vbat/VACnom)^2/10^-3))</f>
        <v>4.8620590277777778</v>
      </c>
      <c r="CE166" s="152"/>
      <c r="CF166" s="145">
        <f>(Table7[[#This Row],[R_AC (mW)]]+Table7[[#This Row],[R_SR (mW)]]+Table7[[#This Row],[Inductor Loss (mW)]])/10^3</f>
        <v>1.7012145833333336E-2</v>
      </c>
      <c r="CG166" s="145" t="e">
        <f ca="1">Table7[[#This Row],[Total TI (mW)]]/10^3</f>
        <v>#NAME?</v>
      </c>
      <c r="CH166" s="145" t="e">
        <f ca="1">Table7[[#This Row],[Total Sense Loss]]+Table7[[#This Row],[Total MOSFET Loss]]</f>
        <v>#NAME?</v>
      </c>
      <c r="CI166" s="149" t="e">
        <f ca="1">IF(Table7[[#This Row],[POUT (W)]]=0,0,(Table7[[#This Row],[POUT (W)]])/(Table7[[#This Row],[POUT (W)]]+Table7[[#This Row],[Total Power Loss (W)]]))*100</f>
        <v>#NAME?</v>
      </c>
      <c r="CJ166" s="153"/>
      <c r="CK166" s="145">
        <f>(Table7[[#This Row],[R_AC (mW)]]+Table7[[#This Row],[R_SR (mW)]]+Table7[[#This Row],[Inductor Loss (mW)]])/10^3</f>
        <v>1.7012145833333336E-2</v>
      </c>
      <c r="CL166" s="145" t="e">
        <f ca="1">Table7[[#This Row],[Total (mW) C]]/10^3</f>
        <v>#NAME?</v>
      </c>
      <c r="CM166" s="145" t="e">
        <f ca="1">Table7[[#This Row],[Total Sense Loss C]]+Table7[[#This Row],[Total MOSFET Loss C]]</f>
        <v>#NAME?</v>
      </c>
      <c r="CN166" s="149" t="e">
        <f ca="1">IF(Table7[[#This Row],[POUT (W)]]=0,0,(Table7[[#This Row],[POUT (W)]])/(Table7[[#This Row],[POUT (W)]]+Table7[[#This Row],[Total Power Loss (W) C]]))*100</f>
        <v>#NAME?</v>
      </c>
      <c r="CO166" s="153"/>
      <c r="CP166" s="149">
        <f>IF(MOSFET_S=Custom_MOSFET,Table7[[#This Row],[Total Sense Loss C]],Table7[[#This Row],[Total Sense Loss]])</f>
        <v>1.7012145833333336E-2</v>
      </c>
      <c r="CQ166" s="149" t="e">
        <f ca="1">IF(MOSFET_S=Custom_MOSFET,Table7[[#This Row],[Total MOSFET Loss C]],Table7[[#This Row],[Total MOSFET Loss]])</f>
        <v>#NAME?</v>
      </c>
      <c r="CR166" s="149" t="e">
        <f ca="1">IF(MOSFET_S=Custom_MOSFET,Table7[[#This Row],[Efficiency C]],Table7[[#This Row],[Efficiency]])</f>
        <v>#NAME?</v>
      </c>
      <c r="CS166" s="153"/>
      <c r="CT166" s="149">
        <f>IF(MOSFET_S=Compare_MOSFET, Table7[[#This Row],[Total Sense Loss C]], -100)</f>
        <v>-100</v>
      </c>
      <c r="CU166" s="149">
        <f>IF(MOSFET_S=Compare_MOSFET, Table7[[#This Row],[Total MOSFET Loss C]], -100)</f>
        <v>-100</v>
      </c>
      <c r="CV166" s="149">
        <f>IF(MOSFET_S=Compare_MOSFET, Table7[[#This Row],[Efficiency C]], -100)</f>
        <v>-100</v>
      </c>
      <c r="CW166" s="153"/>
      <c r="CX166" s="149">
        <f ca="1">IF(Save_Sel=CLR_Save,  Table7[[#This Row],[Total Sense Loss P1]], Table7[[#This Row],[Total Sense Loss P1 Saved]])</f>
        <v>1.4265625000000001E-2</v>
      </c>
      <c r="CY166" s="149">
        <f ca="1">IF(Save_Sel=CLR_Save,  Table7[[#This Row],[Total MOSFET Loss P1]], Table7[[#This Row],[Total MOSFET Loss P1 Saved]] )</f>
        <v>1.5045170388013294</v>
      </c>
      <c r="CZ166" s="149">
        <f ca="1">IF(Save_Sel=CLR_Save, Table7[[#This Row],[Efficiency P1]], Table7[[#This Row],[Efficiency P1 Saved]])</f>
        <v>79.80015207630079</v>
      </c>
      <c r="DA166" s="153"/>
      <c r="DB166" s="149">
        <f ca="1">IF(Save_Sel=CLR_Save,  Table7[[#This Row],[Total Sense Loss P2]], Table7[[#This Row],[Total Sense Loss P2 Saved]])</f>
        <v>1.4265625000000001E-2</v>
      </c>
      <c r="DC166" s="149">
        <f ca="1">IF(Save_Sel=CLR_Save,  Table7[[#This Row],[Total MOSFET Loss P2]], Table7[[#This Row],[Total MOSFET Loss P2 Saved]] )</f>
        <v>0.99727005163602211</v>
      </c>
      <c r="DD166" s="149">
        <f ca="1">IF(Save_Sel=CLR_Save, Table7[[#This Row],[Efficiency P2]], Table7[[#This Row],[Efficiency P2 Saved]])</f>
        <v>85.573264926730943</v>
      </c>
      <c r="DE166" s="153"/>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row>
    <row r="167" spans="1:165" x14ac:dyDescent="0.2">
      <c r="A167" s="48">
        <v>8</v>
      </c>
      <c r="B167" s="49"/>
      <c r="C167" s="49"/>
      <c r="D167" s="32" t="s">
        <v>16</v>
      </c>
      <c r="E167" s="66" t="e">
        <f t="shared" ref="E167:E172" ca="1" si="20">$N124</f>
        <v>#REF!</v>
      </c>
      <c r="F167" s="66" t="e">
        <f t="shared" ref="F167:F174" ca="1" si="21">$O124</f>
        <v>#REF!</v>
      </c>
      <c r="G167" s="42" t="s">
        <v>23</v>
      </c>
      <c r="H167" s="29"/>
      <c r="I167" s="48">
        <v>8</v>
      </c>
      <c r="J167" s="29"/>
      <c r="K167" s="49"/>
      <c r="L167" s="49"/>
      <c r="M167" s="32" t="s">
        <v>16</v>
      </c>
      <c r="N167" s="117">
        <f t="shared" si="18"/>
        <v>3.3</v>
      </c>
      <c r="O167" s="117">
        <f t="shared" si="19"/>
        <v>3.3</v>
      </c>
      <c r="P167" s="42" t="s">
        <v>23</v>
      </c>
      <c r="Q167" s="29"/>
      <c r="R167" s="29"/>
      <c r="S167" s="30"/>
      <c r="T167" s="18"/>
      <c r="U167" s="19"/>
      <c r="V167" s="19"/>
      <c r="W167" s="19"/>
      <c r="X167" s="19"/>
      <c r="Y167" s="19"/>
      <c r="Z167" s="19"/>
      <c r="AA167" s="19"/>
      <c r="AB167" s="19"/>
      <c r="AC167" s="19"/>
      <c r="AD167" s="19"/>
      <c r="AE167" s="19"/>
      <c r="AF167" s="143">
        <f t="shared" si="17"/>
        <v>11</v>
      </c>
      <c r="AG167" s="143">
        <f t="shared" si="16"/>
        <v>1.1000000000000001</v>
      </c>
      <c r="AH167" s="144">
        <f t="shared" si="3"/>
        <v>26.400000000000002</v>
      </c>
      <c r="AI167" s="145">
        <f t="shared" si="4"/>
        <v>0.16376306620209058</v>
      </c>
      <c r="AJ167" s="145">
        <f t="shared" si="5"/>
        <v>1.3154166666666667</v>
      </c>
      <c r="AK167" s="145" t="e">
        <f t="shared" si="6"/>
        <v>#NAME?</v>
      </c>
      <c r="AL167" s="145" t="e">
        <f t="shared" si="7"/>
        <v>#NAME?</v>
      </c>
      <c r="AM167" s="146"/>
      <c r="AN167" s="145" t="e">
        <f>MAX(0,Table7[[#This Row],[I_L]]-0.5*Table7[[#This Row],[I_L pkpk]])</f>
        <v>#NAME?</v>
      </c>
      <c r="AO167" s="145" t="e">
        <f>Table7[[#This Row],[I_L]]+0.5*Table7[[#This Row],[I_L pkpk]]</f>
        <v>#NAME?</v>
      </c>
      <c r="AP167" s="145" t="e">
        <f ca="1">IF(VACnom&gt;Vbat, (VGS_S-(TI_MOSFET_S_VTH_H_BU+Table7[[#This Row],[I_L]]/TI_MOSFET_S_gFS_H_BU))/3.4, (VGS_S-(TI_MOSFET_S_VTH_L_BO+Table7[[#This Row],[I_L]]/TI_MOSFET_S_gFS_L_BO))/3.4 )</f>
        <v>#REF!</v>
      </c>
      <c r="AQ167" s="145" t="e">
        <f ca="1">IF(VACnom&gt;Vbat, ((TI_MOSFET_S_VTH_H_BU+Table7[[#This Row],[I_L]]/TI_MOSFET_S_gFS_H_BU))/1, ((TI_MOSFET_S_VTH_L_BO+Table7[[#This Row],[I_L]]/TI_MOSFET_S_gFS_L_BO))/1 )</f>
        <v>#REF!</v>
      </c>
      <c r="AR167" s="145" t="e">
        <f ca="1">IF(VACnom&gt;Vbat, (TI_MOSFET_S_QGD_H_BU+TI_MOSFET_S_QGS_H_BU)*10^-9/Table7[[#This Row],[Ion (A)]], (TI_MOSFET_S_QGD_L_BO+TI_MOSFET_S_QGS_L_BO)*10^-9/Table7[[#This Row],[Ion (A)]])/10^-9</f>
        <v>#REF!</v>
      </c>
      <c r="AS167" s="145" t="e">
        <f ca="1">IF(VACnom&gt;Vbat, (TI_MOSFET_S_QGD_H_BU+TI_MOSFET_S_QGS_H_BU)*10^-9/Table7[[#This Row],[Ioff (A)]], (TI_MOSFET_S_QGD_L_BO+TI_MOSFET_S_QGS_L_BO)*10^-9/Table7[[#This Row],[Ioff (A)]])/10^-9</f>
        <v>#REF!</v>
      </c>
      <c r="AT167" s="145" t="e">
        <f ca="1" xml:space="preserve"> 0.5*VACnom*Table7[[#This Row],[Ivalley (A)]]*Table7[[#This Row],[ton (ns)]]*10^-9*Fsw*10^3+0.5*VACnom*Table7[[#This Row],[Ipeak (A)]]*Table7[[#This Row],[toff (ns)]]*10^-9*Fsw*10^3/10^-3</f>
        <v>#NAME?</v>
      </c>
      <c r="AU167" s="145" t="e">
        <f t="shared" ca="1" si="8"/>
        <v>#REF!</v>
      </c>
      <c r="AV167" s="145" t="e">
        <f t="shared" ca="1" si="9"/>
        <v>#REF!</v>
      </c>
      <c r="AW167" s="145" t="e">
        <f t="shared" ca="1" si="10"/>
        <v>#REF!</v>
      </c>
      <c r="AX167" s="145" t="e">
        <f ca="1">IF(VACnom&gt;Vbat, TI_MOSFET_S_VSD_L_BU*Table7[[#This Row],[Ivalley (A)]]*Fsw*10^3*40*10^-9+TI_MOSFET_S_VSD_L_BU*Table7[[#This Row],[Ipeak (A)]]*Fsw*10^3*30*10^-9, TI_MOSFET_S_VSD_H_BO*Table7[[#This Row],[Ivalley (A)]]*Fsw*10^3*40*10^-9+TI_MOSFET_S_VSD_H_BO*Table7[[#This Row],[Ipeak (A)]]*Fsw*10^3*30*10^-9)/10^-3</f>
        <v>#REF!</v>
      </c>
      <c r="AY167" s="145" t="e">
        <f t="shared" ca="1" si="11"/>
        <v>#REF!</v>
      </c>
      <c r="AZ167" s="145" t="e">
        <f ca="1">IF(VACnom&lt;Vbat, Table7[[#This Row],[Duty Cycle]]*Table7[[#This Row],[I_L RMS]]^2*TI_MOSFET_S_RDSON_H_BU*10^-3, (1-Table7[[#This Row],[Duty Cycle]])*Table7[[#This Row],[I_L RMS]]^2*TI_MOSFET_S_RDSON_H_BO*10^-3)/10^-3</f>
        <v>#NAME?</v>
      </c>
      <c r="BA167" s="145" t="e">
        <f ca="1">IF(VACnom&gt;Vbat, Table7[[#This Row],[PIV (mW)]]+Table7[[#This Row],[Pqoss (mW)]]+Table7[[#This Row],[Pgate_top (mW)]], Table7[[#This Row],[PRR (mW)]]+Table7[[#This Row],[Pdead (mW)]]+Table7[[#This Row],[Pgate_top (mW)]])</f>
        <v>#REF!</v>
      </c>
      <c r="BB167" s="145" t="e">
        <f ca="1">Table7[[#This Row],[Pcon_top (mW)]]+Table7[[#This Row],[Psw_top (mW)]]</f>
        <v>#NAME?</v>
      </c>
      <c r="BC167" s="145" t="e">
        <f ca="1">IF(VACnom&gt;Vbat, (1-Table7[[#This Row],[Duty Cycle]])*Table7[[#This Row],[I_L RMS]]^2*TI_MOSFET_S_RDSON_L_BU*10^-3, Table7[[#This Row],[Duty Cycle]]*Table7[[#This Row],[I_L RMS]]^2*TI_MOSFET_S_RDSON_L_BO*10^-3)/10^-3</f>
        <v>#NAME?</v>
      </c>
      <c r="BD167" s="145" t="e">
        <f ca="1">IF(VACnom&gt;Vbat, Table7[[#This Row],[PRR (mW)]]+Table7[[#This Row],[Pdead (mW)]]+Table7[[#This Row],[Pgate_bottom (mW)]], Table7[[#This Row],[PIV (mW)]]+Table7[[#This Row],[Pqoss (mW)]]+Table7[[#This Row],[Pgate_bottom (mW)]])</f>
        <v>#NAME?</v>
      </c>
      <c r="BE167" s="147" t="e">
        <f ca="1">Table7[[#This Row],[Pcon_bottom (mW)]]+Table7[[#This Row],[Psw_bottom (mW)]]</f>
        <v>#NAME?</v>
      </c>
      <c r="BF167" s="145" t="e">
        <f ca="1">Table7[[#This Row],[Pbottom (mW)]]+Table7[[#This Row],[Ptop (mW)]]</f>
        <v>#NAME?</v>
      </c>
      <c r="BG167" s="142"/>
      <c r="BH167" s="145" t="e">
        <f>MAX(0,Table7[[#This Row],[I_L]]-0.5*Table7[[#This Row],[I_L pkpk]])</f>
        <v>#NAME?</v>
      </c>
      <c r="BI167" s="145" t="e">
        <f>Table7[[#This Row],[I_L]]+0.5*Table7[[#This Row],[I_L pkpk]]</f>
        <v>#NAME?</v>
      </c>
      <c r="BJ167" s="145">
        <f>IF(VACnom&gt;Vbat, (VGS_S-(C_MOSFET_S_VTH_H_BU+Table7[[#This Row],[I_L]]/C_MOSFET_S_gFS_H_BU))/3.4, (VGS_S-(C_MOSFET_S_VTH_L_BO+Table7[[#This Row],[I_L]]/C_MOSFET_S_gFS_L_BO))/3.4 )</f>
        <v>2.3503619281045749</v>
      </c>
      <c r="BK167" s="145">
        <f>IF(VACnom&gt;Vbat, ((C_MOSFET_S_VTH_H_BU+Table7[[#This Row],[I_L]]/C_MOSFET_S_gFS_H_BU))/1, ((C_MOSFET_S_VTH_L_BO+Table7[[#This Row],[I_L]]/C_MOSFET_S_gFS_L_BO))/1 )</f>
        <v>2.0087694444444444</v>
      </c>
      <c r="BL167" s="145">
        <f>IF(VACnom&gt;Vbat, (C_MOSFET_S_QGD_H_BU+C_MOSFET_S_QGS_H_BU)*10^-9/Table7[[#This Row],[Ion (A) C]], (C_MOSFET_S_QGD_L_BO+C_MOSFET_S_QGS_L_BO)*10^-9/Table7[[#This Row],[Ion (A) C]])/10^-9</f>
        <v>2.7655315218800611</v>
      </c>
      <c r="BM167" s="145">
        <f>IF(VACnom&gt;Vbat, (C_MOSFET_S_QGD_H_BU+C_MOSFET_S_QGS_H_BU)*10^-9/Table7[[#This Row],[Ioff (A) C]], (C_MOSFET_S_QGD_L_BO+C_MOSFET_S_QGS_L_BO)*10^-9/Table7[[#This Row],[Ioff (A) C]])/10^-9</f>
        <v>3.2358118638138054</v>
      </c>
      <c r="BN167" s="145" t="e">
        <f xml:space="preserve"> 0.5*VACnom*Table7[[#This Row],[Ivalley (A) C]]*Table7[[#This Row],[ton (ns) C]]*10^-9*Fsw*10^3+0.5*VACnom*Table7[[#This Row],[Ipeak (A) C]]*Table7[[#This Row],[toff (ns) C]]*10^-9*Fsw*10^3/10^-3</f>
        <v>#NAME?</v>
      </c>
      <c r="BO167" s="145">
        <f t="shared" si="12"/>
        <v>259.2</v>
      </c>
      <c r="BP167" s="145" t="e">
        <f t="shared" ca="1" si="13"/>
        <v>#REF!</v>
      </c>
      <c r="BQ167" s="145">
        <f t="shared" si="14"/>
        <v>475.2</v>
      </c>
      <c r="BR167" s="145" t="e">
        <f>IF(VACnom&gt;Vbat, C_MOSFET_S_VSD_L_BU*Table7[[#This Row],[Ivalley (A) C]]*Fsw*10^3*40*10^-9+C_MOSFET_S_VSD_L_BU*Table7[[#This Row],[Ipeak (A) C]]*Fsw*10^3*30*10^-9, C_MOSFET_S_VSD_H_BO*Table7[[#This Row],[Ivalley (A) C]]*Fsw*10^3*40*10^-9+C_MOSFET_S_VSD_H_BO*Table7[[#This Row],[Ipeak (A) C]]*Fsw*10^3*30*10^-9)/10^-3</f>
        <v>#NAME?</v>
      </c>
      <c r="BS167" s="145" t="e">
        <f t="shared" ca="1" si="15"/>
        <v>#REF!</v>
      </c>
      <c r="BT167" s="145" t="e">
        <f>IF(VACnom&lt;Vbat, Table7[[#This Row],[Duty Cycle]]*Table7[[#This Row],[I_L RMS]]^2*C_MOSFET_S_RDSON_H_BU*10^-3, (1-Table7[[#This Row],[Duty Cycle]])*Table7[[#This Row],[I_L RMS]]^2*C_MOSFET_S_RDSON_H_BO*10^-3)/10^-3</f>
        <v>#NAME?</v>
      </c>
      <c r="BU167" s="145" t="e">
        <f ca="1">IF(VACnom&gt;Vbat, Table7[[#This Row],[PIV (mW) C]]+Table7[[#This Row],[PQoss (mW) C]]+Table7[[#This Row],[Pgate_top (mW) C]], Table7[[#This Row],[PRR (mW) C]]+Table7[[#This Row],[Pdead (mW) C]]+Table7[[#This Row],[Pgate_top (mW) C]])</f>
        <v>#NAME?</v>
      </c>
      <c r="BV167" s="145" t="e">
        <f ca="1">Table7[[#This Row],[Pcon_top (mW) C]]+Table7[[#This Row],[Psw_top (mW) C]]</f>
        <v>#NAME?</v>
      </c>
      <c r="BW167" s="145" t="e">
        <f ca="1">IF(VACnom&gt;Vbat, (1-Table7[[#This Row],[Duty Cycle]])*Table7[[#This Row],[I_L RMS]]^2*C_MOSFET_S_RDSON_L_BU*10^-3, Table7[[#This Row],[Duty Cycle]]*Table7[[#This Row],[I_L RMS]]^2*C_MOSFET_S_RDSON_L_BO*10^-3)/10^-3</f>
        <v>#NAME?</v>
      </c>
      <c r="BX167" s="145" t="e">
        <f ca="1">IF(VACnom&gt;Vbat, Table7[[#This Row],[PRR (mW) C]]+Table7[[#This Row],[Pdead (mW) C]]+Table7[[#This Row],[Pgate_bottom (mW) C]], Table7[[#This Row],[PIV (mW) C]]+Table7[[#This Row],[PQoss (mW) C]]+Table7[[#This Row],[Pgate_bottom (mW) C]])</f>
        <v>#NAME?</v>
      </c>
      <c r="BY167" s="145" t="e">
        <f ca="1">Table7[[#This Row],[Pcon_bottom (mW) C]]+Table7[[#This Row],[Psw_bottom (mV) C]]</f>
        <v>#NAME?</v>
      </c>
      <c r="BZ167" s="145" t="e">
        <f ca="1">Table7[[#This Row],[Pbottom (mW) C]]+Table7[[#This Row],[Ptop (mW) C]]</f>
        <v>#NAME?</v>
      </c>
      <c r="CA167" s="148"/>
      <c r="CB167" s="144">
        <f>(RAC_SNS*10^-3*(Table7[[#This Row],[IOUT (A)]]*Vbat/VACnom)^2/10^-3)</f>
        <v>8.6516050347222233</v>
      </c>
      <c r="CC167" s="144">
        <f>(RBAT_SNS*10^-3*Table7[[#This Row],[IOUT (A)]]^2)/10^-3</f>
        <v>6.0500000000000007</v>
      </c>
      <c r="CD167" s="144">
        <f>IF(VACnom&gt;Vbat,(L_DRC*10^-3*(Table7[[#This Row],[IOUT (A)]])^2/10^-3),(L_DRC*10^-3*(Table7[[#This Row],[IOUT (A)]]*Vbat/VACnom)^2/10^-3))</f>
        <v>5.8830914236111109</v>
      </c>
      <c r="CE167" s="152"/>
      <c r="CF167" s="145">
        <f>(Table7[[#This Row],[R_AC (mW)]]+Table7[[#This Row],[R_SR (mW)]]+Table7[[#This Row],[Inductor Loss (mW)]])/10^3</f>
        <v>2.0584696458333333E-2</v>
      </c>
      <c r="CG167" s="145" t="e">
        <f ca="1">Table7[[#This Row],[Total TI (mW)]]/10^3</f>
        <v>#NAME?</v>
      </c>
      <c r="CH167" s="145" t="e">
        <f ca="1">Table7[[#This Row],[Total Sense Loss]]+Table7[[#This Row],[Total MOSFET Loss]]</f>
        <v>#NAME?</v>
      </c>
      <c r="CI167" s="149" t="e">
        <f ca="1">IF(Table7[[#This Row],[POUT (W)]]=0,0,(Table7[[#This Row],[POUT (W)]])/(Table7[[#This Row],[POUT (W)]]+Table7[[#This Row],[Total Power Loss (W)]]))*100</f>
        <v>#NAME?</v>
      </c>
      <c r="CJ167" s="153"/>
      <c r="CK167" s="145">
        <f>(Table7[[#This Row],[R_AC (mW)]]+Table7[[#This Row],[R_SR (mW)]]+Table7[[#This Row],[Inductor Loss (mW)]])/10^3</f>
        <v>2.0584696458333333E-2</v>
      </c>
      <c r="CL167" s="145" t="e">
        <f ca="1">Table7[[#This Row],[Total (mW) C]]/10^3</f>
        <v>#NAME?</v>
      </c>
      <c r="CM167" s="145" t="e">
        <f ca="1">Table7[[#This Row],[Total Sense Loss C]]+Table7[[#This Row],[Total MOSFET Loss C]]</f>
        <v>#NAME?</v>
      </c>
      <c r="CN167" s="149" t="e">
        <f ca="1">IF(Table7[[#This Row],[POUT (W)]]=0,0,(Table7[[#This Row],[POUT (W)]])/(Table7[[#This Row],[POUT (W)]]+Table7[[#This Row],[Total Power Loss (W) C]]))*100</f>
        <v>#NAME?</v>
      </c>
      <c r="CO167" s="153"/>
      <c r="CP167" s="149">
        <f>IF(MOSFET_S=Custom_MOSFET,Table7[[#This Row],[Total Sense Loss C]],Table7[[#This Row],[Total Sense Loss]])</f>
        <v>2.0584696458333333E-2</v>
      </c>
      <c r="CQ167" s="149" t="e">
        <f ca="1">IF(MOSFET_S=Custom_MOSFET,Table7[[#This Row],[Total MOSFET Loss C]],Table7[[#This Row],[Total MOSFET Loss]])</f>
        <v>#NAME?</v>
      </c>
      <c r="CR167" s="149" t="e">
        <f ca="1">IF(MOSFET_S=Custom_MOSFET,Table7[[#This Row],[Efficiency C]],Table7[[#This Row],[Efficiency]])</f>
        <v>#NAME?</v>
      </c>
      <c r="CS167" s="153"/>
      <c r="CT167" s="149">
        <f>IF(MOSFET_S=Compare_MOSFET, Table7[[#This Row],[Total Sense Loss C]], -100)</f>
        <v>-100</v>
      </c>
      <c r="CU167" s="149">
        <f>IF(MOSFET_S=Compare_MOSFET, Table7[[#This Row],[Total MOSFET Loss C]], -100)</f>
        <v>-100</v>
      </c>
      <c r="CV167" s="149">
        <f>IF(MOSFET_S=Compare_MOSFET, Table7[[#This Row],[Efficiency C]], -100)</f>
        <v>-100</v>
      </c>
      <c r="CW167" s="153"/>
      <c r="CX167" s="149">
        <f ca="1">IF(Save_Sel=CLR_Save,  Table7[[#This Row],[Total Sense Loss P1]], Table7[[#This Row],[Total Sense Loss P1 Saved]])</f>
        <v>1.7261406250000003E-2</v>
      </c>
      <c r="CY167" s="149">
        <f ca="1">IF(Save_Sel=CLR_Save,  Table7[[#This Row],[Total MOSFET Loss P1]], Table7[[#This Row],[Total MOSFET Loss P1 Saved]] )</f>
        <v>1.5127962281505936</v>
      </c>
      <c r="CZ167" s="149">
        <f ca="1">IF(Save_Sel=CLR_Save, Table7[[#This Row],[Efficiency P1]], Table7[[#This Row],[Efficiency P1 Saved]])</f>
        <v>81.180236313129157</v>
      </c>
      <c r="DA167" s="153"/>
      <c r="DB167" s="149">
        <f ca="1">IF(Save_Sel=CLR_Save,  Table7[[#This Row],[Total Sense Loss P2]], Table7[[#This Row],[Total Sense Loss P2 Saved]])</f>
        <v>1.7261406250000003E-2</v>
      </c>
      <c r="DC167" s="149">
        <f ca="1">IF(Save_Sel=CLR_Save,  Table7[[#This Row],[Total MOSFET Loss P2]], Table7[[#This Row],[Total MOSFET Loss P2 Saved]] )</f>
        <v>1.0020661123277081</v>
      </c>
      <c r="DD167" s="149">
        <f ca="1">IF(Save_Sel=CLR_Save, Table7[[#This Row],[Efficiency P2]], Table7[[#This Row],[Efficiency P2 Saved]])</f>
        <v>86.621817790450024</v>
      </c>
      <c r="DE167" s="153"/>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row>
    <row r="168" spans="1:165" x14ac:dyDescent="0.2">
      <c r="A168" s="48">
        <v>9</v>
      </c>
      <c r="B168" s="49"/>
      <c r="C168" s="49"/>
      <c r="D168" s="32" t="s">
        <v>61</v>
      </c>
      <c r="E168" s="66" t="e">
        <f t="shared" ca="1" si="20"/>
        <v>#REF!</v>
      </c>
      <c r="F168" s="66" t="e">
        <f t="shared" ca="1" si="21"/>
        <v>#REF!</v>
      </c>
      <c r="G168" s="42" t="s">
        <v>23</v>
      </c>
      <c r="H168" s="29"/>
      <c r="I168" s="48">
        <v>9</v>
      </c>
      <c r="J168" s="29"/>
      <c r="K168" s="49"/>
      <c r="L168" s="49"/>
      <c r="M168" s="32" t="s">
        <v>61</v>
      </c>
      <c r="N168" s="117">
        <f t="shared" si="18"/>
        <v>36</v>
      </c>
      <c r="O168" s="117">
        <f t="shared" si="19"/>
        <v>36</v>
      </c>
      <c r="P168" s="42" t="s">
        <v>23</v>
      </c>
      <c r="Q168" s="29"/>
      <c r="R168" s="29"/>
      <c r="S168" s="30"/>
      <c r="T168" s="18"/>
      <c r="U168" s="19"/>
      <c r="V168" s="19"/>
      <c r="W168" s="19"/>
      <c r="X168" s="19"/>
      <c r="Y168" s="19"/>
      <c r="Z168" s="19"/>
      <c r="AA168" s="19"/>
      <c r="AB168" s="19"/>
      <c r="AC168" s="19"/>
      <c r="AD168" s="19"/>
      <c r="AE168" s="19"/>
      <c r="AF168" s="143">
        <f t="shared" si="17"/>
        <v>12</v>
      </c>
      <c r="AG168" s="143">
        <f t="shared" si="16"/>
        <v>1.2</v>
      </c>
      <c r="AH168" s="144">
        <f t="shared" si="3"/>
        <v>28.799999999999997</v>
      </c>
      <c r="AI168" s="145">
        <f t="shared" si="4"/>
        <v>0.16376306620209058</v>
      </c>
      <c r="AJ168" s="145">
        <f t="shared" si="5"/>
        <v>1.4349999999999998</v>
      </c>
      <c r="AK168" s="145" t="e">
        <f t="shared" si="6"/>
        <v>#NAME?</v>
      </c>
      <c r="AL168" s="145" t="e">
        <f t="shared" si="7"/>
        <v>#NAME?</v>
      </c>
      <c r="AM168" s="146"/>
      <c r="AN168" s="145" t="e">
        <f>MAX(0,Table7[[#This Row],[I_L]]-0.5*Table7[[#This Row],[I_L pkpk]])</f>
        <v>#NAME?</v>
      </c>
      <c r="AO168" s="145" t="e">
        <f>Table7[[#This Row],[I_L]]+0.5*Table7[[#This Row],[I_L pkpk]]</f>
        <v>#NAME?</v>
      </c>
      <c r="AP168" s="145" t="e">
        <f ca="1">IF(VACnom&gt;Vbat, (VGS_S-(TI_MOSFET_S_VTH_H_BU+Table7[[#This Row],[I_L]]/TI_MOSFET_S_gFS_H_BU))/3.4, (VGS_S-(TI_MOSFET_S_VTH_L_BO+Table7[[#This Row],[I_L]]/TI_MOSFET_S_gFS_L_BO))/3.4 )</f>
        <v>#REF!</v>
      </c>
      <c r="AQ168" s="145" t="e">
        <f ca="1">IF(VACnom&gt;Vbat, ((TI_MOSFET_S_VTH_H_BU+Table7[[#This Row],[I_L]]/TI_MOSFET_S_gFS_H_BU))/1, ((TI_MOSFET_S_VTH_L_BO+Table7[[#This Row],[I_L]]/TI_MOSFET_S_gFS_L_BO))/1 )</f>
        <v>#REF!</v>
      </c>
      <c r="AR168" s="145" t="e">
        <f ca="1">IF(VACnom&gt;Vbat, (TI_MOSFET_S_QGD_H_BU+TI_MOSFET_S_QGS_H_BU)*10^-9/Table7[[#This Row],[Ion (A)]], (TI_MOSFET_S_QGD_L_BO+TI_MOSFET_S_QGS_L_BO)*10^-9/Table7[[#This Row],[Ion (A)]])/10^-9</f>
        <v>#REF!</v>
      </c>
      <c r="AS168" s="145" t="e">
        <f ca="1">IF(VACnom&gt;Vbat, (TI_MOSFET_S_QGD_H_BU+TI_MOSFET_S_QGS_H_BU)*10^-9/Table7[[#This Row],[Ioff (A)]], (TI_MOSFET_S_QGD_L_BO+TI_MOSFET_S_QGS_L_BO)*10^-9/Table7[[#This Row],[Ioff (A)]])/10^-9</f>
        <v>#REF!</v>
      </c>
      <c r="AT168" s="145" t="e">
        <f ca="1" xml:space="preserve"> 0.5*VACnom*Table7[[#This Row],[Ivalley (A)]]*Table7[[#This Row],[ton (ns)]]*10^-9*Fsw*10^3+0.5*VACnom*Table7[[#This Row],[Ipeak (A)]]*Table7[[#This Row],[toff (ns)]]*10^-9*Fsw*10^3/10^-3</f>
        <v>#NAME?</v>
      </c>
      <c r="AU168" s="145" t="e">
        <f t="shared" ca="1" si="8"/>
        <v>#REF!</v>
      </c>
      <c r="AV168" s="145" t="e">
        <f t="shared" ca="1" si="9"/>
        <v>#REF!</v>
      </c>
      <c r="AW168" s="145" t="e">
        <f t="shared" ca="1" si="10"/>
        <v>#REF!</v>
      </c>
      <c r="AX168" s="145" t="e">
        <f ca="1">IF(VACnom&gt;Vbat, TI_MOSFET_S_VSD_L_BU*Table7[[#This Row],[Ivalley (A)]]*Fsw*10^3*40*10^-9+TI_MOSFET_S_VSD_L_BU*Table7[[#This Row],[Ipeak (A)]]*Fsw*10^3*30*10^-9, TI_MOSFET_S_VSD_H_BO*Table7[[#This Row],[Ivalley (A)]]*Fsw*10^3*40*10^-9+TI_MOSFET_S_VSD_H_BO*Table7[[#This Row],[Ipeak (A)]]*Fsw*10^3*30*10^-9)/10^-3</f>
        <v>#REF!</v>
      </c>
      <c r="AY168" s="145" t="e">
        <f t="shared" ca="1" si="11"/>
        <v>#REF!</v>
      </c>
      <c r="AZ168" s="145" t="e">
        <f ca="1">IF(VACnom&lt;Vbat, Table7[[#This Row],[Duty Cycle]]*Table7[[#This Row],[I_L RMS]]^2*TI_MOSFET_S_RDSON_H_BU*10^-3, (1-Table7[[#This Row],[Duty Cycle]])*Table7[[#This Row],[I_L RMS]]^2*TI_MOSFET_S_RDSON_H_BO*10^-3)/10^-3</f>
        <v>#NAME?</v>
      </c>
      <c r="BA168" s="145" t="e">
        <f ca="1">IF(VACnom&gt;Vbat, Table7[[#This Row],[PIV (mW)]]+Table7[[#This Row],[Pqoss (mW)]]+Table7[[#This Row],[Pgate_top (mW)]], Table7[[#This Row],[PRR (mW)]]+Table7[[#This Row],[Pdead (mW)]]+Table7[[#This Row],[Pgate_top (mW)]])</f>
        <v>#REF!</v>
      </c>
      <c r="BB168" s="145" t="e">
        <f ca="1">Table7[[#This Row],[Pcon_top (mW)]]+Table7[[#This Row],[Psw_top (mW)]]</f>
        <v>#NAME?</v>
      </c>
      <c r="BC168" s="145" t="e">
        <f ca="1">IF(VACnom&gt;Vbat, (1-Table7[[#This Row],[Duty Cycle]])*Table7[[#This Row],[I_L RMS]]^2*TI_MOSFET_S_RDSON_L_BU*10^-3, Table7[[#This Row],[Duty Cycle]]*Table7[[#This Row],[I_L RMS]]^2*TI_MOSFET_S_RDSON_L_BO*10^-3)/10^-3</f>
        <v>#NAME?</v>
      </c>
      <c r="BD168" s="145" t="e">
        <f ca="1">IF(VACnom&gt;Vbat, Table7[[#This Row],[PRR (mW)]]+Table7[[#This Row],[Pdead (mW)]]+Table7[[#This Row],[Pgate_bottom (mW)]], Table7[[#This Row],[PIV (mW)]]+Table7[[#This Row],[Pqoss (mW)]]+Table7[[#This Row],[Pgate_bottom (mW)]])</f>
        <v>#NAME?</v>
      </c>
      <c r="BE168" s="147" t="e">
        <f ca="1">Table7[[#This Row],[Pcon_bottom (mW)]]+Table7[[#This Row],[Psw_bottom (mW)]]</f>
        <v>#NAME?</v>
      </c>
      <c r="BF168" s="145" t="e">
        <f ca="1">Table7[[#This Row],[Pbottom (mW)]]+Table7[[#This Row],[Ptop (mW)]]</f>
        <v>#NAME?</v>
      </c>
      <c r="BG168" s="142"/>
      <c r="BH168" s="145" t="e">
        <f>MAX(0,Table7[[#This Row],[I_L]]-0.5*Table7[[#This Row],[I_L pkpk]])</f>
        <v>#NAME?</v>
      </c>
      <c r="BI168" s="145" t="e">
        <f>Table7[[#This Row],[I_L]]+0.5*Table7[[#This Row],[I_L pkpk]]</f>
        <v>#NAME?</v>
      </c>
      <c r="BJ168" s="145">
        <f>IF(VACnom&gt;Vbat, (VGS_S-(C_MOSFET_S_VTH_H_BU+Table7[[#This Row],[I_L]]/C_MOSFET_S_gFS_H_BU))/3.4, (VGS_S-(C_MOSFET_S_VTH_L_BO+Table7[[#This Row],[I_L]]/C_MOSFET_S_gFS_L_BO))/3.4 )</f>
        <v>2.3501274509803922</v>
      </c>
      <c r="BK168" s="145">
        <f>IF(VACnom&gt;Vbat, ((C_MOSFET_S_VTH_H_BU+Table7[[#This Row],[I_L]]/C_MOSFET_S_gFS_H_BU))/1, ((C_MOSFET_S_VTH_L_BO+Table7[[#This Row],[I_L]]/C_MOSFET_S_gFS_L_BO))/1 )</f>
        <v>2.0095666666666667</v>
      </c>
      <c r="BL168" s="145">
        <f>IF(VACnom&gt;Vbat, (C_MOSFET_S_QGD_H_BU+C_MOSFET_S_QGS_H_BU)*10^-9/Table7[[#This Row],[Ion (A) C]], (C_MOSFET_S_QGD_L_BO+C_MOSFET_S_QGS_L_BO)*10^-9/Table7[[#This Row],[Ion (A) C]])/10^-9</f>
        <v>2.7658074447359966</v>
      </c>
      <c r="BM168" s="145">
        <f>IF(VACnom&gt;Vbat, (C_MOSFET_S_QGD_H_BU+C_MOSFET_S_QGS_H_BU)*10^-9/Table7[[#This Row],[Ioff (A) C]], (C_MOSFET_S_QGD_L_BO+C_MOSFET_S_QGS_L_BO)*10^-9/Table7[[#This Row],[Ioff (A) C]])/10^-9</f>
        <v>3.2345281735697582</v>
      </c>
      <c r="BN168" s="145" t="e">
        <f xml:space="preserve"> 0.5*VACnom*Table7[[#This Row],[Ivalley (A) C]]*Table7[[#This Row],[ton (ns) C]]*10^-9*Fsw*10^3+0.5*VACnom*Table7[[#This Row],[Ipeak (A) C]]*Table7[[#This Row],[toff (ns) C]]*10^-9*Fsw*10^3/10^-3</f>
        <v>#NAME?</v>
      </c>
      <c r="BO168" s="145">
        <f t="shared" si="12"/>
        <v>259.2</v>
      </c>
      <c r="BP168" s="145" t="e">
        <f t="shared" ca="1" si="13"/>
        <v>#REF!</v>
      </c>
      <c r="BQ168" s="145">
        <f t="shared" si="14"/>
        <v>475.2</v>
      </c>
      <c r="BR168" s="145" t="e">
        <f>IF(VACnom&gt;Vbat, C_MOSFET_S_VSD_L_BU*Table7[[#This Row],[Ivalley (A) C]]*Fsw*10^3*40*10^-9+C_MOSFET_S_VSD_L_BU*Table7[[#This Row],[Ipeak (A) C]]*Fsw*10^3*30*10^-9, C_MOSFET_S_VSD_H_BO*Table7[[#This Row],[Ivalley (A) C]]*Fsw*10^3*40*10^-9+C_MOSFET_S_VSD_H_BO*Table7[[#This Row],[Ipeak (A) C]]*Fsw*10^3*30*10^-9)/10^-3</f>
        <v>#NAME?</v>
      </c>
      <c r="BS168" s="145" t="e">
        <f t="shared" ca="1" si="15"/>
        <v>#REF!</v>
      </c>
      <c r="BT168" s="145" t="e">
        <f>IF(VACnom&lt;Vbat, Table7[[#This Row],[Duty Cycle]]*Table7[[#This Row],[I_L RMS]]^2*C_MOSFET_S_RDSON_H_BU*10^-3, (1-Table7[[#This Row],[Duty Cycle]])*Table7[[#This Row],[I_L RMS]]^2*C_MOSFET_S_RDSON_H_BO*10^-3)/10^-3</f>
        <v>#NAME?</v>
      </c>
      <c r="BU168" s="145" t="e">
        <f ca="1">IF(VACnom&gt;Vbat, Table7[[#This Row],[PIV (mW) C]]+Table7[[#This Row],[PQoss (mW) C]]+Table7[[#This Row],[Pgate_top (mW) C]], Table7[[#This Row],[PRR (mW) C]]+Table7[[#This Row],[Pdead (mW) C]]+Table7[[#This Row],[Pgate_top (mW) C]])</f>
        <v>#NAME?</v>
      </c>
      <c r="BV168" s="145" t="e">
        <f ca="1">Table7[[#This Row],[Pcon_top (mW) C]]+Table7[[#This Row],[Psw_top (mW) C]]</f>
        <v>#NAME?</v>
      </c>
      <c r="BW168" s="145" t="e">
        <f ca="1">IF(VACnom&gt;Vbat, (1-Table7[[#This Row],[Duty Cycle]])*Table7[[#This Row],[I_L RMS]]^2*C_MOSFET_S_RDSON_L_BU*10^-3, Table7[[#This Row],[Duty Cycle]]*Table7[[#This Row],[I_L RMS]]^2*C_MOSFET_S_RDSON_L_BO*10^-3)/10^-3</f>
        <v>#NAME?</v>
      </c>
      <c r="BX168" s="145" t="e">
        <f ca="1">IF(VACnom&gt;Vbat, Table7[[#This Row],[PRR (mW) C]]+Table7[[#This Row],[Pdead (mW) C]]+Table7[[#This Row],[Pgate_bottom (mW) C]], Table7[[#This Row],[PIV (mW) C]]+Table7[[#This Row],[PQoss (mW) C]]+Table7[[#This Row],[Pgate_bottom (mW) C]])</f>
        <v>#NAME?</v>
      </c>
      <c r="BY168" s="145" t="e">
        <f ca="1">Table7[[#This Row],[Pcon_bottom (mW) C]]+Table7[[#This Row],[Psw_bottom (mV) C]]</f>
        <v>#NAME?</v>
      </c>
      <c r="BZ168" s="145" t="e">
        <f ca="1">Table7[[#This Row],[Pbottom (mW) C]]+Table7[[#This Row],[Ptop (mW) C]]</f>
        <v>#NAME?</v>
      </c>
      <c r="CA168" s="148"/>
      <c r="CB168" s="144">
        <f>(RAC_SNS*10^-3*(Table7[[#This Row],[IOUT (A)]]*Vbat/VACnom)^2/10^-3)</f>
        <v>10.296124999999998</v>
      </c>
      <c r="CC168" s="144">
        <f>(RBAT_SNS*10^-3*Table7[[#This Row],[IOUT (A)]]^2)/10^-3</f>
        <v>7.1999999999999993</v>
      </c>
      <c r="CD168" s="144">
        <f>IF(VACnom&gt;Vbat,(L_DRC*10^-3*(Table7[[#This Row],[IOUT (A)]])^2/10^-3),(L_DRC*10^-3*(Table7[[#This Row],[IOUT (A)]]*Vbat/VACnom)^2/10^-3))</f>
        <v>7.0013649999999981</v>
      </c>
      <c r="CE168" s="152"/>
      <c r="CF168" s="145">
        <f>(Table7[[#This Row],[R_AC (mW)]]+Table7[[#This Row],[R_SR (mW)]]+Table7[[#This Row],[Inductor Loss (mW)]])/10^3</f>
        <v>2.449749E-2</v>
      </c>
      <c r="CG168" s="145" t="e">
        <f ca="1">Table7[[#This Row],[Total TI (mW)]]/10^3</f>
        <v>#NAME?</v>
      </c>
      <c r="CH168" s="145" t="e">
        <f ca="1">Table7[[#This Row],[Total Sense Loss]]+Table7[[#This Row],[Total MOSFET Loss]]</f>
        <v>#NAME?</v>
      </c>
      <c r="CI168" s="149" t="e">
        <f ca="1">IF(Table7[[#This Row],[POUT (W)]]=0,0,(Table7[[#This Row],[POUT (W)]])/(Table7[[#This Row],[POUT (W)]]+Table7[[#This Row],[Total Power Loss (W)]]))*100</f>
        <v>#NAME?</v>
      </c>
      <c r="CJ168" s="153"/>
      <c r="CK168" s="145">
        <f>(Table7[[#This Row],[R_AC (mW)]]+Table7[[#This Row],[R_SR (mW)]]+Table7[[#This Row],[Inductor Loss (mW)]])/10^3</f>
        <v>2.449749E-2</v>
      </c>
      <c r="CL168" s="145" t="e">
        <f ca="1">Table7[[#This Row],[Total (mW) C]]/10^3</f>
        <v>#NAME?</v>
      </c>
      <c r="CM168" s="145" t="e">
        <f ca="1">Table7[[#This Row],[Total Sense Loss C]]+Table7[[#This Row],[Total MOSFET Loss C]]</f>
        <v>#NAME?</v>
      </c>
      <c r="CN168" s="149" t="e">
        <f ca="1">IF(Table7[[#This Row],[POUT (W)]]=0,0,(Table7[[#This Row],[POUT (W)]])/(Table7[[#This Row],[POUT (W)]]+Table7[[#This Row],[Total Power Loss (W) C]]))*100</f>
        <v>#NAME?</v>
      </c>
      <c r="CO168" s="153"/>
      <c r="CP168" s="149">
        <f>IF(MOSFET_S=Custom_MOSFET,Table7[[#This Row],[Total Sense Loss C]],Table7[[#This Row],[Total Sense Loss]])</f>
        <v>2.449749E-2</v>
      </c>
      <c r="CQ168" s="149" t="e">
        <f ca="1">IF(MOSFET_S=Custom_MOSFET,Table7[[#This Row],[Total MOSFET Loss C]],Table7[[#This Row],[Total MOSFET Loss]])</f>
        <v>#NAME?</v>
      </c>
      <c r="CR168" s="149" t="e">
        <f ca="1">IF(MOSFET_S=Custom_MOSFET,Table7[[#This Row],[Efficiency C]],Table7[[#This Row],[Efficiency]])</f>
        <v>#NAME?</v>
      </c>
      <c r="CS168" s="153"/>
      <c r="CT168" s="149">
        <f>IF(MOSFET_S=Compare_MOSFET, Table7[[#This Row],[Total Sense Loss C]], -100)</f>
        <v>-100</v>
      </c>
      <c r="CU168" s="149">
        <f>IF(MOSFET_S=Compare_MOSFET, Table7[[#This Row],[Total MOSFET Loss C]], -100)</f>
        <v>-100</v>
      </c>
      <c r="CV168" s="149">
        <f>IF(MOSFET_S=Compare_MOSFET, Table7[[#This Row],[Efficiency C]], -100)</f>
        <v>-100</v>
      </c>
      <c r="CW168" s="153"/>
      <c r="CX168" s="149">
        <f ca="1">IF(Save_Sel=CLR_Save,  Table7[[#This Row],[Total Sense Loss P1]], Table7[[#This Row],[Total Sense Loss P1 Saved]])</f>
        <v>2.0542500000000002E-2</v>
      </c>
      <c r="CY168" s="149">
        <f ca="1">IF(Save_Sel=CLR_Save,  Table7[[#This Row],[Total MOSFET Loss P1]], Table7[[#This Row],[Total MOSFET Loss P1 Saved]] )</f>
        <v>1.5211180866907628</v>
      </c>
      <c r="CZ168" s="149">
        <f ca="1">IF(Save_Sel=CLR_Save, Table7[[#This Row],[Efficiency P1]], Table7[[#This Row],[Efficiency P1 Saved]])</f>
        <v>82.364213625063982</v>
      </c>
      <c r="DA168" s="153"/>
      <c r="DB168" s="149">
        <f ca="1">IF(Save_Sel=CLR_Save,  Table7[[#This Row],[Total Sense Loss P2]], Table7[[#This Row],[Total Sense Loss P2 Saved]])</f>
        <v>2.0542500000000002E-2</v>
      </c>
      <c r="DC168" s="149">
        <f ca="1">IF(Save_Sel=CLR_Save,  Table7[[#This Row],[Total MOSFET Loss P2]], Table7[[#This Row],[Total MOSFET Loss P2 Saved]] )</f>
        <v>1.0069413180710949</v>
      </c>
      <c r="DD168" s="149">
        <f ca="1">IF(Save_Sel=CLR_Save, Table7[[#This Row],[Efficiency P2]], Table7[[#This Row],[Efficiency P2 Saved]])</f>
        <v>87.511566831474056</v>
      </c>
      <c r="DE168" s="153"/>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row>
    <row r="169" spans="1:165" x14ac:dyDescent="0.2">
      <c r="A169" s="48">
        <v>10</v>
      </c>
      <c r="B169" s="49"/>
      <c r="C169" s="49"/>
      <c r="D169" s="32" t="s">
        <v>17</v>
      </c>
      <c r="E169" s="66" t="e">
        <f t="shared" ca="1" si="20"/>
        <v>#REF!</v>
      </c>
      <c r="F169" s="66" t="e">
        <f t="shared" ca="1" si="21"/>
        <v>#REF!</v>
      </c>
      <c r="G169" s="120" t="s">
        <v>24</v>
      </c>
      <c r="H169" s="29"/>
      <c r="I169" s="48">
        <v>10</v>
      </c>
      <c r="J169" s="29"/>
      <c r="K169" s="49"/>
      <c r="L169" s="49"/>
      <c r="M169" s="32" t="s">
        <v>17</v>
      </c>
      <c r="N169" s="117">
        <f t="shared" si="18"/>
        <v>1.5</v>
      </c>
      <c r="O169" s="117">
        <f t="shared" si="19"/>
        <v>1.5</v>
      </c>
      <c r="P169" s="120" t="s">
        <v>24</v>
      </c>
      <c r="Q169" s="29"/>
      <c r="R169" s="29"/>
      <c r="S169" s="30"/>
      <c r="T169" s="18"/>
      <c r="U169" s="19"/>
      <c r="V169" s="19"/>
      <c r="W169" s="19"/>
      <c r="X169" s="19"/>
      <c r="Y169" s="19"/>
      <c r="Z169" s="19"/>
      <c r="AA169" s="19"/>
      <c r="AB169" s="19"/>
      <c r="AC169" s="19"/>
      <c r="AD169" s="19"/>
      <c r="AE169" s="19"/>
      <c r="AF169" s="143">
        <f t="shared" si="17"/>
        <v>13</v>
      </c>
      <c r="AG169" s="143">
        <f t="shared" si="16"/>
        <v>1.3</v>
      </c>
      <c r="AH169" s="144">
        <f t="shared" si="3"/>
        <v>31.200000000000003</v>
      </c>
      <c r="AI169" s="145">
        <f t="shared" si="4"/>
        <v>0.16376306620209058</v>
      </c>
      <c r="AJ169" s="145">
        <f t="shared" si="5"/>
        <v>1.5545833333333334</v>
      </c>
      <c r="AK169" s="145" t="e">
        <f t="shared" si="6"/>
        <v>#NAME?</v>
      </c>
      <c r="AL169" s="145" t="e">
        <f t="shared" si="7"/>
        <v>#NAME?</v>
      </c>
      <c r="AM169" s="146"/>
      <c r="AN169" s="145" t="e">
        <f>MAX(0,Table7[[#This Row],[I_L]]-0.5*Table7[[#This Row],[I_L pkpk]])</f>
        <v>#NAME?</v>
      </c>
      <c r="AO169" s="145" t="e">
        <f>Table7[[#This Row],[I_L]]+0.5*Table7[[#This Row],[I_L pkpk]]</f>
        <v>#NAME?</v>
      </c>
      <c r="AP169" s="145" t="e">
        <f ca="1">IF(VACnom&gt;Vbat, (VGS_S-(TI_MOSFET_S_VTH_H_BU+Table7[[#This Row],[I_L]]/TI_MOSFET_S_gFS_H_BU))/3.4, (VGS_S-(TI_MOSFET_S_VTH_L_BO+Table7[[#This Row],[I_L]]/TI_MOSFET_S_gFS_L_BO))/3.4 )</f>
        <v>#REF!</v>
      </c>
      <c r="AQ169" s="145" t="e">
        <f ca="1">IF(VACnom&gt;Vbat, ((TI_MOSFET_S_VTH_H_BU+Table7[[#This Row],[I_L]]/TI_MOSFET_S_gFS_H_BU))/1, ((TI_MOSFET_S_VTH_L_BO+Table7[[#This Row],[I_L]]/TI_MOSFET_S_gFS_L_BO))/1 )</f>
        <v>#REF!</v>
      </c>
      <c r="AR169" s="145" t="e">
        <f ca="1">IF(VACnom&gt;Vbat, (TI_MOSFET_S_QGD_H_BU+TI_MOSFET_S_QGS_H_BU)*10^-9/Table7[[#This Row],[Ion (A)]], (TI_MOSFET_S_QGD_L_BO+TI_MOSFET_S_QGS_L_BO)*10^-9/Table7[[#This Row],[Ion (A)]])/10^-9</f>
        <v>#REF!</v>
      </c>
      <c r="AS169" s="145" t="e">
        <f ca="1">IF(VACnom&gt;Vbat, (TI_MOSFET_S_QGD_H_BU+TI_MOSFET_S_QGS_H_BU)*10^-9/Table7[[#This Row],[Ioff (A)]], (TI_MOSFET_S_QGD_L_BO+TI_MOSFET_S_QGS_L_BO)*10^-9/Table7[[#This Row],[Ioff (A)]])/10^-9</f>
        <v>#REF!</v>
      </c>
      <c r="AT169" s="145" t="e">
        <f ca="1" xml:space="preserve"> 0.5*VACnom*Table7[[#This Row],[Ivalley (A)]]*Table7[[#This Row],[ton (ns)]]*10^-9*Fsw*10^3+0.5*VACnom*Table7[[#This Row],[Ipeak (A)]]*Table7[[#This Row],[toff (ns)]]*10^-9*Fsw*10^3/10^-3</f>
        <v>#NAME?</v>
      </c>
      <c r="AU169" s="145" t="e">
        <f t="shared" ca="1" si="8"/>
        <v>#REF!</v>
      </c>
      <c r="AV169" s="145" t="e">
        <f t="shared" ca="1" si="9"/>
        <v>#REF!</v>
      </c>
      <c r="AW169" s="145" t="e">
        <f t="shared" ca="1" si="10"/>
        <v>#REF!</v>
      </c>
      <c r="AX169" s="145" t="e">
        <f ca="1">IF(VACnom&gt;Vbat, TI_MOSFET_S_VSD_L_BU*Table7[[#This Row],[Ivalley (A)]]*Fsw*10^3*40*10^-9+TI_MOSFET_S_VSD_L_BU*Table7[[#This Row],[Ipeak (A)]]*Fsw*10^3*30*10^-9, TI_MOSFET_S_VSD_H_BO*Table7[[#This Row],[Ivalley (A)]]*Fsw*10^3*40*10^-9+TI_MOSFET_S_VSD_H_BO*Table7[[#This Row],[Ipeak (A)]]*Fsw*10^3*30*10^-9)/10^-3</f>
        <v>#REF!</v>
      </c>
      <c r="AY169" s="145" t="e">
        <f t="shared" ca="1" si="11"/>
        <v>#REF!</v>
      </c>
      <c r="AZ169" s="145" t="e">
        <f ca="1">IF(VACnom&lt;Vbat, Table7[[#This Row],[Duty Cycle]]*Table7[[#This Row],[I_L RMS]]^2*TI_MOSFET_S_RDSON_H_BU*10^-3, (1-Table7[[#This Row],[Duty Cycle]])*Table7[[#This Row],[I_L RMS]]^2*TI_MOSFET_S_RDSON_H_BO*10^-3)/10^-3</f>
        <v>#NAME?</v>
      </c>
      <c r="BA169" s="145" t="e">
        <f ca="1">IF(VACnom&gt;Vbat, Table7[[#This Row],[PIV (mW)]]+Table7[[#This Row],[Pqoss (mW)]]+Table7[[#This Row],[Pgate_top (mW)]], Table7[[#This Row],[PRR (mW)]]+Table7[[#This Row],[Pdead (mW)]]+Table7[[#This Row],[Pgate_top (mW)]])</f>
        <v>#REF!</v>
      </c>
      <c r="BB169" s="145" t="e">
        <f ca="1">Table7[[#This Row],[Pcon_top (mW)]]+Table7[[#This Row],[Psw_top (mW)]]</f>
        <v>#NAME?</v>
      </c>
      <c r="BC169" s="145" t="e">
        <f ca="1">IF(VACnom&gt;Vbat, (1-Table7[[#This Row],[Duty Cycle]])*Table7[[#This Row],[I_L RMS]]^2*TI_MOSFET_S_RDSON_L_BU*10^-3, Table7[[#This Row],[Duty Cycle]]*Table7[[#This Row],[I_L RMS]]^2*TI_MOSFET_S_RDSON_L_BO*10^-3)/10^-3</f>
        <v>#NAME?</v>
      </c>
      <c r="BD169" s="145" t="e">
        <f ca="1">IF(VACnom&gt;Vbat, Table7[[#This Row],[PRR (mW)]]+Table7[[#This Row],[Pdead (mW)]]+Table7[[#This Row],[Pgate_bottom (mW)]], Table7[[#This Row],[PIV (mW)]]+Table7[[#This Row],[Pqoss (mW)]]+Table7[[#This Row],[Pgate_bottom (mW)]])</f>
        <v>#NAME?</v>
      </c>
      <c r="BE169" s="147" t="e">
        <f ca="1">Table7[[#This Row],[Pcon_bottom (mW)]]+Table7[[#This Row],[Psw_bottom (mW)]]</f>
        <v>#NAME?</v>
      </c>
      <c r="BF169" s="145" t="e">
        <f ca="1">Table7[[#This Row],[Pbottom (mW)]]+Table7[[#This Row],[Ptop (mW)]]</f>
        <v>#NAME?</v>
      </c>
      <c r="BG169" s="142"/>
      <c r="BH169" s="145" t="e">
        <f>MAX(0,Table7[[#This Row],[I_L]]-0.5*Table7[[#This Row],[I_L pkpk]])</f>
        <v>#NAME?</v>
      </c>
      <c r="BI169" s="145" t="e">
        <f>Table7[[#This Row],[I_L]]+0.5*Table7[[#This Row],[I_L pkpk]]</f>
        <v>#NAME?</v>
      </c>
      <c r="BJ169" s="145">
        <f>IF(VACnom&gt;Vbat, (VGS_S-(C_MOSFET_S_VTH_H_BU+Table7[[#This Row],[I_L]]/C_MOSFET_S_gFS_H_BU))/3.4, (VGS_S-(C_MOSFET_S_VTH_L_BO+Table7[[#This Row],[I_L]]/C_MOSFET_S_gFS_L_BO))/3.4 )</f>
        <v>2.3498929738562091</v>
      </c>
      <c r="BK169" s="145">
        <f>IF(VACnom&gt;Vbat, ((C_MOSFET_S_VTH_H_BU+Table7[[#This Row],[I_L]]/C_MOSFET_S_gFS_H_BU))/1, ((C_MOSFET_S_VTH_L_BO+Table7[[#This Row],[I_L]]/C_MOSFET_S_gFS_L_BO))/1 )</f>
        <v>2.0103638888888891</v>
      </c>
      <c r="BL169" s="145">
        <f>IF(VACnom&gt;Vbat, (C_MOSFET_S_QGD_H_BU+C_MOSFET_S_QGS_H_BU)*10^-9/Table7[[#This Row],[Ion (A) C]], (C_MOSFET_S_QGD_L_BO+C_MOSFET_S_QGS_L_BO)*10^-9/Table7[[#This Row],[Ion (A) C]])/10^-9</f>
        <v>2.7660834226562261</v>
      </c>
      <c r="BM169" s="145">
        <f>IF(VACnom&gt;Vbat, (C_MOSFET_S_QGD_H_BU+C_MOSFET_S_QGS_H_BU)*10^-9/Table7[[#This Row],[Ioff (A) C]], (C_MOSFET_S_QGD_L_BO+C_MOSFET_S_QGS_L_BO)*10^-9/Table7[[#This Row],[Ioff (A) C]])/10^-9</f>
        <v>3.2332455014363068</v>
      </c>
      <c r="BN169" s="145" t="e">
        <f xml:space="preserve"> 0.5*VACnom*Table7[[#This Row],[Ivalley (A) C]]*Table7[[#This Row],[ton (ns) C]]*10^-9*Fsw*10^3+0.5*VACnom*Table7[[#This Row],[Ipeak (A) C]]*Table7[[#This Row],[toff (ns) C]]*10^-9*Fsw*10^3/10^-3</f>
        <v>#NAME?</v>
      </c>
      <c r="BO169" s="145">
        <f t="shared" si="12"/>
        <v>259.2</v>
      </c>
      <c r="BP169" s="145" t="e">
        <f t="shared" ca="1" si="13"/>
        <v>#REF!</v>
      </c>
      <c r="BQ169" s="145">
        <f t="shared" si="14"/>
        <v>475.2</v>
      </c>
      <c r="BR169" s="145" t="e">
        <f>IF(VACnom&gt;Vbat, C_MOSFET_S_VSD_L_BU*Table7[[#This Row],[Ivalley (A) C]]*Fsw*10^3*40*10^-9+C_MOSFET_S_VSD_L_BU*Table7[[#This Row],[Ipeak (A) C]]*Fsw*10^3*30*10^-9, C_MOSFET_S_VSD_H_BO*Table7[[#This Row],[Ivalley (A) C]]*Fsw*10^3*40*10^-9+C_MOSFET_S_VSD_H_BO*Table7[[#This Row],[Ipeak (A) C]]*Fsw*10^3*30*10^-9)/10^-3</f>
        <v>#NAME?</v>
      </c>
      <c r="BS169" s="145" t="e">
        <f t="shared" ca="1" si="15"/>
        <v>#REF!</v>
      </c>
      <c r="BT169" s="145" t="e">
        <f>IF(VACnom&lt;Vbat, Table7[[#This Row],[Duty Cycle]]*Table7[[#This Row],[I_L RMS]]^2*C_MOSFET_S_RDSON_H_BU*10^-3, (1-Table7[[#This Row],[Duty Cycle]])*Table7[[#This Row],[I_L RMS]]^2*C_MOSFET_S_RDSON_H_BO*10^-3)/10^-3</f>
        <v>#NAME?</v>
      </c>
      <c r="BU169" s="145" t="e">
        <f ca="1">IF(VACnom&gt;Vbat, Table7[[#This Row],[PIV (mW) C]]+Table7[[#This Row],[PQoss (mW) C]]+Table7[[#This Row],[Pgate_top (mW) C]], Table7[[#This Row],[PRR (mW) C]]+Table7[[#This Row],[Pdead (mW) C]]+Table7[[#This Row],[Pgate_top (mW) C]])</f>
        <v>#NAME?</v>
      </c>
      <c r="BV169" s="145" t="e">
        <f ca="1">Table7[[#This Row],[Pcon_top (mW) C]]+Table7[[#This Row],[Psw_top (mW) C]]</f>
        <v>#NAME?</v>
      </c>
      <c r="BW169" s="145" t="e">
        <f ca="1">IF(VACnom&gt;Vbat, (1-Table7[[#This Row],[Duty Cycle]])*Table7[[#This Row],[I_L RMS]]^2*C_MOSFET_S_RDSON_L_BU*10^-3, Table7[[#This Row],[Duty Cycle]]*Table7[[#This Row],[I_L RMS]]^2*C_MOSFET_S_RDSON_L_BO*10^-3)/10^-3</f>
        <v>#NAME?</v>
      </c>
      <c r="BX169" s="145" t="e">
        <f ca="1">IF(VACnom&gt;Vbat, Table7[[#This Row],[PRR (mW) C]]+Table7[[#This Row],[Pdead (mW) C]]+Table7[[#This Row],[Pgate_bottom (mW) C]], Table7[[#This Row],[PIV (mW) C]]+Table7[[#This Row],[PQoss (mW) C]]+Table7[[#This Row],[Pgate_bottom (mW) C]])</f>
        <v>#NAME?</v>
      </c>
      <c r="BY169" s="145" t="e">
        <f ca="1">Table7[[#This Row],[Pcon_bottom (mW) C]]+Table7[[#This Row],[Psw_bottom (mV) C]]</f>
        <v>#NAME?</v>
      </c>
      <c r="BZ169" s="145" t="e">
        <f ca="1">Table7[[#This Row],[Pbottom (mW) C]]+Table7[[#This Row],[Ptop (mW) C]]</f>
        <v>#NAME?</v>
      </c>
      <c r="CA169" s="148"/>
      <c r="CB169" s="144">
        <f>(RAC_SNS*10^-3*(Table7[[#This Row],[IOUT (A)]]*Vbat/VACnom)^2/10^-3)</f>
        <v>12.083646701388892</v>
      </c>
      <c r="CC169" s="144">
        <f>(RBAT_SNS*10^-3*Table7[[#This Row],[IOUT (A)]]^2)/10^-3</f>
        <v>8.4500000000000011</v>
      </c>
      <c r="CD169" s="144">
        <f>IF(VACnom&gt;Vbat,(L_DRC*10^-3*(Table7[[#This Row],[IOUT (A)]])^2/10^-3),(L_DRC*10^-3*(Table7[[#This Row],[IOUT (A)]]*Vbat/VACnom)^2/10^-3))</f>
        <v>8.2168797569444436</v>
      </c>
      <c r="CE169" s="152"/>
      <c r="CF169" s="145">
        <f>(Table7[[#This Row],[R_AC (mW)]]+Table7[[#This Row],[R_SR (mW)]]+Table7[[#This Row],[Inductor Loss (mW)]])/10^3</f>
        <v>2.8750526458333335E-2</v>
      </c>
      <c r="CG169" s="145" t="e">
        <f ca="1">Table7[[#This Row],[Total TI (mW)]]/10^3</f>
        <v>#NAME?</v>
      </c>
      <c r="CH169" s="145" t="e">
        <f ca="1">Table7[[#This Row],[Total Sense Loss]]+Table7[[#This Row],[Total MOSFET Loss]]</f>
        <v>#NAME?</v>
      </c>
      <c r="CI169" s="149" t="e">
        <f ca="1">IF(Table7[[#This Row],[POUT (W)]]=0,0,(Table7[[#This Row],[POUT (W)]])/(Table7[[#This Row],[POUT (W)]]+Table7[[#This Row],[Total Power Loss (W)]]))*100</f>
        <v>#NAME?</v>
      </c>
      <c r="CJ169" s="153"/>
      <c r="CK169" s="145">
        <f>(Table7[[#This Row],[R_AC (mW)]]+Table7[[#This Row],[R_SR (mW)]]+Table7[[#This Row],[Inductor Loss (mW)]])/10^3</f>
        <v>2.8750526458333335E-2</v>
      </c>
      <c r="CL169" s="145" t="e">
        <f ca="1">Table7[[#This Row],[Total (mW) C]]/10^3</f>
        <v>#NAME?</v>
      </c>
      <c r="CM169" s="145" t="e">
        <f ca="1">Table7[[#This Row],[Total Sense Loss C]]+Table7[[#This Row],[Total MOSFET Loss C]]</f>
        <v>#NAME?</v>
      </c>
      <c r="CN169" s="149" t="e">
        <f ca="1">IF(Table7[[#This Row],[POUT (W)]]=0,0,(Table7[[#This Row],[POUT (W)]])/(Table7[[#This Row],[POUT (W)]]+Table7[[#This Row],[Total Power Loss (W) C]]))*100</f>
        <v>#NAME?</v>
      </c>
      <c r="CO169" s="153"/>
      <c r="CP169" s="149">
        <f>IF(MOSFET_S=Custom_MOSFET,Table7[[#This Row],[Total Sense Loss C]],Table7[[#This Row],[Total Sense Loss]])</f>
        <v>2.8750526458333335E-2</v>
      </c>
      <c r="CQ169" s="149" t="e">
        <f ca="1">IF(MOSFET_S=Custom_MOSFET,Table7[[#This Row],[Total MOSFET Loss C]],Table7[[#This Row],[Total MOSFET Loss]])</f>
        <v>#NAME?</v>
      </c>
      <c r="CR169" s="149" t="e">
        <f ca="1">IF(MOSFET_S=Custom_MOSFET,Table7[[#This Row],[Efficiency C]],Table7[[#This Row],[Efficiency]])</f>
        <v>#NAME?</v>
      </c>
      <c r="CS169" s="153"/>
      <c r="CT169" s="149">
        <f>IF(MOSFET_S=Compare_MOSFET, Table7[[#This Row],[Total Sense Loss C]], -100)</f>
        <v>-100</v>
      </c>
      <c r="CU169" s="149">
        <f>IF(MOSFET_S=Compare_MOSFET, Table7[[#This Row],[Total MOSFET Loss C]], -100)</f>
        <v>-100</v>
      </c>
      <c r="CV169" s="149">
        <f>IF(MOSFET_S=Compare_MOSFET, Table7[[#This Row],[Efficiency C]], -100)</f>
        <v>-100</v>
      </c>
      <c r="CW169" s="153"/>
      <c r="CX169" s="149">
        <f ca="1">IF(Save_Sel=CLR_Save,  Table7[[#This Row],[Total Sense Loss P1]], Table7[[#This Row],[Total Sense Loss P1 Saved]])</f>
        <v>2.4108906249999996E-2</v>
      </c>
      <c r="CY169" s="149">
        <f ca="1">IF(Save_Sel=CLR_Save,  Table7[[#This Row],[Total MOSFET Loss P1]], Table7[[#This Row],[Total MOSFET Loss P1 Saved]] )</f>
        <v>1.5294826189380639</v>
      </c>
      <c r="CZ169" s="149">
        <f ca="1">IF(Save_Sel=CLR_Save, Table7[[#This Row],[Efficiency P1]], Table7[[#This Row],[Efficiency P1 Saved]])</f>
        <v>83.390427933436754</v>
      </c>
      <c r="DA169" s="153"/>
      <c r="DB169" s="149">
        <f ca="1">IF(Save_Sel=CLR_Save,  Table7[[#This Row],[Total Sense Loss P2]], Table7[[#This Row],[Total Sense Loss P2 Saved]])</f>
        <v>2.4108906249999996E-2</v>
      </c>
      <c r="DC169" s="149">
        <f ca="1">IF(Save_Sel=CLR_Save,  Table7[[#This Row],[Total MOSFET Loss P2]], Table7[[#This Row],[Total MOSFET Loss P2 Saved]] )</f>
        <v>1.011895669381951</v>
      </c>
      <c r="DD169" s="149">
        <f ca="1">IF(Save_Sel=CLR_Save, Table7[[#This Row],[Efficiency P2]], Table7[[#This Row],[Efficiency P2 Saved]])</f>
        <v>88.275191951698872</v>
      </c>
      <c r="DE169" s="153"/>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row>
    <row r="170" spans="1:165" x14ac:dyDescent="0.2">
      <c r="A170" s="48">
        <v>11</v>
      </c>
      <c r="B170" s="49"/>
      <c r="C170" s="49"/>
      <c r="D170" s="32" t="s">
        <v>18</v>
      </c>
      <c r="E170" s="66" t="e">
        <f t="shared" ca="1" si="20"/>
        <v>#REF!</v>
      </c>
      <c r="F170" s="66" t="e">
        <f t="shared" ca="1" si="21"/>
        <v>#REF!</v>
      </c>
      <c r="G170" s="42" t="s">
        <v>25</v>
      </c>
      <c r="H170" s="29"/>
      <c r="I170" s="48">
        <v>11</v>
      </c>
      <c r="J170" s="29"/>
      <c r="K170" s="49"/>
      <c r="L170" s="49"/>
      <c r="M170" s="32" t="s">
        <v>18</v>
      </c>
      <c r="N170" s="117">
        <f t="shared" si="18"/>
        <v>60</v>
      </c>
      <c r="O170" s="117">
        <f t="shared" si="19"/>
        <v>60</v>
      </c>
      <c r="P170" s="42" t="s">
        <v>25</v>
      </c>
      <c r="Q170" s="29"/>
      <c r="R170" s="29"/>
      <c r="S170" s="30"/>
      <c r="T170" s="18"/>
      <c r="U170" s="19"/>
      <c r="V170" s="19"/>
      <c r="W170" s="19"/>
      <c r="X170" s="19"/>
      <c r="Y170" s="19"/>
      <c r="Z170" s="19"/>
      <c r="AA170" s="19"/>
      <c r="AB170" s="19"/>
      <c r="AC170" s="19"/>
      <c r="AD170" s="19"/>
      <c r="AE170" s="19"/>
      <c r="AF170" s="143">
        <f>AF169+1</f>
        <v>14</v>
      </c>
      <c r="AG170" s="143">
        <f t="shared" si="16"/>
        <v>1.4</v>
      </c>
      <c r="AH170" s="144">
        <f t="shared" si="3"/>
        <v>33.599999999999994</v>
      </c>
      <c r="AI170" s="145">
        <f t="shared" si="4"/>
        <v>0.16376306620209058</v>
      </c>
      <c r="AJ170" s="145">
        <f t="shared" si="5"/>
        <v>1.6741666666666666</v>
      </c>
      <c r="AK170" s="145" t="e">
        <f t="shared" si="6"/>
        <v>#NAME?</v>
      </c>
      <c r="AL170" s="145" t="e">
        <f t="shared" si="7"/>
        <v>#NAME?</v>
      </c>
      <c r="AM170" s="146"/>
      <c r="AN170" s="145" t="e">
        <f>MAX(0,Table7[[#This Row],[I_L]]-0.5*Table7[[#This Row],[I_L pkpk]])</f>
        <v>#NAME?</v>
      </c>
      <c r="AO170" s="145" t="e">
        <f>Table7[[#This Row],[I_L]]+0.5*Table7[[#This Row],[I_L pkpk]]</f>
        <v>#NAME?</v>
      </c>
      <c r="AP170" s="145" t="e">
        <f ca="1">IF(VACnom&gt;Vbat, (VGS_S-(TI_MOSFET_S_VTH_H_BU+Table7[[#This Row],[I_L]]/TI_MOSFET_S_gFS_H_BU))/3.4, (VGS_S-(TI_MOSFET_S_VTH_L_BO+Table7[[#This Row],[I_L]]/TI_MOSFET_S_gFS_L_BO))/3.4 )</f>
        <v>#REF!</v>
      </c>
      <c r="AQ170" s="145" t="e">
        <f ca="1">IF(VACnom&gt;Vbat, ((TI_MOSFET_S_VTH_H_BU+Table7[[#This Row],[I_L]]/TI_MOSFET_S_gFS_H_BU))/1, ((TI_MOSFET_S_VTH_L_BO+Table7[[#This Row],[I_L]]/TI_MOSFET_S_gFS_L_BO))/1 )</f>
        <v>#REF!</v>
      </c>
      <c r="AR170" s="145" t="e">
        <f ca="1">IF(VACnom&gt;Vbat, (TI_MOSFET_S_QGD_H_BU+TI_MOSFET_S_QGS_H_BU)*10^-9/Table7[[#This Row],[Ion (A)]], (TI_MOSFET_S_QGD_L_BO+TI_MOSFET_S_QGS_L_BO)*10^-9/Table7[[#This Row],[Ion (A)]])/10^-9</f>
        <v>#REF!</v>
      </c>
      <c r="AS170" s="145" t="e">
        <f ca="1">IF(VACnom&gt;Vbat, (TI_MOSFET_S_QGD_H_BU+TI_MOSFET_S_QGS_H_BU)*10^-9/Table7[[#This Row],[Ioff (A)]], (TI_MOSFET_S_QGD_L_BO+TI_MOSFET_S_QGS_L_BO)*10^-9/Table7[[#This Row],[Ioff (A)]])/10^-9</f>
        <v>#REF!</v>
      </c>
      <c r="AT170" s="145" t="e">
        <f ca="1" xml:space="preserve"> 0.5*VACnom*Table7[[#This Row],[Ivalley (A)]]*Table7[[#This Row],[ton (ns)]]*10^-9*Fsw*10^3+0.5*VACnom*Table7[[#This Row],[Ipeak (A)]]*Table7[[#This Row],[toff (ns)]]*10^-9*Fsw*10^3/10^-3</f>
        <v>#NAME?</v>
      </c>
      <c r="AU170" s="145" t="e">
        <f t="shared" ca="1" si="8"/>
        <v>#REF!</v>
      </c>
      <c r="AV170" s="145" t="e">
        <f t="shared" ca="1" si="9"/>
        <v>#REF!</v>
      </c>
      <c r="AW170" s="145" t="e">
        <f t="shared" ca="1" si="10"/>
        <v>#REF!</v>
      </c>
      <c r="AX170" s="145" t="e">
        <f ca="1">IF(VACnom&gt;Vbat, TI_MOSFET_S_VSD_L_BU*Table7[[#This Row],[Ivalley (A)]]*Fsw*10^3*40*10^-9+TI_MOSFET_S_VSD_L_BU*Table7[[#This Row],[Ipeak (A)]]*Fsw*10^3*30*10^-9, TI_MOSFET_S_VSD_H_BO*Table7[[#This Row],[Ivalley (A)]]*Fsw*10^3*40*10^-9+TI_MOSFET_S_VSD_H_BO*Table7[[#This Row],[Ipeak (A)]]*Fsw*10^3*30*10^-9)/10^-3</f>
        <v>#REF!</v>
      </c>
      <c r="AY170" s="145" t="e">
        <f t="shared" ca="1" si="11"/>
        <v>#REF!</v>
      </c>
      <c r="AZ170" s="145" t="e">
        <f ca="1">IF(VACnom&lt;Vbat, Table7[[#This Row],[Duty Cycle]]*Table7[[#This Row],[I_L RMS]]^2*TI_MOSFET_S_RDSON_H_BU*10^-3, (1-Table7[[#This Row],[Duty Cycle]])*Table7[[#This Row],[I_L RMS]]^2*TI_MOSFET_S_RDSON_H_BO*10^-3)/10^-3</f>
        <v>#NAME?</v>
      </c>
      <c r="BA170" s="145" t="e">
        <f ca="1">IF(VACnom&gt;Vbat, Table7[[#This Row],[PIV (mW)]]+Table7[[#This Row],[Pqoss (mW)]]+Table7[[#This Row],[Pgate_top (mW)]], Table7[[#This Row],[PRR (mW)]]+Table7[[#This Row],[Pdead (mW)]]+Table7[[#This Row],[Pgate_top (mW)]])</f>
        <v>#REF!</v>
      </c>
      <c r="BB170" s="145" t="e">
        <f ca="1">Table7[[#This Row],[Pcon_top (mW)]]+Table7[[#This Row],[Psw_top (mW)]]</f>
        <v>#NAME?</v>
      </c>
      <c r="BC170" s="145" t="e">
        <f ca="1">IF(VACnom&gt;Vbat, (1-Table7[[#This Row],[Duty Cycle]])*Table7[[#This Row],[I_L RMS]]^2*TI_MOSFET_S_RDSON_L_BU*10^-3, Table7[[#This Row],[Duty Cycle]]*Table7[[#This Row],[I_L RMS]]^2*TI_MOSFET_S_RDSON_L_BO*10^-3)/10^-3</f>
        <v>#NAME?</v>
      </c>
      <c r="BD170" s="145" t="e">
        <f ca="1">IF(VACnom&gt;Vbat, Table7[[#This Row],[PRR (mW)]]+Table7[[#This Row],[Pdead (mW)]]+Table7[[#This Row],[Pgate_bottom (mW)]], Table7[[#This Row],[PIV (mW)]]+Table7[[#This Row],[Pqoss (mW)]]+Table7[[#This Row],[Pgate_bottom (mW)]])</f>
        <v>#NAME?</v>
      </c>
      <c r="BE170" s="147" t="e">
        <f ca="1">Table7[[#This Row],[Pcon_bottom (mW)]]+Table7[[#This Row],[Psw_bottom (mW)]]</f>
        <v>#NAME?</v>
      </c>
      <c r="BF170" s="145" t="e">
        <f ca="1">Table7[[#This Row],[Pbottom (mW)]]+Table7[[#This Row],[Ptop (mW)]]</f>
        <v>#NAME?</v>
      </c>
      <c r="BG170" s="142"/>
      <c r="BH170" s="145" t="e">
        <f>MAX(0,Table7[[#This Row],[I_L]]-0.5*Table7[[#This Row],[I_L pkpk]])</f>
        <v>#NAME?</v>
      </c>
      <c r="BI170" s="145" t="e">
        <f>Table7[[#This Row],[I_L]]+0.5*Table7[[#This Row],[I_L pkpk]]</f>
        <v>#NAME?</v>
      </c>
      <c r="BJ170" s="145">
        <f>IF(VACnom&gt;Vbat, (VGS_S-(C_MOSFET_S_VTH_H_BU+Table7[[#This Row],[I_L]]/C_MOSFET_S_gFS_H_BU))/3.4, (VGS_S-(C_MOSFET_S_VTH_L_BO+Table7[[#This Row],[I_L]]/C_MOSFET_S_gFS_L_BO))/3.4 )</f>
        <v>2.3496584967320264</v>
      </c>
      <c r="BK170" s="145">
        <f>IF(VACnom&gt;Vbat, ((C_MOSFET_S_VTH_H_BU+Table7[[#This Row],[I_L]]/C_MOSFET_S_gFS_H_BU))/1, ((C_MOSFET_S_VTH_L_BO+Table7[[#This Row],[I_L]]/C_MOSFET_S_gFS_L_BO))/1 )</f>
        <v>2.011161111111111</v>
      </c>
      <c r="BL170" s="145">
        <f>IF(VACnom&gt;Vbat, (C_MOSFET_S_QGD_H_BU+C_MOSFET_S_QGS_H_BU)*10^-9/Table7[[#This Row],[Ion (A) C]], (C_MOSFET_S_QGD_L_BO+C_MOSFET_S_QGS_L_BO)*10^-9/Table7[[#This Row],[Ion (A) C]])/10^-9</f>
        <v>2.7663594556572324</v>
      </c>
      <c r="BM170" s="145">
        <f>IF(VACnom&gt;Vbat, (C_MOSFET_S_QGD_H_BU+C_MOSFET_S_QGS_H_BU)*10^-9/Table7[[#This Row],[Ioff (A) C]], (C_MOSFET_S_QGD_L_BO+C_MOSFET_S_QGS_L_BO)*10^-9/Table7[[#This Row],[Ioff (A) C]])/10^-9</f>
        <v>3.2319638462027189</v>
      </c>
      <c r="BN170" s="145" t="e">
        <f xml:space="preserve"> 0.5*VACnom*Table7[[#This Row],[Ivalley (A) C]]*Table7[[#This Row],[ton (ns) C]]*10^-9*Fsw*10^3+0.5*VACnom*Table7[[#This Row],[Ipeak (A) C]]*Table7[[#This Row],[toff (ns) C]]*10^-9*Fsw*10^3/10^-3</f>
        <v>#NAME?</v>
      </c>
      <c r="BO170" s="145">
        <f t="shared" si="12"/>
        <v>259.2</v>
      </c>
      <c r="BP170" s="145" t="e">
        <f t="shared" ca="1" si="13"/>
        <v>#REF!</v>
      </c>
      <c r="BQ170" s="145">
        <f t="shared" si="14"/>
        <v>475.2</v>
      </c>
      <c r="BR170" s="145" t="e">
        <f>IF(VACnom&gt;Vbat, C_MOSFET_S_VSD_L_BU*Table7[[#This Row],[Ivalley (A) C]]*Fsw*10^3*40*10^-9+C_MOSFET_S_VSD_L_BU*Table7[[#This Row],[Ipeak (A) C]]*Fsw*10^3*30*10^-9, C_MOSFET_S_VSD_H_BO*Table7[[#This Row],[Ivalley (A) C]]*Fsw*10^3*40*10^-9+C_MOSFET_S_VSD_H_BO*Table7[[#This Row],[Ipeak (A) C]]*Fsw*10^3*30*10^-9)/10^-3</f>
        <v>#NAME?</v>
      </c>
      <c r="BS170" s="145" t="e">
        <f t="shared" ca="1" si="15"/>
        <v>#REF!</v>
      </c>
      <c r="BT170" s="145" t="e">
        <f>IF(VACnom&lt;Vbat, Table7[[#This Row],[Duty Cycle]]*Table7[[#This Row],[I_L RMS]]^2*C_MOSFET_S_RDSON_H_BU*10^-3, (1-Table7[[#This Row],[Duty Cycle]])*Table7[[#This Row],[I_L RMS]]^2*C_MOSFET_S_RDSON_H_BO*10^-3)/10^-3</f>
        <v>#NAME?</v>
      </c>
      <c r="BU170" s="145" t="e">
        <f ca="1">IF(VACnom&gt;Vbat, Table7[[#This Row],[PIV (mW) C]]+Table7[[#This Row],[PQoss (mW) C]]+Table7[[#This Row],[Pgate_top (mW) C]], Table7[[#This Row],[PRR (mW) C]]+Table7[[#This Row],[Pdead (mW) C]]+Table7[[#This Row],[Pgate_top (mW) C]])</f>
        <v>#NAME?</v>
      </c>
      <c r="BV170" s="145" t="e">
        <f ca="1">Table7[[#This Row],[Pcon_top (mW) C]]+Table7[[#This Row],[Psw_top (mW) C]]</f>
        <v>#NAME?</v>
      </c>
      <c r="BW170" s="145" t="e">
        <f ca="1">IF(VACnom&gt;Vbat, (1-Table7[[#This Row],[Duty Cycle]])*Table7[[#This Row],[I_L RMS]]^2*C_MOSFET_S_RDSON_L_BU*10^-3, Table7[[#This Row],[Duty Cycle]]*Table7[[#This Row],[I_L RMS]]^2*C_MOSFET_S_RDSON_L_BO*10^-3)/10^-3</f>
        <v>#NAME?</v>
      </c>
      <c r="BX170" s="145" t="e">
        <f ca="1">IF(VACnom&gt;Vbat, Table7[[#This Row],[PRR (mW) C]]+Table7[[#This Row],[Pdead (mW) C]]+Table7[[#This Row],[Pgate_bottom (mW) C]], Table7[[#This Row],[PIV (mW) C]]+Table7[[#This Row],[PQoss (mW) C]]+Table7[[#This Row],[Pgate_bottom (mW) C]])</f>
        <v>#NAME?</v>
      </c>
      <c r="BY170" s="145" t="e">
        <f ca="1">Table7[[#This Row],[Pcon_bottom (mW) C]]+Table7[[#This Row],[Psw_bottom (mV) C]]</f>
        <v>#NAME?</v>
      </c>
      <c r="BZ170" s="145" t="e">
        <f ca="1">Table7[[#This Row],[Pbottom (mW) C]]+Table7[[#This Row],[Ptop (mW) C]]</f>
        <v>#NAME?</v>
      </c>
      <c r="CA170" s="148"/>
      <c r="CB170" s="144">
        <f>(RAC_SNS*10^-3*(Table7[[#This Row],[IOUT (A)]]*Vbat/VACnom)^2/10^-3)</f>
        <v>14.01417013888889</v>
      </c>
      <c r="CC170" s="144">
        <f>(RBAT_SNS*10^-3*Table7[[#This Row],[IOUT (A)]]^2)/10^-3</f>
        <v>9.7999999999999989</v>
      </c>
      <c r="CD170" s="144">
        <f>IF(VACnom&gt;Vbat,(L_DRC*10^-3*(Table7[[#This Row],[IOUT (A)]])^2/10^-3),(L_DRC*10^-3*(Table7[[#This Row],[IOUT (A)]]*Vbat/VACnom)^2/10^-3))</f>
        <v>9.5296356944444423</v>
      </c>
      <c r="CE170" s="152"/>
      <c r="CF170" s="145">
        <f>(Table7[[#This Row],[R_AC (mW)]]+Table7[[#This Row],[R_SR (mW)]]+Table7[[#This Row],[Inductor Loss (mW)]])/10^3</f>
        <v>3.3343805833333337E-2</v>
      </c>
      <c r="CG170" s="145" t="e">
        <f ca="1">Table7[[#This Row],[Total TI (mW)]]/10^3</f>
        <v>#NAME?</v>
      </c>
      <c r="CH170" s="145" t="e">
        <f ca="1">Table7[[#This Row],[Total Sense Loss]]+Table7[[#This Row],[Total MOSFET Loss]]</f>
        <v>#NAME?</v>
      </c>
      <c r="CI170" s="149" t="e">
        <f ca="1">IF(Table7[[#This Row],[POUT (W)]]=0,0,(Table7[[#This Row],[POUT (W)]])/(Table7[[#This Row],[POUT (W)]]+Table7[[#This Row],[Total Power Loss (W)]]))*100</f>
        <v>#NAME?</v>
      </c>
      <c r="CJ170" s="153"/>
      <c r="CK170" s="145">
        <f>(Table7[[#This Row],[R_AC (mW)]]+Table7[[#This Row],[R_SR (mW)]]+Table7[[#This Row],[Inductor Loss (mW)]])/10^3</f>
        <v>3.3343805833333337E-2</v>
      </c>
      <c r="CL170" s="145" t="e">
        <f ca="1">Table7[[#This Row],[Total (mW) C]]/10^3</f>
        <v>#NAME?</v>
      </c>
      <c r="CM170" s="145" t="e">
        <f ca="1">Table7[[#This Row],[Total Sense Loss C]]+Table7[[#This Row],[Total MOSFET Loss C]]</f>
        <v>#NAME?</v>
      </c>
      <c r="CN170" s="149" t="e">
        <f ca="1">IF(Table7[[#This Row],[POUT (W)]]=0,0,(Table7[[#This Row],[POUT (W)]])/(Table7[[#This Row],[POUT (W)]]+Table7[[#This Row],[Total Power Loss (W) C]]))*100</f>
        <v>#NAME?</v>
      </c>
      <c r="CO170" s="153"/>
      <c r="CP170" s="149">
        <f>IF(MOSFET_S=Custom_MOSFET,Table7[[#This Row],[Total Sense Loss C]],Table7[[#This Row],[Total Sense Loss]])</f>
        <v>3.3343805833333337E-2</v>
      </c>
      <c r="CQ170" s="149" t="e">
        <f ca="1">IF(MOSFET_S=Custom_MOSFET,Table7[[#This Row],[Total MOSFET Loss C]],Table7[[#This Row],[Total MOSFET Loss]])</f>
        <v>#NAME?</v>
      </c>
      <c r="CR170" s="149" t="e">
        <f ca="1">IF(MOSFET_S=Custom_MOSFET,Table7[[#This Row],[Efficiency C]],Table7[[#This Row],[Efficiency]])</f>
        <v>#NAME?</v>
      </c>
      <c r="CS170" s="153"/>
      <c r="CT170" s="149">
        <f>IF(MOSFET_S=Compare_MOSFET, Table7[[#This Row],[Total Sense Loss C]], -100)</f>
        <v>-100</v>
      </c>
      <c r="CU170" s="149">
        <f>IF(MOSFET_S=Compare_MOSFET, Table7[[#This Row],[Total MOSFET Loss C]], -100)</f>
        <v>-100</v>
      </c>
      <c r="CV170" s="149">
        <f>IF(MOSFET_S=Compare_MOSFET, Table7[[#This Row],[Efficiency C]], -100)</f>
        <v>-100</v>
      </c>
      <c r="CW170" s="153"/>
      <c r="CX170" s="149">
        <f ca="1">IF(Save_Sel=CLR_Save,  Table7[[#This Row],[Total Sense Loss P1]], Table7[[#This Row],[Total Sense Loss P1 Saved]])</f>
        <v>2.7960624999999992E-2</v>
      </c>
      <c r="CY170" s="149">
        <f ca="1">IF(Save_Sel=CLR_Save,  Table7[[#This Row],[Total MOSFET Loss P1]], Table7[[#This Row],[Total MOSFET Loss P1 Saved]] )</f>
        <v>1.5378898294018255</v>
      </c>
      <c r="CZ170" s="149">
        <f ca="1">IF(Save_Sel=CLR_Save, Table7[[#This Row],[Efficiency P1]], Table7[[#This Row],[Efficiency P1 Saved]])</f>
        <v>84.287839140610387</v>
      </c>
      <c r="DA170" s="153"/>
      <c r="DB170" s="149">
        <f ca="1">IF(Save_Sel=CLR_Save,  Table7[[#This Row],[Total Sense Loss P2]], Table7[[#This Row],[Total Sense Loss P2 Saved]])</f>
        <v>2.7960624999999992E-2</v>
      </c>
      <c r="DC170" s="149">
        <f ca="1">IF(Save_Sel=CLR_Save,  Table7[[#This Row],[Total MOSFET Loss P2]], Table7[[#This Row],[Total MOSFET Loss P2 Saved]] )</f>
        <v>1.0169291667754476</v>
      </c>
      <c r="DD170" s="149">
        <f ca="1">IF(Save_Sel=CLR_Save, Table7[[#This Row],[Efficiency P2]], Table7[[#This Row],[Efficiency P2 Saved]])</f>
        <v>88.936982698460582</v>
      </c>
      <c r="DE170" s="153"/>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row>
    <row r="171" spans="1:165" x14ac:dyDescent="0.2">
      <c r="A171" s="48">
        <v>12</v>
      </c>
      <c r="B171" s="49"/>
      <c r="C171" s="49"/>
      <c r="D171" s="32" t="s">
        <v>19</v>
      </c>
      <c r="E171" s="66" t="e">
        <f t="shared" ca="1" si="20"/>
        <v>#REF!</v>
      </c>
      <c r="F171" s="66" t="e">
        <f t="shared" ca="1" si="21"/>
        <v>#REF!</v>
      </c>
      <c r="G171" s="42" t="s">
        <v>1</v>
      </c>
      <c r="H171" s="29"/>
      <c r="I171" s="48">
        <v>12</v>
      </c>
      <c r="J171" s="29"/>
      <c r="K171" s="49"/>
      <c r="L171" s="49"/>
      <c r="M171" s="32" t="s">
        <v>19</v>
      </c>
      <c r="N171" s="117">
        <f t="shared" si="18"/>
        <v>4</v>
      </c>
      <c r="O171" s="117">
        <f t="shared" si="19"/>
        <v>4</v>
      </c>
      <c r="P171" s="42" t="s">
        <v>1</v>
      </c>
      <c r="Q171" s="29"/>
      <c r="R171" s="29"/>
      <c r="S171" s="30"/>
      <c r="T171" s="18"/>
      <c r="U171" s="19"/>
      <c r="V171" s="19"/>
      <c r="W171" s="19"/>
      <c r="X171" s="19"/>
      <c r="Y171" s="19"/>
      <c r="Z171" s="19"/>
      <c r="AA171" s="19"/>
      <c r="AB171" s="19"/>
      <c r="AC171" s="19"/>
      <c r="AD171" s="19"/>
      <c r="AE171" s="19"/>
      <c r="AF171" s="143">
        <f t="shared" si="17"/>
        <v>15</v>
      </c>
      <c r="AG171" s="143">
        <f t="shared" si="16"/>
        <v>1.5</v>
      </c>
      <c r="AH171" s="144">
        <f t="shared" si="3"/>
        <v>36</v>
      </c>
      <c r="AI171" s="145">
        <f t="shared" si="4"/>
        <v>0.16376306620209058</v>
      </c>
      <c r="AJ171" s="145">
        <f t="shared" si="5"/>
        <v>1.79375</v>
      </c>
      <c r="AK171" s="145" t="e">
        <f t="shared" si="6"/>
        <v>#NAME?</v>
      </c>
      <c r="AL171" s="145" t="e">
        <f t="shared" si="7"/>
        <v>#NAME?</v>
      </c>
      <c r="AM171" s="146"/>
      <c r="AN171" s="145" t="e">
        <f>MAX(0,Table7[[#This Row],[I_L]]-0.5*Table7[[#This Row],[I_L pkpk]])</f>
        <v>#NAME?</v>
      </c>
      <c r="AO171" s="145" t="e">
        <f>Table7[[#This Row],[I_L]]+0.5*Table7[[#This Row],[I_L pkpk]]</f>
        <v>#NAME?</v>
      </c>
      <c r="AP171" s="145" t="e">
        <f ca="1">IF(VACnom&gt;Vbat, (VGS_S-(TI_MOSFET_S_VTH_H_BU+Table7[[#This Row],[I_L]]/TI_MOSFET_S_gFS_H_BU))/3.4, (VGS_S-(TI_MOSFET_S_VTH_L_BO+Table7[[#This Row],[I_L]]/TI_MOSFET_S_gFS_L_BO))/3.4 )</f>
        <v>#REF!</v>
      </c>
      <c r="AQ171" s="145" t="e">
        <f ca="1">IF(VACnom&gt;Vbat, ((TI_MOSFET_S_VTH_H_BU+Table7[[#This Row],[I_L]]/TI_MOSFET_S_gFS_H_BU))/1, ((TI_MOSFET_S_VTH_L_BO+Table7[[#This Row],[I_L]]/TI_MOSFET_S_gFS_L_BO))/1 )</f>
        <v>#REF!</v>
      </c>
      <c r="AR171" s="145" t="e">
        <f ca="1">IF(VACnom&gt;Vbat, (TI_MOSFET_S_QGD_H_BU+TI_MOSFET_S_QGS_H_BU)*10^-9/Table7[[#This Row],[Ion (A)]], (TI_MOSFET_S_QGD_L_BO+TI_MOSFET_S_QGS_L_BO)*10^-9/Table7[[#This Row],[Ion (A)]])/10^-9</f>
        <v>#REF!</v>
      </c>
      <c r="AS171" s="145" t="e">
        <f ca="1">IF(VACnom&gt;Vbat, (TI_MOSFET_S_QGD_H_BU+TI_MOSFET_S_QGS_H_BU)*10^-9/Table7[[#This Row],[Ioff (A)]], (TI_MOSFET_S_QGD_L_BO+TI_MOSFET_S_QGS_L_BO)*10^-9/Table7[[#This Row],[Ioff (A)]])/10^-9</f>
        <v>#REF!</v>
      </c>
      <c r="AT171" s="145" t="e">
        <f ca="1" xml:space="preserve"> 0.5*VACnom*Table7[[#This Row],[Ivalley (A)]]*Table7[[#This Row],[ton (ns)]]*10^-9*Fsw*10^3+0.5*VACnom*Table7[[#This Row],[Ipeak (A)]]*Table7[[#This Row],[toff (ns)]]*10^-9*Fsw*10^3/10^-3</f>
        <v>#NAME?</v>
      </c>
      <c r="AU171" s="145" t="e">
        <f t="shared" ca="1" si="8"/>
        <v>#REF!</v>
      </c>
      <c r="AV171" s="145" t="e">
        <f t="shared" ca="1" si="9"/>
        <v>#REF!</v>
      </c>
      <c r="AW171" s="145" t="e">
        <f t="shared" ca="1" si="10"/>
        <v>#REF!</v>
      </c>
      <c r="AX171" s="145" t="e">
        <f ca="1">IF(VACnom&gt;Vbat, TI_MOSFET_S_VSD_L_BU*Table7[[#This Row],[Ivalley (A)]]*Fsw*10^3*40*10^-9+TI_MOSFET_S_VSD_L_BU*Table7[[#This Row],[Ipeak (A)]]*Fsw*10^3*30*10^-9, TI_MOSFET_S_VSD_H_BO*Table7[[#This Row],[Ivalley (A)]]*Fsw*10^3*40*10^-9+TI_MOSFET_S_VSD_H_BO*Table7[[#This Row],[Ipeak (A)]]*Fsw*10^3*30*10^-9)/10^-3</f>
        <v>#REF!</v>
      </c>
      <c r="AY171" s="145" t="e">
        <f t="shared" ca="1" si="11"/>
        <v>#REF!</v>
      </c>
      <c r="AZ171" s="145" t="e">
        <f ca="1">IF(VACnom&lt;Vbat, Table7[[#This Row],[Duty Cycle]]*Table7[[#This Row],[I_L RMS]]^2*TI_MOSFET_S_RDSON_H_BU*10^-3, (1-Table7[[#This Row],[Duty Cycle]])*Table7[[#This Row],[I_L RMS]]^2*TI_MOSFET_S_RDSON_H_BO*10^-3)/10^-3</f>
        <v>#NAME?</v>
      </c>
      <c r="BA171" s="145" t="e">
        <f ca="1">IF(VACnom&gt;Vbat, Table7[[#This Row],[PIV (mW)]]+Table7[[#This Row],[Pqoss (mW)]]+Table7[[#This Row],[Pgate_top (mW)]], Table7[[#This Row],[PRR (mW)]]+Table7[[#This Row],[Pdead (mW)]]+Table7[[#This Row],[Pgate_top (mW)]])</f>
        <v>#REF!</v>
      </c>
      <c r="BB171" s="145" t="e">
        <f ca="1">Table7[[#This Row],[Pcon_top (mW)]]+Table7[[#This Row],[Psw_top (mW)]]</f>
        <v>#NAME?</v>
      </c>
      <c r="BC171" s="145" t="e">
        <f ca="1">IF(VACnom&gt;Vbat, (1-Table7[[#This Row],[Duty Cycle]])*Table7[[#This Row],[I_L RMS]]^2*TI_MOSFET_S_RDSON_L_BU*10^-3, Table7[[#This Row],[Duty Cycle]]*Table7[[#This Row],[I_L RMS]]^2*TI_MOSFET_S_RDSON_L_BO*10^-3)/10^-3</f>
        <v>#NAME?</v>
      </c>
      <c r="BD171" s="145" t="e">
        <f ca="1">IF(VACnom&gt;Vbat, Table7[[#This Row],[PRR (mW)]]+Table7[[#This Row],[Pdead (mW)]]+Table7[[#This Row],[Pgate_bottom (mW)]], Table7[[#This Row],[PIV (mW)]]+Table7[[#This Row],[Pqoss (mW)]]+Table7[[#This Row],[Pgate_bottom (mW)]])</f>
        <v>#NAME?</v>
      </c>
      <c r="BE171" s="147" t="e">
        <f ca="1">Table7[[#This Row],[Pcon_bottom (mW)]]+Table7[[#This Row],[Psw_bottom (mW)]]</f>
        <v>#NAME?</v>
      </c>
      <c r="BF171" s="145" t="e">
        <f ca="1">Table7[[#This Row],[Pbottom (mW)]]+Table7[[#This Row],[Ptop (mW)]]</f>
        <v>#NAME?</v>
      </c>
      <c r="BG171" s="142"/>
      <c r="BH171" s="145" t="e">
        <f>MAX(0,Table7[[#This Row],[I_L]]-0.5*Table7[[#This Row],[I_L pkpk]])</f>
        <v>#NAME?</v>
      </c>
      <c r="BI171" s="145" t="e">
        <f>Table7[[#This Row],[I_L]]+0.5*Table7[[#This Row],[I_L pkpk]]</f>
        <v>#NAME?</v>
      </c>
      <c r="BJ171" s="145">
        <f>IF(VACnom&gt;Vbat, (VGS_S-(C_MOSFET_S_VTH_H_BU+Table7[[#This Row],[I_L]]/C_MOSFET_S_gFS_H_BU))/3.4, (VGS_S-(C_MOSFET_S_VTH_L_BO+Table7[[#This Row],[I_L]]/C_MOSFET_S_gFS_L_BO))/3.4 )</f>
        <v>2.3494240196078433</v>
      </c>
      <c r="BK171" s="145">
        <f>IF(VACnom&gt;Vbat, ((C_MOSFET_S_VTH_H_BU+Table7[[#This Row],[I_L]]/C_MOSFET_S_gFS_H_BU))/1, ((C_MOSFET_S_VTH_L_BO+Table7[[#This Row],[I_L]]/C_MOSFET_S_gFS_L_BO))/1 )</f>
        <v>2.0119583333333333</v>
      </c>
      <c r="BL171" s="145">
        <f>IF(VACnom&gt;Vbat, (C_MOSFET_S_QGD_H_BU+C_MOSFET_S_QGS_H_BU)*10^-9/Table7[[#This Row],[Ion (A) C]], (C_MOSFET_S_QGD_L_BO+C_MOSFET_S_QGS_L_BO)*10^-9/Table7[[#This Row],[Ion (A) C]])/10^-9</f>
        <v>2.7666355437555095</v>
      </c>
      <c r="BM171" s="145">
        <f>IF(VACnom&gt;Vbat, (C_MOSFET_S_QGD_H_BU+C_MOSFET_S_QGS_H_BU)*10^-9/Table7[[#This Row],[Ioff (A) C]], (C_MOSFET_S_QGD_L_BO+C_MOSFET_S_QGS_L_BO)*10^-9/Table7[[#This Row],[Ioff (A) C]])/10^-9</f>
        <v>3.2306832066601778</v>
      </c>
      <c r="BN171" s="145" t="e">
        <f xml:space="preserve"> 0.5*VACnom*Table7[[#This Row],[Ivalley (A) C]]*Table7[[#This Row],[ton (ns) C]]*10^-9*Fsw*10^3+0.5*VACnom*Table7[[#This Row],[Ipeak (A) C]]*Table7[[#This Row],[toff (ns) C]]*10^-9*Fsw*10^3/10^-3</f>
        <v>#NAME?</v>
      </c>
      <c r="BO171" s="145">
        <f t="shared" si="12"/>
        <v>259.2</v>
      </c>
      <c r="BP171" s="145" t="e">
        <f t="shared" ca="1" si="13"/>
        <v>#REF!</v>
      </c>
      <c r="BQ171" s="145">
        <f t="shared" si="14"/>
        <v>475.2</v>
      </c>
      <c r="BR171" s="145" t="e">
        <f>IF(VACnom&gt;Vbat, C_MOSFET_S_VSD_L_BU*Table7[[#This Row],[Ivalley (A) C]]*Fsw*10^3*40*10^-9+C_MOSFET_S_VSD_L_BU*Table7[[#This Row],[Ipeak (A) C]]*Fsw*10^3*30*10^-9, C_MOSFET_S_VSD_H_BO*Table7[[#This Row],[Ivalley (A) C]]*Fsw*10^3*40*10^-9+C_MOSFET_S_VSD_H_BO*Table7[[#This Row],[Ipeak (A) C]]*Fsw*10^3*30*10^-9)/10^-3</f>
        <v>#NAME?</v>
      </c>
      <c r="BS171" s="145" t="e">
        <f t="shared" ca="1" si="15"/>
        <v>#REF!</v>
      </c>
      <c r="BT171" s="145" t="e">
        <f>IF(VACnom&lt;Vbat, Table7[[#This Row],[Duty Cycle]]*Table7[[#This Row],[I_L RMS]]^2*C_MOSFET_S_RDSON_H_BU*10^-3, (1-Table7[[#This Row],[Duty Cycle]])*Table7[[#This Row],[I_L RMS]]^2*C_MOSFET_S_RDSON_H_BO*10^-3)/10^-3</f>
        <v>#NAME?</v>
      </c>
      <c r="BU171" s="145" t="e">
        <f ca="1">IF(VACnom&gt;Vbat, Table7[[#This Row],[PIV (mW) C]]+Table7[[#This Row],[PQoss (mW) C]]+Table7[[#This Row],[Pgate_top (mW) C]], Table7[[#This Row],[PRR (mW) C]]+Table7[[#This Row],[Pdead (mW) C]]+Table7[[#This Row],[Pgate_top (mW) C]])</f>
        <v>#NAME?</v>
      </c>
      <c r="BV171" s="145" t="e">
        <f ca="1">Table7[[#This Row],[Pcon_top (mW) C]]+Table7[[#This Row],[Psw_top (mW) C]]</f>
        <v>#NAME?</v>
      </c>
      <c r="BW171" s="145" t="e">
        <f ca="1">IF(VACnom&gt;Vbat, (1-Table7[[#This Row],[Duty Cycle]])*Table7[[#This Row],[I_L RMS]]^2*C_MOSFET_S_RDSON_L_BU*10^-3, Table7[[#This Row],[Duty Cycle]]*Table7[[#This Row],[I_L RMS]]^2*C_MOSFET_S_RDSON_L_BO*10^-3)/10^-3</f>
        <v>#NAME?</v>
      </c>
      <c r="BX171" s="145" t="e">
        <f ca="1">IF(VACnom&gt;Vbat, Table7[[#This Row],[PRR (mW) C]]+Table7[[#This Row],[Pdead (mW) C]]+Table7[[#This Row],[Pgate_bottom (mW) C]], Table7[[#This Row],[PIV (mW) C]]+Table7[[#This Row],[PQoss (mW) C]]+Table7[[#This Row],[Pgate_bottom (mW) C]])</f>
        <v>#NAME?</v>
      </c>
      <c r="BY171" s="145" t="e">
        <f ca="1">Table7[[#This Row],[Pcon_bottom (mW) C]]+Table7[[#This Row],[Psw_bottom (mV) C]]</f>
        <v>#NAME?</v>
      </c>
      <c r="BZ171" s="145" t="e">
        <f ca="1">Table7[[#This Row],[Pbottom (mW) C]]+Table7[[#This Row],[Ptop (mW) C]]</f>
        <v>#NAME?</v>
      </c>
      <c r="CA171" s="148"/>
      <c r="CB171" s="144">
        <f>(RAC_SNS*10^-3*(Table7[[#This Row],[IOUT (A)]]*Vbat/VACnom)^2/10^-3)</f>
        <v>16.087695312499999</v>
      </c>
      <c r="CC171" s="144">
        <f>(RBAT_SNS*10^-3*Table7[[#This Row],[IOUT (A)]]^2)/10^-3</f>
        <v>11.25</v>
      </c>
      <c r="CD171" s="144">
        <f>IF(VACnom&gt;Vbat,(L_DRC*10^-3*(Table7[[#This Row],[IOUT (A)]])^2/10^-3),(L_DRC*10^-3*(Table7[[#This Row],[IOUT (A)]]*Vbat/VACnom)^2/10^-3))</f>
        <v>10.939632812499999</v>
      </c>
      <c r="CE171" s="152"/>
      <c r="CF171" s="145">
        <f>(Table7[[#This Row],[R_AC (mW)]]+Table7[[#This Row],[R_SR (mW)]]+Table7[[#This Row],[Inductor Loss (mW)]])/10^3</f>
        <v>3.8277328124999996E-2</v>
      </c>
      <c r="CG171" s="145" t="e">
        <f ca="1">Table7[[#This Row],[Total TI (mW)]]/10^3</f>
        <v>#NAME?</v>
      </c>
      <c r="CH171" s="145" t="e">
        <f ca="1">Table7[[#This Row],[Total Sense Loss]]+Table7[[#This Row],[Total MOSFET Loss]]</f>
        <v>#NAME?</v>
      </c>
      <c r="CI171" s="149" t="e">
        <f ca="1">IF(Table7[[#This Row],[POUT (W)]]=0,0,(Table7[[#This Row],[POUT (W)]])/(Table7[[#This Row],[POUT (W)]]+Table7[[#This Row],[Total Power Loss (W)]]))*100</f>
        <v>#NAME?</v>
      </c>
      <c r="CJ171" s="153"/>
      <c r="CK171" s="145">
        <f>(Table7[[#This Row],[R_AC (mW)]]+Table7[[#This Row],[R_SR (mW)]]+Table7[[#This Row],[Inductor Loss (mW)]])/10^3</f>
        <v>3.8277328124999996E-2</v>
      </c>
      <c r="CL171" s="145" t="e">
        <f ca="1">Table7[[#This Row],[Total (mW) C]]/10^3</f>
        <v>#NAME?</v>
      </c>
      <c r="CM171" s="145" t="e">
        <f ca="1">Table7[[#This Row],[Total Sense Loss C]]+Table7[[#This Row],[Total MOSFET Loss C]]</f>
        <v>#NAME?</v>
      </c>
      <c r="CN171" s="149" t="e">
        <f ca="1">IF(Table7[[#This Row],[POUT (W)]]=0,0,(Table7[[#This Row],[POUT (W)]])/(Table7[[#This Row],[POUT (W)]]+Table7[[#This Row],[Total Power Loss (W) C]]))*100</f>
        <v>#NAME?</v>
      </c>
      <c r="CO171" s="153"/>
      <c r="CP171" s="149">
        <f>IF(MOSFET_S=Custom_MOSFET,Table7[[#This Row],[Total Sense Loss C]],Table7[[#This Row],[Total Sense Loss]])</f>
        <v>3.8277328124999996E-2</v>
      </c>
      <c r="CQ171" s="149" t="e">
        <f ca="1">IF(MOSFET_S=Custom_MOSFET,Table7[[#This Row],[Total MOSFET Loss C]],Table7[[#This Row],[Total MOSFET Loss]])</f>
        <v>#NAME?</v>
      </c>
      <c r="CR171" s="149" t="e">
        <f ca="1">IF(MOSFET_S=Custom_MOSFET,Table7[[#This Row],[Efficiency C]],Table7[[#This Row],[Efficiency]])</f>
        <v>#NAME?</v>
      </c>
      <c r="CS171" s="153"/>
      <c r="CT171" s="149">
        <f>IF(MOSFET_S=Compare_MOSFET, Table7[[#This Row],[Total Sense Loss C]], -100)</f>
        <v>-100</v>
      </c>
      <c r="CU171" s="149">
        <f>IF(MOSFET_S=Compare_MOSFET, Table7[[#This Row],[Total MOSFET Loss C]], -100)</f>
        <v>-100</v>
      </c>
      <c r="CV171" s="149">
        <f>IF(MOSFET_S=Compare_MOSFET, Table7[[#This Row],[Efficiency C]], -100)</f>
        <v>-100</v>
      </c>
      <c r="CW171" s="153"/>
      <c r="CX171" s="149">
        <f ca="1">IF(Save_Sel=CLR_Save,  Table7[[#This Row],[Total Sense Loss P1]], Table7[[#This Row],[Total Sense Loss P1 Saved]])</f>
        <v>3.2097656250000002E-2</v>
      </c>
      <c r="CY171" s="149">
        <f ca="1">IF(Save_Sel=CLR_Save,  Table7[[#This Row],[Total MOSFET Loss P1]], Table7[[#This Row],[Total MOSFET Loss P1 Saved]] )</f>
        <v>1.5463397225844857</v>
      </c>
      <c r="CZ171" s="149">
        <f ca="1">IF(Save_Sel=CLR_Save, Table7[[#This Row],[Efficiency P1]], Table7[[#This Row],[Efficiency P1 Saved]])</f>
        <v>85.078728338529004</v>
      </c>
      <c r="DA171" s="153"/>
      <c r="DB171" s="149">
        <f ca="1">IF(Save_Sel=CLR_Save,  Table7[[#This Row],[Total Sense Loss P2]], Table7[[#This Row],[Total Sense Loss P2 Saved]])</f>
        <v>3.2097656250000002E-2</v>
      </c>
      <c r="DC171" s="149">
        <f ca="1">IF(Save_Sel=CLR_Save,  Table7[[#This Row],[Total MOSFET Loss P2]], Table7[[#This Row],[Total MOSFET Loss P2 Saved]] )</f>
        <v>1.02204181076616</v>
      </c>
      <c r="DD171" s="149">
        <f ca="1">IF(Save_Sel=CLR_Save, Table7[[#This Row],[Efficiency P2]], Table7[[#This Row],[Efficiency P2 Saved]])</f>
        <v>89.515368565610274</v>
      </c>
      <c r="DE171" s="153"/>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row>
    <row r="172" spans="1:165" x14ac:dyDescent="0.2">
      <c r="A172" s="48">
        <v>13</v>
      </c>
      <c r="B172" s="49"/>
      <c r="C172" s="49"/>
      <c r="D172" s="32" t="s">
        <v>137</v>
      </c>
      <c r="E172" s="66" t="e">
        <f t="shared" ca="1" si="20"/>
        <v>#REF!</v>
      </c>
      <c r="F172" s="66" t="e">
        <f t="shared" ca="1" si="21"/>
        <v>#REF!</v>
      </c>
      <c r="G172" s="42" t="s">
        <v>1</v>
      </c>
      <c r="H172" s="29"/>
      <c r="I172" s="48">
        <v>13</v>
      </c>
      <c r="J172" s="29"/>
      <c r="K172" s="49"/>
      <c r="L172" s="49"/>
      <c r="M172" s="32" t="s">
        <v>137</v>
      </c>
      <c r="N172" s="117">
        <f t="shared" si="18"/>
        <v>0.8</v>
      </c>
      <c r="O172" s="117">
        <f t="shared" si="19"/>
        <v>0.8</v>
      </c>
      <c r="P172" s="42" t="s">
        <v>1</v>
      </c>
      <c r="Q172" s="29"/>
      <c r="R172" s="29"/>
      <c r="S172" s="30"/>
      <c r="T172" s="18"/>
      <c r="U172" s="19"/>
      <c r="V172" s="19"/>
      <c r="W172" s="19"/>
      <c r="X172" s="19"/>
      <c r="Y172" s="19"/>
      <c r="Z172" s="19"/>
      <c r="AA172" s="19"/>
      <c r="AB172" s="19"/>
      <c r="AC172" s="19"/>
      <c r="AD172" s="19"/>
      <c r="AE172" s="19"/>
      <c r="AF172" s="143">
        <f t="shared" si="17"/>
        <v>16</v>
      </c>
      <c r="AG172" s="143">
        <f t="shared" si="16"/>
        <v>1.6</v>
      </c>
      <c r="AH172" s="144">
        <f t="shared" si="3"/>
        <v>38.400000000000006</v>
      </c>
      <c r="AI172" s="145">
        <f t="shared" si="4"/>
        <v>0.16376306620209058</v>
      </c>
      <c r="AJ172" s="145">
        <f t="shared" si="5"/>
        <v>1.9133333333333333</v>
      </c>
      <c r="AK172" s="145" t="e">
        <f t="shared" si="6"/>
        <v>#NAME?</v>
      </c>
      <c r="AL172" s="145" t="e">
        <f t="shared" si="7"/>
        <v>#NAME?</v>
      </c>
      <c r="AM172" s="146"/>
      <c r="AN172" s="145" t="e">
        <f>MAX(0,Table7[[#This Row],[I_L]]-0.5*Table7[[#This Row],[I_L pkpk]])</f>
        <v>#NAME?</v>
      </c>
      <c r="AO172" s="145" t="e">
        <f>Table7[[#This Row],[I_L]]+0.5*Table7[[#This Row],[I_L pkpk]]</f>
        <v>#NAME?</v>
      </c>
      <c r="AP172" s="145" t="e">
        <f ca="1">IF(VACnom&gt;Vbat, (VGS_S-(TI_MOSFET_S_VTH_H_BU+Table7[[#This Row],[I_L]]/TI_MOSFET_S_gFS_H_BU))/3.4, (VGS_S-(TI_MOSFET_S_VTH_L_BO+Table7[[#This Row],[I_L]]/TI_MOSFET_S_gFS_L_BO))/3.4 )</f>
        <v>#REF!</v>
      </c>
      <c r="AQ172" s="145" t="e">
        <f ca="1">IF(VACnom&gt;Vbat, ((TI_MOSFET_S_VTH_H_BU+Table7[[#This Row],[I_L]]/TI_MOSFET_S_gFS_H_BU))/1, ((TI_MOSFET_S_VTH_L_BO+Table7[[#This Row],[I_L]]/TI_MOSFET_S_gFS_L_BO))/1 )</f>
        <v>#REF!</v>
      </c>
      <c r="AR172" s="145" t="e">
        <f ca="1">IF(VACnom&gt;Vbat, (TI_MOSFET_S_QGD_H_BU+TI_MOSFET_S_QGS_H_BU)*10^-9/Table7[[#This Row],[Ion (A)]], (TI_MOSFET_S_QGD_L_BO+TI_MOSFET_S_QGS_L_BO)*10^-9/Table7[[#This Row],[Ion (A)]])/10^-9</f>
        <v>#REF!</v>
      </c>
      <c r="AS172" s="145" t="e">
        <f ca="1">IF(VACnom&gt;Vbat, (TI_MOSFET_S_QGD_H_BU+TI_MOSFET_S_QGS_H_BU)*10^-9/Table7[[#This Row],[Ioff (A)]], (TI_MOSFET_S_QGD_L_BO+TI_MOSFET_S_QGS_L_BO)*10^-9/Table7[[#This Row],[Ioff (A)]])/10^-9</f>
        <v>#REF!</v>
      </c>
      <c r="AT172" s="145" t="e">
        <f ca="1" xml:space="preserve"> 0.5*VACnom*Table7[[#This Row],[Ivalley (A)]]*Table7[[#This Row],[ton (ns)]]*10^-9*Fsw*10^3+0.5*VACnom*Table7[[#This Row],[Ipeak (A)]]*Table7[[#This Row],[toff (ns)]]*10^-9*Fsw*10^3/10^-3</f>
        <v>#NAME?</v>
      </c>
      <c r="AU172" s="145" t="e">
        <f t="shared" ca="1" si="8"/>
        <v>#REF!</v>
      </c>
      <c r="AV172" s="145" t="e">
        <f t="shared" ca="1" si="9"/>
        <v>#REF!</v>
      </c>
      <c r="AW172" s="145" t="e">
        <f t="shared" ca="1" si="10"/>
        <v>#REF!</v>
      </c>
      <c r="AX172" s="145" t="e">
        <f ca="1">IF(VACnom&gt;Vbat, TI_MOSFET_S_VSD_L_BU*Table7[[#This Row],[Ivalley (A)]]*Fsw*10^3*40*10^-9+TI_MOSFET_S_VSD_L_BU*Table7[[#This Row],[Ipeak (A)]]*Fsw*10^3*30*10^-9, TI_MOSFET_S_VSD_H_BO*Table7[[#This Row],[Ivalley (A)]]*Fsw*10^3*40*10^-9+TI_MOSFET_S_VSD_H_BO*Table7[[#This Row],[Ipeak (A)]]*Fsw*10^3*30*10^-9)/10^-3</f>
        <v>#REF!</v>
      </c>
      <c r="AY172" s="145" t="e">
        <f t="shared" ca="1" si="11"/>
        <v>#REF!</v>
      </c>
      <c r="AZ172" s="145" t="e">
        <f ca="1">IF(VACnom&lt;Vbat, Table7[[#This Row],[Duty Cycle]]*Table7[[#This Row],[I_L RMS]]^2*TI_MOSFET_S_RDSON_H_BU*10^-3, (1-Table7[[#This Row],[Duty Cycle]])*Table7[[#This Row],[I_L RMS]]^2*TI_MOSFET_S_RDSON_H_BO*10^-3)/10^-3</f>
        <v>#NAME?</v>
      </c>
      <c r="BA172" s="145" t="e">
        <f ca="1">IF(VACnom&gt;Vbat, Table7[[#This Row],[PIV (mW)]]+Table7[[#This Row],[Pqoss (mW)]]+Table7[[#This Row],[Pgate_top (mW)]], Table7[[#This Row],[PRR (mW)]]+Table7[[#This Row],[Pdead (mW)]]+Table7[[#This Row],[Pgate_top (mW)]])</f>
        <v>#REF!</v>
      </c>
      <c r="BB172" s="145" t="e">
        <f ca="1">Table7[[#This Row],[Pcon_top (mW)]]+Table7[[#This Row],[Psw_top (mW)]]</f>
        <v>#NAME?</v>
      </c>
      <c r="BC172" s="145" t="e">
        <f ca="1">IF(VACnom&gt;Vbat, (1-Table7[[#This Row],[Duty Cycle]])*Table7[[#This Row],[I_L RMS]]^2*TI_MOSFET_S_RDSON_L_BU*10^-3, Table7[[#This Row],[Duty Cycle]]*Table7[[#This Row],[I_L RMS]]^2*TI_MOSFET_S_RDSON_L_BO*10^-3)/10^-3</f>
        <v>#NAME?</v>
      </c>
      <c r="BD172" s="145" t="e">
        <f ca="1">IF(VACnom&gt;Vbat, Table7[[#This Row],[PRR (mW)]]+Table7[[#This Row],[Pdead (mW)]]+Table7[[#This Row],[Pgate_bottom (mW)]], Table7[[#This Row],[PIV (mW)]]+Table7[[#This Row],[Pqoss (mW)]]+Table7[[#This Row],[Pgate_bottom (mW)]])</f>
        <v>#NAME?</v>
      </c>
      <c r="BE172" s="147" t="e">
        <f ca="1">Table7[[#This Row],[Pcon_bottom (mW)]]+Table7[[#This Row],[Psw_bottom (mW)]]</f>
        <v>#NAME?</v>
      </c>
      <c r="BF172" s="145" t="e">
        <f ca="1">Table7[[#This Row],[Pbottom (mW)]]+Table7[[#This Row],[Ptop (mW)]]</f>
        <v>#NAME?</v>
      </c>
      <c r="BG172" s="142"/>
      <c r="BH172" s="145" t="e">
        <f>MAX(0,Table7[[#This Row],[I_L]]-0.5*Table7[[#This Row],[I_L pkpk]])</f>
        <v>#NAME?</v>
      </c>
      <c r="BI172" s="145" t="e">
        <f>Table7[[#This Row],[I_L]]+0.5*Table7[[#This Row],[I_L pkpk]]</f>
        <v>#NAME?</v>
      </c>
      <c r="BJ172" s="145">
        <f>IF(VACnom&gt;Vbat, (VGS_S-(C_MOSFET_S_VTH_H_BU+Table7[[#This Row],[I_L]]/C_MOSFET_S_gFS_H_BU))/3.4, (VGS_S-(C_MOSFET_S_VTH_L_BO+Table7[[#This Row],[I_L]]/C_MOSFET_S_gFS_L_BO))/3.4 )</f>
        <v>2.3491895424836602</v>
      </c>
      <c r="BK172" s="145">
        <f>IF(VACnom&gt;Vbat, ((C_MOSFET_S_VTH_H_BU+Table7[[#This Row],[I_L]]/C_MOSFET_S_gFS_H_BU))/1, ((C_MOSFET_S_VTH_L_BO+Table7[[#This Row],[I_L]]/C_MOSFET_S_gFS_L_BO))/1 )</f>
        <v>2.0127555555555556</v>
      </c>
      <c r="BL172" s="145">
        <f>IF(VACnom&gt;Vbat, (C_MOSFET_S_QGD_H_BU+C_MOSFET_S_QGS_H_BU)*10^-9/Table7[[#This Row],[Ion (A) C]], (C_MOSFET_S_QGD_L_BO+C_MOSFET_S_QGS_L_BO)*10^-9/Table7[[#This Row],[Ion (A) C]])/10^-9</f>
        <v>2.7669116869675539</v>
      </c>
      <c r="BM172" s="145">
        <f>IF(VACnom&gt;Vbat, (C_MOSFET_S_QGD_H_BU+C_MOSFET_S_QGS_H_BU)*10^-9/Table7[[#This Row],[Ioff (A) C]], (C_MOSFET_S_QGD_L_BO+C_MOSFET_S_QGS_L_BO)*10^-9/Table7[[#This Row],[Ioff (A) C]])/10^-9</f>
        <v>3.2294035816017841</v>
      </c>
      <c r="BN172" s="145" t="e">
        <f xml:space="preserve"> 0.5*VACnom*Table7[[#This Row],[Ivalley (A) C]]*Table7[[#This Row],[ton (ns) C]]*10^-9*Fsw*10^3+0.5*VACnom*Table7[[#This Row],[Ipeak (A) C]]*Table7[[#This Row],[toff (ns) C]]*10^-9*Fsw*10^3/10^-3</f>
        <v>#NAME?</v>
      </c>
      <c r="BO172" s="145">
        <f t="shared" si="12"/>
        <v>259.2</v>
      </c>
      <c r="BP172" s="145" t="e">
        <f t="shared" ca="1" si="13"/>
        <v>#REF!</v>
      </c>
      <c r="BQ172" s="145">
        <f t="shared" si="14"/>
        <v>475.2</v>
      </c>
      <c r="BR172" s="145" t="e">
        <f>IF(VACnom&gt;Vbat, C_MOSFET_S_VSD_L_BU*Table7[[#This Row],[Ivalley (A) C]]*Fsw*10^3*40*10^-9+C_MOSFET_S_VSD_L_BU*Table7[[#This Row],[Ipeak (A) C]]*Fsw*10^3*30*10^-9, C_MOSFET_S_VSD_H_BO*Table7[[#This Row],[Ivalley (A) C]]*Fsw*10^3*40*10^-9+C_MOSFET_S_VSD_H_BO*Table7[[#This Row],[Ipeak (A) C]]*Fsw*10^3*30*10^-9)/10^-3</f>
        <v>#NAME?</v>
      </c>
      <c r="BS172" s="145" t="e">
        <f t="shared" ca="1" si="15"/>
        <v>#REF!</v>
      </c>
      <c r="BT172" s="145" t="e">
        <f>IF(VACnom&lt;Vbat, Table7[[#This Row],[Duty Cycle]]*Table7[[#This Row],[I_L RMS]]^2*C_MOSFET_S_RDSON_H_BU*10^-3, (1-Table7[[#This Row],[Duty Cycle]])*Table7[[#This Row],[I_L RMS]]^2*C_MOSFET_S_RDSON_H_BO*10^-3)/10^-3</f>
        <v>#NAME?</v>
      </c>
      <c r="BU172" s="145" t="e">
        <f ca="1">IF(VACnom&gt;Vbat, Table7[[#This Row],[PIV (mW) C]]+Table7[[#This Row],[PQoss (mW) C]]+Table7[[#This Row],[Pgate_top (mW) C]], Table7[[#This Row],[PRR (mW) C]]+Table7[[#This Row],[Pdead (mW) C]]+Table7[[#This Row],[Pgate_top (mW) C]])</f>
        <v>#NAME?</v>
      </c>
      <c r="BV172" s="145" t="e">
        <f ca="1">Table7[[#This Row],[Pcon_top (mW) C]]+Table7[[#This Row],[Psw_top (mW) C]]</f>
        <v>#NAME?</v>
      </c>
      <c r="BW172" s="145" t="e">
        <f ca="1">IF(VACnom&gt;Vbat, (1-Table7[[#This Row],[Duty Cycle]])*Table7[[#This Row],[I_L RMS]]^2*C_MOSFET_S_RDSON_L_BU*10^-3, Table7[[#This Row],[Duty Cycle]]*Table7[[#This Row],[I_L RMS]]^2*C_MOSFET_S_RDSON_L_BO*10^-3)/10^-3</f>
        <v>#NAME?</v>
      </c>
      <c r="BX172" s="145" t="e">
        <f ca="1">IF(VACnom&gt;Vbat, Table7[[#This Row],[PRR (mW) C]]+Table7[[#This Row],[Pdead (mW) C]]+Table7[[#This Row],[Pgate_bottom (mW) C]], Table7[[#This Row],[PIV (mW) C]]+Table7[[#This Row],[PQoss (mW) C]]+Table7[[#This Row],[Pgate_bottom (mW) C]])</f>
        <v>#NAME?</v>
      </c>
      <c r="BY172" s="145" t="e">
        <f ca="1">Table7[[#This Row],[Pcon_bottom (mW) C]]+Table7[[#This Row],[Psw_bottom (mV) C]]</f>
        <v>#NAME?</v>
      </c>
      <c r="BZ172" s="145" t="e">
        <f ca="1">Table7[[#This Row],[Pbottom (mW) C]]+Table7[[#This Row],[Ptop (mW) C]]</f>
        <v>#NAME?</v>
      </c>
      <c r="CA172" s="148"/>
      <c r="CB172" s="144">
        <f>(RAC_SNS*10^-3*(Table7[[#This Row],[IOUT (A)]]*Vbat/VACnom)^2/10^-3)</f>
        <v>18.304222222222222</v>
      </c>
      <c r="CC172" s="144">
        <f>(RBAT_SNS*10^-3*Table7[[#This Row],[IOUT (A)]]^2)/10^-3</f>
        <v>12.800000000000002</v>
      </c>
      <c r="CD172" s="144">
        <f>IF(VACnom&gt;Vbat,(L_DRC*10^-3*(Table7[[#This Row],[IOUT (A)]])^2/10^-3),(L_DRC*10^-3*(Table7[[#This Row],[IOUT (A)]]*Vbat/VACnom)^2/10^-3))</f>
        <v>12.446871111111109</v>
      </c>
      <c r="CE172" s="152"/>
      <c r="CF172" s="145">
        <f>(Table7[[#This Row],[R_AC (mW)]]+Table7[[#This Row],[R_SR (mW)]]+Table7[[#This Row],[Inductor Loss (mW)]])/10^3</f>
        <v>4.3551093333333332E-2</v>
      </c>
      <c r="CG172" s="145" t="e">
        <f ca="1">Table7[[#This Row],[Total TI (mW)]]/10^3</f>
        <v>#NAME?</v>
      </c>
      <c r="CH172" s="145" t="e">
        <f ca="1">Table7[[#This Row],[Total Sense Loss]]+Table7[[#This Row],[Total MOSFET Loss]]</f>
        <v>#NAME?</v>
      </c>
      <c r="CI172" s="149" t="e">
        <f ca="1">IF(Table7[[#This Row],[POUT (W)]]=0,0,(Table7[[#This Row],[POUT (W)]])/(Table7[[#This Row],[POUT (W)]]+Table7[[#This Row],[Total Power Loss (W)]]))*100</f>
        <v>#NAME?</v>
      </c>
      <c r="CJ172" s="153"/>
      <c r="CK172" s="145">
        <f>(Table7[[#This Row],[R_AC (mW)]]+Table7[[#This Row],[R_SR (mW)]]+Table7[[#This Row],[Inductor Loss (mW)]])/10^3</f>
        <v>4.3551093333333332E-2</v>
      </c>
      <c r="CL172" s="145" t="e">
        <f ca="1">Table7[[#This Row],[Total (mW) C]]/10^3</f>
        <v>#NAME?</v>
      </c>
      <c r="CM172" s="145" t="e">
        <f ca="1">Table7[[#This Row],[Total Sense Loss C]]+Table7[[#This Row],[Total MOSFET Loss C]]</f>
        <v>#NAME?</v>
      </c>
      <c r="CN172" s="149" t="e">
        <f ca="1">IF(Table7[[#This Row],[POUT (W)]]=0,0,(Table7[[#This Row],[POUT (W)]])/(Table7[[#This Row],[POUT (W)]]+Table7[[#This Row],[Total Power Loss (W) C]]))*100</f>
        <v>#NAME?</v>
      </c>
      <c r="CO172" s="153"/>
      <c r="CP172" s="149">
        <f>IF(MOSFET_S=Custom_MOSFET,Table7[[#This Row],[Total Sense Loss C]],Table7[[#This Row],[Total Sense Loss]])</f>
        <v>4.3551093333333332E-2</v>
      </c>
      <c r="CQ172" s="149" t="e">
        <f ca="1">IF(MOSFET_S=Custom_MOSFET,Table7[[#This Row],[Total MOSFET Loss C]],Table7[[#This Row],[Total MOSFET Loss]])</f>
        <v>#NAME?</v>
      </c>
      <c r="CR172" s="149" t="e">
        <f ca="1">IF(MOSFET_S=Custom_MOSFET,Table7[[#This Row],[Efficiency C]],Table7[[#This Row],[Efficiency]])</f>
        <v>#NAME?</v>
      </c>
      <c r="CS172" s="153"/>
      <c r="CT172" s="149">
        <f>IF(MOSFET_S=Compare_MOSFET, Table7[[#This Row],[Total Sense Loss C]], -100)</f>
        <v>-100</v>
      </c>
      <c r="CU172" s="149">
        <f>IF(MOSFET_S=Compare_MOSFET, Table7[[#This Row],[Total MOSFET Loss C]], -100)</f>
        <v>-100</v>
      </c>
      <c r="CV172" s="149">
        <f>IF(MOSFET_S=Compare_MOSFET, Table7[[#This Row],[Efficiency C]], -100)</f>
        <v>-100</v>
      </c>
      <c r="CW172" s="153"/>
      <c r="CX172" s="149">
        <f ca="1">IF(Save_Sel=CLR_Save,  Table7[[#This Row],[Total Sense Loss P1]], Table7[[#This Row],[Total Sense Loss P1 Saved]])</f>
        <v>3.6520000000000011E-2</v>
      </c>
      <c r="CY172" s="149">
        <f ca="1">IF(Save_Sel=CLR_Save,  Table7[[#This Row],[Total MOSFET Loss P1]], Table7[[#This Row],[Total MOSFET Loss P1 Saved]] )</f>
        <v>1.5548323029816116</v>
      </c>
      <c r="CZ172" s="149">
        <f ca="1">IF(Save_Sel=CLR_Save, Table7[[#This Row],[Efficiency P1]], Table7[[#This Row],[Efficiency P1 Saved]])</f>
        <v>85.780518208173632</v>
      </c>
      <c r="DA172" s="153"/>
      <c r="DB172" s="149">
        <f ca="1">IF(Save_Sel=CLR_Save,  Table7[[#This Row],[Total Sense Loss P2]], Table7[[#This Row],[Total Sense Loss P2 Saved]])</f>
        <v>3.6520000000000011E-2</v>
      </c>
      <c r="DC172" s="149">
        <f ca="1">IF(Save_Sel=CLR_Save,  Table7[[#This Row],[Total MOSFET Loss P2]], Table7[[#This Row],[Total MOSFET Loss P2 Saved]] )</f>
        <v>1.0272336018680668</v>
      </c>
      <c r="DD172" s="149">
        <f ca="1">IF(Save_Sel=CLR_Save, Table7[[#This Row],[Efficiency P2]], Table7[[#This Row],[Efficiency P2 Saved]])</f>
        <v>90.024585698588169</v>
      </c>
      <c r="DE172" s="153"/>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row>
    <row r="173" spans="1:165" x14ac:dyDescent="0.2">
      <c r="A173" s="48">
        <v>14</v>
      </c>
      <c r="B173" s="49"/>
      <c r="C173" s="49"/>
      <c r="D173" s="32" t="s">
        <v>138</v>
      </c>
      <c r="E173" s="39"/>
      <c r="F173" s="66" t="e">
        <f t="shared" ca="1" si="21"/>
        <v>#REF!</v>
      </c>
      <c r="G173" s="42" t="s">
        <v>23</v>
      </c>
      <c r="H173" s="29"/>
      <c r="I173" s="48">
        <v>14</v>
      </c>
      <c r="J173" s="29"/>
      <c r="K173" s="49"/>
      <c r="L173" s="49"/>
      <c r="M173" s="32" t="s">
        <v>138</v>
      </c>
      <c r="N173" s="49"/>
      <c r="O173" s="117">
        <f t="shared" si="19"/>
        <v>63</v>
      </c>
      <c r="P173" s="42" t="s">
        <v>23</v>
      </c>
      <c r="Q173" s="29"/>
      <c r="R173" s="29"/>
      <c r="S173" s="30"/>
      <c r="T173" s="18"/>
      <c r="U173" s="19"/>
      <c r="V173" s="19"/>
      <c r="W173" s="19"/>
      <c r="X173" s="19"/>
      <c r="Y173" s="19"/>
      <c r="Z173" s="19"/>
      <c r="AA173" s="19"/>
      <c r="AB173" s="19"/>
      <c r="AC173" s="19"/>
      <c r="AD173" s="19"/>
      <c r="AE173" s="19"/>
      <c r="AF173" s="143">
        <f t="shared" si="17"/>
        <v>17</v>
      </c>
      <c r="AG173" s="143">
        <f t="shared" si="16"/>
        <v>1.7</v>
      </c>
      <c r="AH173" s="144">
        <f t="shared" si="3"/>
        <v>40.799999999999997</v>
      </c>
      <c r="AI173" s="145">
        <f t="shared" si="4"/>
        <v>0.16376306620209058</v>
      </c>
      <c r="AJ173" s="145">
        <f t="shared" si="5"/>
        <v>2.0329166666666665</v>
      </c>
      <c r="AK173" s="145" t="e">
        <f t="shared" si="6"/>
        <v>#NAME?</v>
      </c>
      <c r="AL173" s="145" t="e">
        <f t="shared" si="7"/>
        <v>#NAME?</v>
      </c>
      <c r="AM173" s="146"/>
      <c r="AN173" s="145" t="e">
        <f>MAX(0,Table7[[#This Row],[I_L]]-0.5*Table7[[#This Row],[I_L pkpk]])</f>
        <v>#NAME?</v>
      </c>
      <c r="AO173" s="145" t="e">
        <f>Table7[[#This Row],[I_L]]+0.5*Table7[[#This Row],[I_L pkpk]]</f>
        <v>#NAME?</v>
      </c>
      <c r="AP173" s="145" t="e">
        <f ca="1">IF(VACnom&gt;Vbat, (VGS_S-(TI_MOSFET_S_VTH_H_BU+Table7[[#This Row],[I_L]]/TI_MOSFET_S_gFS_H_BU))/3.4, (VGS_S-(TI_MOSFET_S_VTH_L_BO+Table7[[#This Row],[I_L]]/TI_MOSFET_S_gFS_L_BO))/3.4 )</f>
        <v>#REF!</v>
      </c>
      <c r="AQ173" s="145" t="e">
        <f ca="1">IF(VACnom&gt;Vbat, ((TI_MOSFET_S_VTH_H_BU+Table7[[#This Row],[I_L]]/TI_MOSFET_S_gFS_H_BU))/1, ((TI_MOSFET_S_VTH_L_BO+Table7[[#This Row],[I_L]]/TI_MOSFET_S_gFS_L_BO))/1 )</f>
        <v>#REF!</v>
      </c>
      <c r="AR173" s="145" t="e">
        <f ca="1">IF(VACnom&gt;Vbat, (TI_MOSFET_S_QGD_H_BU+TI_MOSFET_S_QGS_H_BU)*10^-9/Table7[[#This Row],[Ion (A)]], (TI_MOSFET_S_QGD_L_BO+TI_MOSFET_S_QGS_L_BO)*10^-9/Table7[[#This Row],[Ion (A)]])/10^-9</f>
        <v>#REF!</v>
      </c>
      <c r="AS173" s="145" t="e">
        <f ca="1">IF(VACnom&gt;Vbat, (TI_MOSFET_S_QGD_H_BU+TI_MOSFET_S_QGS_H_BU)*10^-9/Table7[[#This Row],[Ioff (A)]], (TI_MOSFET_S_QGD_L_BO+TI_MOSFET_S_QGS_L_BO)*10^-9/Table7[[#This Row],[Ioff (A)]])/10^-9</f>
        <v>#REF!</v>
      </c>
      <c r="AT173" s="145" t="e">
        <f ca="1" xml:space="preserve"> 0.5*VACnom*Table7[[#This Row],[Ivalley (A)]]*Table7[[#This Row],[ton (ns)]]*10^-9*Fsw*10^3+0.5*VACnom*Table7[[#This Row],[Ipeak (A)]]*Table7[[#This Row],[toff (ns)]]*10^-9*Fsw*10^3/10^-3</f>
        <v>#NAME?</v>
      </c>
      <c r="AU173" s="145" t="e">
        <f t="shared" ca="1" si="8"/>
        <v>#REF!</v>
      </c>
      <c r="AV173" s="145" t="e">
        <f t="shared" ca="1" si="9"/>
        <v>#REF!</v>
      </c>
      <c r="AW173" s="145" t="e">
        <f t="shared" ca="1" si="10"/>
        <v>#REF!</v>
      </c>
      <c r="AX173" s="145" t="e">
        <f ca="1">IF(VACnom&gt;Vbat, TI_MOSFET_S_VSD_L_BU*Table7[[#This Row],[Ivalley (A)]]*Fsw*10^3*40*10^-9+TI_MOSFET_S_VSD_L_BU*Table7[[#This Row],[Ipeak (A)]]*Fsw*10^3*30*10^-9, TI_MOSFET_S_VSD_H_BO*Table7[[#This Row],[Ivalley (A)]]*Fsw*10^3*40*10^-9+TI_MOSFET_S_VSD_H_BO*Table7[[#This Row],[Ipeak (A)]]*Fsw*10^3*30*10^-9)/10^-3</f>
        <v>#REF!</v>
      </c>
      <c r="AY173" s="145" t="e">
        <f t="shared" ca="1" si="11"/>
        <v>#REF!</v>
      </c>
      <c r="AZ173" s="145" t="e">
        <f ca="1">IF(VACnom&lt;Vbat, Table7[[#This Row],[Duty Cycle]]*Table7[[#This Row],[I_L RMS]]^2*TI_MOSFET_S_RDSON_H_BU*10^-3, (1-Table7[[#This Row],[Duty Cycle]])*Table7[[#This Row],[I_L RMS]]^2*TI_MOSFET_S_RDSON_H_BO*10^-3)/10^-3</f>
        <v>#NAME?</v>
      </c>
      <c r="BA173" s="145" t="e">
        <f ca="1">IF(VACnom&gt;Vbat, Table7[[#This Row],[PIV (mW)]]+Table7[[#This Row],[Pqoss (mW)]]+Table7[[#This Row],[Pgate_top (mW)]], Table7[[#This Row],[PRR (mW)]]+Table7[[#This Row],[Pdead (mW)]]+Table7[[#This Row],[Pgate_top (mW)]])</f>
        <v>#REF!</v>
      </c>
      <c r="BB173" s="145" t="e">
        <f ca="1">Table7[[#This Row],[Pcon_top (mW)]]+Table7[[#This Row],[Psw_top (mW)]]</f>
        <v>#NAME?</v>
      </c>
      <c r="BC173" s="145" t="e">
        <f ca="1">IF(VACnom&gt;Vbat, (1-Table7[[#This Row],[Duty Cycle]])*Table7[[#This Row],[I_L RMS]]^2*TI_MOSFET_S_RDSON_L_BU*10^-3, Table7[[#This Row],[Duty Cycle]]*Table7[[#This Row],[I_L RMS]]^2*TI_MOSFET_S_RDSON_L_BO*10^-3)/10^-3</f>
        <v>#NAME?</v>
      </c>
      <c r="BD173" s="145" t="e">
        <f ca="1">IF(VACnom&gt;Vbat, Table7[[#This Row],[PRR (mW)]]+Table7[[#This Row],[Pdead (mW)]]+Table7[[#This Row],[Pgate_bottom (mW)]], Table7[[#This Row],[PIV (mW)]]+Table7[[#This Row],[Pqoss (mW)]]+Table7[[#This Row],[Pgate_bottom (mW)]])</f>
        <v>#NAME?</v>
      </c>
      <c r="BE173" s="147" t="e">
        <f ca="1">Table7[[#This Row],[Pcon_bottom (mW)]]+Table7[[#This Row],[Psw_bottom (mW)]]</f>
        <v>#NAME?</v>
      </c>
      <c r="BF173" s="145" t="e">
        <f ca="1">Table7[[#This Row],[Pbottom (mW)]]+Table7[[#This Row],[Ptop (mW)]]</f>
        <v>#NAME?</v>
      </c>
      <c r="BG173" s="142"/>
      <c r="BH173" s="145" t="e">
        <f>MAX(0,Table7[[#This Row],[I_L]]-0.5*Table7[[#This Row],[I_L pkpk]])</f>
        <v>#NAME?</v>
      </c>
      <c r="BI173" s="145" t="e">
        <f>Table7[[#This Row],[I_L]]+0.5*Table7[[#This Row],[I_L pkpk]]</f>
        <v>#NAME?</v>
      </c>
      <c r="BJ173" s="145">
        <f>IF(VACnom&gt;Vbat, (VGS_S-(C_MOSFET_S_VTH_H_BU+Table7[[#This Row],[I_L]]/C_MOSFET_S_gFS_H_BU))/3.4, (VGS_S-(C_MOSFET_S_VTH_L_BO+Table7[[#This Row],[I_L]]/C_MOSFET_S_gFS_L_BO))/3.4 )</f>
        <v>2.3489550653594771</v>
      </c>
      <c r="BK173" s="145">
        <f>IF(VACnom&gt;Vbat, ((C_MOSFET_S_VTH_H_BU+Table7[[#This Row],[I_L]]/C_MOSFET_S_gFS_H_BU))/1, ((C_MOSFET_S_VTH_L_BO+Table7[[#This Row],[I_L]]/C_MOSFET_S_gFS_L_BO))/1 )</f>
        <v>2.013552777777778</v>
      </c>
      <c r="BL173" s="145">
        <f>IF(VACnom&gt;Vbat, (C_MOSFET_S_QGD_H_BU+C_MOSFET_S_QGS_H_BU)*10^-9/Table7[[#This Row],[Ion (A) C]], (C_MOSFET_S_QGD_L_BO+C_MOSFET_S_QGS_L_BO)*10^-9/Table7[[#This Row],[Ion (A) C]])/10^-9</f>
        <v>2.7671878853098706</v>
      </c>
      <c r="BM173" s="145">
        <f>IF(VACnom&gt;Vbat, (C_MOSFET_S_QGD_H_BU+C_MOSFET_S_QGS_H_BU)*10^-9/Table7[[#This Row],[Ioff (A) C]], (C_MOSFET_S_QGD_L_BO+C_MOSFET_S_QGS_L_BO)*10^-9/Table7[[#This Row],[Ioff (A) C]])/10^-9</f>
        <v>3.2281249698225496</v>
      </c>
      <c r="BN173" s="145" t="e">
        <f xml:space="preserve"> 0.5*VACnom*Table7[[#This Row],[Ivalley (A) C]]*Table7[[#This Row],[ton (ns) C]]*10^-9*Fsw*10^3+0.5*VACnom*Table7[[#This Row],[Ipeak (A) C]]*Table7[[#This Row],[toff (ns) C]]*10^-9*Fsw*10^3/10^-3</f>
        <v>#NAME?</v>
      </c>
      <c r="BO173" s="145">
        <f t="shared" si="12"/>
        <v>259.2</v>
      </c>
      <c r="BP173" s="145" t="e">
        <f t="shared" ca="1" si="13"/>
        <v>#REF!</v>
      </c>
      <c r="BQ173" s="145">
        <f t="shared" si="14"/>
        <v>475.2</v>
      </c>
      <c r="BR173" s="145" t="e">
        <f>IF(VACnom&gt;Vbat, C_MOSFET_S_VSD_L_BU*Table7[[#This Row],[Ivalley (A) C]]*Fsw*10^3*40*10^-9+C_MOSFET_S_VSD_L_BU*Table7[[#This Row],[Ipeak (A) C]]*Fsw*10^3*30*10^-9, C_MOSFET_S_VSD_H_BO*Table7[[#This Row],[Ivalley (A) C]]*Fsw*10^3*40*10^-9+C_MOSFET_S_VSD_H_BO*Table7[[#This Row],[Ipeak (A) C]]*Fsw*10^3*30*10^-9)/10^-3</f>
        <v>#NAME?</v>
      </c>
      <c r="BS173" s="145" t="e">
        <f t="shared" ca="1" si="15"/>
        <v>#REF!</v>
      </c>
      <c r="BT173" s="145" t="e">
        <f>IF(VACnom&lt;Vbat, Table7[[#This Row],[Duty Cycle]]*Table7[[#This Row],[I_L RMS]]^2*C_MOSFET_S_RDSON_H_BU*10^-3, (1-Table7[[#This Row],[Duty Cycle]])*Table7[[#This Row],[I_L RMS]]^2*C_MOSFET_S_RDSON_H_BO*10^-3)/10^-3</f>
        <v>#NAME?</v>
      </c>
      <c r="BU173" s="145" t="e">
        <f ca="1">IF(VACnom&gt;Vbat, Table7[[#This Row],[PIV (mW) C]]+Table7[[#This Row],[PQoss (mW) C]]+Table7[[#This Row],[Pgate_top (mW) C]], Table7[[#This Row],[PRR (mW) C]]+Table7[[#This Row],[Pdead (mW) C]]+Table7[[#This Row],[Pgate_top (mW) C]])</f>
        <v>#NAME?</v>
      </c>
      <c r="BV173" s="145" t="e">
        <f ca="1">Table7[[#This Row],[Pcon_top (mW) C]]+Table7[[#This Row],[Psw_top (mW) C]]</f>
        <v>#NAME?</v>
      </c>
      <c r="BW173" s="145" t="e">
        <f ca="1">IF(VACnom&gt;Vbat, (1-Table7[[#This Row],[Duty Cycle]])*Table7[[#This Row],[I_L RMS]]^2*C_MOSFET_S_RDSON_L_BU*10^-3, Table7[[#This Row],[Duty Cycle]]*Table7[[#This Row],[I_L RMS]]^2*C_MOSFET_S_RDSON_L_BO*10^-3)/10^-3</f>
        <v>#NAME?</v>
      </c>
      <c r="BX173" s="145" t="e">
        <f ca="1">IF(VACnom&gt;Vbat, Table7[[#This Row],[PRR (mW) C]]+Table7[[#This Row],[Pdead (mW) C]]+Table7[[#This Row],[Pgate_bottom (mW) C]], Table7[[#This Row],[PIV (mW) C]]+Table7[[#This Row],[PQoss (mW) C]]+Table7[[#This Row],[Pgate_bottom (mW) C]])</f>
        <v>#NAME?</v>
      </c>
      <c r="BY173" s="145" t="e">
        <f ca="1">Table7[[#This Row],[Pcon_bottom (mW) C]]+Table7[[#This Row],[Psw_bottom (mV) C]]</f>
        <v>#NAME?</v>
      </c>
      <c r="BZ173" s="145" t="e">
        <f ca="1">Table7[[#This Row],[Pbottom (mW) C]]+Table7[[#This Row],[Ptop (mW) C]]</f>
        <v>#NAME?</v>
      </c>
      <c r="CA173" s="148"/>
      <c r="CB173" s="144">
        <f>(RAC_SNS*10^-3*(Table7[[#This Row],[IOUT (A)]]*Vbat/VACnom)^2/10^-3)</f>
        <v>20.663750868055548</v>
      </c>
      <c r="CC173" s="144">
        <f>(RBAT_SNS*10^-3*Table7[[#This Row],[IOUT (A)]]^2)/10^-3</f>
        <v>14.45</v>
      </c>
      <c r="CD173" s="144">
        <f>IF(VACnom&gt;Vbat,(L_DRC*10^-3*(Table7[[#This Row],[IOUT (A)]])^2/10^-3),(L_DRC*10^-3*(Table7[[#This Row],[IOUT (A)]]*Vbat/VACnom)^2/10^-3))</f>
        <v>14.051350590277773</v>
      </c>
      <c r="CE173" s="152"/>
      <c r="CF173" s="145">
        <f>(Table7[[#This Row],[R_AC (mW)]]+Table7[[#This Row],[R_SR (mW)]]+Table7[[#This Row],[Inductor Loss (mW)]])/10^3</f>
        <v>4.9165101458333318E-2</v>
      </c>
      <c r="CG173" s="145" t="e">
        <f ca="1">Table7[[#This Row],[Total TI (mW)]]/10^3</f>
        <v>#NAME?</v>
      </c>
      <c r="CH173" s="145" t="e">
        <f ca="1">Table7[[#This Row],[Total Sense Loss]]+Table7[[#This Row],[Total MOSFET Loss]]</f>
        <v>#NAME?</v>
      </c>
      <c r="CI173" s="149" t="e">
        <f ca="1">IF(Table7[[#This Row],[POUT (W)]]=0,0,(Table7[[#This Row],[POUT (W)]])/(Table7[[#This Row],[POUT (W)]]+Table7[[#This Row],[Total Power Loss (W)]]))*100</f>
        <v>#NAME?</v>
      </c>
      <c r="CJ173" s="153"/>
      <c r="CK173" s="145">
        <f>(Table7[[#This Row],[R_AC (mW)]]+Table7[[#This Row],[R_SR (mW)]]+Table7[[#This Row],[Inductor Loss (mW)]])/10^3</f>
        <v>4.9165101458333318E-2</v>
      </c>
      <c r="CL173" s="145" t="e">
        <f ca="1">Table7[[#This Row],[Total (mW) C]]/10^3</f>
        <v>#NAME?</v>
      </c>
      <c r="CM173" s="145" t="e">
        <f ca="1">Table7[[#This Row],[Total Sense Loss C]]+Table7[[#This Row],[Total MOSFET Loss C]]</f>
        <v>#NAME?</v>
      </c>
      <c r="CN173" s="149" t="e">
        <f ca="1">IF(Table7[[#This Row],[POUT (W)]]=0,0,(Table7[[#This Row],[POUT (W)]])/(Table7[[#This Row],[POUT (W)]]+Table7[[#This Row],[Total Power Loss (W) C]]))*100</f>
        <v>#NAME?</v>
      </c>
      <c r="CO173" s="153"/>
      <c r="CP173" s="149">
        <f>IF(MOSFET_S=Custom_MOSFET,Table7[[#This Row],[Total Sense Loss C]],Table7[[#This Row],[Total Sense Loss]])</f>
        <v>4.9165101458333318E-2</v>
      </c>
      <c r="CQ173" s="149" t="e">
        <f ca="1">IF(MOSFET_S=Custom_MOSFET,Table7[[#This Row],[Total MOSFET Loss C]],Table7[[#This Row],[Total MOSFET Loss]])</f>
        <v>#NAME?</v>
      </c>
      <c r="CR173" s="149" t="e">
        <f ca="1">IF(MOSFET_S=Custom_MOSFET,Table7[[#This Row],[Efficiency C]],Table7[[#This Row],[Efficiency]])</f>
        <v>#NAME?</v>
      </c>
      <c r="CS173" s="153"/>
      <c r="CT173" s="149">
        <f>IF(MOSFET_S=Compare_MOSFET, Table7[[#This Row],[Total Sense Loss C]], -100)</f>
        <v>-100</v>
      </c>
      <c r="CU173" s="149">
        <f>IF(MOSFET_S=Compare_MOSFET, Table7[[#This Row],[Total MOSFET Loss C]], -100)</f>
        <v>-100</v>
      </c>
      <c r="CV173" s="149">
        <f>IF(MOSFET_S=Compare_MOSFET, Table7[[#This Row],[Efficiency C]], -100)</f>
        <v>-100</v>
      </c>
      <c r="CW173" s="153"/>
      <c r="CX173" s="149">
        <f ca="1">IF(Save_Sel=CLR_Save,  Table7[[#This Row],[Total Sense Loss P1]], Table7[[#This Row],[Total Sense Loss P1 Saved]])</f>
        <v>4.1227656249999987E-2</v>
      </c>
      <c r="CY173" s="149">
        <f ca="1">IF(Save_Sel=CLR_Save,  Table7[[#This Row],[Total MOSFET Loss P1]], Table7[[#This Row],[Total MOSFET Loss P1 Saved]] )</f>
        <v>1.5633675750819072</v>
      </c>
      <c r="CZ173" s="149">
        <f ca="1">IF(Save_Sel=CLR_Save, Table7[[#This Row],[Efficiency P1]], Table7[[#This Row],[Efficiency P1 Saved]])</f>
        <v>86.407028789322908</v>
      </c>
      <c r="DA173" s="153"/>
      <c r="DB173" s="149">
        <f ca="1">IF(Save_Sel=CLR_Save,  Table7[[#This Row],[Total Sense Loss P2]], Table7[[#This Row],[Total Sense Loss P2 Saved]])</f>
        <v>4.1227656249999987E-2</v>
      </c>
      <c r="DC173" s="149">
        <f ca="1">IF(Save_Sel=CLR_Save,  Table7[[#This Row],[Total MOSFET Loss P2]], Table7[[#This Row],[Total MOSFET Loss P2 Saved]] )</f>
        <v>1.032504540594553</v>
      </c>
      <c r="DD173" s="149">
        <f ca="1">IF(Save_Sel=CLR_Save, Table7[[#This Row],[Efficiency P2]], Table7[[#This Row],[Efficiency P2 Saved]])</f>
        <v>90.475805366876784</v>
      </c>
      <c r="DE173" s="153"/>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row>
    <row r="174" spans="1:165" ht="16" thickBot="1" x14ac:dyDescent="0.25">
      <c r="A174" s="46">
        <v>15</v>
      </c>
      <c r="B174" s="47"/>
      <c r="C174" s="47"/>
      <c r="D174" s="35" t="s">
        <v>21</v>
      </c>
      <c r="E174" s="123" t="e">
        <f ca="1">$N131</f>
        <v>#REF!</v>
      </c>
      <c r="F174" s="123" t="e">
        <f t="shared" ca="1" si="21"/>
        <v>#REF!</v>
      </c>
      <c r="G174" s="45" t="s">
        <v>26</v>
      </c>
      <c r="H174" s="29"/>
      <c r="I174" s="46">
        <v>15</v>
      </c>
      <c r="J174" s="114"/>
      <c r="K174" s="47"/>
      <c r="L174" s="47"/>
      <c r="M174" s="35" t="s">
        <v>21</v>
      </c>
      <c r="N174" s="121">
        <f>$E131</f>
        <v>50</v>
      </c>
      <c r="O174" s="121">
        <f t="shared" si="19"/>
        <v>50</v>
      </c>
      <c r="P174" s="45" t="s">
        <v>26</v>
      </c>
      <c r="Q174" s="29"/>
      <c r="R174" s="29"/>
      <c r="S174" s="30"/>
      <c r="T174" s="18"/>
      <c r="U174" s="19"/>
      <c r="V174" s="19"/>
      <c r="W174" s="19"/>
      <c r="X174" s="19"/>
      <c r="Y174" s="19"/>
      <c r="Z174" s="19"/>
      <c r="AA174" s="19"/>
      <c r="AB174" s="19"/>
      <c r="AC174" s="19"/>
      <c r="AD174" s="19"/>
      <c r="AE174" s="19"/>
      <c r="AF174" s="143">
        <f t="shared" si="17"/>
        <v>18</v>
      </c>
      <c r="AG174" s="143">
        <f t="shared" si="16"/>
        <v>1.8</v>
      </c>
      <c r="AH174" s="144">
        <f t="shared" si="3"/>
        <v>43.2</v>
      </c>
      <c r="AI174" s="145">
        <f t="shared" si="4"/>
        <v>0.16376306620209058</v>
      </c>
      <c r="AJ174" s="145">
        <f t="shared" si="5"/>
        <v>2.1524999999999999</v>
      </c>
      <c r="AK174" s="145" t="e">
        <f t="shared" si="6"/>
        <v>#NAME?</v>
      </c>
      <c r="AL174" s="145" t="e">
        <f t="shared" si="7"/>
        <v>#NAME?</v>
      </c>
      <c r="AM174" s="146"/>
      <c r="AN174" s="145" t="e">
        <f>MAX(0,Table7[[#This Row],[I_L]]-0.5*Table7[[#This Row],[I_L pkpk]])</f>
        <v>#NAME?</v>
      </c>
      <c r="AO174" s="145" t="e">
        <f>Table7[[#This Row],[I_L]]+0.5*Table7[[#This Row],[I_L pkpk]]</f>
        <v>#NAME?</v>
      </c>
      <c r="AP174" s="145" t="e">
        <f ca="1">IF(VACnom&gt;Vbat, (VGS_S-(TI_MOSFET_S_VTH_H_BU+Table7[[#This Row],[I_L]]/TI_MOSFET_S_gFS_H_BU))/3.4, (VGS_S-(TI_MOSFET_S_VTH_L_BO+Table7[[#This Row],[I_L]]/TI_MOSFET_S_gFS_L_BO))/3.4 )</f>
        <v>#REF!</v>
      </c>
      <c r="AQ174" s="145" t="e">
        <f ca="1">IF(VACnom&gt;Vbat, ((TI_MOSFET_S_VTH_H_BU+Table7[[#This Row],[I_L]]/TI_MOSFET_S_gFS_H_BU))/1, ((TI_MOSFET_S_VTH_L_BO+Table7[[#This Row],[I_L]]/TI_MOSFET_S_gFS_L_BO))/1 )</f>
        <v>#REF!</v>
      </c>
      <c r="AR174" s="145" t="e">
        <f ca="1">IF(VACnom&gt;Vbat, (TI_MOSFET_S_QGD_H_BU+TI_MOSFET_S_QGS_H_BU)*10^-9/Table7[[#This Row],[Ion (A)]], (TI_MOSFET_S_QGD_L_BO+TI_MOSFET_S_QGS_L_BO)*10^-9/Table7[[#This Row],[Ion (A)]])/10^-9</f>
        <v>#REF!</v>
      </c>
      <c r="AS174" s="145" t="e">
        <f ca="1">IF(VACnom&gt;Vbat, (TI_MOSFET_S_QGD_H_BU+TI_MOSFET_S_QGS_H_BU)*10^-9/Table7[[#This Row],[Ioff (A)]], (TI_MOSFET_S_QGD_L_BO+TI_MOSFET_S_QGS_L_BO)*10^-9/Table7[[#This Row],[Ioff (A)]])/10^-9</f>
        <v>#REF!</v>
      </c>
      <c r="AT174" s="145" t="e">
        <f ca="1" xml:space="preserve"> 0.5*VACnom*Table7[[#This Row],[Ivalley (A)]]*Table7[[#This Row],[ton (ns)]]*10^-9*Fsw*10^3+0.5*VACnom*Table7[[#This Row],[Ipeak (A)]]*Table7[[#This Row],[toff (ns)]]*10^-9*Fsw*10^3/10^-3</f>
        <v>#NAME?</v>
      </c>
      <c r="AU174" s="145" t="e">
        <f t="shared" ca="1" si="8"/>
        <v>#REF!</v>
      </c>
      <c r="AV174" s="145" t="e">
        <f t="shared" ca="1" si="9"/>
        <v>#REF!</v>
      </c>
      <c r="AW174" s="145" t="e">
        <f t="shared" ca="1" si="10"/>
        <v>#REF!</v>
      </c>
      <c r="AX174" s="145" t="e">
        <f ca="1">IF(VACnom&gt;Vbat, TI_MOSFET_S_VSD_L_BU*Table7[[#This Row],[Ivalley (A)]]*Fsw*10^3*40*10^-9+TI_MOSFET_S_VSD_L_BU*Table7[[#This Row],[Ipeak (A)]]*Fsw*10^3*30*10^-9, TI_MOSFET_S_VSD_H_BO*Table7[[#This Row],[Ivalley (A)]]*Fsw*10^3*40*10^-9+TI_MOSFET_S_VSD_H_BO*Table7[[#This Row],[Ipeak (A)]]*Fsw*10^3*30*10^-9)/10^-3</f>
        <v>#REF!</v>
      </c>
      <c r="AY174" s="145" t="e">
        <f t="shared" ca="1" si="11"/>
        <v>#REF!</v>
      </c>
      <c r="AZ174" s="145" t="e">
        <f ca="1">IF(VACnom&lt;Vbat, Table7[[#This Row],[Duty Cycle]]*Table7[[#This Row],[I_L RMS]]^2*TI_MOSFET_S_RDSON_H_BU*10^-3, (1-Table7[[#This Row],[Duty Cycle]])*Table7[[#This Row],[I_L RMS]]^2*TI_MOSFET_S_RDSON_H_BO*10^-3)/10^-3</f>
        <v>#NAME?</v>
      </c>
      <c r="BA174" s="145" t="e">
        <f ca="1">IF(VACnom&gt;Vbat, Table7[[#This Row],[PIV (mW)]]+Table7[[#This Row],[Pqoss (mW)]]+Table7[[#This Row],[Pgate_top (mW)]], Table7[[#This Row],[PRR (mW)]]+Table7[[#This Row],[Pdead (mW)]]+Table7[[#This Row],[Pgate_top (mW)]])</f>
        <v>#REF!</v>
      </c>
      <c r="BB174" s="145" t="e">
        <f ca="1">Table7[[#This Row],[Pcon_top (mW)]]+Table7[[#This Row],[Psw_top (mW)]]</f>
        <v>#NAME?</v>
      </c>
      <c r="BC174" s="145" t="e">
        <f ca="1">IF(VACnom&gt;Vbat, (1-Table7[[#This Row],[Duty Cycle]])*Table7[[#This Row],[I_L RMS]]^2*TI_MOSFET_S_RDSON_L_BU*10^-3, Table7[[#This Row],[Duty Cycle]]*Table7[[#This Row],[I_L RMS]]^2*TI_MOSFET_S_RDSON_L_BO*10^-3)/10^-3</f>
        <v>#NAME?</v>
      </c>
      <c r="BD174" s="145" t="e">
        <f ca="1">IF(VACnom&gt;Vbat, Table7[[#This Row],[PRR (mW)]]+Table7[[#This Row],[Pdead (mW)]]+Table7[[#This Row],[Pgate_bottom (mW)]], Table7[[#This Row],[PIV (mW)]]+Table7[[#This Row],[Pqoss (mW)]]+Table7[[#This Row],[Pgate_bottom (mW)]])</f>
        <v>#NAME?</v>
      </c>
      <c r="BE174" s="147" t="e">
        <f ca="1">Table7[[#This Row],[Pcon_bottom (mW)]]+Table7[[#This Row],[Psw_bottom (mW)]]</f>
        <v>#NAME?</v>
      </c>
      <c r="BF174" s="145" t="e">
        <f ca="1">Table7[[#This Row],[Pbottom (mW)]]+Table7[[#This Row],[Ptop (mW)]]</f>
        <v>#NAME?</v>
      </c>
      <c r="BG174" s="142"/>
      <c r="BH174" s="145" t="e">
        <f>MAX(0,Table7[[#This Row],[I_L]]-0.5*Table7[[#This Row],[I_L pkpk]])</f>
        <v>#NAME?</v>
      </c>
      <c r="BI174" s="145" t="e">
        <f>Table7[[#This Row],[I_L]]+0.5*Table7[[#This Row],[I_L pkpk]]</f>
        <v>#NAME?</v>
      </c>
      <c r="BJ174" s="145">
        <f>IF(VACnom&gt;Vbat, (VGS_S-(C_MOSFET_S_VTH_H_BU+Table7[[#This Row],[I_L]]/C_MOSFET_S_gFS_H_BU))/3.4, (VGS_S-(C_MOSFET_S_VTH_L_BO+Table7[[#This Row],[I_L]]/C_MOSFET_S_gFS_L_BO))/3.4 )</f>
        <v>2.3487205882352939</v>
      </c>
      <c r="BK174" s="145">
        <f>IF(VACnom&gt;Vbat, ((C_MOSFET_S_VTH_H_BU+Table7[[#This Row],[I_L]]/C_MOSFET_S_gFS_H_BU))/1, ((C_MOSFET_S_VTH_L_BO+Table7[[#This Row],[I_L]]/C_MOSFET_S_gFS_L_BO))/1 )</f>
        <v>2.0143499999999999</v>
      </c>
      <c r="BL174" s="145">
        <f>IF(VACnom&gt;Vbat, (C_MOSFET_S_QGD_H_BU+C_MOSFET_S_QGS_H_BU)*10^-9/Table7[[#This Row],[Ion (A) C]], (C_MOSFET_S_QGD_L_BO+C_MOSFET_S_QGS_L_BO)*10^-9/Table7[[#This Row],[Ion (A) C]])/10^-9</f>
        <v>2.7674641387989709</v>
      </c>
      <c r="BM174" s="145">
        <f>IF(VACnom&gt;Vbat, (C_MOSFET_S_QGD_H_BU+C_MOSFET_S_QGS_H_BU)*10^-9/Table7[[#This Row],[Ioff (A) C]], (C_MOSFET_S_QGD_L_BO+C_MOSFET_S_QGS_L_BO)*10^-9/Table7[[#This Row],[Ioff (A) C]])/10^-9</f>
        <v>3.2268473701193932</v>
      </c>
      <c r="BN174" s="145" t="e">
        <f xml:space="preserve"> 0.5*VACnom*Table7[[#This Row],[Ivalley (A) C]]*Table7[[#This Row],[ton (ns) C]]*10^-9*Fsw*10^3+0.5*VACnom*Table7[[#This Row],[Ipeak (A) C]]*Table7[[#This Row],[toff (ns) C]]*10^-9*Fsw*10^3/10^-3</f>
        <v>#NAME?</v>
      </c>
      <c r="BO174" s="145">
        <f t="shared" si="12"/>
        <v>259.2</v>
      </c>
      <c r="BP174" s="145" t="e">
        <f t="shared" ca="1" si="13"/>
        <v>#REF!</v>
      </c>
      <c r="BQ174" s="145">
        <f t="shared" si="14"/>
        <v>475.2</v>
      </c>
      <c r="BR174" s="145" t="e">
        <f>IF(VACnom&gt;Vbat, C_MOSFET_S_VSD_L_BU*Table7[[#This Row],[Ivalley (A) C]]*Fsw*10^3*40*10^-9+C_MOSFET_S_VSD_L_BU*Table7[[#This Row],[Ipeak (A) C]]*Fsw*10^3*30*10^-9, C_MOSFET_S_VSD_H_BO*Table7[[#This Row],[Ivalley (A) C]]*Fsw*10^3*40*10^-9+C_MOSFET_S_VSD_H_BO*Table7[[#This Row],[Ipeak (A) C]]*Fsw*10^3*30*10^-9)/10^-3</f>
        <v>#NAME?</v>
      </c>
      <c r="BS174" s="145" t="e">
        <f t="shared" ca="1" si="15"/>
        <v>#REF!</v>
      </c>
      <c r="BT174" s="145" t="e">
        <f>IF(VACnom&lt;Vbat, Table7[[#This Row],[Duty Cycle]]*Table7[[#This Row],[I_L RMS]]^2*C_MOSFET_S_RDSON_H_BU*10^-3, (1-Table7[[#This Row],[Duty Cycle]])*Table7[[#This Row],[I_L RMS]]^2*C_MOSFET_S_RDSON_H_BO*10^-3)/10^-3</f>
        <v>#NAME?</v>
      </c>
      <c r="BU174" s="145" t="e">
        <f ca="1">IF(VACnom&gt;Vbat, Table7[[#This Row],[PIV (mW) C]]+Table7[[#This Row],[PQoss (mW) C]]+Table7[[#This Row],[Pgate_top (mW) C]], Table7[[#This Row],[PRR (mW) C]]+Table7[[#This Row],[Pdead (mW) C]]+Table7[[#This Row],[Pgate_top (mW) C]])</f>
        <v>#NAME?</v>
      </c>
      <c r="BV174" s="145" t="e">
        <f ca="1">Table7[[#This Row],[Pcon_top (mW) C]]+Table7[[#This Row],[Psw_top (mW) C]]</f>
        <v>#NAME?</v>
      </c>
      <c r="BW174" s="145" t="e">
        <f ca="1">IF(VACnom&gt;Vbat, (1-Table7[[#This Row],[Duty Cycle]])*Table7[[#This Row],[I_L RMS]]^2*C_MOSFET_S_RDSON_L_BU*10^-3, Table7[[#This Row],[Duty Cycle]]*Table7[[#This Row],[I_L RMS]]^2*C_MOSFET_S_RDSON_L_BO*10^-3)/10^-3</f>
        <v>#NAME?</v>
      </c>
      <c r="BX174" s="145" t="e">
        <f ca="1">IF(VACnom&gt;Vbat, Table7[[#This Row],[PRR (mW) C]]+Table7[[#This Row],[Pdead (mW) C]]+Table7[[#This Row],[Pgate_bottom (mW) C]], Table7[[#This Row],[PIV (mW) C]]+Table7[[#This Row],[PQoss (mW) C]]+Table7[[#This Row],[Pgate_bottom (mW) C]])</f>
        <v>#NAME?</v>
      </c>
      <c r="BY174" s="145" t="e">
        <f ca="1">Table7[[#This Row],[Pcon_bottom (mW) C]]+Table7[[#This Row],[Psw_bottom (mV) C]]</f>
        <v>#NAME?</v>
      </c>
      <c r="BZ174" s="145" t="e">
        <f ca="1">Table7[[#This Row],[Pbottom (mW) C]]+Table7[[#This Row],[Ptop (mW) C]]</f>
        <v>#NAME?</v>
      </c>
      <c r="CA174" s="148"/>
      <c r="CB174" s="144">
        <f>(RAC_SNS*10^-3*(Table7[[#This Row],[IOUT (A)]]*Vbat/VACnom)^2/10^-3)</f>
        <v>23.166281250000001</v>
      </c>
      <c r="CC174" s="144">
        <f>(RBAT_SNS*10^-3*Table7[[#This Row],[IOUT (A)]]^2)/10^-3</f>
        <v>16.200000000000003</v>
      </c>
      <c r="CD174" s="144">
        <f>IF(VACnom&gt;Vbat,(L_DRC*10^-3*(Table7[[#This Row],[IOUT (A)]])^2/10^-3),(L_DRC*10^-3*(Table7[[#This Row],[IOUT (A)]]*Vbat/VACnom)^2/10^-3))</f>
        <v>15.753071249999996</v>
      </c>
      <c r="CE174" s="152"/>
      <c r="CF174" s="145">
        <f>(Table7[[#This Row],[R_AC (mW)]]+Table7[[#This Row],[R_SR (mW)]]+Table7[[#This Row],[Inductor Loss (mW)]])/10^3</f>
        <v>5.5119352499999996E-2</v>
      </c>
      <c r="CG174" s="145" t="e">
        <f ca="1">Table7[[#This Row],[Total TI (mW)]]/10^3</f>
        <v>#NAME?</v>
      </c>
      <c r="CH174" s="145" t="e">
        <f ca="1">Table7[[#This Row],[Total Sense Loss]]+Table7[[#This Row],[Total MOSFET Loss]]</f>
        <v>#NAME?</v>
      </c>
      <c r="CI174" s="149" t="e">
        <f ca="1">IF(Table7[[#This Row],[POUT (W)]]=0,0,(Table7[[#This Row],[POUT (W)]])/(Table7[[#This Row],[POUT (W)]]+Table7[[#This Row],[Total Power Loss (W)]]))*100</f>
        <v>#NAME?</v>
      </c>
      <c r="CJ174" s="153"/>
      <c r="CK174" s="145">
        <f>(Table7[[#This Row],[R_AC (mW)]]+Table7[[#This Row],[R_SR (mW)]]+Table7[[#This Row],[Inductor Loss (mW)]])/10^3</f>
        <v>5.5119352499999996E-2</v>
      </c>
      <c r="CL174" s="145" t="e">
        <f ca="1">Table7[[#This Row],[Total (mW) C]]/10^3</f>
        <v>#NAME?</v>
      </c>
      <c r="CM174" s="145" t="e">
        <f ca="1">Table7[[#This Row],[Total Sense Loss C]]+Table7[[#This Row],[Total MOSFET Loss C]]</f>
        <v>#NAME?</v>
      </c>
      <c r="CN174" s="149" t="e">
        <f ca="1">IF(Table7[[#This Row],[POUT (W)]]=0,0,(Table7[[#This Row],[POUT (W)]])/(Table7[[#This Row],[POUT (W)]]+Table7[[#This Row],[Total Power Loss (W) C]]))*100</f>
        <v>#NAME?</v>
      </c>
      <c r="CO174" s="153"/>
      <c r="CP174" s="149">
        <f>IF(MOSFET_S=Custom_MOSFET,Table7[[#This Row],[Total Sense Loss C]],Table7[[#This Row],[Total Sense Loss]])</f>
        <v>5.5119352499999996E-2</v>
      </c>
      <c r="CQ174" s="149" t="e">
        <f ca="1">IF(MOSFET_S=Custom_MOSFET,Table7[[#This Row],[Total MOSFET Loss C]],Table7[[#This Row],[Total MOSFET Loss]])</f>
        <v>#NAME?</v>
      </c>
      <c r="CR174" s="149" t="e">
        <f ca="1">IF(MOSFET_S=Custom_MOSFET,Table7[[#This Row],[Efficiency C]],Table7[[#This Row],[Efficiency]])</f>
        <v>#NAME?</v>
      </c>
      <c r="CS174" s="153"/>
      <c r="CT174" s="149">
        <f>IF(MOSFET_S=Compare_MOSFET, Table7[[#This Row],[Total Sense Loss C]], -100)</f>
        <v>-100</v>
      </c>
      <c r="CU174" s="149">
        <f>IF(MOSFET_S=Compare_MOSFET, Table7[[#This Row],[Total MOSFET Loss C]], -100)</f>
        <v>-100</v>
      </c>
      <c r="CV174" s="149">
        <f>IF(MOSFET_S=Compare_MOSFET, Table7[[#This Row],[Efficiency C]], -100)</f>
        <v>-100</v>
      </c>
      <c r="CW174" s="153"/>
      <c r="CX174" s="149">
        <f ca="1">IF(Save_Sel=CLR_Save,  Table7[[#This Row],[Total Sense Loss P1]], Table7[[#This Row],[Total Sense Loss P1 Saved]])</f>
        <v>4.6220625000000015E-2</v>
      </c>
      <c r="CY174" s="149">
        <f ca="1">IF(Save_Sel=CLR_Save,  Table7[[#This Row],[Total MOSFET Loss P1]], Table7[[#This Row],[Total MOSFET Loss P1 Saved]] )</f>
        <v>1.5719455433672296</v>
      </c>
      <c r="CZ174" s="149">
        <f ca="1">IF(Save_Sel=CLR_Save, Table7[[#This Row],[Efficiency P1]], Table7[[#This Row],[Efficiency P1 Saved]])</f>
        <v>86.969362896035477</v>
      </c>
      <c r="DA174" s="153"/>
      <c r="DB174" s="149">
        <f ca="1">IF(Save_Sel=CLR_Save,  Table7[[#This Row],[Total Sense Loss P2]], Table7[[#This Row],[Total Sense Loss P2 Saved]])</f>
        <v>4.6220625000000015E-2</v>
      </c>
      <c r="DC174" s="149">
        <f ca="1">IF(Save_Sel=CLR_Save,  Table7[[#This Row],[Total MOSFET Loss P2]], Table7[[#This Row],[Total MOSFET Loss P2 Saved]] )</f>
        <v>1.0378546274584088</v>
      </c>
      <c r="DD174" s="149">
        <f ca="1">IF(Save_Sel=CLR_Save, Table7[[#This Row],[Efficiency P2]], Table7[[#This Row],[Efficiency P2 Saved]])</f>
        <v>90.877916628522271</v>
      </c>
      <c r="DE174" s="153"/>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row>
    <row r="175" spans="1:165" ht="16" thickBot="1" x14ac:dyDescent="0.25">
      <c r="A175" s="48"/>
      <c r="B175" s="49"/>
      <c r="C175" s="49"/>
      <c r="D175" s="32"/>
      <c r="E175" s="124"/>
      <c r="F175" s="117"/>
      <c r="G175" s="49"/>
      <c r="H175" s="29"/>
      <c r="I175" s="29"/>
      <c r="J175" s="49"/>
      <c r="K175" s="49"/>
      <c r="L175" s="49"/>
      <c r="M175" s="32"/>
      <c r="N175" s="124"/>
      <c r="O175" s="117"/>
      <c r="P175" s="49"/>
      <c r="Q175" s="29"/>
      <c r="R175" s="29"/>
      <c r="S175" s="30"/>
      <c r="T175" s="18"/>
      <c r="U175" s="19"/>
      <c r="V175" s="19"/>
      <c r="W175" s="19"/>
      <c r="X175" s="19"/>
      <c r="Y175" s="19"/>
      <c r="Z175" s="19"/>
      <c r="AA175" s="19"/>
      <c r="AB175" s="19"/>
      <c r="AC175" s="19"/>
      <c r="AD175" s="19"/>
      <c r="AE175" s="19"/>
      <c r="AF175" s="143">
        <f t="shared" si="17"/>
        <v>19</v>
      </c>
      <c r="AG175" s="143">
        <f t="shared" si="16"/>
        <v>1.9</v>
      </c>
      <c r="AH175" s="144">
        <f t="shared" si="3"/>
        <v>45.599999999999994</v>
      </c>
      <c r="AI175" s="145">
        <f t="shared" si="4"/>
        <v>0.16376306620209058</v>
      </c>
      <c r="AJ175" s="145">
        <f t="shared" si="5"/>
        <v>2.2720833333333332</v>
      </c>
      <c r="AK175" s="145" t="e">
        <f t="shared" si="6"/>
        <v>#NAME?</v>
      </c>
      <c r="AL175" s="145" t="e">
        <f t="shared" si="7"/>
        <v>#NAME?</v>
      </c>
      <c r="AM175" s="146"/>
      <c r="AN175" s="145" t="e">
        <f>MAX(0,Table7[[#This Row],[I_L]]-0.5*Table7[[#This Row],[I_L pkpk]])</f>
        <v>#NAME?</v>
      </c>
      <c r="AO175" s="145" t="e">
        <f>Table7[[#This Row],[I_L]]+0.5*Table7[[#This Row],[I_L pkpk]]</f>
        <v>#NAME?</v>
      </c>
      <c r="AP175" s="145" t="e">
        <f ca="1">IF(VACnom&gt;Vbat, (VGS_S-(TI_MOSFET_S_VTH_H_BU+Table7[[#This Row],[I_L]]/TI_MOSFET_S_gFS_H_BU))/3.4, (VGS_S-(TI_MOSFET_S_VTH_L_BO+Table7[[#This Row],[I_L]]/TI_MOSFET_S_gFS_L_BO))/3.4 )</f>
        <v>#REF!</v>
      </c>
      <c r="AQ175" s="145" t="e">
        <f ca="1">IF(VACnom&gt;Vbat, ((TI_MOSFET_S_VTH_H_BU+Table7[[#This Row],[I_L]]/TI_MOSFET_S_gFS_H_BU))/1, ((TI_MOSFET_S_VTH_L_BO+Table7[[#This Row],[I_L]]/TI_MOSFET_S_gFS_L_BO))/1 )</f>
        <v>#REF!</v>
      </c>
      <c r="AR175" s="145" t="e">
        <f ca="1">IF(VACnom&gt;Vbat, (TI_MOSFET_S_QGD_H_BU+TI_MOSFET_S_QGS_H_BU)*10^-9/Table7[[#This Row],[Ion (A)]], (TI_MOSFET_S_QGD_L_BO+TI_MOSFET_S_QGS_L_BO)*10^-9/Table7[[#This Row],[Ion (A)]])/10^-9</f>
        <v>#REF!</v>
      </c>
      <c r="AS175" s="145" t="e">
        <f ca="1">IF(VACnom&gt;Vbat, (TI_MOSFET_S_QGD_H_BU+TI_MOSFET_S_QGS_H_BU)*10^-9/Table7[[#This Row],[Ioff (A)]], (TI_MOSFET_S_QGD_L_BO+TI_MOSFET_S_QGS_L_BO)*10^-9/Table7[[#This Row],[Ioff (A)]])/10^-9</f>
        <v>#REF!</v>
      </c>
      <c r="AT175" s="145" t="e">
        <f ca="1" xml:space="preserve"> 0.5*VACnom*Table7[[#This Row],[Ivalley (A)]]*Table7[[#This Row],[ton (ns)]]*10^-9*Fsw*10^3+0.5*VACnom*Table7[[#This Row],[Ipeak (A)]]*Table7[[#This Row],[toff (ns)]]*10^-9*Fsw*10^3/10^-3</f>
        <v>#NAME?</v>
      </c>
      <c r="AU175" s="145" t="e">
        <f t="shared" ca="1" si="8"/>
        <v>#REF!</v>
      </c>
      <c r="AV175" s="145" t="e">
        <f t="shared" ca="1" si="9"/>
        <v>#REF!</v>
      </c>
      <c r="AW175" s="145" t="e">
        <f t="shared" ca="1" si="10"/>
        <v>#REF!</v>
      </c>
      <c r="AX175" s="145" t="e">
        <f ca="1">IF(VACnom&gt;Vbat, TI_MOSFET_S_VSD_L_BU*Table7[[#This Row],[Ivalley (A)]]*Fsw*10^3*40*10^-9+TI_MOSFET_S_VSD_L_BU*Table7[[#This Row],[Ipeak (A)]]*Fsw*10^3*30*10^-9, TI_MOSFET_S_VSD_H_BO*Table7[[#This Row],[Ivalley (A)]]*Fsw*10^3*40*10^-9+TI_MOSFET_S_VSD_H_BO*Table7[[#This Row],[Ipeak (A)]]*Fsw*10^3*30*10^-9)/10^-3</f>
        <v>#REF!</v>
      </c>
      <c r="AY175" s="145" t="e">
        <f t="shared" ca="1" si="11"/>
        <v>#REF!</v>
      </c>
      <c r="AZ175" s="145" t="e">
        <f ca="1">IF(VACnom&lt;Vbat, Table7[[#This Row],[Duty Cycle]]*Table7[[#This Row],[I_L RMS]]^2*TI_MOSFET_S_RDSON_H_BU*10^-3, (1-Table7[[#This Row],[Duty Cycle]])*Table7[[#This Row],[I_L RMS]]^2*TI_MOSFET_S_RDSON_H_BO*10^-3)/10^-3</f>
        <v>#NAME?</v>
      </c>
      <c r="BA175" s="145" t="e">
        <f ca="1">IF(VACnom&gt;Vbat, Table7[[#This Row],[PIV (mW)]]+Table7[[#This Row],[Pqoss (mW)]]+Table7[[#This Row],[Pgate_top (mW)]], Table7[[#This Row],[PRR (mW)]]+Table7[[#This Row],[Pdead (mW)]]+Table7[[#This Row],[Pgate_top (mW)]])</f>
        <v>#REF!</v>
      </c>
      <c r="BB175" s="145" t="e">
        <f ca="1">Table7[[#This Row],[Pcon_top (mW)]]+Table7[[#This Row],[Psw_top (mW)]]</f>
        <v>#NAME?</v>
      </c>
      <c r="BC175" s="145" t="e">
        <f ca="1">IF(VACnom&gt;Vbat, (1-Table7[[#This Row],[Duty Cycle]])*Table7[[#This Row],[I_L RMS]]^2*TI_MOSFET_S_RDSON_L_BU*10^-3, Table7[[#This Row],[Duty Cycle]]*Table7[[#This Row],[I_L RMS]]^2*TI_MOSFET_S_RDSON_L_BO*10^-3)/10^-3</f>
        <v>#NAME?</v>
      </c>
      <c r="BD175" s="145" t="e">
        <f ca="1">IF(VACnom&gt;Vbat, Table7[[#This Row],[PRR (mW)]]+Table7[[#This Row],[Pdead (mW)]]+Table7[[#This Row],[Pgate_bottom (mW)]], Table7[[#This Row],[PIV (mW)]]+Table7[[#This Row],[Pqoss (mW)]]+Table7[[#This Row],[Pgate_bottom (mW)]])</f>
        <v>#NAME?</v>
      </c>
      <c r="BE175" s="147" t="e">
        <f ca="1">Table7[[#This Row],[Pcon_bottom (mW)]]+Table7[[#This Row],[Psw_bottom (mW)]]</f>
        <v>#NAME?</v>
      </c>
      <c r="BF175" s="145" t="e">
        <f ca="1">Table7[[#This Row],[Pbottom (mW)]]+Table7[[#This Row],[Ptop (mW)]]</f>
        <v>#NAME?</v>
      </c>
      <c r="BG175" s="142"/>
      <c r="BH175" s="145" t="e">
        <f>MAX(0,Table7[[#This Row],[I_L]]-0.5*Table7[[#This Row],[I_L pkpk]])</f>
        <v>#NAME?</v>
      </c>
      <c r="BI175" s="145" t="e">
        <f>Table7[[#This Row],[I_L]]+0.5*Table7[[#This Row],[I_L pkpk]]</f>
        <v>#NAME?</v>
      </c>
      <c r="BJ175" s="145">
        <f>IF(VACnom&gt;Vbat, (VGS_S-(C_MOSFET_S_VTH_H_BU+Table7[[#This Row],[I_L]]/C_MOSFET_S_gFS_H_BU))/3.4, (VGS_S-(C_MOSFET_S_VTH_L_BO+Table7[[#This Row],[I_L]]/C_MOSFET_S_gFS_L_BO))/3.4 )</f>
        <v>2.3484861111111113</v>
      </c>
      <c r="BK175" s="145">
        <f>IF(VACnom&gt;Vbat, ((C_MOSFET_S_VTH_H_BU+Table7[[#This Row],[I_L]]/C_MOSFET_S_gFS_H_BU))/1, ((C_MOSFET_S_VTH_L_BO+Table7[[#This Row],[I_L]]/C_MOSFET_S_gFS_L_BO))/1 )</f>
        <v>2.0151472222222222</v>
      </c>
      <c r="BL175" s="145">
        <f>IF(VACnom&gt;Vbat, (C_MOSFET_S_QGD_H_BU+C_MOSFET_S_QGS_H_BU)*10^-9/Table7[[#This Row],[Ion (A) C]], (C_MOSFET_S_QGD_L_BO+C_MOSFET_S_QGS_L_BO)*10^-9/Table7[[#This Row],[Ion (A) C]])/10^-9</f>
        <v>2.7677404474513718</v>
      </c>
      <c r="BM175" s="145">
        <f>IF(VACnom&gt;Vbat, (C_MOSFET_S_QGD_H_BU+C_MOSFET_S_QGS_H_BU)*10^-9/Table7[[#This Row],[Ioff (A) C]], (C_MOSFET_S_QGD_L_BO+C_MOSFET_S_QGS_L_BO)*10^-9/Table7[[#This Row],[Ioff (A) C]])/10^-9</f>
        <v>3.2255707812911378</v>
      </c>
      <c r="BN175" s="145" t="e">
        <f xml:space="preserve"> 0.5*VACnom*Table7[[#This Row],[Ivalley (A) C]]*Table7[[#This Row],[ton (ns) C]]*10^-9*Fsw*10^3+0.5*VACnom*Table7[[#This Row],[Ipeak (A) C]]*Table7[[#This Row],[toff (ns) C]]*10^-9*Fsw*10^3/10^-3</f>
        <v>#NAME?</v>
      </c>
      <c r="BO175" s="145">
        <f t="shared" si="12"/>
        <v>259.2</v>
      </c>
      <c r="BP175" s="145" t="e">
        <f t="shared" ca="1" si="13"/>
        <v>#REF!</v>
      </c>
      <c r="BQ175" s="145">
        <f t="shared" si="14"/>
        <v>475.2</v>
      </c>
      <c r="BR175" s="145" t="e">
        <f>IF(VACnom&gt;Vbat, C_MOSFET_S_VSD_L_BU*Table7[[#This Row],[Ivalley (A) C]]*Fsw*10^3*40*10^-9+C_MOSFET_S_VSD_L_BU*Table7[[#This Row],[Ipeak (A) C]]*Fsw*10^3*30*10^-9, C_MOSFET_S_VSD_H_BO*Table7[[#This Row],[Ivalley (A) C]]*Fsw*10^3*40*10^-9+C_MOSFET_S_VSD_H_BO*Table7[[#This Row],[Ipeak (A) C]]*Fsw*10^3*30*10^-9)/10^-3</f>
        <v>#NAME?</v>
      </c>
      <c r="BS175" s="145" t="e">
        <f t="shared" ca="1" si="15"/>
        <v>#REF!</v>
      </c>
      <c r="BT175" s="145" t="e">
        <f>IF(VACnom&lt;Vbat, Table7[[#This Row],[Duty Cycle]]*Table7[[#This Row],[I_L RMS]]^2*C_MOSFET_S_RDSON_H_BU*10^-3, (1-Table7[[#This Row],[Duty Cycle]])*Table7[[#This Row],[I_L RMS]]^2*C_MOSFET_S_RDSON_H_BO*10^-3)/10^-3</f>
        <v>#NAME?</v>
      </c>
      <c r="BU175" s="145" t="e">
        <f ca="1">IF(VACnom&gt;Vbat, Table7[[#This Row],[PIV (mW) C]]+Table7[[#This Row],[PQoss (mW) C]]+Table7[[#This Row],[Pgate_top (mW) C]], Table7[[#This Row],[PRR (mW) C]]+Table7[[#This Row],[Pdead (mW) C]]+Table7[[#This Row],[Pgate_top (mW) C]])</f>
        <v>#NAME?</v>
      </c>
      <c r="BV175" s="145" t="e">
        <f ca="1">Table7[[#This Row],[Pcon_top (mW) C]]+Table7[[#This Row],[Psw_top (mW) C]]</f>
        <v>#NAME?</v>
      </c>
      <c r="BW175" s="145" t="e">
        <f ca="1">IF(VACnom&gt;Vbat, (1-Table7[[#This Row],[Duty Cycle]])*Table7[[#This Row],[I_L RMS]]^2*C_MOSFET_S_RDSON_L_BU*10^-3, Table7[[#This Row],[Duty Cycle]]*Table7[[#This Row],[I_L RMS]]^2*C_MOSFET_S_RDSON_L_BO*10^-3)/10^-3</f>
        <v>#NAME?</v>
      </c>
      <c r="BX175" s="145" t="e">
        <f ca="1">IF(VACnom&gt;Vbat, Table7[[#This Row],[PRR (mW) C]]+Table7[[#This Row],[Pdead (mW) C]]+Table7[[#This Row],[Pgate_bottom (mW) C]], Table7[[#This Row],[PIV (mW) C]]+Table7[[#This Row],[PQoss (mW) C]]+Table7[[#This Row],[Pgate_bottom (mW) C]])</f>
        <v>#NAME?</v>
      </c>
      <c r="BY175" s="145" t="e">
        <f ca="1">Table7[[#This Row],[Pcon_bottom (mW) C]]+Table7[[#This Row],[Psw_bottom (mV) C]]</f>
        <v>#NAME?</v>
      </c>
      <c r="BZ175" s="145" t="e">
        <f ca="1">Table7[[#This Row],[Pbottom (mW) C]]+Table7[[#This Row],[Ptop (mW) C]]</f>
        <v>#NAME?</v>
      </c>
      <c r="CA175" s="148"/>
      <c r="CB175" s="144">
        <f>(RAC_SNS*10^-3*(Table7[[#This Row],[IOUT (A)]]*Vbat/VACnom)^2/10^-3)</f>
        <v>25.811813368055553</v>
      </c>
      <c r="CC175" s="144">
        <f>(RBAT_SNS*10^-3*Table7[[#This Row],[IOUT (A)]]^2)/10^-3</f>
        <v>18.05</v>
      </c>
      <c r="CD175" s="144">
        <f>IF(VACnom&gt;Vbat,(L_DRC*10^-3*(Table7[[#This Row],[IOUT (A)]])^2/10^-3),(L_DRC*10^-3*(Table7[[#This Row],[IOUT (A)]]*Vbat/VACnom)^2/10^-3))</f>
        <v>17.552033090277774</v>
      </c>
      <c r="CE175" s="152"/>
      <c r="CF175" s="145">
        <f>(Table7[[#This Row],[R_AC (mW)]]+Table7[[#This Row],[R_SR (mW)]]+Table7[[#This Row],[Inductor Loss (mW)]])/10^3</f>
        <v>6.1413846458333324E-2</v>
      </c>
      <c r="CG175" s="145" t="e">
        <f ca="1">Table7[[#This Row],[Total TI (mW)]]/10^3</f>
        <v>#NAME?</v>
      </c>
      <c r="CH175" s="145" t="e">
        <f ca="1">Table7[[#This Row],[Total Sense Loss]]+Table7[[#This Row],[Total MOSFET Loss]]</f>
        <v>#NAME?</v>
      </c>
      <c r="CI175" s="149" t="e">
        <f ca="1">IF(Table7[[#This Row],[POUT (W)]]=0,0,(Table7[[#This Row],[POUT (W)]])/(Table7[[#This Row],[POUT (W)]]+Table7[[#This Row],[Total Power Loss (W)]]))*100</f>
        <v>#NAME?</v>
      </c>
      <c r="CJ175" s="153"/>
      <c r="CK175" s="145">
        <f>(Table7[[#This Row],[R_AC (mW)]]+Table7[[#This Row],[R_SR (mW)]]+Table7[[#This Row],[Inductor Loss (mW)]])/10^3</f>
        <v>6.1413846458333324E-2</v>
      </c>
      <c r="CL175" s="145" t="e">
        <f ca="1">Table7[[#This Row],[Total (mW) C]]/10^3</f>
        <v>#NAME?</v>
      </c>
      <c r="CM175" s="145" t="e">
        <f ca="1">Table7[[#This Row],[Total Sense Loss C]]+Table7[[#This Row],[Total MOSFET Loss C]]</f>
        <v>#NAME?</v>
      </c>
      <c r="CN175" s="149" t="e">
        <f ca="1">IF(Table7[[#This Row],[POUT (W)]]=0,0,(Table7[[#This Row],[POUT (W)]])/(Table7[[#This Row],[POUT (W)]]+Table7[[#This Row],[Total Power Loss (W) C]]))*100</f>
        <v>#NAME?</v>
      </c>
      <c r="CO175" s="153"/>
      <c r="CP175" s="149">
        <f>IF(MOSFET_S=Custom_MOSFET,Table7[[#This Row],[Total Sense Loss C]],Table7[[#This Row],[Total Sense Loss]])</f>
        <v>6.1413846458333324E-2</v>
      </c>
      <c r="CQ175" s="149" t="e">
        <f ca="1">IF(MOSFET_S=Custom_MOSFET,Table7[[#This Row],[Total MOSFET Loss C]],Table7[[#This Row],[Total MOSFET Loss]])</f>
        <v>#NAME?</v>
      </c>
      <c r="CR175" s="149" t="e">
        <f ca="1">IF(MOSFET_S=Custom_MOSFET,Table7[[#This Row],[Efficiency C]],Table7[[#This Row],[Efficiency]])</f>
        <v>#NAME?</v>
      </c>
      <c r="CS175" s="153"/>
      <c r="CT175" s="149">
        <f>IF(MOSFET_S=Compare_MOSFET, Table7[[#This Row],[Total Sense Loss C]], -100)</f>
        <v>-100</v>
      </c>
      <c r="CU175" s="149">
        <f>IF(MOSFET_S=Compare_MOSFET, Table7[[#This Row],[Total MOSFET Loss C]], -100)</f>
        <v>-100</v>
      </c>
      <c r="CV175" s="149">
        <f>IF(MOSFET_S=Compare_MOSFET, Table7[[#This Row],[Efficiency C]], -100)</f>
        <v>-100</v>
      </c>
      <c r="CW175" s="153"/>
      <c r="CX175" s="149">
        <f ca="1">IF(Save_Sel=CLR_Save,  Table7[[#This Row],[Total Sense Loss P1]], Table7[[#This Row],[Total Sense Loss P1 Saved]])</f>
        <v>5.149890624999999E-2</v>
      </c>
      <c r="CY175" s="149">
        <f ca="1">IF(Save_Sel=CLR_Save,  Table7[[#This Row],[Total MOSFET Loss P1]], Table7[[#This Row],[Total MOSFET Loss P1 Saved]] )</f>
        <v>1.5805662123126005</v>
      </c>
      <c r="CZ175" s="149">
        <f ca="1">IF(Save_Sel=CLR_Save, Table7[[#This Row],[Efficiency P1]], Table7[[#This Row],[Efficiency P1 Saved]])</f>
        <v>87.476542637606059</v>
      </c>
      <c r="DA175" s="153"/>
      <c r="DB175" s="149">
        <f ca="1">IF(Save_Sel=CLR_Save,  Table7[[#This Row],[Total Sense Loss P2]], Table7[[#This Row],[Total Sense Loss P2 Saved]])</f>
        <v>5.149890624999999E-2</v>
      </c>
      <c r="DC175" s="149">
        <f ca="1">IF(Save_Sel=CLR_Save,  Table7[[#This Row],[Total MOSFET Loss P2]], Table7[[#This Row],[Total MOSFET Loss P2 Saved]] )</f>
        <v>1.0432838629718322</v>
      </c>
      <c r="DD175" s="149">
        <f ca="1">IF(Save_Sel=CLR_Save, Table7[[#This Row],[Efficiency P2]], Table7[[#This Row],[Efficiency P2 Saved]])</f>
        <v>91.238080809867384</v>
      </c>
      <c r="DE175" s="153"/>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row>
    <row r="176" spans="1:165" x14ac:dyDescent="0.2">
      <c r="A176" s="54"/>
      <c r="B176" s="62"/>
      <c r="C176" s="50"/>
      <c r="D176" s="63" t="s">
        <v>27</v>
      </c>
      <c r="E176" s="64"/>
      <c r="F176" s="50"/>
      <c r="G176" s="38"/>
      <c r="H176" s="29"/>
      <c r="I176" s="112"/>
      <c r="J176" s="50"/>
      <c r="K176" s="62"/>
      <c r="L176" s="50"/>
      <c r="M176" s="63" t="s">
        <v>27</v>
      </c>
      <c r="N176" s="64"/>
      <c r="O176" s="50"/>
      <c r="P176" s="38"/>
      <c r="Q176" s="29"/>
      <c r="R176" s="29"/>
      <c r="S176" s="30"/>
      <c r="T176" s="18"/>
      <c r="U176" s="19"/>
      <c r="V176" s="19"/>
      <c r="W176" s="19"/>
      <c r="X176" s="19"/>
      <c r="Y176" s="19"/>
      <c r="Z176" s="19"/>
      <c r="AA176" s="19"/>
      <c r="AB176" s="19"/>
      <c r="AC176" s="19"/>
      <c r="AD176" s="19"/>
      <c r="AE176" s="19"/>
      <c r="AF176" s="143">
        <f>AF175+1</f>
        <v>20</v>
      </c>
      <c r="AG176" s="143">
        <f t="shared" si="16"/>
        <v>2</v>
      </c>
      <c r="AH176" s="144">
        <f t="shared" si="3"/>
        <v>48</v>
      </c>
      <c r="AI176" s="145">
        <f t="shared" si="4"/>
        <v>0.16376306620209058</v>
      </c>
      <c r="AJ176" s="145">
        <f t="shared" si="5"/>
        <v>2.3916666666666666</v>
      </c>
      <c r="AK176" s="145" t="e">
        <f t="shared" si="6"/>
        <v>#NAME?</v>
      </c>
      <c r="AL176" s="145" t="e">
        <f t="shared" si="7"/>
        <v>#NAME?</v>
      </c>
      <c r="AM176" s="146"/>
      <c r="AN176" s="145" t="e">
        <f>MAX(0,Table7[[#This Row],[I_L]]-0.5*Table7[[#This Row],[I_L pkpk]])</f>
        <v>#NAME?</v>
      </c>
      <c r="AO176" s="145" t="e">
        <f>Table7[[#This Row],[I_L]]+0.5*Table7[[#This Row],[I_L pkpk]]</f>
        <v>#NAME?</v>
      </c>
      <c r="AP176" s="145" t="e">
        <f ca="1">IF(VACnom&gt;Vbat, (VGS_S-(TI_MOSFET_S_VTH_H_BU+Table7[[#This Row],[I_L]]/TI_MOSFET_S_gFS_H_BU))/3.4, (VGS_S-(TI_MOSFET_S_VTH_L_BO+Table7[[#This Row],[I_L]]/TI_MOSFET_S_gFS_L_BO))/3.4 )</f>
        <v>#REF!</v>
      </c>
      <c r="AQ176" s="145" t="e">
        <f ca="1">IF(VACnom&gt;Vbat, ((TI_MOSFET_S_VTH_H_BU+Table7[[#This Row],[I_L]]/TI_MOSFET_S_gFS_H_BU))/1, ((TI_MOSFET_S_VTH_L_BO+Table7[[#This Row],[I_L]]/TI_MOSFET_S_gFS_L_BO))/1 )</f>
        <v>#REF!</v>
      </c>
      <c r="AR176" s="145" t="e">
        <f ca="1">IF(VACnom&gt;Vbat, (TI_MOSFET_S_QGD_H_BU+TI_MOSFET_S_QGS_H_BU)*10^-9/Table7[[#This Row],[Ion (A)]], (TI_MOSFET_S_QGD_L_BO+TI_MOSFET_S_QGS_L_BO)*10^-9/Table7[[#This Row],[Ion (A)]])/10^-9</f>
        <v>#REF!</v>
      </c>
      <c r="AS176" s="145" t="e">
        <f ca="1">IF(VACnom&gt;Vbat, (TI_MOSFET_S_QGD_H_BU+TI_MOSFET_S_QGS_H_BU)*10^-9/Table7[[#This Row],[Ioff (A)]], (TI_MOSFET_S_QGD_L_BO+TI_MOSFET_S_QGS_L_BO)*10^-9/Table7[[#This Row],[Ioff (A)]])/10^-9</f>
        <v>#REF!</v>
      </c>
      <c r="AT176" s="145" t="e">
        <f ca="1" xml:space="preserve"> 0.5*VACnom*Table7[[#This Row],[Ivalley (A)]]*Table7[[#This Row],[ton (ns)]]*10^-9*Fsw*10^3+0.5*VACnom*Table7[[#This Row],[Ipeak (A)]]*Table7[[#This Row],[toff (ns)]]*10^-9*Fsw*10^3/10^-3</f>
        <v>#NAME?</v>
      </c>
      <c r="AU176" s="145" t="e">
        <f t="shared" ca="1" si="8"/>
        <v>#REF!</v>
      </c>
      <c r="AV176" s="145" t="e">
        <f t="shared" ca="1" si="9"/>
        <v>#REF!</v>
      </c>
      <c r="AW176" s="145" t="e">
        <f t="shared" ca="1" si="10"/>
        <v>#REF!</v>
      </c>
      <c r="AX176" s="145" t="e">
        <f ca="1">IF(VACnom&gt;Vbat, TI_MOSFET_S_VSD_L_BU*Table7[[#This Row],[Ivalley (A)]]*Fsw*10^3*40*10^-9+TI_MOSFET_S_VSD_L_BU*Table7[[#This Row],[Ipeak (A)]]*Fsw*10^3*30*10^-9, TI_MOSFET_S_VSD_H_BO*Table7[[#This Row],[Ivalley (A)]]*Fsw*10^3*40*10^-9+TI_MOSFET_S_VSD_H_BO*Table7[[#This Row],[Ipeak (A)]]*Fsw*10^3*30*10^-9)/10^-3</f>
        <v>#REF!</v>
      </c>
      <c r="AY176" s="145" t="e">
        <f t="shared" ca="1" si="11"/>
        <v>#REF!</v>
      </c>
      <c r="AZ176" s="145" t="e">
        <f ca="1">IF(VACnom&lt;Vbat, Table7[[#This Row],[Duty Cycle]]*Table7[[#This Row],[I_L RMS]]^2*TI_MOSFET_S_RDSON_H_BU*10^-3, (1-Table7[[#This Row],[Duty Cycle]])*Table7[[#This Row],[I_L RMS]]^2*TI_MOSFET_S_RDSON_H_BO*10^-3)/10^-3</f>
        <v>#NAME?</v>
      </c>
      <c r="BA176" s="145" t="e">
        <f ca="1">IF(VACnom&gt;Vbat, Table7[[#This Row],[PIV (mW)]]+Table7[[#This Row],[Pqoss (mW)]]+Table7[[#This Row],[Pgate_top (mW)]], Table7[[#This Row],[PRR (mW)]]+Table7[[#This Row],[Pdead (mW)]]+Table7[[#This Row],[Pgate_top (mW)]])</f>
        <v>#REF!</v>
      </c>
      <c r="BB176" s="145" t="e">
        <f ca="1">Table7[[#This Row],[Pcon_top (mW)]]+Table7[[#This Row],[Psw_top (mW)]]</f>
        <v>#NAME?</v>
      </c>
      <c r="BC176" s="145" t="e">
        <f ca="1">IF(VACnom&gt;Vbat, (1-Table7[[#This Row],[Duty Cycle]])*Table7[[#This Row],[I_L RMS]]^2*TI_MOSFET_S_RDSON_L_BU*10^-3, Table7[[#This Row],[Duty Cycle]]*Table7[[#This Row],[I_L RMS]]^2*TI_MOSFET_S_RDSON_L_BO*10^-3)/10^-3</f>
        <v>#NAME?</v>
      </c>
      <c r="BD176" s="145" t="e">
        <f ca="1">IF(VACnom&gt;Vbat, Table7[[#This Row],[PRR (mW)]]+Table7[[#This Row],[Pdead (mW)]]+Table7[[#This Row],[Pgate_bottom (mW)]], Table7[[#This Row],[PIV (mW)]]+Table7[[#This Row],[Pqoss (mW)]]+Table7[[#This Row],[Pgate_bottom (mW)]])</f>
        <v>#NAME?</v>
      </c>
      <c r="BE176" s="147" t="e">
        <f ca="1">Table7[[#This Row],[Pcon_bottom (mW)]]+Table7[[#This Row],[Psw_bottom (mW)]]</f>
        <v>#NAME?</v>
      </c>
      <c r="BF176" s="145" t="e">
        <f ca="1">Table7[[#This Row],[Pbottom (mW)]]+Table7[[#This Row],[Ptop (mW)]]</f>
        <v>#NAME?</v>
      </c>
      <c r="BG176" s="142"/>
      <c r="BH176" s="145" t="e">
        <f>MAX(0,Table7[[#This Row],[I_L]]-0.5*Table7[[#This Row],[I_L pkpk]])</f>
        <v>#NAME?</v>
      </c>
      <c r="BI176" s="145" t="e">
        <f>Table7[[#This Row],[I_L]]+0.5*Table7[[#This Row],[I_L pkpk]]</f>
        <v>#NAME?</v>
      </c>
      <c r="BJ176" s="145">
        <f>IF(VACnom&gt;Vbat, (VGS_S-(C_MOSFET_S_VTH_H_BU+Table7[[#This Row],[I_L]]/C_MOSFET_S_gFS_H_BU))/3.4, (VGS_S-(C_MOSFET_S_VTH_L_BO+Table7[[#This Row],[I_L]]/C_MOSFET_S_gFS_L_BO))/3.4 )</f>
        <v>2.3482516339869282</v>
      </c>
      <c r="BK176" s="145">
        <f>IF(VACnom&gt;Vbat, ((C_MOSFET_S_VTH_H_BU+Table7[[#This Row],[I_L]]/C_MOSFET_S_gFS_H_BU))/1, ((C_MOSFET_S_VTH_L_BO+Table7[[#This Row],[I_L]]/C_MOSFET_S_gFS_L_BO))/1 )</f>
        <v>2.0159444444444445</v>
      </c>
      <c r="BL176" s="145">
        <f>IF(VACnom&gt;Vbat, (C_MOSFET_S_QGD_H_BU+C_MOSFET_S_QGS_H_BU)*10^-9/Table7[[#This Row],[Ion (A) C]], (C_MOSFET_S_QGD_L_BO+C_MOSFET_S_QGS_L_BO)*10^-9/Table7[[#This Row],[Ion (A) C]])/10^-9</f>
        <v>2.7680168112835997</v>
      </c>
      <c r="BM176" s="145">
        <f>IF(VACnom&gt;Vbat, (C_MOSFET_S_QGD_H_BU+C_MOSFET_S_QGS_H_BU)*10^-9/Table7[[#This Row],[Ioff (A) C]], (C_MOSFET_S_QGD_L_BO+C_MOSFET_S_QGS_L_BO)*10^-9/Table7[[#This Row],[Ioff (A) C]])/10^-9</f>
        <v>3.224295202138507</v>
      </c>
      <c r="BN176" s="145" t="e">
        <f xml:space="preserve"> 0.5*VACnom*Table7[[#This Row],[Ivalley (A) C]]*Table7[[#This Row],[ton (ns) C]]*10^-9*Fsw*10^3+0.5*VACnom*Table7[[#This Row],[Ipeak (A) C]]*Table7[[#This Row],[toff (ns) C]]*10^-9*Fsw*10^3/10^-3</f>
        <v>#NAME?</v>
      </c>
      <c r="BO176" s="145">
        <f t="shared" si="12"/>
        <v>259.2</v>
      </c>
      <c r="BP176" s="145" t="e">
        <f t="shared" ca="1" si="13"/>
        <v>#REF!</v>
      </c>
      <c r="BQ176" s="145">
        <f t="shared" si="14"/>
        <v>475.2</v>
      </c>
      <c r="BR176" s="145" t="e">
        <f>IF(VACnom&gt;Vbat, C_MOSFET_S_VSD_L_BU*Table7[[#This Row],[Ivalley (A) C]]*Fsw*10^3*40*10^-9+C_MOSFET_S_VSD_L_BU*Table7[[#This Row],[Ipeak (A) C]]*Fsw*10^3*30*10^-9, C_MOSFET_S_VSD_H_BO*Table7[[#This Row],[Ivalley (A) C]]*Fsw*10^3*40*10^-9+C_MOSFET_S_VSD_H_BO*Table7[[#This Row],[Ipeak (A) C]]*Fsw*10^3*30*10^-9)/10^-3</f>
        <v>#NAME?</v>
      </c>
      <c r="BS176" s="145" t="e">
        <f t="shared" ca="1" si="15"/>
        <v>#REF!</v>
      </c>
      <c r="BT176" s="145" t="e">
        <f>IF(VACnom&lt;Vbat, Table7[[#This Row],[Duty Cycle]]*Table7[[#This Row],[I_L RMS]]^2*C_MOSFET_S_RDSON_H_BU*10^-3, (1-Table7[[#This Row],[Duty Cycle]])*Table7[[#This Row],[I_L RMS]]^2*C_MOSFET_S_RDSON_H_BO*10^-3)/10^-3</f>
        <v>#NAME?</v>
      </c>
      <c r="BU176" s="145" t="e">
        <f ca="1">IF(VACnom&gt;Vbat, Table7[[#This Row],[PIV (mW) C]]+Table7[[#This Row],[PQoss (mW) C]]+Table7[[#This Row],[Pgate_top (mW) C]], Table7[[#This Row],[PRR (mW) C]]+Table7[[#This Row],[Pdead (mW) C]]+Table7[[#This Row],[Pgate_top (mW) C]])</f>
        <v>#NAME?</v>
      </c>
      <c r="BV176" s="145" t="e">
        <f ca="1">Table7[[#This Row],[Pcon_top (mW) C]]+Table7[[#This Row],[Psw_top (mW) C]]</f>
        <v>#NAME?</v>
      </c>
      <c r="BW176" s="145" t="e">
        <f ca="1">IF(VACnom&gt;Vbat, (1-Table7[[#This Row],[Duty Cycle]])*Table7[[#This Row],[I_L RMS]]^2*C_MOSFET_S_RDSON_L_BU*10^-3, Table7[[#This Row],[Duty Cycle]]*Table7[[#This Row],[I_L RMS]]^2*C_MOSFET_S_RDSON_L_BO*10^-3)/10^-3</f>
        <v>#NAME?</v>
      </c>
      <c r="BX176" s="145" t="e">
        <f ca="1">IF(VACnom&gt;Vbat, Table7[[#This Row],[PRR (mW) C]]+Table7[[#This Row],[Pdead (mW) C]]+Table7[[#This Row],[Pgate_bottom (mW) C]], Table7[[#This Row],[PIV (mW) C]]+Table7[[#This Row],[PQoss (mW) C]]+Table7[[#This Row],[Pgate_bottom (mW) C]])</f>
        <v>#NAME?</v>
      </c>
      <c r="BY176" s="145" t="e">
        <f ca="1">Table7[[#This Row],[Pcon_bottom (mW) C]]+Table7[[#This Row],[Psw_bottom (mV) C]]</f>
        <v>#NAME?</v>
      </c>
      <c r="BZ176" s="145" t="e">
        <f ca="1">Table7[[#This Row],[Pbottom (mW) C]]+Table7[[#This Row],[Ptop (mW) C]]</f>
        <v>#NAME?</v>
      </c>
      <c r="CA176" s="148"/>
      <c r="CB176" s="144">
        <f>(RAC_SNS*10^-3*(Table7[[#This Row],[IOUT (A)]]*Vbat/VACnom)^2/10^-3)</f>
        <v>28.600347222222222</v>
      </c>
      <c r="CC176" s="144">
        <f>(RBAT_SNS*10^-3*Table7[[#This Row],[IOUT (A)]]^2)/10^-3</f>
        <v>20</v>
      </c>
      <c r="CD176" s="144">
        <f>IF(VACnom&gt;Vbat,(L_DRC*10^-3*(Table7[[#This Row],[IOUT (A)]])^2/10^-3),(L_DRC*10^-3*(Table7[[#This Row],[IOUT (A)]]*Vbat/VACnom)^2/10^-3))</f>
        <v>19.448236111111111</v>
      </c>
      <c r="CE176" s="152"/>
      <c r="CF176" s="145">
        <f>(Table7[[#This Row],[R_AC (mW)]]+Table7[[#This Row],[R_SR (mW)]]+Table7[[#This Row],[Inductor Loss (mW)]])/10^3</f>
        <v>6.8048583333333343E-2</v>
      </c>
      <c r="CG176" s="145" t="e">
        <f ca="1">Table7[[#This Row],[Total TI (mW)]]/10^3</f>
        <v>#NAME?</v>
      </c>
      <c r="CH176" s="145" t="e">
        <f ca="1">Table7[[#This Row],[Total Sense Loss]]+Table7[[#This Row],[Total MOSFET Loss]]</f>
        <v>#NAME?</v>
      </c>
      <c r="CI176" s="149" t="e">
        <f ca="1">IF(Table7[[#This Row],[POUT (W)]]=0,0,(Table7[[#This Row],[POUT (W)]])/(Table7[[#This Row],[POUT (W)]]+Table7[[#This Row],[Total Power Loss (W)]]))*100</f>
        <v>#NAME?</v>
      </c>
      <c r="CJ176" s="153"/>
      <c r="CK176" s="145">
        <f>(Table7[[#This Row],[R_AC (mW)]]+Table7[[#This Row],[R_SR (mW)]]+Table7[[#This Row],[Inductor Loss (mW)]])/10^3</f>
        <v>6.8048583333333343E-2</v>
      </c>
      <c r="CL176" s="145" t="e">
        <f ca="1">Table7[[#This Row],[Total (mW) C]]/10^3</f>
        <v>#NAME?</v>
      </c>
      <c r="CM176" s="145" t="e">
        <f ca="1">Table7[[#This Row],[Total Sense Loss C]]+Table7[[#This Row],[Total MOSFET Loss C]]</f>
        <v>#NAME?</v>
      </c>
      <c r="CN176" s="149" t="e">
        <f ca="1">IF(Table7[[#This Row],[POUT (W)]]=0,0,(Table7[[#This Row],[POUT (W)]])/(Table7[[#This Row],[POUT (W)]]+Table7[[#This Row],[Total Power Loss (W) C]]))*100</f>
        <v>#NAME?</v>
      </c>
      <c r="CO176" s="153"/>
      <c r="CP176" s="149">
        <f>IF(MOSFET_S=Custom_MOSFET,Table7[[#This Row],[Total Sense Loss C]],Table7[[#This Row],[Total Sense Loss]])</f>
        <v>6.8048583333333343E-2</v>
      </c>
      <c r="CQ176" s="149" t="e">
        <f ca="1">IF(MOSFET_S=Custom_MOSFET,Table7[[#This Row],[Total MOSFET Loss C]],Table7[[#This Row],[Total MOSFET Loss]])</f>
        <v>#NAME?</v>
      </c>
      <c r="CR176" s="149" t="e">
        <f ca="1">IF(MOSFET_S=Custom_MOSFET,Table7[[#This Row],[Efficiency C]],Table7[[#This Row],[Efficiency]])</f>
        <v>#NAME?</v>
      </c>
      <c r="CS176" s="153"/>
      <c r="CT176" s="149">
        <f>IF(MOSFET_S=Compare_MOSFET, Table7[[#This Row],[Total Sense Loss C]], -100)</f>
        <v>-100</v>
      </c>
      <c r="CU176" s="149">
        <f>IF(MOSFET_S=Compare_MOSFET, Table7[[#This Row],[Total MOSFET Loss C]], -100)</f>
        <v>-100</v>
      </c>
      <c r="CV176" s="149">
        <f>IF(MOSFET_S=Compare_MOSFET, Table7[[#This Row],[Efficiency C]], -100)</f>
        <v>-100</v>
      </c>
      <c r="CW176" s="153"/>
      <c r="CX176" s="149">
        <f ca="1">IF(Save_Sel=CLR_Save,  Table7[[#This Row],[Total Sense Loss P1]], Table7[[#This Row],[Total Sense Loss P1 Saved]])</f>
        <v>5.7062500000000002E-2</v>
      </c>
      <c r="CY176" s="149">
        <f ca="1">IF(Save_Sel=CLR_Save,  Table7[[#This Row],[Total MOSFET Loss P1]], Table7[[#This Row],[Total MOSFET Loss P1 Saved]] )</f>
        <v>1.5892295863862196</v>
      </c>
      <c r="CZ176" s="149">
        <f ca="1">IF(Save_Sel=CLR_Save, Table7[[#This Row],[Efficiency P1]], Table7[[#This Row],[Efficiency P1 Saved]])</f>
        <v>87.93597501823524</v>
      </c>
      <c r="DA176" s="153"/>
      <c r="DB176" s="149">
        <f ca="1">IF(Save_Sel=CLR_Save,  Table7[[#This Row],[Total Sense Loss P2]], Table7[[#This Row],[Total Sense Loss P2 Saved]])</f>
        <v>5.7062500000000002E-2</v>
      </c>
      <c r="DC176" s="149">
        <f ca="1">IF(Save_Sel=CLR_Save,  Table7[[#This Row],[Total MOSFET Loss P2]], Table7[[#This Row],[Total MOSFET Loss P2 Saved]] )</f>
        <v>1.0487922476464282</v>
      </c>
      <c r="DD176" s="149">
        <f ca="1">IF(Save_Sel=CLR_Save, Table7[[#This Row],[Efficiency P2]], Table7[[#This Row],[Efficiency P2 Saved]])</f>
        <v>91.562131818643721</v>
      </c>
      <c r="DE176" s="153"/>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row>
    <row r="177" spans="1:165" x14ac:dyDescent="0.2">
      <c r="A177" s="48"/>
      <c r="B177" s="49"/>
      <c r="C177" s="49"/>
      <c r="D177" s="39"/>
      <c r="E177" s="49" t="s">
        <v>13</v>
      </c>
      <c r="F177" s="49" t="s">
        <v>14</v>
      </c>
      <c r="G177" s="42"/>
      <c r="H177" s="29"/>
      <c r="I177" s="113"/>
      <c r="J177" s="49"/>
      <c r="K177" s="49"/>
      <c r="L177" s="49"/>
      <c r="M177" s="39"/>
      <c r="N177" s="49" t="s">
        <v>13</v>
      </c>
      <c r="O177" s="49" t="s">
        <v>14</v>
      </c>
      <c r="P177" s="42"/>
      <c r="Q177" s="29"/>
      <c r="R177" s="29"/>
      <c r="S177" s="30"/>
      <c r="T177" s="18"/>
      <c r="U177" s="19"/>
      <c r="V177" s="19"/>
      <c r="W177" s="19"/>
      <c r="X177" s="19"/>
      <c r="Y177" s="19"/>
      <c r="Z177" s="19"/>
      <c r="AA177" s="19"/>
      <c r="AB177" s="19"/>
      <c r="AC177" s="19"/>
      <c r="AD177" s="19"/>
      <c r="AE177" s="19"/>
      <c r="AF177" s="143">
        <f t="shared" si="17"/>
        <v>21</v>
      </c>
      <c r="AG177" s="143">
        <f t="shared" si="16"/>
        <v>2.1</v>
      </c>
      <c r="AH177" s="144">
        <f t="shared" si="3"/>
        <v>50.400000000000006</v>
      </c>
      <c r="AI177" s="145">
        <f t="shared" si="4"/>
        <v>0.16376306620209058</v>
      </c>
      <c r="AJ177" s="145">
        <f t="shared" si="5"/>
        <v>2.51125</v>
      </c>
      <c r="AK177" s="145" t="e">
        <f t="shared" si="6"/>
        <v>#NAME?</v>
      </c>
      <c r="AL177" s="145" t="e">
        <f t="shared" si="7"/>
        <v>#NAME?</v>
      </c>
      <c r="AM177" s="146"/>
      <c r="AN177" s="145" t="e">
        <f>MAX(0,Table7[[#This Row],[I_L]]-0.5*Table7[[#This Row],[I_L pkpk]])</f>
        <v>#NAME?</v>
      </c>
      <c r="AO177" s="145" t="e">
        <f>Table7[[#This Row],[I_L]]+0.5*Table7[[#This Row],[I_L pkpk]]</f>
        <v>#NAME?</v>
      </c>
      <c r="AP177" s="145" t="e">
        <f ca="1">IF(VACnom&gt;Vbat, (VGS_S-(TI_MOSFET_S_VTH_H_BU+Table7[[#This Row],[I_L]]/TI_MOSFET_S_gFS_H_BU))/3.4, (VGS_S-(TI_MOSFET_S_VTH_L_BO+Table7[[#This Row],[I_L]]/TI_MOSFET_S_gFS_L_BO))/3.4 )</f>
        <v>#REF!</v>
      </c>
      <c r="AQ177" s="145" t="e">
        <f ca="1">IF(VACnom&gt;Vbat, ((TI_MOSFET_S_VTH_H_BU+Table7[[#This Row],[I_L]]/TI_MOSFET_S_gFS_H_BU))/1, ((TI_MOSFET_S_VTH_L_BO+Table7[[#This Row],[I_L]]/TI_MOSFET_S_gFS_L_BO))/1 )</f>
        <v>#REF!</v>
      </c>
      <c r="AR177" s="145" t="e">
        <f ca="1">IF(VACnom&gt;Vbat, (TI_MOSFET_S_QGD_H_BU+TI_MOSFET_S_QGS_H_BU)*10^-9/Table7[[#This Row],[Ion (A)]], (TI_MOSFET_S_QGD_L_BO+TI_MOSFET_S_QGS_L_BO)*10^-9/Table7[[#This Row],[Ion (A)]])/10^-9</f>
        <v>#REF!</v>
      </c>
      <c r="AS177" s="145" t="e">
        <f ca="1">IF(VACnom&gt;Vbat, (TI_MOSFET_S_QGD_H_BU+TI_MOSFET_S_QGS_H_BU)*10^-9/Table7[[#This Row],[Ioff (A)]], (TI_MOSFET_S_QGD_L_BO+TI_MOSFET_S_QGS_L_BO)*10^-9/Table7[[#This Row],[Ioff (A)]])/10^-9</f>
        <v>#REF!</v>
      </c>
      <c r="AT177" s="145" t="e">
        <f ca="1" xml:space="preserve"> 0.5*VACnom*Table7[[#This Row],[Ivalley (A)]]*Table7[[#This Row],[ton (ns)]]*10^-9*Fsw*10^3+0.5*VACnom*Table7[[#This Row],[Ipeak (A)]]*Table7[[#This Row],[toff (ns)]]*10^-9*Fsw*10^3/10^-3</f>
        <v>#NAME?</v>
      </c>
      <c r="AU177" s="145" t="e">
        <f t="shared" ca="1" si="8"/>
        <v>#REF!</v>
      </c>
      <c r="AV177" s="145" t="e">
        <f t="shared" ca="1" si="9"/>
        <v>#REF!</v>
      </c>
      <c r="AW177" s="145" t="e">
        <f t="shared" ca="1" si="10"/>
        <v>#REF!</v>
      </c>
      <c r="AX177" s="145" t="e">
        <f ca="1">IF(VACnom&gt;Vbat, TI_MOSFET_S_VSD_L_BU*Table7[[#This Row],[Ivalley (A)]]*Fsw*10^3*40*10^-9+TI_MOSFET_S_VSD_L_BU*Table7[[#This Row],[Ipeak (A)]]*Fsw*10^3*30*10^-9, TI_MOSFET_S_VSD_H_BO*Table7[[#This Row],[Ivalley (A)]]*Fsw*10^3*40*10^-9+TI_MOSFET_S_VSD_H_BO*Table7[[#This Row],[Ipeak (A)]]*Fsw*10^3*30*10^-9)/10^-3</f>
        <v>#REF!</v>
      </c>
      <c r="AY177" s="145" t="e">
        <f t="shared" ca="1" si="11"/>
        <v>#REF!</v>
      </c>
      <c r="AZ177" s="145" t="e">
        <f ca="1">IF(VACnom&lt;Vbat, Table7[[#This Row],[Duty Cycle]]*Table7[[#This Row],[I_L RMS]]^2*TI_MOSFET_S_RDSON_H_BU*10^-3, (1-Table7[[#This Row],[Duty Cycle]])*Table7[[#This Row],[I_L RMS]]^2*TI_MOSFET_S_RDSON_H_BO*10^-3)/10^-3</f>
        <v>#NAME?</v>
      </c>
      <c r="BA177" s="145" t="e">
        <f ca="1">IF(VACnom&gt;Vbat, Table7[[#This Row],[PIV (mW)]]+Table7[[#This Row],[Pqoss (mW)]]+Table7[[#This Row],[Pgate_top (mW)]], Table7[[#This Row],[PRR (mW)]]+Table7[[#This Row],[Pdead (mW)]]+Table7[[#This Row],[Pgate_top (mW)]])</f>
        <v>#REF!</v>
      </c>
      <c r="BB177" s="145" t="e">
        <f ca="1">Table7[[#This Row],[Pcon_top (mW)]]+Table7[[#This Row],[Psw_top (mW)]]</f>
        <v>#NAME?</v>
      </c>
      <c r="BC177" s="145" t="e">
        <f ca="1">IF(VACnom&gt;Vbat, (1-Table7[[#This Row],[Duty Cycle]])*Table7[[#This Row],[I_L RMS]]^2*TI_MOSFET_S_RDSON_L_BU*10^-3, Table7[[#This Row],[Duty Cycle]]*Table7[[#This Row],[I_L RMS]]^2*TI_MOSFET_S_RDSON_L_BO*10^-3)/10^-3</f>
        <v>#NAME?</v>
      </c>
      <c r="BD177" s="145" t="e">
        <f ca="1">IF(VACnom&gt;Vbat, Table7[[#This Row],[PRR (mW)]]+Table7[[#This Row],[Pdead (mW)]]+Table7[[#This Row],[Pgate_bottom (mW)]], Table7[[#This Row],[PIV (mW)]]+Table7[[#This Row],[Pqoss (mW)]]+Table7[[#This Row],[Pgate_bottom (mW)]])</f>
        <v>#NAME?</v>
      </c>
      <c r="BE177" s="147" t="e">
        <f ca="1">Table7[[#This Row],[Pcon_bottom (mW)]]+Table7[[#This Row],[Psw_bottom (mW)]]</f>
        <v>#NAME?</v>
      </c>
      <c r="BF177" s="145" t="e">
        <f ca="1">Table7[[#This Row],[Pbottom (mW)]]+Table7[[#This Row],[Ptop (mW)]]</f>
        <v>#NAME?</v>
      </c>
      <c r="BG177" s="142"/>
      <c r="BH177" s="145" t="e">
        <f>MAX(0,Table7[[#This Row],[I_L]]-0.5*Table7[[#This Row],[I_L pkpk]])</f>
        <v>#NAME?</v>
      </c>
      <c r="BI177" s="145" t="e">
        <f>Table7[[#This Row],[I_L]]+0.5*Table7[[#This Row],[I_L pkpk]]</f>
        <v>#NAME?</v>
      </c>
      <c r="BJ177" s="145">
        <f>IF(VACnom&gt;Vbat, (VGS_S-(C_MOSFET_S_VTH_H_BU+Table7[[#This Row],[I_L]]/C_MOSFET_S_gFS_H_BU))/3.4, (VGS_S-(C_MOSFET_S_VTH_L_BO+Table7[[#This Row],[I_L]]/C_MOSFET_S_gFS_L_BO))/3.4 )</f>
        <v>2.348017156862745</v>
      </c>
      <c r="BK177" s="145">
        <f>IF(VACnom&gt;Vbat, ((C_MOSFET_S_VTH_H_BU+Table7[[#This Row],[I_L]]/C_MOSFET_S_gFS_H_BU))/1, ((C_MOSFET_S_VTH_L_BO+Table7[[#This Row],[I_L]]/C_MOSFET_S_gFS_L_BO))/1 )</f>
        <v>2.0167416666666669</v>
      </c>
      <c r="BL177" s="145">
        <f>IF(VACnom&gt;Vbat, (C_MOSFET_S_QGD_H_BU+C_MOSFET_S_QGS_H_BU)*10^-9/Table7[[#This Row],[Ion (A) C]], (C_MOSFET_S_QGD_L_BO+C_MOSFET_S_QGS_L_BO)*10^-9/Table7[[#This Row],[Ion (A) C]])/10^-9</f>
        <v>2.7682932303121848</v>
      </c>
      <c r="BM177" s="145">
        <f>IF(VACnom&gt;Vbat, (C_MOSFET_S_QGD_H_BU+C_MOSFET_S_QGS_H_BU)*10^-9/Table7[[#This Row],[Ioff (A) C]], (C_MOSFET_S_QGD_L_BO+C_MOSFET_S_QGS_L_BO)*10^-9/Table7[[#This Row],[Ioff (A) C]])/10^-9</f>
        <v>3.2230206314641188</v>
      </c>
      <c r="BN177" s="145" t="e">
        <f xml:space="preserve"> 0.5*VACnom*Table7[[#This Row],[Ivalley (A) C]]*Table7[[#This Row],[ton (ns) C]]*10^-9*Fsw*10^3+0.5*VACnom*Table7[[#This Row],[Ipeak (A) C]]*Table7[[#This Row],[toff (ns) C]]*10^-9*Fsw*10^3/10^-3</f>
        <v>#NAME?</v>
      </c>
      <c r="BO177" s="145">
        <f t="shared" si="12"/>
        <v>259.2</v>
      </c>
      <c r="BP177" s="145" t="e">
        <f t="shared" ca="1" si="13"/>
        <v>#REF!</v>
      </c>
      <c r="BQ177" s="145">
        <f t="shared" si="14"/>
        <v>475.2</v>
      </c>
      <c r="BR177" s="145" t="e">
        <f>IF(VACnom&gt;Vbat, C_MOSFET_S_VSD_L_BU*Table7[[#This Row],[Ivalley (A) C]]*Fsw*10^3*40*10^-9+C_MOSFET_S_VSD_L_BU*Table7[[#This Row],[Ipeak (A) C]]*Fsw*10^3*30*10^-9, C_MOSFET_S_VSD_H_BO*Table7[[#This Row],[Ivalley (A) C]]*Fsw*10^3*40*10^-9+C_MOSFET_S_VSD_H_BO*Table7[[#This Row],[Ipeak (A) C]]*Fsw*10^3*30*10^-9)/10^-3</f>
        <v>#NAME?</v>
      </c>
      <c r="BS177" s="145" t="e">
        <f t="shared" ca="1" si="15"/>
        <v>#REF!</v>
      </c>
      <c r="BT177" s="145" t="e">
        <f>IF(VACnom&lt;Vbat, Table7[[#This Row],[Duty Cycle]]*Table7[[#This Row],[I_L RMS]]^2*C_MOSFET_S_RDSON_H_BU*10^-3, (1-Table7[[#This Row],[Duty Cycle]])*Table7[[#This Row],[I_L RMS]]^2*C_MOSFET_S_RDSON_H_BO*10^-3)/10^-3</f>
        <v>#NAME?</v>
      </c>
      <c r="BU177" s="145" t="e">
        <f ca="1">IF(VACnom&gt;Vbat, Table7[[#This Row],[PIV (mW) C]]+Table7[[#This Row],[PQoss (mW) C]]+Table7[[#This Row],[Pgate_top (mW) C]], Table7[[#This Row],[PRR (mW) C]]+Table7[[#This Row],[Pdead (mW) C]]+Table7[[#This Row],[Pgate_top (mW) C]])</f>
        <v>#NAME?</v>
      </c>
      <c r="BV177" s="145" t="e">
        <f ca="1">Table7[[#This Row],[Pcon_top (mW) C]]+Table7[[#This Row],[Psw_top (mW) C]]</f>
        <v>#NAME?</v>
      </c>
      <c r="BW177" s="145" t="e">
        <f ca="1">IF(VACnom&gt;Vbat, (1-Table7[[#This Row],[Duty Cycle]])*Table7[[#This Row],[I_L RMS]]^2*C_MOSFET_S_RDSON_L_BU*10^-3, Table7[[#This Row],[Duty Cycle]]*Table7[[#This Row],[I_L RMS]]^2*C_MOSFET_S_RDSON_L_BO*10^-3)/10^-3</f>
        <v>#NAME?</v>
      </c>
      <c r="BX177" s="145" t="e">
        <f ca="1">IF(VACnom&gt;Vbat, Table7[[#This Row],[PRR (mW) C]]+Table7[[#This Row],[Pdead (mW) C]]+Table7[[#This Row],[Pgate_bottom (mW) C]], Table7[[#This Row],[PIV (mW) C]]+Table7[[#This Row],[PQoss (mW) C]]+Table7[[#This Row],[Pgate_bottom (mW) C]])</f>
        <v>#NAME?</v>
      </c>
      <c r="BY177" s="145" t="e">
        <f ca="1">Table7[[#This Row],[Pcon_bottom (mW) C]]+Table7[[#This Row],[Psw_bottom (mV) C]]</f>
        <v>#NAME?</v>
      </c>
      <c r="BZ177" s="145" t="e">
        <f ca="1">Table7[[#This Row],[Pbottom (mW) C]]+Table7[[#This Row],[Ptop (mW) C]]</f>
        <v>#NAME?</v>
      </c>
      <c r="CA177" s="148"/>
      <c r="CB177" s="144">
        <f>(RAC_SNS*10^-3*(Table7[[#This Row],[IOUT (A)]]*Vbat/VACnom)^2/10^-3)</f>
        <v>31.531882812500001</v>
      </c>
      <c r="CC177" s="144">
        <f>(RBAT_SNS*10^-3*Table7[[#This Row],[IOUT (A)]]^2)/10^-3</f>
        <v>22.05</v>
      </c>
      <c r="CD177" s="144">
        <f>IF(VACnom&gt;Vbat,(L_DRC*10^-3*(Table7[[#This Row],[IOUT (A)]])^2/10^-3),(L_DRC*10^-3*(Table7[[#This Row],[IOUT (A)]]*Vbat/VACnom)^2/10^-3))</f>
        <v>21.441680312499997</v>
      </c>
      <c r="CE177" s="152"/>
      <c r="CF177" s="145">
        <f>(Table7[[#This Row],[R_AC (mW)]]+Table7[[#This Row],[R_SR (mW)]]+Table7[[#This Row],[Inductor Loss (mW)]])/10^3</f>
        <v>7.5023563124999998E-2</v>
      </c>
      <c r="CG177" s="145" t="e">
        <f ca="1">Table7[[#This Row],[Total TI (mW)]]/10^3</f>
        <v>#NAME?</v>
      </c>
      <c r="CH177" s="145" t="e">
        <f ca="1">Table7[[#This Row],[Total Sense Loss]]+Table7[[#This Row],[Total MOSFET Loss]]</f>
        <v>#NAME?</v>
      </c>
      <c r="CI177" s="149" t="e">
        <f ca="1">IF(Table7[[#This Row],[POUT (W)]]=0,0,(Table7[[#This Row],[POUT (W)]])/(Table7[[#This Row],[POUT (W)]]+Table7[[#This Row],[Total Power Loss (W)]]))*100</f>
        <v>#NAME?</v>
      </c>
      <c r="CJ177" s="153"/>
      <c r="CK177" s="145">
        <f>(Table7[[#This Row],[R_AC (mW)]]+Table7[[#This Row],[R_SR (mW)]]+Table7[[#This Row],[Inductor Loss (mW)]])/10^3</f>
        <v>7.5023563124999998E-2</v>
      </c>
      <c r="CL177" s="145" t="e">
        <f ca="1">Table7[[#This Row],[Total (mW) C]]/10^3</f>
        <v>#NAME?</v>
      </c>
      <c r="CM177" s="145" t="e">
        <f ca="1">Table7[[#This Row],[Total Sense Loss C]]+Table7[[#This Row],[Total MOSFET Loss C]]</f>
        <v>#NAME?</v>
      </c>
      <c r="CN177" s="149" t="e">
        <f ca="1">IF(Table7[[#This Row],[POUT (W)]]=0,0,(Table7[[#This Row],[POUT (W)]])/(Table7[[#This Row],[POUT (W)]]+Table7[[#This Row],[Total Power Loss (W) C]]))*100</f>
        <v>#NAME?</v>
      </c>
      <c r="CO177" s="153"/>
      <c r="CP177" s="149">
        <f>IF(MOSFET_S=Custom_MOSFET,Table7[[#This Row],[Total Sense Loss C]],Table7[[#This Row],[Total Sense Loss]])</f>
        <v>7.5023563124999998E-2</v>
      </c>
      <c r="CQ177" s="149" t="e">
        <f ca="1">IF(MOSFET_S=Custom_MOSFET,Table7[[#This Row],[Total MOSFET Loss C]],Table7[[#This Row],[Total MOSFET Loss]])</f>
        <v>#NAME?</v>
      </c>
      <c r="CR177" s="149" t="e">
        <f ca="1">IF(MOSFET_S=Custom_MOSFET,Table7[[#This Row],[Efficiency C]],Table7[[#This Row],[Efficiency]])</f>
        <v>#NAME?</v>
      </c>
      <c r="CS177" s="153"/>
      <c r="CT177" s="149">
        <f>IF(MOSFET_S=Compare_MOSFET, Table7[[#This Row],[Total Sense Loss C]], -100)</f>
        <v>-100</v>
      </c>
      <c r="CU177" s="149">
        <f>IF(MOSFET_S=Compare_MOSFET, Table7[[#This Row],[Total MOSFET Loss C]], -100)</f>
        <v>-100</v>
      </c>
      <c r="CV177" s="149">
        <f>IF(MOSFET_S=Compare_MOSFET, Table7[[#This Row],[Efficiency C]], -100)</f>
        <v>-100</v>
      </c>
      <c r="CW177" s="153"/>
      <c r="CX177" s="149">
        <f ca="1">IF(Save_Sel=CLR_Save,  Table7[[#This Row],[Total Sense Loss P1]], Table7[[#This Row],[Total Sense Loss P1 Saved]])</f>
        <v>6.291140625000001E-2</v>
      </c>
      <c r="CY177" s="149">
        <f ca="1">IF(Save_Sel=CLR_Save,  Table7[[#This Row],[Total MOSFET Loss P1]], Table7[[#This Row],[Total MOSFET Loss P1 Saved]] )</f>
        <v>1.5979356700494787</v>
      </c>
      <c r="CZ177" s="149">
        <f ca="1">IF(Save_Sel=CLR_Save, Table7[[#This Row],[Efficiency P1]], Table7[[#This Row],[Efficiency P1 Saved]])</f>
        <v>88.353797867591695</v>
      </c>
      <c r="DA177" s="153"/>
      <c r="DB177" s="149">
        <f ca="1">IF(Save_Sel=CLR_Save,  Table7[[#This Row],[Total Sense Loss P2]], Table7[[#This Row],[Total Sense Loss P2 Saved]])</f>
        <v>6.291140625000001E-2</v>
      </c>
      <c r="DC177" s="149">
        <f ca="1">IF(Save_Sel=CLR_Save,  Table7[[#This Row],[Total MOSFET Loss P2]], Table7[[#This Row],[Total MOSFET Loss P2 Saved]] )</f>
        <v>1.0543797819932113</v>
      </c>
      <c r="DD177" s="149">
        <f ca="1">IF(Save_Sel=CLR_Save, Table7[[#This Row],[Efficiency P2]], Table7[[#This Row],[Efficiency P2 Saved]])</f>
        <v>91.854870083965139</v>
      </c>
      <c r="DE177" s="153"/>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row>
    <row r="178" spans="1:165" x14ac:dyDescent="0.2">
      <c r="A178" s="48">
        <v>1</v>
      </c>
      <c r="B178" s="49"/>
      <c r="C178" s="49"/>
      <c r="D178" s="32" t="s">
        <v>130</v>
      </c>
      <c r="E178" s="66" t="e">
        <f ca="1">IF( VGS_S=Vgs_4P5,TI_RDS_4P5_H_BO, IF(VGS_S=Vgs_10, TI_RDS_10_H_BO, IF( AND(VGS_S=Vgs_C, ISNUMBER(TI_RDS_C_H_BO)), TI_RDS_C_H_BO, "ERROR" )))</f>
        <v>#REF!</v>
      </c>
      <c r="F178" s="66" t="e">
        <f ca="1">IF( VGS_S=Vgs_4P5,TI_RDS_4P5_L_BO, IF(VGS_S=Vgs_10, TI_RDS_10_L_BO, IF( AND(VGS_S=Vgs_C, ISNUMBER(TI_RDS_C_L_BO)), TI_RDS_C_L_BO, "ERROR" )))</f>
        <v>#REF!</v>
      </c>
      <c r="G178" s="42" t="s">
        <v>22</v>
      </c>
      <c r="H178" s="29"/>
      <c r="I178" s="48">
        <v>1</v>
      </c>
      <c r="J178" s="29"/>
      <c r="K178" s="49"/>
      <c r="L178" s="49"/>
      <c r="M178" s="32" t="s">
        <v>130</v>
      </c>
      <c r="N178" s="117" t="e">
        <f ca="1">IF(MOSFET_S=TI_MOSFET, $N135, IF(MOSFET_S=Custom_MOSFET,$E135, IF(MOSFET_S=Compare_MOSFET,$N135, 0) ))</f>
        <v>#REF!</v>
      </c>
      <c r="O178" s="117" t="e">
        <f ca="1">IF(MOSFET_S=TI_MOSFET, $O135, IF(MOSFET_S=Custom_MOSFET,$F135, IF(MOSFET_S=Compare_MOSFET,$O135, 0) ))</f>
        <v>#REF!</v>
      </c>
      <c r="P178" s="42" t="s">
        <v>22</v>
      </c>
      <c r="Q178" s="29"/>
      <c r="R178" s="29"/>
      <c r="S178" s="30"/>
      <c r="T178" s="18"/>
      <c r="U178" s="19"/>
      <c r="V178" s="19"/>
      <c r="W178" s="19"/>
      <c r="X178" s="19"/>
      <c r="Y178" s="19"/>
      <c r="Z178" s="19"/>
      <c r="AA178" s="19"/>
      <c r="AB178" s="19"/>
      <c r="AC178" s="19"/>
      <c r="AD178" s="19"/>
      <c r="AE178" s="19"/>
      <c r="AF178" s="143">
        <f t="shared" si="17"/>
        <v>22</v>
      </c>
      <c r="AG178" s="143">
        <f t="shared" si="16"/>
        <v>2.2000000000000002</v>
      </c>
      <c r="AH178" s="144">
        <f t="shared" si="3"/>
        <v>52.800000000000004</v>
      </c>
      <c r="AI178" s="145">
        <f t="shared" si="4"/>
        <v>0.16376306620209058</v>
      </c>
      <c r="AJ178" s="145">
        <f t="shared" si="5"/>
        <v>2.6308333333333334</v>
      </c>
      <c r="AK178" s="145" t="e">
        <f t="shared" si="6"/>
        <v>#NAME?</v>
      </c>
      <c r="AL178" s="145" t="e">
        <f t="shared" si="7"/>
        <v>#NAME?</v>
      </c>
      <c r="AM178" s="146"/>
      <c r="AN178" s="145" t="e">
        <f>MAX(0,Table7[[#This Row],[I_L]]-0.5*Table7[[#This Row],[I_L pkpk]])</f>
        <v>#NAME?</v>
      </c>
      <c r="AO178" s="145" t="e">
        <f>Table7[[#This Row],[I_L]]+0.5*Table7[[#This Row],[I_L pkpk]]</f>
        <v>#NAME?</v>
      </c>
      <c r="AP178" s="145" t="e">
        <f ca="1">IF(VACnom&gt;Vbat, (VGS_S-(TI_MOSFET_S_VTH_H_BU+Table7[[#This Row],[I_L]]/TI_MOSFET_S_gFS_H_BU))/3.4, (VGS_S-(TI_MOSFET_S_VTH_L_BO+Table7[[#This Row],[I_L]]/TI_MOSFET_S_gFS_L_BO))/3.4 )</f>
        <v>#REF!</v>
      </c>
      <c r="AQ178" s="145" t="e">
        <f ca="1">IF(VACnom&gt;Vbat, ((TI_MOSFET_S_VTH_H_BU+Table7[[#This Row],[I_L]]/TI_MOSFET_S_gFS_H_BU))/1, ((TI_MOSFET_S_VTH_L_BO+Table7[[#This Row],[I_L]]/TI_MOSFET_S_gFS_L_BO))/1 )</f>
        <v>#REF!</v>
      </c>
      <c r="AR178" s="145" t="e">
        <f ca="1">IF(VACnom&gt;Vbat, (TI_MOSFET_S_QGD_H_BU+TI_MOSFET_S_QGS_H_BU)*10^-9/Table7[[#This Row],[Ion (A)]], (TI_MOSFET_S_QGD_L_BO+TI_MOSFET_S_QGS_L_BO)*10^-9/Table7[[#This Row],[Ion (A)]])/10^-9</f>
        <v>#REF!</v>
      </c>
      <c r="AS178" s="145" t="e">
        <f ca="1">IF(VACnom&gt;Vbat, (TI_MOSFET_S_QGD_H_BU+TI_MOSFET_S_QGS_H_BU)*10^-9/Table7[[#This Row],[Ioff (A)]], (TI_MOSFET_S_QGD_L_BO+TI_MOSFET_S_QGS_L_BO)*10^-9/Table7[[#This Row],[Ioff (A)]])/10^-9</f>
        <v>#REF!</v>
      </c>
      <c r="AT178" s="145" t="e">
        <f ca="1" xml:space="preserve"> 0.5*VACnom*Table7[[#This Row],[Ivalley (A)]]*Table7[[#This Row],[ton (ns)]]*10^-9*Fsw*10^3+0.5*VACnom*Table7[[#This Row],[Ipeak (A)]]*Table7[[#This Row],[toff (ns)]]*10^-9*Fsw*10^3/10^-3</f>
        <v>#NAME?</v>
      </c>
      <c r="AU178" s="145" t="e">
        <f t="shared" ca="1" si="8"/>
        <v>#REF!</v>
      </c>
      <c r="AV178" s="145" t="e">
        <f t="shared" ca="1" si="9"/>
        <v>#REF!</v>
      </c>
      <c r="AW178" s="145" t="e">
        <f t="shared" ca="1" si="10"/>
        <v>#REF!</v>
      </c>
      <c r="AX178" s="145" t="e">
        <f ca="1">IF(VACnom&gt;Vbat, TI_MOSFET_S_VSD_L_BU*Table7[[#This Row],[Ivalley (A)]]*Fsw*10^3*40*10^-9+TI_MOSFET_S_VSD_L_BU*Table7[[#This Row],[Ipeak (A)]]*Fsw*10^3*30*10^-9, TI_MOSFET_S_VSD_H_BO*Table7[[#This Row],[Ivalley (A)]]*Fsw*10^3*40*10^-9+TI_MOSFET_S_VSD_H_BO*Table7[[#This Row],[Ipeak (A)]]*Fsw*10^3*30*10^-9)/10^-3</f>
        <v>#REF!</v>
      </c>
      <c r="AY178" s="145" t="e">
        <f t="shared" ca="1" si="11"/>
        <v>#REF!</v>
      </c>
      <c r="AZ178" s="145" t="e">
        <f ca="1">IF(VACnom&lt;Vbat, Table7[[#This Row],[Duty Cycle]]*Table7[[#This Row],[I_L RMS]]^2*TI_MOSFET_S_RDSON_H_BU*10^-3, (1-Table7[[#This Row],[Duty Cycle]])*Table7[[#This Row],[I_L RMS]]^2*TI_MOSFET_S_RDSON_H_BO*10^-3)/10^-3</f>
        <v>#NAME?</v>
      </c>
      <c r="BA178" s="145" t="e">
        <f ca="1">IF(VACnom&gt;Vbat, Table7[[#This Row],[PIV (mW)]]+Table7[[#This Row],[Pqoss (mW)]]+Table7[[#This Row],[Pgate_top (mW)]], Table7[[#This Row],[PRR (mW)]]+Table7[[#This Row],[Pdead (mW)]]+Table7[[#This Row],[Pgate_top (mW)]])</f>
        <v>#REF!</v>
      </c>
      <c r="BB178" s="145" t="e">
        <f ca="1">Table7[[#This Row],[Pcon_top (mW)]]+Table7[[#This Row],[Psw_top (mW)]]</f>
        <v>#NAME?</v>
      </c>
      <c r="BC178" s="145" t="e">
        <f ca="1">IF(VACnom&gt;Vbat, (1-Table7[[#This Row],[Duty Cycle]])*Table7[[#This Row],[I_L RMS]]^2*TI_MOSFET_S_RDSON_L_BU*10^-3, Table7[[#This Row],[Duty Cycle]]*Table7[[#This Row],[I_L RMS]]^2*TI_MOSFET_S_RDSON_L_BO*10^-3)/10^-3</f>
        <v>#NAME?</v>
      </c>
      <c r="BD178" s="145" t="e">
        <f ca="1">IF(VACnom&gt;Vbat, Table7[[#This Row],[PRR (mW)]]+Table7[[#This Row],[Pdead (mW)]]+Table7[[#This Row],[Pgate_bottom (mW)]], Table7[[#This Row],[PIV (mW)]]+Table7[[#This Row],[Pqoss (mW)]]+Table7[[#This Row],[Pgate_bottom (mW)]])</f>
        <v>#NAME?</v>
      </c>
      <c r="BE178" s="147" t="e">
        <f ca="1">Table7[[#This Row],[Pcon_bottom (mW)]]+Table7[[#This Row],[Psw_bottom (mW)]]</f>
        <v>#NAME?</v>
      </c>
      <c r="BF178" s="145" t="e">
        <f ca="1">Table7[[#This Row],[Pbottom (mW)]]+Table7[[#This Row],[Ptop (mW)]]</f>
        <v>#NAME?</v>
      </c>
      <c r="BG178" s="142"/>
      <c r="BH178" s="145" t="e">
        <f>MAX(0,Table7[[#This Row],[I_L]]-0.5*Table7[[#This Row],[I_L pkpk]])</f>
        <v>#NAME?</v>
      </c>
      <c r="BI178" s="145" t="e">
        <f>Table7[[#This Row],[I_L]]+0.5*Table7[[#This Row],[I_L pkpk]]</f>
        <v>#NAME?</v>
      </c>
      <c r="BJ178" s="145">
        <f>IF(VACnom&gt;Vbat, (VGS_S-(C_MOSFET_S_VTH_H_BU+Table7[[#This Row],[I_L]]/C_MOSFET_S_gFS_H_BU))/3.4, (VGS_S-(C_MOSFET_S_VTH_L_BO+Table7[[#This Row],[I_L]]/C_MOSFET_S_gFS_L_BO))/3.4 )</f>
        <v>2.3477826797385624</v>
      </c>
      <c r="BK178" s="145">
        <f>IF(VACnom&gt;Vbat, ((C_MOSFET_S_VTH_H_BU+Table7[[#This Row],[I_L]]/C_MOSFET_S_gFS_H_BU))/1, ((C_MOSFET_S_VTH_L_BO+Table7[[#This Row],[I_L]]/C_MOSFET_S_gFS_L_BO))/1 )</f>
        <v>2.0175388888888888</v>
      </c>
      <c r="BL178" s="145">
        <f>IF(VACnom&gt;Vbat, (C_MOSFET_S_QGD_H_BU+C_MOSFET_S_QGS_H_BU)*10^-9/Table7[[#This Row],[Ion (A) C]], (C_MOSFET_S_QGD_L_BO+C_MOSFET_S_QGS_L_BO)*10^-9/Table7[[#This Row],[Ion (A) C]])/10^-9</f>
        <v>2.7685697045536632</v>
      </c>
      <c r="BM178" s="145">
        <f>IF(VACnom&gt;Vbat, (C_MOSFET_S_QGD_H_BU+C_MOSFET_S_QGS_H_BU)*10^-9/Table7[[#This Row],[Ioff (A) C]], (C_MOSFET_S_QGD_L_BO+C_MOSFET_S_QGS_L_BO)*10^-9/Table7[[#This Row],[Ioff (A) C]])/10^-9</f>
        <v>3.2217470680724865</v>
      </c>
      <c r="BN178" s="145" t="e">
        <f xml:space="preserve"> 0.5*VACnom*Table7[[#This Row],[Ivalley (A) C]]*Table7[[#This Row],[ton (ns) C]]*10^-9*Fsw*10^3+0.5*VACnom*Table7[[#This Row],[Ipeak (A) C]]*Table7[[#This Row],[toff (ns) C]]*10^-9*Fsw*10^3/10^-3</f>
        <v>#NAME?</v>
      </c>
      <c r="BO178" s="145">
        <f t="shared" si="12"/>
        <v>259.2</v>
      </c>
      <c r="BP178" s="145" t="e">
        <f t="shared" ca="1" si="13"/>
        <v>#REF!</v>
      </c>
      <c r="BQ178" s="145">
        <f t="shared" si="14"/>
        <v>475.2</v>
      </c>
      <c r="BR178" s="145" t="e">
        <f>IF(VACnom&gt;Vbat, C_MOSFET_S_VSD_L_BU*Table7[[#This Row],[Ivalley (A) C]]*Fsw*10^3*40*10^-9+C_MOSFET_S_VSD_L_BU*Table7[[#This Row],[Ipeak (A) C]]*Fsw*10^3*30*10^-9, C_MOSFET_S_VSD_H_BO*Table7[[#This Row],[Ivalley (A) C]]*Fsw*10^3*40*10^-9+C_MOSFET_S_VSD_H_BO*Table7[[#This Row],[Ipeak (A) C]]*Fsw*10^3*30*10^-9)/10^-3</f>
        <v>#NAME?</v>
      </c>
      <c r="BS178" s="145" t="e">
        <f t="shared" ca="1" si="15"/>
        <v>#REF!</v>
      </c>
      <c r="BT178" s="145" t="e">
        <f>IF(VACnom&lt;Vbat, Table7[[#This Row],[Duty Cycle]]*Table7[[#This Row],[I_L RMS]]^2*C_MOSFET_S_RDSON_H_BU*10^-3, (1-Table7[[#This Row],[Duty Cycle]])*Table7[[#This Row],[I_L RMS]]^2*C_MOSFET_S_RDSON_H_BO*10^-3)/10^-3</f>
        <v>#NAME?</v>
      </c>
      <c r="BU178" s="145" t="e">
        <f ca="1">IF(VACnom&gt;Vbat, Table7[[#This Row],[PIV (mW) C]]+Table7[[#This Row],[PQoss (mW) C]]+Table7[[#This Row],[Pgate_top (mW) C]], Table7[[#This Row],[PRR (mW) C]]+Table7[[#This Row],[Pdead (mW) C]]+Table7[[#This Row],[Pgate_top (mW) C]])</f>
        <v>#NAME?</v>
      </c>
      <c r="BV178" s="145" t="e">
        <f ca="1">Table7[[#This Row],[Pcon_top (mW) C]]+Table7[[#This Row],[Psw_top (mW) C]]</f>
        <v>#NAME?</v>
      </c>
      <c r="BW178" s="145" t="e">
        <f ca="1">IF(VACnom&gt;Vbat, (1-Table7[[#This Row],[Duty Cycle]])*Table7[[#This Row],[I_L RMS]]^2*C_MOSFET_S_RDSON_L_BU*10^-3, Table7[[#This Row],[Duty Cycle]]*Table7[[#This Row],[I_L RMS]]^2*C_MOSFET_S_RDSON_L_BO*10^-3)/10^-3</f>
        <v>#NAME?</v>
      </c>
      <c r="BX178" s="145" t="e">
        <f ca="1">IF(VACnom&gt;Vbat, Table7[[#This Row],[PRR (mW) C]]+Table7[[#This Row],[Pdead (mW) C]]+Table7[[#This Row],[Pgate_bottom (mW) C]], Table7[[#This Row],[PIV (mW) C]]+Table7[[#This Row],[PQoss (mW) C]]+Table7[[#This Row],[Pgate_bottom (mW) C]])</f>
        <v>#NAME?</v>
      </c>
      <c r="BY178" s="145" t="e">
        <f ca="1">Table7[[#This Row],[Pcon_bottom (mW) C]]+Table7[[#This Row],[Psw_bottom (mV) C]]</f>
        <v>#NAME?</v>
      </c>
      <c r="BZ178" s="145" t="e">
        <f ca="1">Table7[[#This Row],[Pbottom (mW) C]]+Table7[[#This Row],[Ptop (mW) C]]</f>
        <v>#NAME?</v>
      </c>
      <c r="CA178" s="148"/>
      <c r="CB178" s="144">
        <f>(RAC_SNS*10^-3*(Table7[[#This Row],[IOUT (A)]]*Vbat/VACnom)^2/10^-3)</f>
        <v>34.606420138888893</v>
      </c>
      <c r="CC178" s="144">
        <f>(RBAT_SNS*10^-3*Table7[[#This Row],[IOUT (A)]]^2)/10^-3</f>
        <v>24.200000000000003</v>
      </c>
      <c r="CD178" s="144">
        <f>IF(VACnom&gt;Vbat,(L_DRC*10^-3*(Table7[[#This Row],[IOUT (A)]])^2/10^-3),(L_DRC*10^-3*(Table7[[#This Row],[IOUT (A)]]*Vbat/VACnom)^2/10^-3))</f>
        <v>23.532365694444444</v>
      </c>
      <c r="CE178" s="152"/>
      <c r="CF178" s="145">
        <f>(Table7[[#This Row],[R_AC (mW)]]+Table7[[#This Row],[R_SR (mW)]]+Table7[[#This Row],[Inductor Loss (mW)]])/10^3</f>
        <v>8.2338785833333331E-2</v>
      </c>
      <c r="CG178" s="145" t="e">
        <f ca="1">Table7[[#This Row],[Total TI (mW)]]/10^3</f>
        <v>#NAME?</v>
      </c>
      <c r="CH178" s="145" t="e">
        <f ca="1">Table7[[#This Row],[Total Sense Loss]]+Table7[[#This Row],[Total MOSFET Loss]]</f>
        <v>#NAME?</v>
      </c>
      <c r="CI178" s="149" t="e">
        <f ca="1">IF(Table7[[#This Row],[POUT (W)]]=0,0,(Table7[[#This Row],[POUT (W)]])/(Table7[[#This Row],[POUT (W)]]+Table7[[#This Row],[Total Power Loss (W)]]))*100</f>
        <v>#NAME?</v>
      </c>
      <c r="CJ178" s="153"/>
      <c r="CK178" s="145">
        <f>(Table7[[#This Row],[R_AC (mW)]]+Table7[[#This Row],[R_SR (mW)]]+Table7[[#This Row],[Inductor Loss (mW)]])/10^3</f>
        <v>8.2338785833333331E-2</v>
      </c>
      <c r="CL178" s="145" t="e">
        <f ca="1">Table7[[#This Row],[Total (mW) C]]/10^3</f>
        <v>#NAME?</v>
      </c>
      <c r="CM178" s="145" t="e">
        <f ca="1">Table7[[#This Row],[Total Sense Loss C]]+Table7[[#This Row],[Total MOSFET Loss C]]</f>
        <v>#NAME?</v>
      </c>
      <c r="CN178" s="149" t="e">
        <f ca="1">IF(Table7[[#This Row],[POUT (W)]]=0,0,(Table7[[#This Row],[POUT (W)]])/(Table7[[#This Row],[POUT (W)]]+Table7[[#This Row],[Total Power Loss (W) C]]))*100</f>
        <v>#NAME?</v>
      </c>
      <c r="CO178" s="153"/>
      <c r="CP178" s="149">
        <f>IF(MOSFET_S=Custom_MOSFET,Table7[[#This Row],[Total Sense Loss C]],Table7[[#This Row],[Total Sense Loss]])</f>
        <v>8.2338785833333331E-2</v>
      </c>
      <c r="CQ178" s="149" t="e">
        <f ca="1">IF(MOSFET_S=Custom_MOSFET,Table7[[#This Row],[Total MOSFET Loss C]],Table7[[#This Row],[Total MOSFET Loss]])</f>
        <v>#NAME?</v>
      </c>
      <c r="CR178" s="149" t="e">
        <f ca="1">IF(MOSFET_S=Custom_MOSFET,Table7[[#This Row],[Efficiency C]],Table7[[#This Row],[Efficiency]])</f>
        <v>#NAME?</v>
      </c>
      <c r="CS178" s="153"/>
      <c r="CT178" s="149">
        <f>IF(MOSFET_S=Compare_MOSFET, Table7[[#This Row],[Total Sense Loss C]], -100)</f>
        <v>-100</v>
      </c>
      <c r="CU178" s="149">
        <f>IF(MOSFET_S=Compare_MOSFET, Table7[[#This Row],[Total MOSFET Loss C]], -100)</f>
        <v>-100</v>
      </c>
      <c r="CV178" s="149">
        <f>IF(MOSFET_S=Compare_MOSFET, Table7[[#This Row],[Efficiency C]], -100)</f>
        <v>-100</v>
      </c>
      <c r="CW178" s="153"/>
      <c r="CX178" s="149">
        <f ca="1">IF(Save_Sel=CLR_Save,  Table7[[#This Row],[Total Sense Loss P1]], Table7[[#This Row],[Total Sense Loss P1 Saved]])</f>
        <v>6.9045625000000013E-2</v>
      </c>
      <c r="CY178" s="149">
        <f ca="1">IF(Save_Sel=CLR_Save,  Table7[[#This Row],[Total MOSFET Loss P1]], Table7[[#This Row],[Total MOSFET Loss P1 Saved]] )</f>
        <v>1.6066844677569725</v>
      </c>
      <c r="CZ178" s="149">
        <f ca="1">IF(Save_Sel=CLR_Save, Table7[[#This Row],[Efficiency P1]], Table7[[#This Row],[Efficiency P1 Saved]])</f>
        <v>88.735140512041895</v>
      </c>
      <c r="DA178" s="153"/>
      <c r="DB178" s="149">
        <f ca="1">IF(Save_Sel=CLR_Save,  Table7[[#This Row],[Total Sense Loss P2]], Table7[[#This Row],[Total Sense Loss P2 Saved]])</f>
        <v>6.9045625000000013E-2</v>
      </c>
      <c r="DC178" s="149">
        <f ca="1">IF(Save_Sel=CLR_Save,  Table7[[#This Row],[Total MOSFET Loss P2]], Table7[[#This Row],[Total MOSFET Loss P2 Saved]] )</f>
        <v>1.060046466522605</v>
      </c>
      <c r="DD178" s="149">
        <f ca="1">IF(Save_Sel=CLR_Save, Table7[[#This Row],[Efficiency P2]], Table7[[#This Row],[Efficiency P2 Saved]])</f>
        <v>92.120281701653667</v>
      </c>
      <c r="DE178" s="153"/>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row>
    <row r="179" spans="1:165" x14ac:dyDescent="0.2">
      <c r="A179" s="48">
        <v>4</v>
      </c>
      <c r="B179" s="49"/>
      <c r="C179" s="49"/>
      <c r="D179" s="32" t="s">
        <v>134</v>
      </c>
      <c r="E179" s="66" t="e">
        <f ca="1">IF( VGS_S=Vgs_4P5,TI_QG_4P5_H_BO, IF(VGS_S=Vgs_10, TI_QG_10_H_BO, IF( AND(VGS_S=Vgs_C, ISNUMBER(TI_QG_C_H_BO)), TI_QG_C_H_BO, "ERROR" )))</f>
        <v>#REF!</v>
      </c>
      <c r="F179" s="66" t="e">
        <f ca="1">IF( VGS_S=Vgs_4P5,TI_QG_4P5_L_BO, IF(VGS_S=Vgs_10, TI_QG_10_L_BO, IF( AND(VGS_S=Vgs_C, ISNUMBER(TI_QG_C_L_BO)), TI_QG_C_L_BO, "ERROR" )))</f>
        <v>#REF!</v>
      </c>
      <c r="G179" s="42" t="s">
        <v>23</v>
      </c>
      <c r="H179" s="29"/>
      <c r="I179" s="48">
        <v>4</v>
      </c>
      <c r="J179" s="29"/>
      <c r="K179" s="49"/>
      <c r="L179" s="49"/>
      <c r="M179" s="32" t="s">
        <v>134</v>
      </c>
      <c r="N179" s="117" t="e">
        <f ca="1">IF(MOSFET_S=TI_MOSFET, $N138, IF(MOSFET_S=Custom_MOSFET,$E138, IF(MOSFET_S=Compare_MOSFET,$N138, 0) ))</f>
        <v>#REF!</v>
      </c>
      <c r="O179" s="117" t="e">
        <f ca="1">IF(MOSFET_S=TI_MOSFET, $O138, IF(MOSFET_S=Custom_MOSFET,$F138, IF(MOSFET_S=Compare_MOSFET,$O138, 0) ))</f>
        <v>#REF!</v>
      </c>
      <c r="P179" s="42" t="s">
        <v>23</v>
      </c>
      <c r="Q179" s="29"/>
      <c r="R179" s="29"/>
      <c r="S179" s="30"/>
      <c r="T179" s="18"/>
      <c r="U179" s="19"/>
      <c r="V179" s="19"/>
      <c r="W179" s="19"/>
      <c r="X179" s="19"/>
      <c r="Y179" s="19"/>
      <c r="Z179" s="19"/>
      <c r="AA179" s="19"/>
      <c r="AB179" s="19"/>
      <c r="AC179" s="19"/>
      <c r="AD179" s="19"/>
      <c r="AE179" s="19"/>
      <c r="AF179" s="143">
        <f t="shared" si="17"/>
        <v>23</v>
      </c>
      <c r="AG179" s="143">
        <f t="shared" si="16"/>
        <v>2.2999999999999998</v>
      </c>
      <c r="AH179" s="144">
        <f t="shared" si="3"/>
        <v>55.199999999999996</v>
      </c>
      <c r="AI179" s="145">
        <f t="shared" si="4"/>
        <v>0.16376306620209058</v>
      </c>
      <c r="AJ179" s="145">
        <f t="shared" si="5"/>
        <v>2.7504166666666663</v>
      </c>
      <c r="AK179" s="145" t="e">
        <f t="shared" si="6"/>
        <v>#NAME?</v>
      </c>
      <c r="AL179" s="145" t="e">
        <f t="shared" si="7"/>
        <v>#NAME?</v>
      </c>
      <c r="AM179" s="146"/>
      <c r="AN179" s="145" t="e">
        <f>MAX(0,Table7[[#This Row],[I_L]]-0.5*Table7[[#This Row],[I_L pkpk]])</f>
        <v>#NAME?</v>
      </c>
      <c r="AO179" s="145" t="e">
        <f>Table7[[#This Row],[I_L]]+0.5*Table7[[#This Row],[I_L pkpk]]</f>
        <v>#NAME?</v>
      </c>
      <c r="AP179" s="145" t="e">
        <f ca="1">IF(VACnom&gt;Vbat, (VGS_S-(TI_MOSFET_S_VTH_H_BU+Table7[[#This Row],[I_L]]/TI_MOSFET_S_gFS_H_BU))/3.4, (VGS_S-(TI_MOSFET_S_VTH_L_BO+Table7[[#This Row],[I_L]]/TI_MOSFET_S_gFS_L_BO))/3.4 )</f>
        <v>#REF!</v>
      </c>
      <c r="AQ179" s="145" t="e">
        <f ca="1">IF(VACnom&gt;Vbat, ((TI_MOSFET_S_VTH_H_BU+Table7[[#This Row],[I_L]]/TI_MOSFET_S_gFS_H_BU))/1, ((TI_MOSFET_S_VTH_L_BO+Table7[[#This Row],[I_L]]/TI_MOSFET_S_gFS_L_BO))/1 )</f>
        <v>#REF!</v>
      </c>
      <c r="AR179" s="145" t="e">
        <f ca="1">IF(VACnom&gt;Vbat, (TI_MOSFET_S_QGD_H_BU+TI_MOSFET_S_QGS_H_BU)*10^-9/Table7[[#This Row],[Ion (A)]], (TI_MOSFET_S_QGD_L_BO+TI_MOSFET_S_QGS_L_BO)*10^-9/Table7[[#This Row],[Ion (A)]])/10^-9</f>
        <v>#REF!</v>
      </c>
      <c r="AS179" s="145" t="e">
        <f ca="1">IF(VACnom&gt;Vbat, (TI_MOSFET_S_QGD_H_BU+TI_MOSFET_S_QGS_H_BU)*10^-9/Table7[[#This Row],[Ioff (A)]], (TI_MOSFET_S_QGD_L_BO+TI_MOSFET_S_QGS_L_BO)*10^-9/Table7[[#This Row],[Ioff (A)]])/10^-9</f>
        <v>#REF!</v>
      </c>
      <c r="AT179" s="145" t="e">
        <f ca="1" xml:space="preserve"> 0.5*VACnom*Table7[[#This Row],[Ivalley (A)]]*Table7[[#This Row],[ton (ns)]]*10^-9*Fsw*10^3+0.5*VACnom*Table7[[#This Row],[Ipeak (A)]]*Table7[[#This Row],[toff (ns)]]*10^-9*Fsw*10^3/10^-3</f>
        <v>#NAME?</v>
      </c>
      <c r="AU179" s="145" t="e">
        <f t="shared" ca="1" si="8"/>
        <v>#REF!</v>
      </c>
      <c r="AV179" s="145" t="e">
        <f t="shared" ca="1" si="9"/>
        <v>#REF!</v>
      </c>
      <c r="AW179" s="145" t="e">
        <f t="shared" ca="1" si="10"/>
        <v>#REF!</v>
      </c>
      <c r="AX179" s="145" t="e">
        <f ca="1">IF(VACnom&gt;Vbat, TI_MOSFET_S_VSD_L_BU*Table7[[#This Row],[Ivalley (A)]]*Fsw*10^3*40*10^-9+TI_MOSFET_S_VSD_L_BU*Table7[[#This Row],[Ipeak (A)]]*Fsw*10^3*30*10^-9, TI_MOSFET_S_VSD_H_BO*Table7[[#This Row],[Ivalley (A)]]*Fsw*10^3*40*10^-9+TI_MOSFET_S_VSD_H_BO*Table7[[#This Row],[Ipeak (A)]]*Fsw*10^3*30*10^-9)/10^-3</f>
        <v>#REF!</v>
      </c>
      <c r="AY179" s="145" t="e">
        <f t="shared" ca="1" si="11"/>
        <v>#REF!</v>
      </c>
      <c r="AZ179" s="145" t="e">
        <f ca="1">IF(VACnom&lt;Vbat, Table7[[#This Row],[Duty Cycle]]*Table7[[#This Row],[I_L RMS]]^2*TI_MOSFET_S_RDSON_H_BU*10^-3, (1-Table7[[#This Row],[Duty Cycle]])*Table7[[#This Row],[I_L RMS]]^2*TI_MOSFET_S_RDSON_H_BO*10^-3)/10^-3</f>
        <v>#NAME?</v>
      </c>
      <c r="BA179" s="145" t="e">
        <f ca="1">IF(VACnom&gt;Vbat, Table7[[#This Row],[PIV (mW)]]+Table7[[#This Row],[Pqoss (mW)]]+Table7[[#This Row],[Pgate_top (mW)]], Table7[[#This Row],[PRR (mW)]]+Table7[[#This Row],[Pdead (mW)]]+Table7[[#This Row],[Pgate_top (mW)]])</f>
        <v>#REF!</v>
      </c>
      <c r="BB179" s="145" t="e">
        <f ca="1">Table7[[#This Row],[Pcon_top (mW)]]+Table7[[#This Row],[Psw_top (mW)]]</f>
        <v>#NAME?</v>
      </c>
      <c r="BC179" s="145" t="e">
        <f ca="1">IF(VACnom&gt;Vbat, (1-Table7[[#This Row],[Duty Cycle]])*Table7[[#This Row],[I_L RMS]]^2*TI_MOSFET_S_RDSON_L_BU*10^-3, Table7[[#This Row],[Duty Cycle]]*Table7[[#This Row],[I_L RMS]]^2*TI_MOSFET_S_RDSON_L_BO*10^-3)/10^-3</f>
        <v>#NAME?</v>
      </c>
      <c r="BD179" s="145" t="e">
        <f ca="1">IF(VACnom&gt;Vbat, Table7[[#This Row],[PRR (mW)]]+Table7[[#This Row],[Pdead (mW)]]+Table7[[#This Row],[Pgate_bottom (mW)]], Table7[[#This Row],[PIV (mW)]]+Table7[[#This Row],[Pqoss (mW)]]+Table7[[#This Row],[Pgate_bottom (mW)]])</f>
        <v>#NAME?</v>
      </c>
      <c r="BE179" s="147" t="e">
        <f ca="1">Table7[[#This Row],[Pcon_bottom (mW)]]+Table7[[#This Row],[Psw_bottom (mW)]]</f>
        <v>#NAME?</v>
      </c>
      <c r="BF179" s="145" t="e">
        <f ca="1">Table7[[#This Row],[Pbottom (mW)]]+Table7[[#This Row],[Ptop (mW)]]</f>
        <v>#NAME?</v>
      </c>
      <c r="BG179" s="142"/>
      <c r="BH179" s="145" t="e">
        <f>MAX(0,Table7[[#This Row],[I_L]]-0.5*Table7[[#This Row],[I_L pkpk]])</f>
        <v>#NAME?</v>
      </c>
      <c r="BI179" s="145" t="e">
        <f>Table7[[#This Row],[I_L]]+0.5*Table7[[#This Row],[I_L pkpk]]</f>
        <v>#NAME?</v>
      </c>
      <c r="BJ179" s="145">
        <f>IF(VACnom&gt;Vbat, (VGS_S-(C_MOSFET_S_VTH_H_BU+Table7[[#This Row],[I_L]]/C_MOSFET_S_gFS_H_BU))/3.4, (VGS_S-(C_MOSFET_S_VTH_L_BO+Table7[[#This Row],[I_L]]/C_MOSFET_S_gFS_L_BO))/3.4 )</f>
        <v>2.3475482026143792</v>
      </c>
      <c r="BK179" s="145">
        <f>IF(VACnom&gt;Vbat, ((C_MOSFET_S_VTH_H_BU+Table7[[#This Row],[I_L]]/C_MOSFET_S_gFS_H_BU))/1, ((C_MOSFET_S_VTH_L_BO+Table7[[#This Row],[I_L]]/C_MOSFET_S_gFS_L_BO))/1 )</f>
        <v>2.0183361111111111</v>
      </c>
      <c r="BL179" s="145">
        <f>IF(VACnom&gt;Vbat, (C_MOSFET_S_QGD_H_BU+C_MOSFET_S_QGS_H_BU)*10^-9/Table7[[#This Row],[Ion (A) C]], (C_MOSFET_S_QGD_L_BO+C_MOSFET_S_QGS_L_BO)*10^-9/Table7[[#This Row],[Ion (A) C]])/10^-9</f>
        <v>2.7688462340245819</v>
      </c>
      <c r="BM179" s="145">
        <f>IF(VACnom&gt;Vbat, (C_MOSFET_S_QGD_H_BU+C_MOSFET_S_QGS_H_BU)*10^-9/Table7[[#This Row],[Ioff (A) C]], (C_MOSFET_S_QGD_L_BO+C_MOSFET_S_QGS_L_BO)*10^-9/Table7[[#This Row],[Ioff (A) C]])/10^-9</f>
        <v>3.2204745107700101</v>
      </c>
      <c r="BN179" s="145" t="e">
        <f xml:space="preserve"> 0.5*VACnom*Table7[[#This Row],[Ivalley (A) C]]*Table7[[#This Row],[ton (ns) C]]*10^-9*Fsw*10^3+0.5*VACnom*Table7[[#This Row],[Ipeak (A) C]]*Table7[[#This Row],[toff (ns) C]]*10^-9*Fsw*10^3/10^-3</f>
        <v>#NAME?</v>
      </c>
      <c r="BO179" s="145">
        <f t="shared" si="12"/>
        <v>259.2</v>
      </c>
      <c r="BP179" s="145" t="e">
        <f t="shared" ca="1" si="13"/>
        <v>#REF!</v>
      </c>
      <c r="BQ179" s="145">
        <f t="shared" si="14"/>
        <v>475.2</v>
      </c>
      <c r="BR179" s="145" t="e">
        <f>IF(VACnom&gt;Vbat, C_MOSFET_S_VSD_L_BU*Table7[[#This Row],[Ivalley (A) C]]*Fsw*10^3*40*10^-9+C_MOSFET_S_VSD_L_BU*Table7[[#This Row],[Ipeak (A) C]]*Fsw*10^3*30*10^-9, C_MOSFET_S_VSD_H_BO*Table7[[#This Row],[Ivalley (A) C]]*Fsw*10^3*40*10^-9+C_MOSFET_S_VSD_H_BO*Table7[[#This Row],[Ipeak (A) C]]*Fsw*10^3*30*10^-9)/10^-3</f>
        <v>#NAME?</v>
      </c>
      <c r="BS179" s="145" t="e">
        <f t="shared" ca="1" si="15"/>
        <v>#REF!</v>
      </c>
      <c r="BT179" s="145" t="e">
        <f>IF(VACnom&lt;Vbat, Table7[[#This Row],[Duty Cycle]]*Table7[[#This Row],[I_L RMS]]^2*C_MOSFET_S_RDSON_H_BU*10^-3, (1-Table7[[#This Row],[Duty Cycle]])*Table7[[#This Row],[I_L RMS]]^2*C_MOSFET_S_RDSON_H_BO*10^-3)/10^-3</f>
        <v>#NAME?</v>
      </c>
      <c r="BU179" s="145" t="e">
        <f ca="1">IF(VACnom&gt;Vbat, Table7[[#This Row],[PIV (mW) C]]+Table7[[#This Row],[PQoss (mW) C]]+Table7[[#This Row],[Pgate_top (mW) C]], Table7[[#This Row],[PRR (mW) C]]+Table7[[#This Row],[Pdead (mW) C]]+Table7[[#This Row],[Pgate_top (mW) C]])</f>
        <v>#NAME?</v>
      </c>
      <c r="BV179" s="145" t="e">
        <f ca="1">Table7[[#This Row],[Pcon_top (mW) C]]+Table7[[#This Row],[Psw_top (mW) C]]</f>
        <v>#NAME?</v>
      </c>
      <c r="BW179" s="145" t="e">
        <f ca="1">IF(VACnom&gt;Vbat, (1-Table7[[#This Row],[Duty Cycle]])*Table7[[#This Row],[I_L RMS]]^2*C_MOSFET_S_RDSON_L_BU*10^-3, Table7[[#This Row],[Duty Cycle]]*Table7[[#This Row],[I_L RMS]]^2*C_MOSFET_S_RDSON_L_BO*10^-3)/10^-3</f>
        <v>#NAME?</v>
      </c>
      <c r="BX179" s="145" t="e">
        <f ca="1">IF(VACnom&gt;Vbat, Table7[[#This Row],[PRR (mW) C]]+Table7[[#This Row],[Pdead (mW) C]]+Table7[[#This Row],[Pgate_bottom (mW) C]], Table7[[#This Row],[PIV (mW) C]]+Table7[[#This Row],[PQoss (mW) C]]+Table7[[#This Row],[Pgate_bottom (mW) C]])</f>
        <v>#NAME?</v>
      </c>
      <c r="BY179" s="145" t="e">
        <f ca="1">Table7[[#This Row],[Pcon_bottom (mW) C]]+Table7[[#This Row],[Psw_bottom (mV) C]]</f>
        <v>#NAME?</v>
      </c>
      <c r="BZ179" s="145" t="e">
        <f ca="1">Table7[[#This Row],[Pbottom (mW) C]]+Table7[[#This Row],[Ptop (mW) C]]</f>
        <v>#NAME?</v>
      </c>
      <c r="CA179" s="148"/>
      <c r="CB179" s="144">
        <f>(RAC_SNS*10^-3*(Table7[[#This Row],[IOUT (A)]]*Vbat/VACnom)^2/10^-3)</f>
        <v>37.823959201388881</v>
      </c>
      <c r="CC179" s="144">
        <f>(RBAT_SNS*10^-3*Table7[[#This Row],[IOUT (A)]]^2)/10^-3</f>
        <v>26.449999999999996</v>
      </c>
      <c r="CD179" s="144">
        <f>IF(VACnom&gt;Vbat,(L_DRC*10^-3*(Table7[[#This Row],[IOUT (A)]])^2/10^-3),(L_DRC*10^-3*(Table7[[#This Row],[IOUT (A)]]*Vbat/VACnom)^2/10^-3))</f>
        <v>25.720292256944436</v>
      </c>
      <c r="CE179" s="152"/>
      <c r="CF179" s="145">
        <f>(Table7[[#This Row],[R_AC (mW)]]+Table7[[#This Row],[R_SR (mW)]]+Table7[[#This Row],[Inductor Loss (mW)]])/10^3</f>
        <v>8.9994251458333313E-2</v>
      </c>
      <c r="CG179" s="145" t="e">
        <f ca="1">Table7[[#This Row],[Total TI (mW)]]/10^3</f>
        <v>#NAME?</v>
      </c>
      <c r="CH179" s="145" t="e">
        <f ca="1">Table7[[#This Row],[Total Sense Loss]]+Table7[[#This Row],[Total MOSFET Loss]]</f>
        <v>#NAME?</v>
      </c>
      <c r="CI179" s="149" t="e">
        <f ca="1">IF(Table7[[#This Row],[POUT (W)]]=0,0,(Table7[[#This Row],[POUT (W)]])/(Table7[[#This Row],[POUT (W)]]+Table7[[#This Row],[Total Power Loss (W)]]))*100</f>
        <v>#NAME?</v>
      </c>
      <c r="CJ179" s="153"/>
      <c r="CK179" s="145">
        <f>(Table7[[#This Row],[R_AC (mW)]]+Table7[[#This Row],[R_SR (mW)]]+Table7[[#This Row],[Inductor Loss (mW)]])/10^3</f>
        <v>8.9994251458333313E-2</v>
      </c>
      <c r="CL179" s="145" t="e">
        <f ca="1">Table7[[#This Row],[Total (mW) C]]/10^3</f>
        <v>#NAME?</v>
      </c>
      <c r="CM179" s="145" t="e">
        <f ca="1">Table7[[#This Row],[Total Sense Loss C]]+Table7[[#This Row],[Total MOSFET Loss C]]</f>
        <v>#NAME?</v>
      </c>
      <c r="CN179" s="149" t="e">
        <f ca="1">IF(Table7[[#This Row],[POUT (W)]]=0,0,(Table7[[#This Row],[POUT (W)]])/(Table7[[#This Row],[POUT (W)]]+Table7[[#This Row],[Total Power Loss (W) C]]))*100</f>
        <v>#NAME?</v>
      </c>
      <c r="CO179" s="153"/>
      <c r="CP179" s="149">
        <f>IF(MOSFET_S=Custom_MOSFET,Table7[[#This Row],[Total Sense Loss C]],Table7[[#This Row],[Total Sense Loss]])</f>
        <v>8.9994251458333313E-2</v>
      </c>
      <c r="CQ179" s="149" t="e">
        <f ca="1">IF(MOSFET_S=Custom_MOSFET,Table7[[#This Row],[Total MOSFET Loss C]],Table7[[#This Row],[Total MOSFET Loss]])</f>
        <v>#NAME?</v>
      </c>
      <c r="CR179" s="149" t="e">
        <f ca="1">IF(MOSFET_S=Custom_MOSFET,Table7[[#This Row],[Efficiency C]],Table7[[#This Row],[Efficiency]])</f>
        <v>#NAME?</v>
      </c>
      <c r="CS179" s="153"/>
      <c r="CT179" s="149">
        <f>IF(MOSFET_S=Compare_MOSFET, Table7[[#This Row],[Total Sense Loss C]], -100)</f>
        <v>-100</v>
      </c>
      <c r="CU179" s="149">
        <f>IF(MOSFET_S=Compare_MOSFET, Table7[[#This Row],[Total MOSFET Loss C]], -100)</f>
        <v>-100</v>
      </c>
      <c r="CV179" s="149">
        <f>IF(MOSFET_S=Compare_MOSFET, Table7[[#This Row],[Efficiency C]], -100)</f>
        <v>-100</v>
      </c>
      <c r="CW179" s="153"/>
      <c r="CX179" s="149">
        <f ca="1">IF(Save_Sel=CLR_Save,  Table7[[#This Row],[Total Sense Loss P1]], Table7[[#This Row],[Total Sense Loss P1 Saved]])</f>
        <v>7.5465156249999985E-2</v>
      </c>
      <c r="CY179" s="149">
        <f ca="1">IF(Save_Sel=CLR_Save,  Table7[[#This Row],[Total MOSFET Loss P1]], Table7[[#This Row],[Total MOSFET Loss P1 Saved]] )</f>
        <v>1.6154759839565143</v>
      </c>
      <c r="CZ179" s="149">
        <f ca="1">IF(Save_Sel=CLR_Save, Table7[[#This Row],[Efficiency P1]], Table7[[#This Row],[Efficiency P1 Saved]])</f>
        <v>89.084322734803365</v>
      </c>
      <c r="DA179" s="153"/>
      <c r="DB179" s="149">
        <f ca="1">IF(Save_Sel=CLR_Save,  Table7[[#This Row],[Total Sense Loss P2]], Table7[[#This Row],[Total Sense Loss P2 Saved]])</f>
        <v>7.5465156249999985E-2</v>
      </c>
      <c r="DC179" s="149">
        <f ca="1">IF(Save_Sel=CLR_Save,  Table7[[#This Row],[Total MOSFET Loss P2]], Table7[[#This Row],[Total MOSFET Loss P2 Saved]] )</f>
        <v>1.0657923017444435</v>
      </c>
      <c r="DD179" s="149">
        <f ca="1">IF(Save_Sel=CLR_Save, Table7[[#This Row],[Efficiency P2]], Table7[[#This Row],[Efficiency P2 Saved]])</f>
        <v>92.361704085463003</v>
      </c>
      <c r="DE179" s="153"/>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row>
    <row r="180" spans="1:165" x14ac:dyDescent="0.2">
      <c r="A180" s="48">
        <v>7</v>
      </c>
      <c r="B180" s="49"/>
      <c r="C180" s="49"/>
      <c r="D180" s="32" t="s">
        <v>15</v>
      </c>
      <c r="E180" s="117" t="e">
        <f t="shared" ref="E180:E188" ca="1" si="22">$N141</f>
        <v>#REF!</v>
      </c>
      <c r="F180" s="117" t="e">
        <f t="shared" ref="F180:F186" ca="1" si="23">$O141</f>
        <v>#REF!</v>
      </c>
      <c r="G180" s="42" t="s">
        <v>23</v>
      </c>
      <c r="H180" s="29"/>
      <c r="I180" s="48">
        <v>7</v>
      </c>
      <c r="J180" s="29"/>
      <c r="K180" s="49"/>
      <c r="L180" s="49"/>
      <c r="M180" s="32" t="s">
        <v>15</v>
      </c>
      <c r="N180" s="117">
        <f t="shared" ref="N180:N188" si="24">$E141</f>
        <v>2.5</v>
      </c>
      <c r="O180" s="117">
        <f t="shared" ref="O180:O186" si="25">$F141</f>
        <v>2.5</v>
      </c>
      <c r="P180" s="42" t="s">
        <v>23</v>
      </c>
      <c r="Q180" s="29"/>
      <c r="R180" s="29"/>
      <c r="S180" s="30"/>
      <c r="T180" s="18"/>
      <c r="U180" s="19"/>
      <c r="V180" s="19"/>
      <c r="W180" s="19"/>
      <c r="X180" s="19"/>
      <c r="Y180" s="19"/>
      <c r="Z180" s="19"/>
      <c r="AA180" s="19"/>
      <c r="AB180" s="19"/>
      <c r="AC180" s="19"/>
      <c r="AD180" s="19"/>
      <c r="AE180" s="19"/>
      <c r="AF180" s="143">
        <f t="shared" si="17"/>
        <v>24</v>
      </c>
      <c r="AG180" s="143">
        <f t="shared" si="16"/>
        <v>2.4</v>
      </c>
      <c r="AH180" s="144">
        <f t="shared" si="3"/>
        <v>57.599999999999994</v>
      </c>
      <c r="AI180" s="145">
        <f t="shared" si="4"/>
        <v>0.16376306620209058</v>
      </c>
      <c r="AJ180" s="145">
        <f t="shared" si="5"/>
        <v>2.8699999999999997</v>
      </c>
      <c r="AK180" s="145" t="e">
        <f t="shared" si="6"/>
        <v>#NAME?</v>
      </c>
      <c r="AL180" s="145" t="e">
        <f t="shared" si="7"/>
        <v>#NAME?</v>
      </c>
      <c r="AM180" s="146"/>
      <c r="AN180" s="145" t="e">
        <f>MAX(0,Table7[[#This Row],[I_L]]-0.5*Table7[[#This Row],[I_L pkpk]])</f>
        <v>#NAME?</v>
      </c>
      <c r="AO180" s="145" t="e">
        <f>Table7[[#This Row],[I_L]]+0.5*Table7[[#This Row],[I_L pkpk]]</f>
        <v>#NAME?</v>
      </c>
      <c r="AP180" s="145" t="e">
        <f ca="1">IF(VACnom&gt;Vbat, (VGS_S-(TI_MOSFET_S_VTH_H_BU+Table7[[#This Row],[I_L]]/TI_MOSFET_S_gFS_H_BU))/3.4, (VGS_S-(TI_MOSFET_S_VTH_L_BO+Table7[[#This Row],[I_L]]/TI_MOSFET_S_gFS_L_BO))/3.4 )</f>
        <v>#REF!</v>
      </c>
      <c r="AQ180" s="145" t="e">
        <f ca="1">IF(VACnom&gt;Vbat, ((TI_MOSFET_S_VTH_H_BU+Table7[[#This Row],[I_L]]/TI_MOSFET_S_gFS_H_BU))/1, ((TI_MOSFET_S_VTH_L_BO+Table7[[#This Row],[I_L]]/TI_MOSFET_S_gFS_L_BO))/1 )</f>
        <v>#REF!</v>
      </c>
      <c r="AR180" s="145" t="e">
        <f ca="1">IF(VACnom&gt;Vbat, (TI_MOSFET_S_QGD_H_BU+TI_MOSFET_S_QGS_H_BU)*10^-9/Table7[[#This Row],[Ion (A)]], (TI_MOSFET_S_QGD_L_BO+TI_MOSFET_S_QGS_L_BO)*10^-9/Table7[[#This Row],[Ion (A)]])/10^-9</f>
        <v>#REF!</v>
      </c>
      <c r="AS180" s="145" t="e">
        <f ca="1">IF(VACnom&gt;Vbat, (TI_MOSFET_S_QGD_H_BU+TI_MOSFET_S_QGS_H_BU)*10^-9/Table7[[#This Row],[Ioff (A)]], (TI_MOSFET_S_QGD_L_BO+TI_MOSFET_S_QGS_L_BO)*10^-9/Table7[[#This Row],[Ioff (A)]])/10^-9</f>
        <v>#REF!</v>
      </c>
      <c r="AT180" s="145" t="e">
        <f ca="1" xml:space="preserve"> 0.5*VACnom*Table7[[#This Row],[Ivalley (A)]]*Table7[[#This Row],[ton (ns)]]*10^-9*Fsw*10^3+0.5*VACnom*Table7[[#This Row],[Ipeak (A)]]*Table7[[#This Row],[toff (ns)]]*10^-9*Fsw*10^3/10^-3</f>
        <v>#NAME?</v>
      </c>
      <c r="AU180" s="145" t="e">
        <f t="shared" ca="1" si="8"/>
        <v>#REF!</v>
      </c>
      <c r="AV180" s="145" t="e">
        <f t="shared" ca="1" si="9"/>
        <v>#REF!</v>
      </c>
      <c r="AW180" s="145" t="e">
        <f t="shared" ca="1" si="10"/>
        <v>#REF!</v>
      </c>
      <c r="AX180" s="145" t="e">
        <f ca="1">IF(VACnom&gt;Vbat, TI_MOSFET_S_VSD_L_BU*Table7[[#This Row],[Ivalley (A)]]*Fsw*10^3*40*10^-9+TI_MOSFET_S_VSD_L_BU*Table7[[#This Row],[Ipeak (A)]]*Fsw*10^3*30*10^-9, TI_MOSFET_S_VSD_H_BO*Table7[[#This Row],[Ivalley (A)]]*Fsw*10^3*40*10^-9+TI_MOSFET_S_VSD_H_BO*Table7[[#This Row],[Ipeak (A)]]*Fsw*10^3*30*10^-9)/10^-3</f>
        <v>#REF!</v>
      </c>
      <c r="AY180" s="145" t="e">
        <f t="shared" ca="1" si="11"/>
        <v>#REF!</v>
      </c>
      <c r="AZ180" s="145" t="e">
        <f ca="1">IF(VACnom&lt;Vbat, Table7[[#This Row],[Duty Cycle]]*Table7[[#This Row],[I_L RMS]]^2*TI_MOSFET_S_RDSON_H_BU*10^-3, (1-Table7[[#This Row],[Duty Cycle]])*Table7[[#This Row],[I_L RMS]]^2*TI_MOSFET_S_RDSON_H_BO*10^-3)/10^-3</f>
        <v>#NAME?</v>
      </c>
      <c r="BA180" s="145" t="e">
        <f ca="1">IF(VACnom&gt;Vbat, Table7[[#This Row],[PIV (mW)]]+Table7[[#This Row],[Pqoss (mW)]]+Table7[[#This Row],[Pgate_top (mW)]], Table7[[#This Row],[PRR (mW)]]+Table7[[#This Row],[Pdead (mW)]]+Table7[[#This Row],[Pgate_top (mW)]])</f>
        <v>#REF!</v>
      </c>
      <c r="BB180" s="145" t="e">
        <f ca="1">Table7[[#This Row],[Pcon_top (mW)]]+Table7[[#This Row],[Psw_top (mW)]]</f>
        <v>#NAME?</v>
      </c>
      <c r="BC180" s="145" t="e">
        <f ca="1">IF(VACnom&gt;Vbat, (1-Table7[[#This Row],[Duty Cycle]])*Table7[[#This Row],[I_L RMS]]^2*TI_MOSFET_S_RDSON_L_BU*10^-3, Table7[[#This Row],[Duty Cycle]]*Table7[[#This Row],[I_L RMS]]^2*TI_MOSFET_S_RDSON_L_BO*10^-3)/10^-3</f>
        <v>#NAME?</v>
      </c>
      <c r="BD180" s="145" t="e">
        <f ca="1">IF(VACnom&gt;Vbat, Table7[[#This Row],[PRR (mW)]]+Table7[[#This Row],[Pdead (mW)]]+Table7[[#This Row],[Pgate_bottom (mW)]], Table7[[#This Row],[PIV (mW)]]+Table7[[#This Row],[Pqoss (mW)]]+Table7[[#This Row],[Pgate_bottom (mW)]])</f>
        <v>#NAME?</v>
      </c>
      <c r="BE180" s="147" t="e">
        <f ca="1">Table7[[#This Row],[Pcon_bottom (mW)]]+Table7[[#This Row],[Psw_bottom (mW)]]</f>
        <v>#NAME?</v>
      </c>
      <c r="BF180" s="145" t="e">
        <f ca="1">Table7[[#This Row],[Pbottom (mW)]]+Table7[[#This Row],[Ptop (mW)]]</f>
        <v>#NAME?</v>
      </c>
      <c r="BG180" s="142"/>
      <c r="BH180" s="145" t="e">
        <f>MAX(0,Table7[[#This Row],[I_L]]-0.5*Table7[[#This Row],[I_L pkpk]])</f>
        <v>#NAME?</v>
      </c>
      <c r="BI180" s="145" t="e">
        <f>Table7[[#This Row],[I_L]]+0.5*Table7[[#This Row],[I_L pkpk]]</f>
        <v>#NAME?</v>
      </c>
      <c r="BJ180" s="145">
        <f>IF(VACnom&gt;Vbat, (VGS_S-(C_MOSFET_S_VTH_H_BU+Table7[[#This Row],[I_L]]/C_MOSFET_S_gFS_H_BU))/3.4, (VGS_S-(C_MOSFET_S_VTH_L_BO+Table7[[#This Row],[I_L]]/C_MOSFET_S_gFS_L_BO))/3.4 )</f>
        <v>2.3473137254901961</v>
      </c>
      <c r="BK180" s="145">
        <f>IF(VACnom&gt;Vbat, ((C_MOSFET_S_VTH_H_BU+Table7[[#This Row],[I_L]]/C_MOSFET_S_gFS_H_BU))/1, ((C_MOSFET_S_VTH_L_BO+Table7[[#This Row],[I_L]]/C_MOSFET_S_gFS_L_BO))/1 )</f>
        <v>2.0191333333333334</v>
      </c>
      <c r="BL180" s="145">
        <f>IF(VACnom&gt;Vbat, (C_MOSFET_S_QGD_H_BU+C_MOSFET_S_QGS_H_BU)*10^-9/Table7[[#This Row],[Ion (A) C]], (C_MOSFET_S_QGD_L_BO+C_MOSFET_S_QGS_L_BO)*10^-9/Table7[[#This Row],[Ion (A) C]])/10^-9</f>
        <v>2.76912281874149</v>
      </c>
      <c r="BM180" s="145">
        <f>IF(VACnom&gt;Vbat, (C_MOSFET_S_QGD_H_BU+C_MOSFET_S_QGS_H_BU)*10^-9/Table7[[#This Row],[Ioff (A) C]], (C_MOSFET_S_QGD_L_BO+C_MOSFET_S_QGS_L_BO)*10^-9/Table7[[#This Row],[Ioff (A) C]])/10^-9</f>
        <v>3.2192029583649751</v>
      </c>
      <c r="BN180" s="145" t="e">
        <f xml:space="preserve"> 0.5*VACnom*Table7[[#This Row],[Ivalley (A) C]]*Table7[[#This Row],[ton (ns) C]]*10^-9*Fsw*10^3+0.5*VACnom*Table7[[#This Row],[Ipeak (A) C]]*Table7[[#This Row],[toff (ns) C]]*10^-9*Fsw*10^3/10^-3</f>
        <v>#NAME?</v>
      </c>
      <c r="BO180" s="145">
        <f t="shared" si="12"/>
        <v>259.2</v>
      </c>
      <c r="BP180" s="145" t="e">
        <f t="shared" ca="1" si="13"/>
        <v>#REF!</v>
      </c>
      <c r="BQ180" s="145">
        <f t="shared" si="14"/>
        <v>475.2</v>
      </c>
      <c r="BR180" s="145" t="e">
        <f>IF(VACnom&gt;Vbat, C_MOSFET_S_VSD_L_BU*Table7[[#This Row],[Ivalley (A) C]]*Fsw*10^3*40*10^-9+C_MOSFET_S_VSD_L_BU*Table7[[#This Row],[Ipeak (A) C]]*Fsw*10^3*30*10^-9, C_MOSFET_S_VSD_H_BO*Table7[[#This Row],[Ivalley (A) C]]*Fsw*10^3*40*10^-9+C_MOSFET_S_VSD_H_BO*Table7[[#This Row],[Ipeak (A) C]]*Fsw*10^3*30*10^-9)/10^-3</f>
        <v>#NAME?</v>
      </c>
      <c r="BS180" s="145" t="e">
        <f t="shared" ca="1" si="15"/>
        <v>#REF!</v>
      </c>
      <c r="BT180" s="145" t="e">
        <f>IF(VACnom&lt;Vbat, Table7[[#This Row],[Duty Cycle]]*Table7[[#This Row],[I_L RMS]]^2*C_MOSFET_S_RDSON_H_BU*10^-3, (1-Table7[[#This Row],[Duty Cycle]])*Table7[[#This Row],[I_L RMS]]^2*C_MOSFET_S_RDSON_H_BO*10^-3)/10^-3</f>
        <v>#NAME?</v>
      </c>
      <c r="BU180" s="145" t="e">
        <f ca="1">IF(VACnom&gt;Vbat, Table7[[#This Row],[PIV (mW) C]]+Table7[[#This Row],[PQoss (mW) C]]+Table7[[#This Row],[Pgate_top (mW) C]], Table7[[#This Row],[PRR (mW) C]]+Table7[[#This Row],[Pdead (mW) C]]+Table7[[#This Row],[Pgate_top (mW) C]])</f>
        <v>#NAME?</v>
      </c>
      <c r="BV180" s="145" t="e">
        <f ca="1">Table7[[#This Row],[Pcon_top (mW) C]]+Table7[[#This Row],[Psw_top (mW) C]]</f>
        <v>#NAME?</v>
      </c>
      <c r="BW180" s="145" t="e">
        <f ca="1">IF(VACnom&gt;Vbat, (1-Table7[[#This Row],[Duty Cycle]])*Table7[[#This Row],[I_L RMS]]^2*C_MOSFET_S_RDSON_L_BU*10^-3, Table7[[#This Row],[Duty Cycle]]*Table7[[#This Row],[I_L RMS]]^2*C_MOSFET_S_RDSON_L_BO*10^-3)/10^-3</f>
        <v>#NAME?</v>
      </c>
      <c r="BX180" s="145" t="e">
        <f ca="1">IF(VACnom&gt;Vbat, Table7[[#This Row],[PRR (mW) C]]+Table7[[#This Row],[Pdead (mW) C]]+Table7[[#This Row],[Pgate_bottom (mW) C]], Table7[[#This Row],[PIV (mW) C]]+Table7[[#This Row],[PQoss (mW) C]]+Table7[[#This Row],[Pgate_bottom (mW) C]])</f>
        <v>#NAME?</v>
      </c>
      <c r="BY180" s="145" t="e">
        <f ca="1">Table7[[#This Row],[Pcon_bottom (mW) C]]+Table7[[#This Row],[Psw_bottom (mV) C]]</f>
        <v>#NAME?</v>
      </c>
      <c r="BZ180" s="145" t="e">
        <f ca="1">Table7[[#This Row],[Pbottom (mW) C]]+Table7[[#This Row],[Ptop (mW) C]]</f>
        <v>#NAME?</v>
      </c>
      <c r="CA180" s="148"/>
      <c r="CB180" s="144">
        <f>(RAC_SNS*10^-3*(Table7[[#This Row],[IOUT (A)]]*Vbat/VACnom)^2/10^-3)</f>
        <v>41.184499999999993</v>
      </c>
      <c r="CC180" s="144">
        <f>(RBAT_SNS*10^-3*Table7[[#This Row],[IOUT (A)]]^2)/10^-3</f>
        <v>28.799999999999997</v>
      </c>
      <c r="CD180" s="144">
        <f>IF(VACnom&gt;Vbat,(L_DRC*10^-3*(Table7[[#This Row],[IOUT (A)]])^2/10^-3),(L_DRC*10^-3*(Table7[[#This Row],[IOUT (A)]]*Vbat/VACnom)^2/10^-3))</f>
        <v>28.005459999999992</v>
      </c>
      <c r="CE180" s="152"/>
      <c r="CF180" s="145">
        <f>(Table7[[#This Row],[R_AC (mW)]]+Table7[[#This Row],[R_SR (mW)]]+Table7[[#This Row],[Inductor Loss (mW)]])/10^3</f>
        <v>9.7989960000000001E-2</v>
      </c>
      <c r="CG180" s="145" t="e">
        <f ca="1">Table7[[#This Row],[Total TI (mW)]]/10^3</f>
        <v>#NAME?</v>
      </c>
      <c r="CH180" s="145" t="e">
        <f ca="1">Table7[[#This Row],[Total Sense Loss]]+Table7[[#This Row],[Total MOSFET Loss]]</f>
        <v>#NAME?</v>
      </c>
      <c r="CI180" s="149" t="e">
        <f ca="1">IF(Table7[[#This Row],[POUT (W)]]=0,0,(Table7[[#This Row],[POUT (W)]])/(Table7[[#This Row],[POUT (W)]]+Table7[[#This Row],[Total Power Loss (W)]]))*100</f>
        <v>#NAME?</v>
      </c>
      <c r="CJ180" s="153"/>
      <c r="CK180" s="145">
        <f>(Table7[[#This Row],[R_AC (mW)]]+Table7[[#This Row],[R_SR (mW)]]+Table7[[#This Row],[Inductor Loss (mW)]])/10^3</f>
        <v>9.7989960000000001E-2</v>
      </c>
      <c r="CL180" s="145" t="e">
        <f ca="1">Table7[[#This Row],[Total (mW) C]]/10^3</f>
        <v>#NAME?</v>
      </c>
      <c r="CM180" s="145" t="e">
        <f ca="1">Table7[[#This Row],[Total Sense Loss C]]+Table7[[#This Row],[Total MOSFET Loss C]]</f>
        <v>#NAME?</v>
      </c>
      <c r="CN180" s="149" t="e">
        <f ca="1">IF(Table7[[#This Row],[POUT (W)]]=0,0,(Table7[[#This Row],[POUT (W)]])/(Table7[[#This Row],[POUT (W)]]+Table7[[#This Row],[Total Power Loss (W) C]]))*100</f>
        <v>#NAME?</v>
      </c>
      <c r="CO180" s="153"/>
      <c r="CP180" s="149">
        <f>IF(MOSFET_S=Custom_MOSFET,Table7[[#This Row],[Total Sense Loss C]],Table7[[#This Row],[Total Sense Loss]])</f>
        <v>9.7989960000000001E-2</v>
      </c>
      <c r="CQ180" s="149" t="e">
        <f ca="1">IF(MOSFET_S=Custom_MOSFET,Table7[[#This Row],[Total MOSFET Loss C]],Table7[[#This Row],[Total MOSFET Loss]])</f>
        <v>#NAME?</v>
      </c>
      <c r="CR180" s="149" t="e">
        <f ca="1">IF(MOSFET_S=Custom_MOSFET,Table7[[#This Row],[Efficiency C]],Table7[[#This Row],[Efficiency]])</f>
        <v>#NAME?</v>
      </c>
      <c r="CS180" s="153"/>
      <c r="CT180" s="149">
        <f>IF(MOSFET_S=Compare_MOSFET, Table7[[#This Row],[Total Sense Loss C]], -100)</f>
        <v>-100</v>
      </c>
      <c r="CU180" s="149">
        <f>IF(MOSFET_S=Compare_MOSFET, Table7[[#This Row],[Total MOSFET Loss C]], -100)</f>
        <v>-100</v>
      </c>
      <c r="CV180" s="149">
        <f>IF(MOSFET_S=Compare_MOSFET, Table7[[#This Row],[Efficiency C]], -100)</f>
        <v>-100</v>
      </c>
      <c r="CW180" s="153"/>
      <c r="CX180" s="149">
        <f ca="1">IF(Save_Sel=CLR_Save,  Table7[[#This Row],[Total Sense Loss P1]], Table7[[#This Row],[Total Sense Loss P1 Saved]])</f>
        <v>8.2170000000000007E-2</v>
      </c>
      <c r="CY180" s="149">
        <f ca="1">IF(Save_Sel=CLR_Save,  Table7[[#This Row],[Total MOSFET Loss P1]], Table7[[#This Row],[Total MOSFET Loss P1 Saved]] )</f>
        <v>1.6243102230891464</v>
      </c>
      <c r="CZ180" s="149">
        <f ca="1">IF(Save_Sel=CLR_Save, Table7[[#This Row],[Efficiency P1]], Table7[[#This Row],[Efficiency P1 Saved]])</f>
        <v>89.405008422368695</v>
      </c>
      <c r="DA180" s="153"/>
      <c r="DB180" s="149">
        <f ca="1">IF(Save_Sel=CLR_Save,  Table7[[#This Row],[Total Sense Loss P2]], Table7[[#This Row],[Total Sense Loss P2 Saved]])</f>
        <v>8.2170000000000007E-2</v>
      </c>
      <c r="DC180" s="149">
        <f ca="1">IF(Save_Sel=CLR_Save,  Table7[[#This Row],[Total MOSFET Loss P2]], Table7[[#This Row],[Total MOSFET Loss P2 Saved]] )</f>
        <v>1.0716172881679717</v>
      </c>
      <c r="DD180" s="149">
        <f ca="1">IF(Save_Sel=CLR_Save, Table7[[#This Row],[Efficiency P2]], Table7[[#This Row],[Efficiency P2 Saved]])</f>
        <v>92.581952763069623</v>
      </c>
      <c r="DE180" s="153"/>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row>
    <row r="181" spans="1:165" x14ac:dyDescent="0.2">
      <c r="A181" s="48">
        <v>8</v>
      </c>
      <c r="B181" s="49"/>
      <c r="C181" s="49"/>
      <c r="D181" s="32" t="s">
        <v>16</v>
      </c>
      <c r="E181" s="117" t="e">
        <f t="shared" ca="1" si="22"/>
        <v>#REF!</v>
      </c>
      <c r="F181" s="117" t="e">
        <f t="shared" ca="1" si="23"/>
        <v>#REF!</v>
      </c>
      <c r="G181" s="42" t="s">
        <v>23</v>
      </c>
      <c r="H181" s="29"/>
      <c r="I181" s="48">
        <v>8</v>
      </c>
      <c r="J181" s="29"/>
      <c r="K181" s="49"/>
      <c r="L181" s="49"/>
      <c r="M181" s="32" t="s">
        <v>16</v>
      </c>
      <c r="N181" s="117">
        <f t="shared" si="24"/>
        <v>4</v>
      </c>
      <c r="O181" s="117">
        <f t="shared" si="25"/>
        <v>4</v>
      </c>
      <c r="P181" s="42" t="s">
        <v>23</v>
      </c>
      <c r="Q181" s="29"/>
      <c r="R181" s="29"/>
      <c r="S181" s="30"/>
      <c r="T181" s="18"/>
      <c r="U181" s="19"/>
      <c r="V181" s="19"/>
      <c r="W181" s="19"/>
      <c r="X181" s="19"/>
      <c r="Y181" s="19"/>
      <c r="Z181" s="19"/>
      <c r="AA181" s="19"/>
      <c r="AB181" s="19"/>
      <c r="AC181" s="19"/>
      <c r="AD181" s="19"/>
      <c r="AE181" s="19"/>
      <c r="AF181" s="143">
        <f t="shared" si="17"/>
        <v>25</v>
      </c>
      <c r="AG181" s="143">
        <f t="shared" si="16"/>
        <v>2.5</v>
      </c>
      <c r="AH181" s="144">
        <f t="shared" si="3"/>
        <v>60</v>
      </c>
      <c r="AI181" s="145">
        <f t="shared" si="4"/>
        <v>0.16376306620209058</v>
      </c>
      <c r="AJ181" s="145">
        <f t="shared" si="5"/>
        <v>2.9895833333333335</v>
      </c>
      <c r="AK181" s="145" t="e">
        <f t="shared" si="6"/>
        <v>#NAME?</v>
      </c>
      <c r="AL181" s="145" t="e">
        <f t="shared" si="7"/>
        <v>#NAME?</v>
      </c>
      <c r="AM181" s="146"/>
      <c r="AN181" s="145" t="e">
        <f>MAX(0,Table7[[#This Row],[I_L]]-0.5*Table7[[#This Row],[I_L pkpk]])</f>
        <v>#NAME?</v>
      </c>
      <c r="AO181" s="145" t="e">
        <f>Table7[[#This Row],[I_L]]+0.5*Table7[[#This Row],[I_L pkpk]]</f>
        <v>#NAME?</v>
      </c>
      <c r="AP181" s="145" t="e">
        <f ca="1">IF(VACnom&gt;Vbat, (VGS_S-(TI_MOSFET_S_VTH_H_BU+Table7[[#This Row],[I_L]]/TI_MOSFET_S_gFS_H_BU))/3.4, (VGS_S-(TI_MOSFET_S_VTH_L_BO+Table7[[#This Row],[I_L]]/TI_MOSFET_S_gFS_L_BO))/3.4 )</f>
        <v>#REF!</v>
      </c>
      <c r="AQ181" s="145" t="e">
        <f ca="1">IF(VACnom&gt;Vbat, ((TI_MOSFET_S_VTH_H_BU+Table7[[#This Row],[I_L]]/TI_MOSFET_S_gFS_H_BU))/1, ((TI_MOSFET_S_VTH_L_BO+Table7[[#This Row],[I_L]]/TI_MOSFET_S_gFS_L_BO))/1 )</f>
        <v>#REF!</v>
      </c>
      <c r="AR181" s="145" t="e">
        <f ca="1">IF(VACnom&gt;Vbat, (TI_MOSFET_S_QGD_H_BU+TI_MOSFET_S_QGS_H_BU)*10^-9/Table7[[#This Row],[Ion (A)]], (TI_MOSFET_S_QGD_L_BO+TI_MOSFET_S_QGS_L_BO)*10^-9/Table7[[#This Row],[Ion (A)]])/10^-9</f>
        <v>#REF!</v>
      </c>
      <c r="AS181" s="145" t="e">
        <f ca="1">IF(VACnom&gt;Vbat, (TI_MOSFET_S_QGD_H_BU+TI_MOSFET_S_QGS_H_BU)*10^-9/Table7[[#This Row],[Ioff (A)]], (TI_MOSFET_S_QGD_L_BO+TI_MOSFET_S_QGS_L_BO)*10^-9/Table7[[#This Row],[Ioff (A)]])/10^-9</f>
        <v>#REF!</v>
      </c>
      <c r="AT181" s="145" t="e">
        <f ca="1" xml:space="preserve"> 0.5*VACnom*Table7[[#This Row],[Ivalley (A)]]*Table7[[#This Row],[ton (ns)]]*10^-9*Fsw*10^3+0.5*VACnom*Table7[[#This Row],[Ipeak (A)]]*Table7[[#This Row],[toff (ns)]]*10^-9*Fsw*10^3/10^-3</f>
        <v>#NAME?</v>
      </c>
      <c r="AU181" s="145" t="e">
        <f t="shared" ca="1" si="8"/>
        <v>#REF!</v>
      </c>
      <c r="AV181" s="145" t="e">
        <f t="shared" ca="1" si="9"/>
        <v>#REF!</v>
      </c>
      <c r="AW181" s="145" t="e">
        <f t="shared" ca="1" si="10"/>
        <v>#REF!</v>
      </c>
      <c r="AX181" s="145" t="e">
        <f ca="1">IF(VACnom&gt;Vbat, TI_MOSFET_S_VSD_L_BU*Table7[[#This Row],[Ivalley (A)]]*Fsw*10^3*40*10^-9+TI_MOSFET_S_VSD_L_BU*Table7[[#This Row],[Ipeak (A)]]*Fsw*10^3*30*10^-9, TI_MOSFET_S_VSD_H_BO*Table7[[#This Row],[Ivalley (A)]]*Fsw*10^3*40*10^-9+TI_MOSFET_S_VSD_H_BO*Table7[[#This Row],[Ipeak (A)]]*Fsw*10^3*30*10^-9)/10^-3</f>
        <v>#REF!</v>
      </c>
      <c r="AY181" s="145" t="e">
        <f t="shared" ca="1" si="11"/>
        <v>#REF!</v>
      </c>
      <c r="AZ181" s="145" t="e">
        <f ca="1">IF(VACnom&lt;Vbat, Table7[[#This Row],[Duty Cycle]]*Table7[[#This Row],[I_L RMS]]^2*TI_MOSFET_S_RDSON_H_BU*10^-3, (1-Table7[[#This Row],[Duty Cycle]])*Table7[[#This Row],[I_L RMS]]^2*TI_MOSFET_S_RDSON_H_BO*10^-3)/10^-3</f>
        <v>#NAME?</v>
      </c>
      <c r="BA181" s="145" t="e">
        <f ca="1">IF(VACnom&gt;Vbat, Table7[[#This Row],[PIV (mW)]]+Table7[[#This Row],[Pqoss (mW)]]+Table7[[#This Row],[Pgate_top (mW)]], Table7[[#This Row],[PRR (mW)]]+Table7[[#This Row],[Pdead (mW)]]+Table7[[#This Row],[Pgate_top (mW)]])</f>
        <v>#REF!</v>
      </c>
      <c r="BB181" s="145" t="e">
        <f ca="1">Table7[[#This Row],[Pcon_top (mW)]]+Table7[[#This Row],[Psw_top (mW)]]</f>
        <v>#NAME?</v>
      </c>
      <c r="BC181" s="145" t="e">
        <f ca="1">IF(VACnom&gt;Vbat, (1-Table7[[#This Row],[Duty Cycle]])*Table7[[#This Row],[I_L RMS]]^2*TI_MOSFET_S_RDSON_L_BU*10^-3, Table7[[#This Row],[Duty Cycle]]*Table7[[#This Row],[I_L RMS]]^2*TI_MOSFET_S_RDSON_L_BO*10^-3)/10^-3</f>
        <v>#NAME?</v>
      </c>
      <c r="BD181" s="145" t="e">
        <f ca="1">IF(VACnom&gt;Vbat, Table7[[#This Row],[PRR (mW)]]+Table7[[#This Row],[Pdead (mW)]]+Table7[[#This Row],[Pgate_bottom (mW)]], Table7[[#This Row],[PIV (mW)]]+Table7[[#This Row],[Pqoss (mW)]]+Table7[[#This Row],[Pgate_bottom (mW)]])</f>
        <v>#NAME?</v>
      </c>
      <c r="BE181" s="147" t="e">
        <f ca="1">Table7[[#This Row],[Pcon_bottom (mW)]]+Table7[[#This Row],[Psw_bottom (mW)]]</f>
        <v>#NAME?</v>
      </c>
      <c r="BF181" s="145" t="e">
        <f ca="1">Table7[[#This Row],[Pbottom (mW)]]+Table7[[#This Row],[Ptop (mW)]]</f>
        <v>#NAME?</v>
      </c>
      <c r="BG181" s="142"/>
      <c r="BH181" s="145" t="e">
        <f>MAX(0,Table7[[#This Row],[I_L]]-0.5*Table7[[#This Row],[I_L pkpk]])</f>
        <v>#NAME?</v>
      </c>
      <c r="BI181" s="145" t="e">
        <f>Table7[[#This Row],[I_L]]+0.5*Table7[[#This Row],[I_L pkpk]]</f>
        <v>#NAME?</v>
      </c>
      <c r="BJ181" s="145">
        <f>IF(VACnom&gt;Vbat, (VGS_S-(C_MOSFET_S_VTH_H_BU+Table7[[#This Row],[I_L]]/C_MOSFET_S_gFS_H_BU))/3.4, (VGS_S-(C_MOSFET_S_VTH_L_BO+Table7[[#This Row],[I_L]]/C_MOSFET_S_gFS_L_BO))/3.4 )</f>
        <v>2.347079248366013</v>
      </c>
      <c r="BK181" s="145">
        <f>IF(VACnom&gt;Vbat, ((C_MOSFET_S_VTH_H_BU+Table7[[#This Row],[I_L]]/C_MOSFET_S_gFS_H_BU))/1, ((C_MOSFET_S_VTH_L_BO+Table7[[#This Row],[I_L]]/C_MOSFET_S_gFS_L_BO))/1 )</f>
        <v>2.0199305555555553</v>
      </c>
      <c r="BL181" s="145">
        <f>IF(VACnom&gt;Vbat, (C_MOSFET_S_QGD_H_BU+C_MOSFET_S_QGS_H_BU)*10^-9/Table7[[#This Row],[Ion (A) C]], (C_MOSFET_S_QGD_L_BO+C_MOSFET_S_QGS_L_BO)*10^-9/Table7[[#This Row],[Ion (A) C]])/10^-9</f>
        <v>2.7693994587209452</v>
      </c>
      <c r="BM181" s="145">
        <f>IF(VACnom&gt;Vbat, (C_MOSFET_S_QGD_H_BU+C_MOSFET_S_QGS_H_BU)*10^-9/Table7[[#This Row],[Ioff (A) C]], (C_MOSFET_S_QGD_L_BO+C_MOSFET_S_QGS_L_BO)*10^-9/Table7[[#This Row],[Ioff (A) C]])/10^-9</f>
        <v>3.2179324096675495</v>
      </c>
      <c r="BN181" s="145" t="e">
        <f xml:space="preserve"> 0.5*VACnom*Table7[[#This Row],[Ivalley (A) C]]*Table7[[#This Row],[ton (ns) C]]*10^-9*Fsw*10^3+0.5*VACnom*Table7[[#This Row],[Ipeak (A) C]]*Table7[[#This Row],[toff (ns) C]]*10^-9*Fsw*10^3/10^-3</f>
        <v>#NAME?</v>
      </c>
      <c r="BO181" s="145">
        <f t="shared" si="12"/>
        <v>259.2</v>
      </c>
      <c r="BP181" s="145" t="e">
        <f t="shared" ca="1" si="13"/>
        <v>#REF!</v>
      </c>
      <c r="BQ181" s="145">
        <f t="shared" si="14"/>
        <v>475.2</v>
      </c>
      <c r="BR181" s="145" t="e">
        <f>IF(VACnom&gt;Vbat, C_MOSFET_S_VSD_L_BU*Table7[[#This Row],[Ivalley (A) C]]*Fsw*10^3*40*10^-9+C_MOSFET_S_VSD_L_BU*Table7[[#This Row],[Ipeak (A) C]]*Fsw*10^3*30*10^-9, C_MOSFET_S_VSD_H_BO*Table7[[#This Row],[Ivalley (A) C]]*Fsw*10^3*40*10^-9+C_MOSFET_S_VSD_H_BO*Table7[[#This Row],[Ipeak (A) C]]*Fsw*10^3*30*10^-9)/10^-3</f>
        <v>#NAME?</v>
      </c>
      <c r="BS181" s="145" t="e">
        <f t="shared" ca="1" si="15"/>
        <v>#REF!</v>
      </c>
      <c r="BT181" s="145" t="e">
        <f>IF(VACnom&lt;Vbat, Table7[[#This Row],[Duty Cycle]]*Table7[[#This Row],[I_L RMS]]^2*C_MOSFET_S_RDSON_H_BU*10^-3, (1-Table7[[#This Row],[Duty Cycle]])*Table7[[#This Row],[I_L RMS]]^2*C_MOSFET_S_RDSON_H_BO*10^-3)/10^-3</f>
        <v>#NAME?</v>
      </c>
      <c r="BU181" s="145" t="e">
        <f ca="1">IF(VACnom&gt;Vbat, Table7[[#This Row],[PIV (mW) C]]+Table7[[#This Row],[PQoss (mW) C]]+Table7[[#This Row],[Pgate_top (mW) C]], Table7[[#This Row],[PRR (mW) C]]+Table7[[#This Row],[Pdead (mW) C]]+Table7[[#This Row],[Pgate_top (mW) C]])</f>
        <v>#NAME?</v>
      </c>
      <c r="BV181" s="145" t="e">
        <f ca="1">Table7[[#This Row],[Pcon_top (mW) C]]+Table7[[#This Row],[Psw_top (mW) C]]</f>
        <v>#NAME?</v>
      </c>
      <c r="BW181" s="145" t="e">
        <f ca="1">IF(VACnom&gt;Vbat, (1-Table7[[#This Row],[Duty Cycle]])*Table7[[#This Row],[I_L RMS]]^2*C_MOSFET_S_RDSON_L_BU*10^-3, Table7[[#This Row],[Duty Cycle]]*Table7[[#This Row],[I_L RMS]]^2*C_MOSFET_S_RDSON_L_BO*10^-3)/10^-3</f>
        <v>#NAME?</v>
      </c>
      <c r="BX181" s="145" t="e">
        <f ca="1">IF(VACnom&gt;Vbat, Table7[[#This Row],[PRR (mW) C]]+Table7[[#This Row],[Pdead (mW) C]]+Table7[[#This Row],[Pgate_bottom (mW) C]], Table7[[#This Row],[PIV (mW) C]]+Table7[[#This Row],[PQoss (mW) C]]+Table7[[#This Row],[Pgate_bottom (mW) C]])</f>
        <v>#NAME?</v>
      </c>
      <c r="BY181" s="145" t="e">
        <f ca="1">Table7[[#This Row],[Pcon_bottom (mW) C]]+Table7[[#This Row],[Psw_bottom (mV) C]]</f>
        <v>#NAME?</v>
      </c>
      <c r="BZ181" s="145" t="e">
        <f ca="1">Table7[[#This Row],[Pbottom (mW) C]]+Table7[[#This Row],[Ptop (mW) C]]</f>
        <v>#NAME?</v>
      </c>
      <c r="CA181" s="148"/>
      <c r="CB181" s="144">
        <f>(RAC_SNS*10^-3*(Table7[[#This Row],[IOUT (A)]]*Vbat/VACnom)^2/10^-3)</f>
        <v>44.688042534722221</v>
      </c>
      <c r="CC181" s="144">
        <f>(RBAT_SNS*10^-3*Table7[[#This Row],[IOUT (A)]]^2)/10^-3</f>
        <v>31.25</v>
      </c>
      <c r="CD181" s="144">
        <f>IF(VACnom&gt;Vbat,(L_DRC*10^-3*(Table7[[#This Row],[IOUT (A)]])^2/10^-3),(L_DRC*10^-3*(Table7[[#This Row],[IOUT (A)]]*Vbat/VACnom)^2/10^-3))</f>
        <v>30.387868923611109</v>
      </c>
      <c r="CE181" s="152"/>
      <c r="CF181" s="145">
        <f>(Table7[[#This Row],[R_AC (mW)]]+Table7[[#This Row],[R_SR (mW)]]+Table7[[#This Row],[Inductor Loss (mW)]])/10^3</f>
        <v>0.10632591145833334</v>
      </c>
      <c r="CG181" s="145" t="e">
        <f ca="1">Table7[[#This Row],[Total TI (mW)]]/10^3</f>
        <v>#NAME?</v>
      </c>
      <c r="CH181" s="145" t="e">
        <f ca="1">Table7[[#This Row],[Total Sense Loss]]+Table7[[#This Row],[Total MOSFET Loss]]</f>
        <v>#NAME?</v>
      </c>
      <c r="CI181" s="149" t="e">
        <f ca="1">IF(Table7[[#This Row],[POUT (W)]]=0,0,(Table7[[#This Row],[POUT (W)]])/(Table7[[#This Row],[POUT (W)]]+Table7[[#This Row],[Total Power Loss (W)]]))*100</f>
        <v>#NAME?</v>
      </c>
      <c r="CJ181" s="153"/>
      <c r="CK181" s="145">
        <f>(Table7[[#This Row],[R_AC (mW)]]+Table7[[#This Row],[R_SR (mW)]]+Table7[[#This Row],[Inductor Loss (mW)]])/10^3</f>
        <v>0.10632591145833334</v>
      </c>
      <c r="CL181" s="145" t="e">
        <f ca="1">Table7[[#This Row],[Total (mW) C]]/10^3</f>
        <v>#NAME?</v>
      </c>
      <c r="CM181" s="145" t="e">
        <f ca="1">Table7[[#This Row],[Total Sense Loss C]]+Table7[[#This Row],[Total MOSFET Loss C]]</f>
        <v>#NAME?</v>
      </c>
      <c r="CN181" s="149" t="e">
        <f ca="1">IF(Table7[[#This Row],[POUT (W)]]=0,0,(Table7[[#This Row],[POUT (W)]])/(Table7[[#This Row],[POUT (W)]]+Table7[[#This Row],[Total Power Loss (W) C]]))*100</f>
        <v>#NAME?</v>
      </c>
      <c r="CO181" s="153"/>
      <c r="CP181" s="149">
        <f>IF(MOSFET_S=Custom_MOSFET,Table7[[#This Row],[Total Sense Loss C]],Table7[[#This Row],[Total Sense Loss]])</f>
        <v>0.10632591145833334</v>
      </c>
      <c r="CQ181" s="149" t="e">
        <f ca="1">IF(MOSFET_S=Custom_MOSFET,Table7[[#This Row],[Total MOSFET Loss C]],Table7[[#This Row],[Total MOSFET Loss]])</f>
        <v>#NAME?</v>
      </c>
      <c r="CR181" s="149" t="e">
        <f ca="1">IF(MOSFET_S=Custom_MOSFET,Table7[[#This Row],[Efficiency C]],Table7[[#This Row],[Efficiency]])</f>
        <v>#NAME?</v>
      </c>
      <c r="CS181" s="153"/>
      <c r="CT181" s="149">
        <f>IF(MOSFET_S=Compare_MOSFET, Table7[[#This Row],[Total Sense Loss C]], -100)</f>
        <v>-100</v>
      </c>
      <c r="CU181" s="149">
        <f>IF(MOSFET_S=Compare_MOSFET, Table7[[#This Row],[Total MOSFET Loss C]], -100)</f>
        <v>-100</v>
      </c>
      <c r="CV181" s="149">
        <f>IF(MOSFET_S=Compare_MOSFET, Table7[[#This Row],[Efficiency C]], -100)</f>
        <v>-100</v>
      </c>
      <c r="CW181" s="153"/>
      <c r="CX181" s="149">
        <f ca="1">IF(Save_Sel=CLR_Save,  Table7[[#This Row],[Total Sense Loss P1]], Table7[[#This Row],[Total Sense Loss P1 Saved]])</f>
        <v>8.9160156249999997E-2</v>
      </c>
      <c r="CY181" s="149">
        <f ca="1">IF(Save_Sel=CLR_Save,  Table7[[#This Row],[Total MOSFET Loss P1]], Table7[[#This Row],[Total MOSFET Loss P1 Saved]] )</f>
        <v>1.633187189589155</v>
      </c>
      <c r="CZ181" s="149">
        <f ca="1">IF(Save_Sel=CLR_Save, Table7[[#This Row],[Efficiency P1]], Table7[[#This Row],[Efficiency P1 Saved]])</f>
        <v>89.700325497259172</v>
      </c>
      <c r="DA181" s="153"/>
      <c r="DB181" s="149">
        <f ca="1">IF(Save_Sel=CLR_Save,  Table7[[#This Row],[Total Sense Loss P2]], Table7[[#This Row],[Total Sense Loss P2 Saved]])</f>
        <v>8.9160156249999997E-2</v>
      </c>
      <c r="DC181" s="149">
        <f ca="1">IF(Save_Sel=CLR_Save,  Table7[[#This Row],[Total MOSFET Loss P2]], Table7[[#This Row],[Total MOSFET Loss P2 Saved]] )</f>
        <v>1.0775214263018478</v>
      </c>
      <c r="DD181" s="149">
        <f ca="1">IF(Save_Sel=CLR_Save, Table7[[#This Row],[Efficiency P2]], Table7[[#This Row],[Efficiency P2 Saved]])</f>
        <v>92.783419549680445</v>
      </c>
      <c r="DE181" s="153"/>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row>
    <row r="182" spans="1:165" x14ac:dyDescent="0.2">
      <c r="A182" s="48">
        <v>9</v>
      </c>
      <c r="B182" s="49"/>
      <c r="C182" s="49"/>
      <c r="D182" s="32" t="s">
        <v>61</v>
      </c>
      <c r="E182" s="117" t="e">
        <f t="shared" ca="1" si="22"/>
        <v>#REF!</v>
      </c>
      <c r="F182" s="117" t="e">
        <f t="shared" ca="1" si="23"/>
        <v>#REF!</v>
      </c>
      <c r="G182" s="42" t="s">
        <v>23</v>
      </c>
      <c r="H182" s="29"/>
      <c r="I182" s="48">
        <v>9</v>
      </c>
      <c r="J182" s="29"/>
      <c r="K182" s="49"/>
      <c r="L182" s="49"/>
      <c r="M182" s="32" t="s">
        <v>61</v>
      </c>
      <c r="N182" s="117">
        <f t="shared" si="24"/>
        <v>36</v>
      </c>
      <c r="O182" s="117">
        <f t="shared" si="25"/>
        <v>36</v>
      </c>
      <c r="P182" s="42" t="s">
        <v>23</v>
      </c>
      <c r="Q182" s="29"/>
      <c r="R182" s="29"/>
      <c r="S182" s="30"/>
      <c r="T182" s="18"/>
      <c r="U182" s="19"/>
      <c r="V182" s="19"/>
      <c r="W182" s="19"/>
      <c r="X182" s="19"/>
      <c r="Y182" s="19"/>
      <c r="Z182" s="19"/>
      <c r="AA182" s="19"/>
      <c r="AB182" s="19"/>
      <c r="AC182" s="19"/>
      <c r="AD182" s="19"/>
      <c r="AE182" s="19"/>
      <c r="AF182" s="143">
        <f t="shared" si="17"/>
        <v>26</v>
      </c>
      <c r="AG182" s="143">
        <f t="shared" si="16"/>
        <v>2.6</v>
      </c>
      <c r="AH182" s="144">
        <f t="shared" si="3"/>
        <v>62.400000000000006</v>
      </c>
      <c r="AI182" s="145">
        <f t="shared" si="4"/>
        <v>0.16376306620209058</v>
      </c>
      <c r="AJ182" s="145">
        <f t="shared" si="5"/>
        <v>3.1091666666666669</v>
      </c>
      <c r="AK182" s="145" t="e">
        <f t="shared" si="6"/>
        <v>#NAME?</v>
      </c>
      <c r="AL182" s="145" t="e">
        <f t="shared" si="7"/>
        <v>#NAME?</v>
      </c>
      <c r="AM182" s="146"/>
      <c r="AN182" s="145" t="e">
        <f>MAX(0,Table7[[#This Row],[I_L]]-0.5*Table7[[#This Row],[I_L pkpk]])</f>
        <v>#NAME?</v>
      </c>
      <c r="AO182" s="145" t="e">
        <f>Table7[[#This Row],[I_L]]+0.5*Table7[[#This Row],[I_L pkpk]]</f>
        <v>#NAME?</v>
      </c>
      <c r="AP182" s="145" t="e">
        <f ca="1">IF(VACnom&gt;Vbat, (VGS_S-(TI_MOSFET_S_VTH_H_BU+Table7[[#This Row],[I_L]]/TI_MOSFET_S_gFS_H_BU))/3.4, (VGS_S-(TI_MOSFET_S_VTH_L_BO+Table7[[#This Row],[I_L]]/TI_MOSFET_S_gFS_L_BO))/3.4 )</f>
        <v>#REF!</v>
      </c>
      <c r="AQ182" s="145" t="e">
        <f ca="1">IF(VACnom&gt;Vbat, ((TI_MOSFET_S_VTH_H_BU+Table7[[#This Row],[I_L]]/TI_MOSFET_S_gFS_H_BU))/1, ((TI_MOSFET_S_VTH_L_BO+Table7[[#This Row],[I_L]]/TI_MOSFET_S_gFS_L_BO))/1 )</f>
        <v>#REF!</v>
      </c>
      <c r="AR182" s="145" t="e">
        <f ca="1">IF(VACnom&gt;Vbat, (TI_MOSFET_S_QGD_H_BU+TI_MOSFET_S_QGS_H_BU)*10^-9/Table7[[#This Row],[Ion (A)]], (TI_MOSFET_S_QGD_L_BO+TI_MOSFET_S_QGS_L_BO)*10^-9/Table7[[#This Row],[Ion (A)]])/10^-9</f>
        <v>#REF!</v>
      </c>
      <c r="AS182" s="145" t="e">
        <f ca="1">IF(VACnom&gt;Vbat, (TI_MOSFET_S_QGD_H_BU+TI_MOSFET_S_QGS_H_BU)*10^-9/Table7[[#This Row],[Ioff (A)]], (TI_MOSFET_S_QGD_L_BO+TI_MOSFET_S_QGS_L_BO)*10^-9/Table7[[#This Row],[Ioff (A)]])/10^-9</f>
        <v>#REF!</v>
      </c>
      <c r="AT182" s="145" t="e">
        <f ca="1" xml:space="preserve"> 0.5*VACnom*Table7[[#This Row],[Ivalley (A)]]*Table7[[#This Row],[ton (ns)]]*10^-9*Fsw*10^3+0.5*VACnom*Table7[[#This Row],[Ipeak (A)]]*Table7[[#This Row],[toff (ns)]]*10^-9*Fsw*10^3/10^-3</f>
        <v>#NAME?</v>
      </c>
      <c r="AU182" s="145" t="e">
        <f t="shared" ca="1" si="8"/>
        <v>#REF!</v>
      </c>
      <c r="AV182" s="145" t="e">
        <f t="shared" ca="1" si="9"/>
        <v>#REF!</v>
      </c>
      <c r="AW182" s="145" t="e">
        <f t="shared" ca="1" si="10"/>
        <v>#REF!</v>
      </c>
      <c r="AX182" s="145" t="e">
        <f ca="1">IF(VACnom&gt;Vbat, TI_MOSFET_S_VSD_L_BU*Table7[[#This Row],[Ivalley (A)]]*Fsw*10^3*40*10^-9+TI_MOSFET_S_VSD_L_BU*Table7[[#This Row],[Ipeak (A)]]*Fsw*10^3*30*10^-9, TI_MOSFET_S_VSD_H_BO*Table7[[#This Row],[Ivalley (A)]]*Fsw*10^3*40*10^-9+TI_MOSFET_S_VSD_H_BO*Table7[[#This Row],[Ipeak (A)]]*Fsw*10^3*30*10^-9)/10^-3</f>
        <v>#REF!</v>
      </c>
      <c r="AY182" s="145" t="e">
        <f t="shared" ca="1" si="11"/>
        <v>#REF!</v>
      </c>
      <c r="AZ182" s="145" t="e">
        <f ca="1">IF(VACnom&lt;Vbat, Table7[[#This Row],[Duty Cycle]]*Table7[[#This Row],[I_L RMS]]^2*TI_MOSFET_S_RDSON_H_BU*10^-3, (1-Table7[[#This Row],[Duty Cycle]])*Table7[[#This Row],[I_L RMS]]^2*TI_MOSFET_S_RDSON_H_BO*10^-3)/10^-3</f>
        <v>#NAME?</v>
      </c>
      <c r="BA182" s="145" t="e">
        <f ca="1">IF(VACnom&gt;Vbat, Table7[[#This Row],[PIV (mW)]]+Table7[[#This Row],[Pqoss (mW)]]+Table7[[#This Row],[Pgate_top (mW)]], Table7[[#This Row],[PRR (mW)]]+Table7[[#This Row],[Pdead (mW)]]+Table7[[#This Row],[Pgate_top (mW)]])</f>
        <v>#REF!</v>
      </c>
      <c r="BB182" s="145" t="e">
        <f ca="1">Table7[[#This Row],[Pcon_top (mW)]]+Table7[[#This Row],[Psw_top (mW)]]</f>
        <v>#NAME?</v>
      </c>
      <c r="BC182" s="145" t="e">
        <f ca="1">IF(VACnom&gt;Vbat, (1-Table7[[#This Row],[Duty Cycle]])*Table7[[#This Row],[I_L RMS]]^2*TI_MOSFET_S_RDSON_L_BU*10^-3, Table7[[#This Row],[Duty Cycle]]*Table7[[#This Row],[I_L RMS]]^2*TI_MOSFET_S_RDSON_L_BO*10^-3)/10^-3</f>
        <v>#NAME?</v>
      </c>
      <c r="BD182" s="145" t="e">
        <f ca="1">IF(VACnom&gt;Vbat, Table7[[#This Row],[PRR (mW)]]+Table7[[#This Row],[Pdead (mW)]]+Table7[[#This Row],[Pgate_bottom (mW)]], Table7[[#This Row],[PIV (mW)]]+Table7[[#This Row],[Pqoss (mW)]]+Table7[[#This Row],[Pgate_bottom (mW)]])</f>
        <v>#NAME?</v>
      </c>
      <c r="BE182" s="147" t="e">
        <f ca="1">Table7[[#This Row],[Pcon_bottom (mW)]]+Table7[[#This Row],[Psw_bottom (mW)]]</f>
        <v>#NAME?</v>
      </c>
      <c r="BF182" s="145" t="e">
        <f ca="1">Table7[[#This Row],[Pbottom (mW)]]+Table7[[#This Row],[Ptop (mW)]]</f>
        <v>#NAME?</v>
      </c>
      <c r="BG182" s="142"/>
      <c r="BH182" s="145" t="e">
        <f>MAX(0,Table7[[#This Row],[I_L]]-0.5*Table7[[#This Row],[I_L pkpk]])</f>
        <v>#NAME?</v>
      </c>
      <c r="BI182" s="145" t="e">
        <f>Table7[[#This Row],[I_L]]+0.5*Table7[[#This Row],[I_L pkpk]]</f>
        <v>#NAME?</v>
      </c>
      <c r="BJ182" s="145">
        <f>IF(VACnom&gt;Vbat, (VGS_S-(C_MOSFET_S_VTH_H_BU+Table7[[#This Row],[I_L]]/C_MOSFET_S_gFS_H_BU))/3.4, (VGS_S-(C_MOSFET_S_VTH_L_BO+Table7[[#This Row],[I_L]]/C_MOSFET_S_gFS_L_BO))/3.4 )</f>
        <v>2.3468447712418303</v>
      </c>
      <c r="BK182" s="145">
        <f>IF(VACnom&gt;Vbat, ((C_MOSFET_S_VTH_H_BU+Table7[[#This Row],[I_L]]/C_MOSFET_S_gFS_H_BU))/1, ((C_MOSFET_S_VTH_L_BO+Table7[[#This Row],[I_L]]/C_MOSFET_S_gFS_L_BO))/1 )</f>
        <v>2.0207277777777777</v>
      </c>
      <c r="BL182" s="145">
        <f>IF(VACnom&gt;Vbat, (C_MOSFET_S_QGD_H_BU+C_MOSFET_S_QGS_H_BU)*10^-9/Table7[[#This Row],[Ion (A) C]], (C_MOSFET_S_QGD_L_BO+C_MOSFET_S_QGS_L_BO)*10^-9/Table7[[#This Row],[Ion (A) C]])/10^-9</f>
        <v>2.7696761539795118</v>
      </c>
      <c r="BM182" s="145">
        <f>IF(VACnom&gt;Vbat, (C_MOSFET_S_QGD_H_BU+C_MOSFET_S_QGS_H_BU)*10^-9/Table7[[#This Row],[Ioff (A) C]], (C_MOSFET_S_QGD_L_BO+C_MOSFET_S_QGS_L_BO)*10^-9/Table7[[#This Row],[Ioff (A) C]])/10^-9</f>
        <v>3.2166628634897769</v>
      </c>
      <c r="BN182" s="145" t="e">
        <f xml:space="preserve"> 0.5*VACnom*Table7[[#This Row],[Ivalley (A) C]]*Table7[[#This Row],[ton (ns) C]]*10^-9*Fsw*10^3+0.5*VACnom*Table7[[#This Row],[Ipeak (A) C]]*Table7[[#This Row],[toff (ns) C]]*10^-9*Fsw*10^3/10^-3</f>
        <v>#NAME?</v>
      </c>
      <c r="BO182" s="145">
        <f t="shared" si="12"/>
        <v>259.2</v>
      </c>
      <c r="BP182" s="145" t="e">
        <f t="shared" ca="1" si="13"/>
        <v>#REF!</v>
      </c>
      <c r="BQ182" s="145">
        <f t="shared" si="14"/>
        <v>475.2</v>
      </c>
      <c r="BR182" s="145" t="e">
        <f>IF(VACnom&gt;Vbat, C_MOSFET_S_VSD_L_BU*Table7[[#This Row],[Ivalley (A) C]]*Fsw*10^3*40*10^-9+C_MOSFET_S_VSD_L_BU*Table7[[#This Row],[Ipeak (A) C]]*Fsw*10^3*30*10^-9, C_MOSFET_S_VSD_H_BO*Table7[[#This Row],[Ivalley (A) C]]*Fsw*10^3*40*10^-9+C_MOSFET_S_VSD_H_BO*Table7[[#This Row],[Ipeak (A) C]]*Fsw*10^3*30*10^-9)/10^-3</f>
        <v>#NAME?</v>
      </c>
      <c r="BS182" s="145" t="e">
        <f t="shared" ca="1" si="15"/>
        <v>#REF!</v>
      </c>
      <c r="BT182" s="145" t="e">
        <f>IF(VACnom&lt;Vbat, Table7[[#This Row],[Duty Cycle]]*Table7[[#This Row],[I_L RMS]]^2*C_MOSFET_S_RDSON_H_BU*10^-3, (1-Table7[[#This Row],[Duty Cycle]])*Table7[[#This Row],[I_L RMS]]^2*C_MOSFET_S_RDSON_H_BO*10^-3)/10^-3</f>
        <v>#NAME?</v>
      </c>
      <c r="BU182" s="145" t="e">
        <f ca="1">IF(VACnom&gt;Vbat, Table7[[#This Row],[PIV (mW) C]]+Table7[[#This Row],[PQoss (mW) C]]+Table7[[#This Row],[Pgate_top (mW) C]], Table7[[#This Row],[PRR (mW) C]]+Table7[[#This Row],[Pdead (mW) C]]+Table7[[#This Row],[Pgate_top (mW) C]])</f>
        <v>#NAME?</v>
      </c>
      <c r="BV182" s="145" t="e">
        <f ca="1">Table7[[#This Row],[Pcon_top (mW) C]]+Table7[[#This Row],[Psw_top (mW) C]]</f>
        <v>#NAME?</v>
      </c>
      <c r="BW182" s="145" t="e">
        <f ca="1">IF(VACnom&gt;Vbat, (1-Table7[[#This Row],[Duty Cycle]])*Table7[[#This Row],[I_L RMS]]^2*C_MOSFET_S_RDSON_L_BU*10^-3, Table7[[#This Row],[Duty Cycle]]*Table7[[#This Row],[I_L RMS]]^2*C_MOSFET_S_RDSON_L_BO*10^-3)/10^-3</f>
        <v>#NAME?</v>
      </c>
      <c r="BX182" s="145" t="e">
        <f ca="1">IF(VACnom&gt;Vbat, Table7[[#This Row],[PRR (mW) C]]+Table7[[#This Row],[Pdead (mW) C]]+Table7[[#This Row],[Pgate_bottom (mW) C]], Table7[[#This Row],[PIV (mW) C]]+Table7[[#This Row],[PQoss (mW) C]]+Table7[[#This Row],[Pgate_bottom (mW) C]])</f>
        <v>#NAME?</v>
      </c>
      <c r="BY182" s="145" t="e">
        <f ca="1">Table7[[#This Row],[Pcon_bottom (mW) C]]+Table7[[#This Row],[Psw_bottom (mV) C]]</f>
        <v>#NAME?</v>
      </c>
      <c r="BZ182" s="145" t="e">
        <f ca="1">Table7[[#This Row],[Pbottom (mW) C]]+Table7[[#This Row],[Ptop (mW) C]]</f>
        <v>#NAME?</v>
      </c>
      <c r="CA182" s="148"/>
      <c r="CB182" s="144">
        <f>(RAC_SNS*10^-3*(Table7[[#This Row],[IOUT (A)]]*Vbat/VACnom)^2/10^-3)</f>
        <v>48.334586805555567</v>
      </c>
      <c r="CC182" s="144">
        <f>(RBAT_SNS*10^-3*Table7[[#This Row],[IOUT (A)]]^2)/10^-3</f>
        <v>33.800000000000004</v>
      </c>
      <c r="CD182" s="144">
        <f>IF(VACnom&gt;Vbat,(L_DRC*10^-3*(Table7[[#This Row],[IOUT (A)]])^2/10^-3),(L_DRC*10^-3*(Table7[[#This Row],[IOUT (A)]]*Vbat/VACnom)^2/10^-3))</f>
        <v>32.867519027777774</v>
      </c>
      <c r="CE182" s="152"/>
      <c r="CF182" s="145">
        <f>(Table7[[#This Row],[R_AC (mW)]]+Table7[[#This Row],[R_SR (mW)]]+Table7[[#This Row],[Inductor Loss (mW)]])/10^3</f>
        <v>0.11500210583333334</v>
      </c>
      <c r="CG182" s="145" t="e">
        <f ca="1">Table7[[#This Row],[Total TI (mW)]]/10^3</f>
        <v>#NAME?</v>
      </c>
      <c r="CH182" s="145" t="e">
        <f ca="1">Table7[[#This Row],[Total Sense Loss]]+Table7[[#This Row],[Total MOSFET Loss]]</f>
        <v>#NAME?</v>
      </c>
      <c r="CI182" s="149" t="e">
        <f ca="1">IF(Table7[[#This Row],[POUT (W)]]=0,0,(Table7[[#This Row],[POUT (W)]])/(Table7[[#This Row],[POUT (W)]]+Table7[[#This Row],[Total Power Loss (W)]]))*100</f>
        <v>#NAME?</v>
      </c>
      <c r="CJ182" s="153"/>
      <c r="CK182" s="145">
        <f>(Table7[[#This Row],[R_AC (mW)]]+Table7[[#This Row],[R_SR (mW)]]+Table7[[#This Row],[Inductor Loss (mW)]])/10^3</f>
        <v>0.11500210583333334</v>
      </c>
      <c r="CL182" s="145" t="e">
        <f ca="1">Table7[[#This Row],[Total (mW) C]]/10^3</f>
        <v>#NAME?</v>
      </c>
      <c r="CM182" s="145" t="e">
        <f ca="1">Table7[[#This Row],[Total Sense Loss C]]+Table7[[#This Row],[Total MOSFET Loss C]]</f>
        <v>#NAME?</v>
      </c>
      <c r="CN182" s="149" t="e">
        <f ca="1">IF(Table7[[#This Row],[POUT (W)]]=0,0,(Table7[[#This Row],[POUT (W)]])/(Table7[[#This Row],[POUT (W)]]+Table7[[#This Row],[Total Power Loss (W) C]]))*100</f>
        <v>#NAME?</v>
      </c>
      <c r="CO182" s="153"/>
      <c r="CP182" s="149">
        <f>IF(MOSFET_S=Custom_MOSFET,Table7[[#This Row],[Total Sense Loss C]],Table7[[#This Row],[Total Sense Loss]])</f>
        <v>0.11500210583333334</v>
      </c>
      <c r="CQ182" s="149" t="e">
        <f ca="1">IF(MOSFET_S=Custom_MOSFET,Table7[[#This Row],[Total MOSFET Loss C]],Table7[[#This Row],[Total MOSFET Loss]])</f>
        <v>#NAME?</v>
      </c>
      <c r="CR182" s="149" t="e">
        <f ca="1">IF(MOSFET_S=Custom_MOSFET,Table7[[#This Row],[Efficiency C]],Table7[[#This Row],[Efficiency]])</f>
        <v>#NAME?</v>
      </c>
      <c r="CS182" s="153"/>
      <c r="CT182" s="149">
        <f>IF(MOSFET_S=Compare_MOSFET, Table7[[#This Row],[Total Sense Loss C]], -100)</f>
        <v>-100</v>
      </c>
      <c r="CU182" s="149">
        <f>IF(MOSFET_S=Compare_MOSFET, Table7[[#This Row],[Total MOSFET Loss C]], -100)</f>
        <v>-100</v>
      </c>
      <c r="CV182" s="149">
        <f>IF(MOSFET_S=Compare_MOSFET, Table7[[#This Row],[Efficiency C]], -100)</f>
        <v>-100</v>
      </c>
      <c r="CW182" s="153"/>
      <c r="CX182" s="149">
        <f ca="1">IF(Save_Sel=CLR_Save,  Table7[[#This Row],[Total Sense Loss P1]], Table7[[#This Row],[Total Sense Loss P1 Saved]])</f>
        <v>9.6435624999999983E-2</v>
      </c>
      <c r="CY182" s="149">
        <f ca="1">IF(Save_Sel=CLR_Save,  Table7[[#This Row],[Total MOSFET Loss P1]], Table7[[#This Row],[Total MOSFET Loss P1 Saved]] )</f>
        <v>1.6421068878840812</v>
      </c>
      <c r="CZ182" s="149">
        <f ca="1">IF(Save_Sel=CLR_Save, Table7[[#This Row],[Efficiency P1]], Table7[[#This Row],[Efficiency P1 Saved]])</f>
        <v>89.972960463128956</v>
      </c>
      <c r="DA182" s="153"/>
      <c r="DB182" s="149">
        <f ca="1">IF(Save_Sel=CLR_Save,  Table7[[#This Row],[Total Sense Loss P2]], Table7[[#This Row],[Total Sense Loss P2 Saved]])</f>
        <v>9.6435624999999983E-2</v>
      </c>
      <c r="DC182" s="149">
        <f ca="1">IF(Save_Sel=CLR_Save,  Table7[[#This Row],[Total MOSFET Loss P2]], Table7[[#This Row],[Total MOSFET Loss P2 Saved]] )</f>
        <v>1.0835047166541416</v>
      </c>
      <c r="DD182" s="149">
        <f ca="1">IF(Save_Sel=CLR_Save, Table7[[#This Row],[Efficiency P2]], Table7[[#This Row],[Efficiency P2 Saved]])</f>
        <v>92.968149363886084</v>
      </c>
      <c r="DE182" s="153"/>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row>
    <row r="183" spans="1:165" x14ac:dyDescent="0.2">
      <c r="A183" s="48">
        <v>10</v>
      </c>
      <c r="B183" s="49"/>
      <c r="C183" s="49"/>
      <c r="D183" s="32" t="s">
        <v>17</v>
      </c>
      <c r="E183" s="117" t="e">
        <f t="shared" ca="1" si="22"/>
        <v>#REF!</v>
      </c>
      <c r="F183" s="117" t="e">
        <f t="shared" ca="1" si="23"/>
        <v>#REF!</v>
      </c>
      <c r="G183" s="120" t="s">
        <v>24</v>
      </c>
      <c r="H183" s="29"/>
      <c r="I183" s="48">
        <v>10</v>
      </c>
      <c r="J183" s="29"/>
      <c r="K183" s="49"/>
      <c r="L183" s="49"/>
      <c r="M183" s="32" t="s">
        <v>17</v>
      </c>
      <c r="N183" s="117">
        <f t="shared" si="24"/>
        <v>1.5</v>
      </c>
      <c r="O183" s="117">
        <f t="shared" si="25"/>
        <v>1.5</v>
      </c>
      <c r="P183" s="120" t="s">
        <v>24</v>
      </c>
      <c r="Q183" s="29"/>
      <c r="R183" s="29"/>
      <c r="S183" s="30"/>
      <c r="T183" s="18"/>
      <c r="U183" s="19"/>
      <c r="V183" s="19"/>
      <c r="W183" s="19"/>
      <c r="X183" s="19"/>
      <c r="Y183" s="19"/>
      <c r="Z183" s="19"/>
      <c r="AA183" s="19"/>
      <c r="AB183" s="19"/>
      <c r="AC183" s="19"/>
      <c r="AD183" s="19"/>
      <c r="AE183" s="19"/>
      <c r="AF183" s="143">
        <f t="shared" si="17"/>
        <v>27</v>
      </c>
      <c r="AG183" s="143">
        <f t="shared" si="16"/>
        <v>2.7</v>
      </c>
      <c r="AH183" s="144">
        <f t="shared" si="3"/>
        <v>64.800000000000011</v>
      </c>
      <c r="AI183" s="145">
        <f t="shared" si="4"/>
        <v>0.16376306620209058</v>
      </c>
      <c r="AJ183" s="145">
        <f t="shared" si="5"/>
        <v>3.2287500000000002</v>
      </c>
      <c r="AK183" s="145" t="e">
        <f t="shared" si="6"/>
        <v>#NAME?</v>
      </c>
      <c r="AL183" s="145" t="e">
        <f t="shared" si="7"/>
        <v>#NAME?</v>
      </c>
      <c r="AM183" s="146"/>
      <c r="AN183" s="145" t="e">
        <f>MAX(0,Table7[[#This Row],[I_L]]-0.5*Table7[[#This Row],[I_L pkpk]])</f>
        <v>#NAME?</v>
      </c>
      <c r="AO183" s="145" t="e">
        <f>Table7[[#This Row],[I_L]]+0.5*Table7[[#This Row],[I_L pkpk]]</f>
        <v>#NAME?</v>
      </c>
      <c r="AP183" s="145" t="e">
        <f ca="1">IF(VACnom&gt;Vbat, (VGS_S-(TI_MOSFET_S_VTH_H_BU+Table7[[#This Row],[I_L]]/TI_MOSFET_S_gFS_H_BU))/3.4, (VGS_S-(TI_MOSFET_S_VTH_L_BO+Table7[[#This Row],[I_L]]/TI_MOSFET_S_gFS_L_BO))/3.4 )</f>
        <v>#REF!</v>
      </c>
      <c r="AQ183" s="145" t="e">
        <f ca="1">IF(VACnom&gt;Vbat, ((TI_MOSFET_S_VTH_H_BU+Table7[[#This Row],[I_L]]/TI_MOSFET_S_gFS_H_BU))/1, ((TI_MOSFET_S_VTH_L_BO+Table7[[#This Row],[I_L]]/TI_MOSFET_S_gFS_L_BO))/1 )</f>
        <v>#REF!</v>
      </c>
      <c r="AR183" s="145" t="e">
        <f ca="1">IF(VACnom&gt;Vbat, (TI_MOSFET_S_QGD_H_BU+TI_MOSFET_S_QGS_H_BU)*10^-9/Table7[[#This Row],[Ion (A)]], (TI_MOSFET_S_QGD_L_BO+TI_MOSFET_S_QGS_L_BO)*10^-9/Table7[[#This Row],[Ion (A)]])/10^-9</f>
        <v>#REF!</v>
      </c>
      <c r="AS183" s="145" t="e">
        <f ca="1">IF(VACnom&gt;Vbat, (TI_MOSFET_S_QGD_H_BU+TI_MOSFET_S_QGS_H_BU)*10^-9/Table7[[#This Row],[Ioff (A)]], (TI_MOSFET_S_QGD_L_BO+TI_MOSFET_S_QGS_L_BO)*10^-9/Table7[[#This Row],[Ioff (A)]])/10^-9</f>
        <v>#REF!</v>
      </c>
      <c r="AT183" s="145" t="e">
        <f ca="1" xml:space="preserve"> 0.5*VACnom*Table7[[#This Row],[Ivalley (A)]]*Table7[[#This Row],[ton (ns)]]*10^-9*Fsw*10^3+0.5*VACnom*Table7[[#This Row],[Ipeak (A)]]*Table7[[#This Row],[toff (ns)]]*10^-9*Fsw*10^3/10^-3</f>
        <v>#NAME?</v>
      </c>
      <c r="AU183" s="145" t="e">
        <f t="shared" ca="1" si="8"/>
        <v>#REF!</v>
      </c>
      <c r="AV183" s="145" t="e">
        <f t="shared" ca="1" si="9"/>
        <v>#REF!</v>
      </c>
      <c r="AW183" s="145" t="e">
        <f t="shared" ca="1" si="10"/>
        <v>#REF!</v>
      </c>
      <c r="AX183" s="145" t="e">
        <f ca="1">IF(VACnom&gt;Vbat, TI_MOSFET_S_VSD_L_BU*Table7[[#This Row],[Ivalley (A)]]*Fsw*10^3*40*10^-9+TI_MOSFET_S_VSD_L_BU*Table7[[#This Row],[Ipeak (A)]]*Fsw*10^3*30*10^-9, TI_MOSFET_S_VSD_H_BO*Table7[[#This Row],[Ivalley (A)]]*Fsw*10^3*40*10^-9+TI_MOSFET_S_VSD_H_BO*Table7[[#This Row],[Ipeak (A)]]*Fsw*10^3*30*10^-9)/10^-3</f>
        <v>#REF!</v>
      </c>
      <c r="AY183" s="145" t="e">
        <f t="shared" ca="1" si="11"/>
        <v>#REF!</v>
      </c>
      <c r="AZ183" s="145" t="e">
        <f ca="1">IF(VACnom&lt;Vbat, Table7[[#This Row],[Duty Cycle]]*Table7[[#This Row],[I_L RMS]]^2*TI_MOSFET_S_RDSON_H_BU*10^-3, (1-Table7[[#This Row],[Duty Cycle]])*Table7[[#This Row],[I_L RMS]]^2*TI_MOSFET_S_RDSON_H_BO*10^-3)/10^-3</f>
        <v>#NAME?</v>
      </c>
      <c r="BA183" s="145" t="e">
        <f ca="1">IF(VACnom&gt;Vbat, Table7[[#This Row],[PIV (mW)]]+Table7[[#This Row],[Pqoss (mW)]]+Table7[[#This Row],[Pgate_top (mW)]], Table7[[#This Row],[PRR (mW)]]+Table7[[#This Row],[Pdead (mW)]]+Table7[[#This Row],[Pgate_top (mW)]])</f>
        <v>#REF!</v>
      </c>
      <c r="BB183" s="145" t="e">
        <f ca="1">Table7[[#This Row],[Pcon_top (mW)]]+Table7[[#This Row],[Psw_top (mW)]]</f>
        <v>#NAME?</v>
      </c>
      <c r="BC183" s="145" t="e">
        <f ca="1">IF(VACnom&gt;Vbat, (1-Table7[[#This Row],[Duty Cycle]])*Table7[[#This Row],[I_L RMS]]^2*TI_MOSFET_S_RDSON_L_BU*10^-3, Table7[[#This Row],[Duty Cycle]]*Table7[[#This Row],[I_L RMS]]^2*TI_MOSFET_S_RDSON_L_BO*10^-3)/10^-3</f>
        <v>#NAME?</v>
      </c>
      <c r="BD183" s="145" t="e">
        <f ca="1">IF(VACnom&gt;Vbat, Table7[[#This Row],[PRR (mW)]]+Table7[[#This Row],[Pdead (mW)]]+Table7[[#This Row],[Pgate_bottom (mW)]], Table7[[#This Row],[PIV (mW)]]+Table7[[#This Row],[Pqoss (mW)]]+Table7[[#This Row],[Pgate_bottom (mW)]])</f>
        <v>#NAME?</v>
      </c>
      <c r="BE183" s="147" t="e">
        <f ca="1">Table7[[#This Row],[Pcon_bottom (mW)]]+Table7[[#This Row],[Psw_bottom (mW)]]</f>
        <v>#NAME?</v>
      </c>
      <c r="BF183" s="145" t="e">
        <f ca="1">Table7[[#This Row],[Pbottom (mW)]]+Table7[[#This Row],[Ptop (mW)]]</f>
        <v>#NAME?</v>
      </c>
      <c r="BG183" s="142"/>
      <c r="BH183" s="145" t="e">
        <f>MAX(0,Table7[[#This Row],[I_L]]-0.5*Table7[[#This Row],[I_L pkpk]])</f>
        <v>#NAME?</v>
      </c>
      <c r="BI183" s="145" t="e">
        <f>Table7[[#This Row],[I_L]]+0.5*Table7[[#This Row],[I_L pkpk]]</f>
        <v>#NAME?</v>
      </c>
      <c r="BJ183" s="145">
        <f>IF(VACnom&gt;Vbat, (VGS_S-(C_MOSFET_S_VTH_H_BU+Table7[[#This Row],[I_L]]/C_MOSFET_S_gFS_H_BU))/3.4, (VGS_S-(C_MOSFET_S_VTH_L_BO+Table7[[#This Row],[I_L]]/C_MOSFET_S_gFS_L_BO))/3.4 )</f>
        <v>2.3466102941176468</v>
      </c>
      <c r="BK183" s="145">
        <f>IF(VACnom&gt;Vbat, ((C_MOSFET_S_VTH_H_BU+Table7[[#This Row],[I_L]]/C_MOSFET_S_gFS_H_BU))/1, ((C_MOSFET_S_VTH_L_BO+Table7[[#This Row],[I_L]]/C_MOSFET_S_gFS_L_BO))/1 )</f>
        <v>2.021525</v>
      </c>
      <c r="BL183" s="145">
        <f>IF(VACnom&gt;Vbat, (C_MOSFET_S_QGD_H_BU+C_MOSFET_S_QGS_H_BU)*10^-9/Table7[[#This Row],[Ion (A) C]], (C_MOSFET_S_QGD_L_BO+C_MOSFET_S_QGS_L_BO)*10^-9/Table7[[#This Row],[Ion (A) C]])/10^-9</f>
        <v>2.7699529045337616</v>
      </c>
      <c r="BM183" s="145">
        <f>IF(VACnom&gt;Vbat, (C_MOSFET_S_QGD_H_BU+C_MOSFET_S_QGS_H_BU)*10^-9/Table7[[#This Row],[Ioff (A) C]], (C_MOSFET_S_QGD_L_BO+C_MOSFET_S_QGS_L_BO)*10^-9/Table7[[#This Row],[Ioff (A) C]])/10^-9</f>
        <v>3.2153943186455769</v>
      </c>
      <c r="BN183" s="145" t="e">
        <f xml:space="preserve"> 0.5*VACnom*Table7[[#This Row],[Ivalley (A) C]]*Table7[[#This Row],[ton (ns) C]]*10^-9*Fsw*10^3+0.5*VACnom*Table7[[#This Row],[Ipeak (A) C]]*Table7[[#This Row],[toff (ns) C]]*10^-9*Fsw*10^3/10^-3</f>
        <v>#NAME?</v>
      </c>
      <c r="BO183" s="145">
        <f t="shared" si="12"/>
        <v>259.2</v>
      </c>
      <c r="BP183" s="145" t="e">
        <f t="shared" ca="1" si="13"/>
        <v>#REF!</v>
      </c>
      <c r="BQ183" s="145">
        <f t="shared" si="14"/>
        <v>475.2</v>
      </c>
      <c r="BR183" s="145" t="e">
        <f>IF(VACnom&gt;Vbat, C_MOSFET_S_VSD_L_BU*Table7[[#This Row],[Ivalley (A) C]]*Fsw*10^3*40*10^-9+C_MOSFET_S_VSD_L_BU*Table7[[#This Row],[Ipeak (A) C]]*Fsw*10^3*30*10^-9, C_MOSFET_S_VSD_H_BO*Table7[[#This Row],[Ivalley (A) C]]*Fsw*10^3*40*10^-9+C_MOSFET_S_VSD_H_BO*Table7[[#This Row],[Ipeak (A) C]]*Fsw*10^3*30*10^-9)/10^-3</f>
        <v>#NAME?</v>
      </c>
      <c r="BS183" s="145" t="e">
        <f t="shared" ca="1" si="15"/>
        <v>#REF!</v>
      </c>
      <c r="BT183" s="145" t="e">
        <f>IF(VACnom&lt;Vbat, Table7[[#This Row],[Duty Cycle]]*Table7[[#This Row],[I_L RMS]]^2*C_MOSFET_S_RDSON_H_BU*10^-3, (1-Table7[[#This Row],[Duty Cycle]])*Table7[[#This Row],[I_L RMS]]^2*C_MOSFET_S_RDSON_H_BO*10^-3)/10^-3</f>
        <v>#NAME?</v>
      </c>
      <c r="BU183" s="145" t="e">
        <f ca="1">IF(VACnom&gt;Vbat, Table7[[#This Row],[PIV (mW) C]]+Table7[[#This Row],[PQoss (mW) C]]+Table7[[#This Row],[Pgate_top (mW) C]], Table7[[#This Row],[PRR (mW) C]]+Table7[[#This Row],[Pdead (mW) C]]+Table7[[#This Row],[Pgate_top (mW) C]])</f>
        <v>#NAME?</v>
      </c>
      <c r="BV183" s="145" t="e">
        <f ca="1">Table7[[#This Row],[Pcon_top (mW) C]]+Table7[[#This Row],[Psw_top (mW) C]]</f>
        <v>#NAME?</v>
      </c>
      <c r="BW183" s="145" t="e">
        <f ca="1">IF(VACnom&gt;Vbat, (1-Table7[[#This Row],[Duty Cycle]])*Table7[[#This Row],[I_L RMS]]^2*C_MOSFET_S_RDSON_L_BU*10^-3, Table7[[#This Row],[Duty Cycle]]*Table7[[#This Row],[I_L RMS]]^2*C_MOSFET_S_RDSON_L_BO*10^-3)/10^-3</f>
        <v>#NAME?</v>
      </c>
      <c r="BX183" s="145" t="e">
        <f ca="1">IF(VACnom&gt;Vbat, Table7[[#This Row],[PRR (mW) C]]+Table7[[#This Row],[Pdead (mW) C]]+Table7[[#This Row],[Pgate_bottom (mW) C]], Table7[[#This Row],[PIV (mW) C]]+Table7[[#This Row],[PQoss (mW) C]]+Table7[[#This Row],[Pgate_bottom (mW) C]])</f>
        <v>#NAME?</v>
      </c>
      <c r="BY183" s="145" t="e">
        <f ca="1">Table7[[#This Row],[Pcon_bottom (mW) C]]+Table7[[#This Row],[Psw_bottom (mV) C]]</f>
        <v>#NAME?</v>
      </c>
      <c r="BZ183" s="145" t="e">
        <f ca="1">Table7[[#This Row],[Pbottom (mW) C]]+Table7[[#This Row],[Ptop (mW) C]]</f>
        <v>#NAME?</v>
      </c>
      <c r="CA183" s="148"/>
      <c r="CB183" s="144">
        <f>(RAC_SNS*10^-3*(Table7[[#This Row],[IOUT (A)]]*Vbat/VACnom)^2/10^-3)</f>
        <v>52.124132812500008</v>
      </c>
      <c r="CC183" s="144">
        <f>(RBAT_SNS*10^-3*Table7[[#This Row],[IOUT (A)]]^2)/10^-3</f>
        <v>36.450000000000003</v>
      </c>
      <c r="CD183" s="144">
        <f>IF(VACnom&gt;Vbat,(L_DRC*10^-3*(Table7[[#This Row],[IOUT (A)]])^2/10^-3),(L_DRC*10^-3*(Table7[[#This Row],[IOUT (A)]]*Vbat/VACnom)^2/10^-3))</f>
        <v>35.444410312499997</v>
      </c>
      <c r="CE183" s="152"/>
      <c r="CF183" s="145">
        <f>(Table7[[#This Row],[R_AC (mW)]]+Table7[[#This Row],[R_SR (mW)]]+Table7[[#This Row],[Inductor Loss (mW)]])/10^3</f>
        <v>0.12401854312500001</v>
      </c>
      <c r="CG183" s="145" t="e">
        <f ca="1">Table7[[#This Row],[Total TI (mW)]]/10^3</f>
        <v>#NAME?</v>
      </c>
      <c r="CH183" s="145" t="e">
        <f ca="1">Table7[[#This Row],[Total Sense Loss]]+Table7[[#This Row],[Total MOSFET Loss]]</f>
        <v>#NAME?</v>
      </c>
      <c r="CI183" s="149" t="e">
        <f ca="1">IF(Table7[[#This Row],[POUT (W)]]=0,0,(Table7[[#This Row],[POUT (W)]])/(Table7[[#This Row],[POUT (W)]]+Table7[[#This Row],[Total Power Loss (W)]]))*100</f>
        <v>#NAME?</v>
      </c>
      <c r="CJ183" s="153"/>
      <c r="CK183" s="145">
        <f>(Table7[[#This Row],[R_AC (mW)]]+Table7[[#This Row],[R_SR (mW)]]+Table7[[#This Row],[Inductor Loss (mW)]])/10^3</f>
        <v>0.12401854312500001</v>
      </c>
      <c r="CL183" s="145" t="e">
        <f ca="1">Table7[[#This Row],[Total (mW) C]]/10^3</f>
        <v>#NAME?</v>
      </c>
      <c r="CM183" s="145" t="e">
        <f ca="1">Table7[[#This Row],[Total Sense Loss C]]+Table7[[#This Row],[Total MOSFET Loss C]]</f>
        <v>#NAME?</v>
      </c>
      <c r="CN183" s="149" t="e">
        <f ca="1">IF(Table7[[#This Row],[POUT (W)]]=0,0,(Table7[[#This Row],[POUT (W)]])/(Table7[[#This Row],[POUT (W)]]+Table7[[#This Row],[Total Power Loss (W) C]]))*100</f>
        <v>#NAME?</v>
      </c>
      <c r="CO183" s="153"/>
      <c r="CP183" s="149">
        <f>IF(MOSFET_S=Custom_MOSFET,Table7[[#This Row],[Total Sense Loss C]],Table7[[#This Row],[Total Sense Loss]])</f>
        <v>0.12401854312500001</v>
      </c>
      <c r="CQ183" s="149" t="e">
        <f ca="1">IF(MOSFET_S=Custom_MOSFET,Table7[[#This Row],[Total MOSFET Loss C]],Table7[[#This Row],[Total MOSFET Loss]])</f>
        <v>#NAME?</v>
      </c>
      <c r="CR183" s="149" t="e">
        <f ca="1">IF(MOSFET_S=Custom_MOSFET,Table7[[#This Row],[Efficiency C]],Table7[[#This Row],[Efficiency]])</f>
        <v>#NAME?</v>
      </c>
      <c r="CS183" s="153"/>
      <c r="CT183" s="149">
        <f>IF(MOSFET_S=Compare_MOSFET, Table7[[#This Row],[Total Sense Loss C]], -100)</f>
        <v>-100</v>
      </c>
      <c r="CU183" s="149">
        <f>IF(MOSFET_S=Compare_MOSFET, Table7[[#This Row],[Total MOSFET Loss C]], -100)</f>
        <v>-100</v>
      </c>
      <c r="CV183" s="149">
        <f>IF(MOSFET_S=Compare_MOSFET, Table7[[#This Row],[Efficiency C]], -100)</f>
        <v>-100</v>
      </c>
      <c r="CW183" s="153"/>
      <c r="CX183" s="149">
        <f ca="1">IF(Save_Sel=CLR_Save,  Table7[[#This Row],[Total Sense Loss P1]], Table7[[#This Row],[Total Sense Loss P1 Saved]])</f>
        <v>0.10399640625000003</v>
      </c>
      <c r="CY183" s="149">
        <f ca="1">IF(Save_Sel=CLR_Save,  Table7[[#This Row],[Total MOSFET Loss P1]], Table7[[#This Row],[Total MOSFET Loss P1 Saved]] )</f>
        <v>1.6510693223947357</v>
      </c>
      <c r="CZ183" s="149">
        <f ca="1">IF(Save_Sel=CLR_Save, Table7[[#This Row],[Efficiency P1]], Table7[[#This Row],[Efficiency P1 Saved]])</f>
        <v>90.225233618361074</v>
      </c>
      <c r="DA183" s="153"/>
      <c r="DB183" s="149">
        <f ca="1">IF(Save_Sel=CLR_Save,  Table7[[#This Row],[Total Sense Loss P2]], Table7[[#This Row],[Total Sense Loss P2 Saved]])</f>
        <v>0.10399640625000003</v>
      </c>
      <c r="DC183" s="149">
        <f ca="1">IF(Save_Sel=CLR_Save,  Table7[[#This Row],[Total MOSFET Loss P2]], Table7[[#This Row],[Total MOSFET Loss P2 Saved]] )</f>
        <v>1.0895671597323378</v>
      </c>
      <c r="DD183" s="149">
        <f ca="1">IF(Save_Sel=CLR_Save, Table7[[#This Row],[Efficiency P2]], Table7[[#This Row],[Efficiency P2 Saved]])</f>
        <v>93.137900916884774</v>
      </c>
      <c r="DE183" s="153"/>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row>
    <row r="184" spans="1:165" x14ac:dyDescent="0.2">
      <c r="A184" s="48">
        <v>11</v>
      </c>
      <c r="B184" s="49"/>
      <c r="C184" s="49"/>
      <c r="D184" s="32" t="s">
        <v>18</v>
      </c>
      <c r="E184" s="117" t="e">
        <f t="shared" ca="1" si="22"/>
        <v>#REF!</v>
      </c>
      <c r="F184" s="117" t="e">
        <f t="shared" ca="1" si="23"/>
        <v>#REF!</v>
      </c>
      <c r="G184" s="42" t="s">
        <v>25</v>
      </c>
      <c r="H184" s="29"/>
      <c r="I184" s="48">
        <v>11</v>
      </c>
      <c r="J184" s="29"/>
      <c r="K184" s="49"/>
      <c r="L184" s="49"/>
      <c r="M184" s="32" t="s">
        <v>18</v>
      </c>
      <c r="N184" s="117">
        <f t="shared" si="24"/>
        <v>150</v>
      </c>
      <c r="O184" s="117">
        <f t="shared" si="25"/>
        <v>150</v>
      </c>
      <c r="P184" s="42" t="s">
        <v>25</v>
      </c>
      <c r="Q184" s="29"/>
      <c r="R184" s="29"/>
      <c r="S184" s="30"/>
      <c r="T184" s="18"/>
      <c r="U184" s="19"/>
      <c r="V184" s="19"/>
      <c r="W184" s="19"/>
      <c r="X184" s="19"/>
      <c r="Y184" s="19"/>
      <c r="Z184" s="19"/>
      <c r="AA184" s="19"/>
      <c r="AB184" s="19"/>
      <c r="AC184" s="19"/>
      <c r="AD184" s="19"/>
      <c r="AE184" s="19"/>
      <c r="AF184" s="143">
        <f t="shared" si="17"/>
        <v>28</v>
      </c>
      <c r="AG184" s="143">
        <f t="shared" si="16"/>
        <v>2.8</v>
      </c>
      <c r="AH184" s="144">
        <f t="shared" si="3"/>
        <v>67.199999999999989</v>
      </c>
      <c r="AI184" s="145">
        <f t="shared" si="4"/>
        <v>0.16376306620209058</v>
      </c>
      <c r="AJ184" s="145">
        <f t="shared" si="5"/>
        <v>3.3483333333333332</v>
      </c>
      <c r="AK184" s="145" t="e">
        <f t="shared" si="6"/>
        <v>#NAME?</v>
      </c>
      <c r="AL184" s="145" t="e">
        <f t="shared" si="7"/>
        <v>#NAME?</v>
      </c>
      <c r="AM184" s="146"/>
      <c r="AN184" s="145" t="e">
        <f>MAX(0,Table7[[#This Row],[I_L]]-0.5*Table7[[#This Row],[I_L pkpk]])</f>
        <v>#NAME?</v>
      </c>
      <c r="AO184" s="145" t="e">
        <f>Table7[[#This Row],[I_L]]+0.5*Table7[[#This Row],[I_L pkpk]]</f>
        <v>#NAME?</v>
      </c>
      <c r="AP184" s="145" t="e">
        <f ca="1">IF(VACnom&gt;Vbat, (VGS_S-(TI_MOSFET_S_VTH_H_BU+Table7[[#This Row],[I_L]]/TI_MOSFET_S_gFS_H_BU))/3.4, (VGS_S-(TI_MOSFET_S_VTH_L_BO+Table7[[#This Row],[I_L]]/TI_MOSFET_S_gFS_L_BO))/3.4 )</f>
        <v>#REF!</v>
      </c>
      <c r="AQ184" s="145" t="e">
        <f ca="1">IF(VACnom&gt;Vbat, ((TI_MOSFET_S_VTH_H_BU+Table7[[#This Row],[I_L]]/TI_MOSFET_S_gFS_H_BU))/1, ((TI_MOSFET_S_VTH_L_BO+Table7[[#This Row],[I_L]]/TI_MOSFET_S_gFS_L_BO))/1 )</f>
        <v>#REF!</v>
      </c>
      <c r="AR184" s="145" t="e">
        <f ca="1">IF(VACnom&gt;Vbat, (TI_MOSFET_S_QGD_H_BU+TI_MOSFET_S_QGS_H_BU)*10^-9/Table7[[#This Row],[Ion (A)]], (TI_MOSFET_S_QGD_L_BO+TI_MOSFET_S_QGS_L_BO)*10^-9/Table7[[#This Row],[Ion (A)]])/10^-9</f>
        <v>#REF!</v>
      </c>
      <c r="AS184" s="145" t="e">
        <f ca="1">IF(VACnom&gt;Vbat, (TI_MOSFET_S_QGD_H_BU+TI_MOSFET_S_QGS_H_BU)*10^-9/Table7[[#This Row],[Ioff (A)]], (TI_MOSFET_S_QGD_L_BO+TI_MOSFET_S_QGS_L_BO)*10^-9/Table7[[#This Row],[Ioff (A)]])/10^-9</f>
        <v>#REF!</v>
      </c>
      <c r="AT184" s="145" t="e">
        <f ca="1" xml:space="preserve"> 0.5*VACnom*Table7[[#This Row],[Ivalley (A)]]*Table7[[#This Row],[ton (ns)]]*10^-9*Fsw*10^3+0.5*VACnom*Table7[[#This Row],[Ipeak (A)]]*Table7[[#This Row],[toff (ns)]]*10^-9*Fsw*10^3/10^-3</f>
        <v>#NAME?</v>
      </c>
      <c r="AU184" s="145" t="e">
        <f t="shared" ca="1" si="8"/>
        <v>#REF!</v>
      </c>
      <c r="AV184" s="145" t="e">
        <f t="shared" ca="1" si="9"/>
        <v>#REF!</v>
      </c>
      <c r="AW184" s="145" t="e">
        <f t="shared" ca="1" si="10"/>
        <v>#REF!</v>
      </c>
      <c r="AX184" s="145" t="e">
        <f ca="1">IF(VACnom&gt;Vbat, TI_MOSFET_S_VSD_L_BU*Table7[[#This Row],[Ivalley (A)]]*Fsw*10^3*40*10^-9+TI_MOSFET_S_VSD_L_BU*Table7[[#This Row],[Ipeak (A)]]*Fsw*10^3*30*10^-9, TI_MOSFET_S_VSD_H_BO*Table7[[#This Row],[Ivalley (A)]]*Fsw*10^3*40*10^-9+TI_MOSFET_S_VSD_H_BO*Table7[[#This Row],[Ipeak (A)]]*Fsw*10^3*30*10^-9)/10^-3</f>
        <v>#REF!</v>
      </c>
      <c r="AY184" s="145" t="e">
        <f t="shared" ca="1" si="11"/>
        <v>#REF!</v>
      </c>
      <c r="AZ184" s="145" t="e">
        <f ca="1">IF(VACnom&lt;Vbat, Table7[[#This Row],[Duty Cycle]]*Table7[[#This Row],[I_L RMS]]^2*TI_MOSFET_S_RDSON_H_BU*10^-3, (1-Table7[[#This Row],[Duty Cycle]])*Table7[[#This Row],[I_L RMS]]^2*TI_MOSFET_S_RDSON_H_BO*10^-3)/10^-3</f>
        <v>#NAME?</v>
      </c>
      <c r="BA184" s="145" t="e">
        <f ca="1">IF(VACnom&gt;Vbat, Table7[[#This Row],[PIV (mW)]]+Table7[[#This Row],[Pqoss (mW)]]+Table7[[#This Row],[Pgate_top (mW)]], Table7[[#This Row],[PRR (mW)]]+Table7[[#This Row],[Pdead (mW)]]+Table7[[#This Row],[Pgate_top (mW)]])</f>
        <v>#REF!</v>
      </c>
      <c r="BB184" s="145" t="e">
        <f ca="1">Table7[[#This Row],[Pcon_top (mW)]]+Table7[[#This Row],[Psw_top (mW)]]</f>
        <v>#NAME?</v>
      </c>
      <c r="BC184" s="145" t="e">
        <f ca="1">IF(VACnom&gt;Vbat, (1-Table7[[#This Row],[Duty Cycle]])*Table7[[#This Row],[I_L RMS]]^2*TI_MOSFET_S_RDSON_L_BU*10^-3, Table7[[#This Row],[Duty Cycle]]*Table7[[#This Row],[I_L RMS]]^2*TI_MOSFET_S_RDSON_L_BO*10^-3)/10^-3</f>
        <v>#NAME?</v>
      </c>
      <c r="BD184" s="145" t="e">
        <f ca="1">IF(VACnom&gt;Vbat, Table7[[#This Row],[PRR (mW)]]+Table7[[#This Row],[Pdead (mW)]]+Table7[[#This Row],[Pgate_bottom (mW)]], Table7[[#This Row],[PIV (mW)]]+Table7[[#This Row],[Pqoss (mW)]]+Table7[[#This Row],[Pgate_bottom (mW)]])</f>
        <v>#NAME?</v>
      </c>
      <c r="BE184" s="147" t="e">
        <f ca="1">Table7[[#This Row],[Pcon_bottom (mW)]]+Table7[[#This Row],[Psw_bottom (mW)]]</f>
        <v>#NAME?</v>
      </c>
      <c r="BF184" s="145" t="e">
        <f ca="1">Table7[[#This Row],[Pbottom (mW)]]+Table7[[#This Row],[Ptop (mW)]]</f>
        <v>#NAME?</v>
      </c>
      <c r="BG184" s="142"/>
      <c r="BH184" s="145" t="e">
        <f>MAX(0,Table7[[#This Row],[I_L]]-0.5*Table7[[#This Row],[I_L pkpk]])</f>
        <v>#NAME?</v>
      </c>
      <c r="BI184" s="145" t="e">
        <f>Table7[[#This Row],[I_L]]+0.5*Table7[[#This Row],[I_L pkpk]]</f>
        <v>#NAME?</v>
      </c>
      <c r="BJ184" s="145">
        <f>IF(VACnom&gt;Vbat, (VGS_S-(C_MOSFET_S_VTH_H_BU+Table7[[#This Row],[I_L]]/C_MOSFET_S_gFS_H_BU))/3.4, (VGS_S-(C_MOSFET_S_VTH_L_BO+Table7[[#This Row],[I_L]]/C_MOSFET_S_gFS_L_BO))/3.4 )</f>
        <v>2.3463758169934641</v>
      </c>
      <c r="BK184" s="145">
        <f>IF(VACnom&gt;Vbat, ((C_MOSFET_S_VTH_H_BU+Table7[[#This Row],[I_L]]/C_MOSFET_S_gFS_H_BU))/1, ((C_MOSFET_S_VTH_L_BO+Table7[[#This Row],[I_L]]/C_MOSFET_S_gFS_L_BO))/1 )</f>
        <v>2.0223222222222224</v>
      </c>
      <c r="BL184" s="145">
        <f>IF(VACnom&gt;Vbat, (C_MOSFET_S_QGD_H_BU+C_MOSFET_S_QGS_H_BU)*10^-9/Table7[[#This Row],[Ion (A) C]], (C_MOSFET_S_QGD_L_BO+C_MOSFET_S_QGS_L_BO)*10^-9/Table7[[#This Row],[Ion (A) C]])/10^-9</f>
        <v>2.7702297104002698</v>
      </c>
      <c r="BM184" s="145">
        <f>IF(VACnom&gt;Vbat, (C_MOSFET_S_QGD_H_BU+C_MOSFET_S_QGS_H_BU)*10^-9/Table7[[#This Row],[Ioff (A) C]], (C_MOSFET_S_QGD_L_BO+C_MOSFET_S_QGS_L_BO)*10^-9/Table7[[#This Row],[Ioff (A) C]])/10^-9</f>
        <v>3.2141267739507384</v>
      </c>
      <c r="BN184" s="145" t="e">
        <f xml:space="preserve"> 0.5*VACnom*Table7[[#This Row],[Ivalley (A) C]]*Table7[[#This Row],[ton (ns) C]]*10^-9*Fsw*10^3+0.5*VACnom*Table7[[#This Row],[Ipeak (A) C]]*Table7[[#This Row],[toff (ns) C]]*10^-9*Fsw*10^3/10^-3</f>
        <v>#NAME?</v>
      </c>
      <c r="BO184" s="145">
        <f t="shared" si="12"/>
        <v>259.2</v>
      </c>
      <c r="BP184" s="145" t="e">
        <f t="shared" ca="1" si="13"/>
        <v>#REF!</v>
      </c>
      <c r="BQ184" s="145">
        <f t="shared" si="14"/>
        <v>475.2</v>
      </c>
      <c r="BR184" s="145" t="e">
        <f>IF(VACnom&gt;Vbat, C_MOSFET_S_VSD_L_BU*Table7[[#This Row],[Ivalley (A) C]]*Fsw*10^3*40*10^-9+C_MOSFET_S_VSD_L_BU*Table7[[#This Row],[Ipeak (A) C]]*Fsw*10^3*30*10^-9, C_MOSFET_S_VSD_H_BO*Table7[[#This Row],[Ivalley (A) C]]*Fsw*10^3*40*10^-9+C_MOSFET_S_VSD_H_BO*Table7[[#This Row],[Ipeak (A) C]]*Fsw*10^3*30*10^-9)/10^-3</f>
        <v>#NAME?</v>
      </c>
      <c r="BS184" s="145" t="e">
        <f t="shared" ca="1" si="15"/>
        <v>#REF!</v>
      </c>
      <c r="BT184" s="145" t="e">
        <f>IF(VACnom&lt;Vbat, Table7[[#This Row],[Duty Cycle]]*Table7[[#This Row],[I_L RMS]]^2*C_MOSFET_S_RDSON_H_BU*10^-3, (1-Table7[[#This Row],[Duty Cycle]])*Table7[[#This Row],[I_L RMS]]^2*C_MOSFET_S_RDSON_H_BO*10^-3)/10^-3</f>
        <v>#NAME?</v>
      </c>
      <c r="BU184" s="145" t="e">
        <f ca="1">IF(VACnom&gt;Vbat, Table7[[#This Row],[PIV (mW) C]]+Table7[[#This Row],[PQoss (mW) C]]+Table7[[#This Row],[Pgate_top (mW) C]], Table7[[#This Row],[PRR (mW) C]]+Table7[[#This Row],[Pdead (mW) C]]+Table7[[#This Row],[Pgate_top (mW) C]])</f>
        <v>#NAME?</v>
      </c>
      <c r="BV184" s="145" t="e">
        <f ca="1">Table7[[#This Row],[Pcon_top (mW) C]]+Table7[[#This Row],[Psw_top (mW) C]]</f>
        <v>#NAME?</v>
      </c>
      <c r="BW184" s="145" t="e">
        <f ca="1">IF(VACnom&gt;Vbat, (1-Table7[[#This Row],[Duty Cycle]])*Table7[[#This Row],[I_L RMS]]^2*C_MOSFET_S_RDSON_L_BU*10^-3, Table7[[#This Row],[Duty Cycle]]*Table7[[#This Row],[I_L RMS]]^2*C_MOSFET_S_RDSON_L_BO*10^-3)/10^-3</f>
        <v>#NAME?</v>
      </c>
      <c r="BX184" s="145" t="e">
        <f ca="1">IF(VACnom&gt;Vbat, Table7[[#This Row],[PRR (mW) C]]+Table7[[#This Row],[Pdead (mW) C]]+Table7[[#This Row],[Pgate_bottom (mW) C]], Table7[[#This Row],[PIV (mW) C]]+Table7[[#This Row],[PQoss (mW) C]]+Table7[[#This Row],[Pgate_bottom (mW) C]])</f>
        <v>#NAME?</v>
      </c>
      <c r="BY184" s="145" t="e">
        <f ca="1">Table7[[#This Row],[Pcon_bottom (mW) C]]+Table7[[#This Row],[Psw_bottom (mV) C]]</f>
        <v>#NAME?</v>
      </c>
      <c r="BZ184" s="145" t="e">
        <f ca="1">Table7[[#This Row],[Pbottom (mW) C]]+Table7[[#This Row],[Ptop (mW) C]]</f>
        <v>#NAME?</v>
      </c>
      <c r="CA184" s="148"/>
      <c r="CB184" s="144">
        <f>(RAC_SNS*10^-3*(Table7[[#This Row],[IOUT (A)]]*Vbat/VACnom)^2/10^-3)</f>
        <v>56.056680555555559</v>
      </c>
      <c r="CC184" s="144">
        <f>(RBAT_SNS*10^-3*Table7[[#This Row],[IOUT (A)]]^2)/10^-3</f>
        <v>39.199999999999996</v>
      </c>
      <c r="CD184" s="144">
        <f>IF(VACnom&gt;Vbat,(L_DRC*10^-3*(Table7[[#This Row],[IOUT (A)]])^2/10^-3),(L_DRC*10^-3*(Table7[[#This Row],[IOUT (A)]]*Vbat/VACnom)^2/10^-3))</f>
        <v>38.118542777777769</v>
      </c>
      <c r="CE184" s="152"/>
      <c r="CF184" s="145">
        <f>(Table7[[#This Row],[R_AC (mW)]]+Table7[[#This Row],[R_SR (mW)]]+Table7[[#This Row],[Inductor Loss (mW)]])/10^3</f>
        <v>0.13337522333333335</v>
      </c>
      <c r="CG184" s="145" t="e">
        <f ca="1">Table7[[#This Row],[Total TI (mW)]]/10^3</f>
        <v>#NAME?</v>
      </c>
      <c r="CH184" s="145" t="e">
        <f ca="1">Table7[[#This Row],[Total Sense Loss]]+Table7[[#This Row],[Total MOSFET Loss]]</f>
        <v>#NAME?</v>
      </c>
      <c r="CI184" s="149" t="e">
        <f ca="1">IF(Table7[[#This Row],[POUT (W)]]=0,0,(Table7[[#This Row],[POUT (W)]])/(Table7[[#This Row],[POUT (W)]]+Table7[[#This Row],[Total Power Loss (W)]]))*100</f>
        <v>#NAME?</v>
      </c>
      <c r="CJ184" s="153"/>
      <c r="CK184" s="145">
        <f>(Table7[[#This Row],[R_AC (mW)]]+Table7[[#This Row],[R_SR (mW)]]+Table7[[#This Row],[Inductor Loss (mW)]])/10^3</f>
        <v>0.13337522333333335</v>
      </c>
      <c r="CL184" s="145" t="e">
        <f ca="1">Table7[[#This Row],[Total (mW) C]]/10^3</f>
        <v>#NAME?</v>
      </c>
      <c r="CM184" s="145" t="e">
        <f ca="1">Table7[[#This Row],[Total Sense Loss C]]+Table7[[#This Row],[Total MOSFET Loss C]]</f>
        <v>#NAME?</v>
      </c>
      <c r="CN184" s="149" t="e">
        <f ca="1">IF(Table7[[#This Row],[POUT (W)]]=0,0,(Table7[[#This Row],[POUT (W)]])/(Table7[[#This Row],[POUT (W)]]+Table7[[#This Row],[Total Power Loss (W) C]]))*100</f>
        <v>#NAME?</v>
      </c>
      <c r="CO184" s="153"/>
      <c r="CP184" s="149">
        <f>IF(MOSFET_S=Custom_MOSFET,Table7[[#This Row],[Total Sense Loss C]],Table7[[#This Row],[Total Sense Loss]])</f>
        <v>0.13337522333333335</v>
      </c>
      <c r="CQ184" s="149" t="e">
        <f ca="1">IF(MOSFET_S=Custom_MOSFET,Table7[[#This Row],[Total MOSFET Loss C]],Table7[[#This Row],[Total MOSFET Loss]])</f>
        <v>#NAME?</v>
      </c>
      <c r="CR184" s="149" t="e">
        <f ca="1">IF(MOSFET_S=Custom_MOSFET,Table7[[#This Row],[Efficiency C]],Table7[[#This Row],[Efficiency]])</f>
        <v>#NAME?</v>
      </c>
      <c r="CS184" s="153"/>
      <c r="CT184" s="149">
        <f>IF(MOSFET_S=Compare_MOSFET, Table7[[#This Row],[Total Sense Loss C]], -100)</f>
        <v>-100</v>
      </c>
      <c r="CU184" s="149">
        <f>IF(MOSFET_S=Compare_MOSFET, Table7[[#This Row],[Total MOSFET Loss C]], -100)</f>
        <v>-100</v>
      </c>
      <c r="CV184" s="149">
        <f>IF(MOSFET_S=Compare_MOSFET, Table7[[#This Row],[Efficiency C]], -100)</f>
        <v>-100</v>
      </c>
      <c r="CW184" s="153"/>
      <c r="CX184" s="149">
        <f ca="1">IF(Save_Sel=CLR_Save,  Table7[[#This Row],[Total Sense Loss P1]], Table7[[#This Row],[Total Sense Loss P1 Saved]])</f>
        <v>0.11184249999999997</v>
      </c>
      <c r="CY184" s="149">
        <f ca="1">IF(Save_Sel=CLR_Save,  Table7[[#This Row],[Total MOSFET Loss P1]], Table7[[#This Row],[Total MOSFET Loss P1 Saved]] )</f>
        <v>1.6600744975352109</v>
      </c>
      <c r="CZ184" s="149">
        <f ca="1">IF(Save_Sel=CLR_Save, Table7[[#This Row],[Efficiency P1]], Table7[[#This Row],[Efficiency P1 Saved]])</f>
        <v>90.459159397651987</v>
      </c>
      <c r="DA184" s="153"/>
      <c r="DB184" s="149">
        <f ca="1">IF(Save_Sel=CLR_Save,  Table7[[#This Row],[Total Sense Loss P2]], Table7[[#This Row],[Total Sense Loss P2 Saved]])</f>
        <v>0.11184249999999997</v>
      </c>
      <c r="DC184" s="149">
        <f ca="1">IF(Save_Sel=CLR_Save,  Table7[[#This Row],[Total MOSFET Loss P2]], Table7[[#This Row],[Total MOSFET Loss P2 Saved]] )</f>
        <v>1.0957087560433352</v>
      </c>
      <c r="DD184" s="149">
        <f ca="1">IF(Save_Sel=CLR_Save, Table7[[#This Row],[Efficiency P2]], Table7[[#This Row],[Efficiency P2 Saved]])</f>
        <v>93.294195091417109</v>
      </c>
      <c r="DE184" s="153"/>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row>
    <row r="185" spans="1:165" x14ac:dyDescent="0.2">
      <c r="A185" s="48">
        <v>12</v>
      </c>
      <c r="B185" s="49"/>
      <c r="C185" s="49"/>
      <c r="D185" s="32" t="s">
        <v>19</v>
      </c>
      <c r="E185" s="117" t="e">
        <f t="shared" ca="1" si="22"/>
        <v>#REF!</v>
      </c>
      <c r="F185" s="117" t="e">
        <f t="shared" ca="1" si="23"/>
        <v>#REF!</v>
      </c>
      <c r="G185" s="42" t="s">
        <v>1</v>
      </c>
      <c r="H185" s="29"/>
      <c r="I185" s="48">
        <v>12</v>
      </c>
      <c r="J185" s="29"/>
      <c r="K185" s="49"/>
      <c r="L185" s="49"/>
      <c r="M185" s="32" t="s">
        <v>19</v>
      </c>
      <c r="N185" s="117">
        <f t="shared" si="24"/>
        <v>2</v>
      </c>
      <c r="O185" s="117">
        <f t="shared" si="25"/>
        <v>2</v>
      </c>
      <c r="P185" s="42" t="s">
        <v>1</v>
      </c>
      <c r="Q185" s="29"/>
      <c r="R185" s="29"/>
      <c r="S185" s="30"/>
      <c r="T185" s="18"/>
      <c r="U185" s="19"/>
      <c r="V185" s="19"/>
      <c r="W185" s="19"/>
      <c r="X185" s="19"/>
      <c r="Y185" s="19"/>
      <c r="Z185" s="19"/>
      <c r="AA185" s="19"/>
      <c r="AB185" s="19"/>
      <c r="AC185" s="19"/>
      <c r="AD185" s="19"/>
      <c r="AE185" s="19"/>
      <c r="AF185" s="143">
        <f t="shared" si="17"/>
        <v>29</v>
      </c>
      <c r="AG185" s="143">
        <f t="shared" si="16"/>
        <v>2.9</v>
      </c>
      <c r="AH185" s="144">
        <f t="shared" si="3"/>
        <v>69.599999999999994</v>
      </c>
      <c r="AI185" s="145">
        <f t="shared" si="4"/>
        <v>0.16376306620209058</v>
      </c>
      <c r="AJ185" s="145">
        <f t="shared" si="5"/>
        <v>3.4679166666666665</v>
      </c>
      <c r="AK185" s="145" t="e">
        <f t="shared" ref="AK185:AK216" si="26">Ipkpk_VACnom</f>
        <v>#NAME?</v>
      </c>
      <c r="AL185" s="145" t="e">
        <f t="shared" ref="AL185:AL216" si="27">SQRT(AJ185^2+AK185^2/12)</f>
        <v>#NAME?</v>
      </c>
      <c r="AM185" s="146"/>
      <c r="AN185" s="145" t="e">
        <f>MAX(0,Table7[[#This Row],[I_L]]-0.5*Table7[[#This Row],[I_L pkpk]])</f>
        <v>#NAME?</v>
      </c>
      <c r="AO185" s="145" t="e">
        <f>Table7[[#This Row],[I_L]]+0.5*Table7[[#This Row],[I_L pkpk]]</f>
        <v>#NAME?</v>
      </c>
      <c r="AP185" s="145" t="e">
        <f ca="1">IF(VACnom&gt;Vbat, (VGS_S-(TI_MOSFET_S_VTH_H_BU+Table7[[#This Row],[I_L]]/TI_MOSFET_S_gFS_H_BU))/3.4, (VGS_S-(TI_MOSFET_S_VTH_L_BO+Table7[[#This Row],[I_L]]/TI_MOSFET_S_gFS_L_BO))/3.4 )</f>
        <v>#REF!</v>
      </c>
      <c r="AQ185" s="145" t="e">
        <f ca="1">IF(VACnom&gt;Vbat, ((TI_MOSFET_S_VTH_H_BU+Table7[[#This Row],[I_L]]/TI_MOSFET_S_gFS_H_BU))/1, ((TI_MOSFET_S_VTH_L_BO+Table7[[#This Row],[I_L]]/TI_MOSFET_S_gFS_L_BO))/1 )</f>
        <v>#REF!</v>
      </c>
      <c r="AR185" s="145" t="e">
        <f ca="1">IF(VACnom&gt;Vbat, (TI_MOSFET_S_QGD_H_BU+TI_MOSFET_S_QGS_H_BU)*10^-9/Table7[[#This Row],[Ion (A)]], (TI_MOSFET_S_QGD_L_BO+TI_MOSFET_S_QGS_L_BO)*10^-9/Table7[[#This Row],[Ion (A)]])/10^-9</f>
        <v>#REF!</v>
      </c>
      <c r="AS185" s="145" t="e">
        <f ca="1">IF(VACnom&gt;Vbat, (TI_MOSFET_S_QGD_H_BU+TI_MOSFET_S_QGS_H_BU)*10^-9/Table7[[#This Row],[Ioff (A)]], (TI_MOSFET_S_QGD_L_BO+TI_MOSFET_S_QGS_L_BO)*10^-9/Table7[[#This Row],[Ioff (A)]])/10^-9</f>
        <v>#REF!</v>
      </c>
      <c r="AT185" s="145" t="e">
        <f ca="1" xml:space="preserve"> 0.5*VACnom*Table7[[#This Row],[Ivalley (A)]]*Table7[[#This Row],[ton (ns)]]*10^-9*Fsw*10^3+0.5*VACnom*Table7[[#This Row],[Ipeak (A)]]*Table7[[#This Row],[toff (ns)]]*10^-9*Fsw*10^3/10^-3</f>
        <v>#NAME?</v>
      </c>
      <c r="AU185" s="145" t="e">
        <f t="shared" ca="1" si="8"/>
        <v>#REF!</v>
      </c>
      <c r="AV185" s="145" t="e">
        <f t="shared" ca="1" si="9"/>
        <v>#REF!</v>
      </c>
      <c r="AW185" s="145" t="e">
        <f t="shared" ca="1" si="10"/>
        <v>#REF!</v>
      </c>
      <c r="AX185" s="145" t="e">
        <f ca="1">IF(VACnom&gt;Vbat, TI_MOSFET_S_VSD_L_BU*Table7[[#This Row],[Ivalley (A)]]*Fsw*10^3*40*10^-9+TI_MOSFET_S_VSD_L_BU*Table7[[#This Row],[Ipeak (A)]]*Fsw*10^3*30*10^-9, TI_MOSFET_S_VSD_H_BO*Table7[[#This Row],[Ivalley (A)]]*Fsw*10^3*40*10^-9+TI_MOSFET_S_VSD_H_BO*Table7[[#This Row],[Ipeak (A)]]*Fsw*10^3*30*10^-9)/10^-3</f>
        <v>#REF!</v>
      </c>
      <c r="AY185" s="145" t="e">
        <f t="shared" ca="1" si="11"/>
        <v>#REF!</v>
      </c>
      <c r="AZ185" s="145" t="e">
        <f ca="1">IF(VACnom&lt;Vbat, Table7[[#This Row],[Duty Cycle]]*Table7[[#This Row],[I_L RMS]]^2*TI_MOSFET_S_RDSON_H_BU*10^-3, (1-Table7[[#This Row],[Duty Cycle]])*Table7[[#This Row],[I_L RMS]]^2*TI_MOSFET_S_RDSON_H_BO*10^-3)/10^-3</f>
        <v>#NAME?</v>
      </c>
      <c r="BA185" s="145" t="e">
        <f ca="1">IF(VACnom&gt;Vbat, Table7[[#This Row],[PIV (mW)]]+Table7[[#This Row],[Pqoss (mW)]]+Table7[[#This Row],[Pgate_top (mW)]], Table7[[#This Row],[PRR (mW)]]+Table7[[#This Row],[Pdead (mW)]]+Table7[[#This Row],[Pgate_top (mW)]])</f>
        <v>#REF!</v>
      </c>
      <c r="BB185" s="145" t="e">
        <f ca="1">Table7[[#This Row],[Pcon_top (mW)]]+Table7[[#This Row],[Psw_top (mW)]]</f>
        <v>#NAME?</v>
      </c>
      <c r="BC185" s="145" t="e">
        <f ca="1">IF(VACnom&gt;Vbat, (1-Table7[[#This Row],[Duty Cycle]])*Table7[[#This Row],[I_L RMS]]^2*TI_MOSFET_S_RDSON_L_BU*10^-3, Table7[[#This Row],[Duty Cycle]]*Table7[[#This Row],[I_L RMS]]^2*TI_MOSFET_S_RDSON_L_BO*10^-3)/10^-3</f>
        <v>#NAME?</v>
      </c>
      <c r="BD185" s="145" t="e">
        <f ca="1">IF(VACnom&gt;Vbat, Table7[[#This Row],[PRR (mW)]]+Table7[[#This Row],[Pdead (mW)]]+Table7[[#This Row],[Pgate_bottom (mW)]], Table7[[#This Row],[PIV (mW)]]+Table7[[#This Row],[Pqoss (mW)]]+Table7[[#This Row],[Pgate_bottom (mW)]])</f>
        <v>#NAME?</v>
      </c>
      <c r="BE185" s="147" t="e">
        <f ca="1">Table7[[#This Row],[Pcon_bottom (mW)]]+Table7[[#This Row],[Psw_bottom (mW)]]</f>
        <v>#NAME?</v>
      </c>
      <c r="BF185" s="145" t="e">
        <f ca="1">Table7[[#This Row],[Pbottom (mW)]]+Table7[[#This Row],[Ptop (mW)]]</f>
        <v>#NAME?</v>
      </c>
      <c r="BG185" s="142"/>
      <c r="BH185" s="145" t="e">
        <f>MAX(0,Table7[[#This Row],[I_L]]-0.5*Table7[[#This Row],[I_L pkpk]])</f>
        <v>#NAME?</v>
      </c>
      <c r="BI185" s="145" t="e">
        <f>Table7[[#This Row],[I_L]]+0.5*Table7[[#This Row],[I_L pkpk]]</f>
        <v>#NAME?</v>
      </c>
      <c r="BJ185" s="145">
        <f>IF(VACnom&gt;Vbat, (VGS_S-(C_MOSFET_S_VTH_H_BU+Table7[[#This Row],[I_L]]/C_MOSFET_S_gFS_H_BU))/3.4, (VGS_S-(C_MOSFET_S_VTH_L_BO+Table7[[#This Row],[I_L]]/C_MOSFET_S_gFS_L_BO))/3.4 )</f>
        <v>2.346141339869281</v>
      </c>
      <c r="BK185" s="145">
        <f>IF(VACnom&gt;Vbat, ((C_MOSFET_S_VTH_H_BU+Table7[[#This Row],[I_L]]/C_MOSFET_S_gFS_H_BU))/1, ((C_MOSFET_S_VTH_L_BO+Table7[[#This Row],[I_L]]/C_MOSFET_S_gFS_L_BO))/1 )</f>
        <v>2.0231194444444442</v>
      </c>
      <c r="BL185" s="145">
        <f>IF(VACnom&gt;Vbat, (C_MOSFET_S_QGD_H_BU+C_MOSFET_S_QGS_H_BU)*10^-9/Table7[[#This Row],[Ion (A) C]], (C_MOSFET_S_QGD_L_BO+C_MOSFET_S_QGS_L_BO)*10^-9/Table7[[#This Row],[Ion (A) C]])/10^-9</f>
        <v>2.7705065715956216</v>
      </c>
      <c r="BM185" s="145">
        <f>IF(VACnom&gt;Vbat, (C_MOSFET_S_QGD_H_BU+C_MOSFET_S_QGS_H_BU)*10^-9/Table7[[#This Row],[Ioff (A) C]], (C_MOSFET_S_QGD_L_BO+C_MOSFET_S_QGS_L_BO)*10^-9/Table7[[#This Row],[Ioff (A) C]])/10^-9</f>
        <v>3.2128602282229175</v>
      </c>
      <c r="BN185" s="145" t="e">
        <f xml:space="preserve"> 0.5*VACnom*Table7[[#This Row],[Ivalley (A) C]]*Table7[[#This Row],[ton (ns) C]]*10^-9*Fsw*10^3+0.5*VACnom*Table7[[#This Row],[Ipeak (A) C]]*Table7[[#This Row],[toff (ns) C]]*10^-9*Fsw*10^3/10^-3</f>
        <v>#NAME?</v>
      </c>
      <c r="BO185" s="145">
        <f t="shared" si="12"/>
        <v>259.2</v>
      </c>
      <c r="BP185" s="145" t="e">
        <f t="shared" ca="1" si="13"/>
        <v>#REF!</v>
      </c>
      <c r="BQ185" s="145">
        <f t="shared" si="14"/>
        <v>475.2</v>
      </c>
      <c r="BR185" s="145" t="e">
        <f>IF(VACnom&gt;Vbat, C_MOSFET_S_VSD_L_BU*Table7[[#This Row],[Ivalley (A) C]]*Fsw*10^3*40*10^-9+C_MOSFET_S_VSD_L_BU*Table7[[#This Row],[Ipeak (A) C]]*Fsw*10^3*30*10^-9, C_MOSFET_S_VSD_H_BO*Table7[[#This Row],[Ivalley (A) C]]*Fsw*10^3*40*10^-9+C_MOSFET_S_VSD_H_BO*Table7[[#This Row],[Ipeak (A) C]]*Fsw*10^3*30*10^-9)/10^-3</f>
        <v>#NAME?</v>
      </c>
      <c r="BS185" s="145" t="e">
        <f t="shared" ca="1" si="15"/>
        <v>#REF!</v>
      </c>
      <c r="BT185" s="145" t="e">
        <f>IF(VACnom&lt;Vbat, Table7[[#This Row],[Duty Cycle]]*Table7[[#This Row],[I_L RMS]]^2*C_MOSFET_S_RDSON_H_BU*10^-3, (1-Table7[[#This Row],[Duty Cycle]])*Table7[[#This Row],[I_L RMS]]^2*C_MOSFET_S_RDSON_H_BO*10^-3)/10^-3</f>
        <v>#NAME?</v>
      </c>
      <c r="BU185" s="145" t="e">
        <f ca="1">IF(VACnom&gt;Vbat, Table7[[#This Row],[PIV (mW) C]]+Table7[[#This Row],[PQoss (mW) C]]+Table7[[#This Row],[Pgate_top (mW) C]], Table7[[#This Row],[PRR (mW) C]]+Table7[[#This Row],[Pdead (mW) C]]+Table7[[#This Row],[Pgate_top (mW) C]])</f>
        <v>#NAME?</v>
      </c>
      <c r="BV185" s="145" t="e">
        <f ca="1">Table7[[#This Row],[Pcon_top (mW) C]]+Table7[[#This Row],[Psw_top (mW) C]]</f>
        <v>#NAME?</v>
      </c>
      <c r="BW185" s="145" t="e">
        <f ca="1">IF(VACnom&gt;Vbat, (1-Table7[[#This Row],[Duty Cycle]])*Table7[[#This Row],[I_L RMS]]^2*C_MOSFET_S_RDSON_L_BU*10^-3, Table7[[#This Row],[Duty Cycle]]*Table7[[#This Row],[I_L RMS]]^2*C_MOSFET_S_RDSON_L_BO*10^-3)/10^-3</f>
        <v>#NAME?</v>
      </c>
      <c r="BX185" s="145" t="e">
        <f ca="1">IF(VACnom&gt;Vbat, Table7[[#This Row],[PRR (mW) C]]+Table7[[#This Row],[Pdead (mW) C]]+Table7[[#This Row],[Pgate_bottom (mW) C]], Table7[[#This Row],[PIV (mW) C]]+Table7[[#This Row],[PQoss (mW) C]]+Table7[[#This Row],[Pgate_bottom (mW) C]])</f>
        <v>#NAME?</v>
      </c>
      <c r="BY185" s="145" t="e">
        <f ca="1">Table7[[#This Row],[Pcon_bottom (mW) C]]+Table7[[#This Row],[Psw_bottom (mV) C]]</f>
        <v>#NAME?</v>
      </c>
      <c r="BZ185" s="145" t="e">
        <f ca="1">Table7[[#This Row],[Pbottom (mW) C]]+Table7[[#This Row],[Ptop (mW) C]]</f>
        <v>#NAME?</v>
      </c>
      <c r="CA185" s="148"/>
      <c r="CB185" s="144">
        <f>(RAC_SNS*10^-3*(Table7[[#This Row],[IOUT (A)]]*Vbat/VACnom)^2/10^-3)</f>
        <v>60.132230034722198</v>
      </c>
      <c r="CC185" s="144">
        <f>(RBAT_SNS*10^-3*Table7[[#This Row],[IOUT (A)]]^2)/10^-3</f>
        <v>42.050000000000004</v>
      </c>
      <c r="CD185" s="144">
        <f>IF(VACnom&gt;Vbat,(L_DRC*10^-3*(Table7[[#This Row],[IOUT (A)]])^2/10^-3),(L_DRC*10^-3*(Table7[[#This Row],[IOUT (A)]]*Vbat/VACnom)^2/10^-3))</f>
        <v>40.889916423611098</v>
      </c>
      <c r="CE185" s="152"/>
      <c r="CF185" s="145">
        <f>(Table7[[#This Row],[R_AC (mW)]]+Table7[[#This Row],[R_SR (mW)]]+Table7[[#This Row],[Inductor Loss (mW)]])/10^3</f>
        <v>0.1430721464583333</v>
      </c>
      <c r="CG185" s="145" t="e">
        <f ca="1">Table7[[#This Row],[Total TI (mW)]]/10^3</f>
        <v>#NAME?</v>
      </c>
      <c r="CH185" s="145" t="e">
        <f ca="1">Table7[[#This Row],[Total Sense Loss]]+Table7[[#This Row],[Total MOSFET Loss]]</f>
        <v>#NAME?</v>
      </c>
      <c r="CI185" s="149" t="e">
        <f ca="1">IF(Table7[[#This Row],[POUT (W)]]=0,0,(Table7[[#This Row],[POUT (W)]])/(Table7[[#This Row],[POUT (W)]]+Table7[[#This Row],[Total Power Loss (W)]]))*100</f>
        <v>#NAME?</v>
      </c>
      <c r="CJ185" s="153"/>
      <c r="CK185" s="145">
        <f>(Table7[[#This Row],[R_AC (mW)]]+Table7[[#This Row],[R_SR (mW)]]+Table7[[#This Row],[Inductor Loss (mW)]])/10^3</f>
        <v>0.1430721464583333</v>
      </c>
      <c r="CL185" s="145" t="e">
        <f ca="1">Table7[[#This Row],[Total (mW) C]]/10^3</f>
        <v>#NAME?</v>
      </c>
      <c r="CM185" s="145" t="e">
        <f ca="1">Table7[[#This Row],[Total Sense Loss C]]+Table7[[#This Row],[Total MOSFET Loss C]]</f>
        <v>#NAME?</v>
      </c>
      <c r="CN185" s="149" t="e">
        <f ca="1">IF(Table7[[#This Row],[POUT (W)]]=0,0,(Table7[[#This Row],[POUT (W)]])/(Table7[[#This Row],[POUT (W)]]+Table7[[#This Row],[Total Power Loss (W) C]]))*100</f>
        <v>#NAME?</v>
      </c>
      <c r="CO185" s="153"/>
      <c r="CP185" s="149">
        <f>IF(MOSFET_S=Custom_MOSFET,Table7[[#This Row],[Total Sense Loss C]],Table7[[#This Row],[Total Sense Loss]])</f>
        <v>0.1430721464583333</v>
      </c>
      <c r="CQ185" s="149" t="e">
        <f ca="1">IF(MOSFET_S=Custom_MOSFET,Table7[[#This Row],[Total MOSFET Loss C]],Table7[[#This Row],[Total MOSFET Loss]])</f>
        <v>#NAME?</v>
      </c>
      <c r="CR185" s="149" t="e">
        <f ca="1">IF(MOSFET_S=Custom_MOSFET,Table7[[#This Row],[Efficiency C]],Table7[[#This Row],[Efficiency]])</f>
        <v>#NAME?</v>
      </c>
      <c r="CS185" s="153"/>
      <c r="CT185" s="149">
        <f>IF(MOSFET_S=Compare_MOSFET, Table7[[#This Row],[Total Sense Loss C]], -100)</f>
        <v>-100</v>
      </c>
      <c r="CU185" s="149">
        <f>IF(MOSFET_S=Compare_MOSFET, Table7[[#This Row],[Total MOSFET Loss C]], -100)</f>
        <v>-100</v>
      </c>
      <c r="CV185" s="149">
        <f>IF(MOSFET_S=Compare_MOSFET, Table7[[#This Row],[Efficiency C]], -100)</f>
        <v>-100</v>
      </c>
      <c r="CW185" s="153"/>
      <c r="CX185" s="149">
        <f ca="1">IF(Save_Sel=CLR_Save,  Table7[[#This Row],[Total Sense Loss P1]], Table7[[#This Row],[Total Sense Loss P1 Saved]])</f>
        <v>0.11997390625000003</v>
      </c>
      <c r="CY185" s="149">
        <f ca="1">IF(Save_Sel=CLR_Save,  Table7[[#This Row],[Total MOSFET Loss P1]], Table7[[#This Row],[Total MOSFET Loss P1 Saved]] )</f>
        <v>1.6691224177128923</v>
      </c>
      <c r="CZ185" s="149">
        <f ca="1">IF(Save_Sel=CLR_Save, Table7[[#This Row],[Efficiency P1]], Table7[[#This Row],[Efficiency P1 Saved]])</f>
        <v>90.676495162887321</v>
      </c>
      <c r="DA185" s="153"/>
      <c r="DB185" s="149">
        <f ca="1">IF(Save_Sel=CLR_Save,  Table7[[#This Row],[Total Sense Loss P2]], Table7[[#This Row],[Total Sense Loss P2 Saved]])</f>
        <v>0.11997390625000003</v>
      </c>
      <c r="DC185" s="149">
        <f ca="1">IF(Save_Sel=CLR_Save,  Table7[[#This Row],[Total MOSFET Loss P2]], Table7[[#This Row],[Total MOSFET Loss P2 Saved]] )</f>
        <v>1.1019295060934486</v>
      </c>
      <c r="DD185" s="149">
        <f ca="1">IF(Save_Sel=CLR_Save, Table7[[#This Row],[Efficiency P2]], Table7[[#This Row],[Efficiency P2 Saved]])</f>
        <v>93.438353828355076</v>
      </c>
      <c r="DE185" s="153"/>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row>
    <row r="186" spans="1:165" x14ac:dyDescent="0.2">
      <c r="A186" s="48">
        <v>13</v>
      </c>
      <c r="B186" s="49"/>
      <c r="C186" s="49"/>
      <c r="D186" s="32" t="s">
        <v>167</v>
      </c>
      <c r="E186" s="117" t="e">
        <f t="shared" ca="1" si="22"/>
        <v>#REF!</v>
      </c>
      <c r="F186" s="117" t="e">
        <f t="shared" ca="1" si="23"/>
        <v>#REF!</v>
      </c>
      <c r="G186" s="42" t="s">
        <v>1</v>
      </c>
      <c r="H186" s="29"/>
      <c r="I186" s="48">
        <v>13</v>
      </c>
      <c r="J186" s="29"/>
      <c r="K186" s="49"/>
      <c r="L186" s="49"/>
      <c r="M186" s="32" t="s">
        <v>167</v>
      </c>
      <c r="N186" s="117">
        <f t="shared" si="24"/>
        <v>0.8</v>
      </c>
      <c r="O186" s="117">
        <f t="shared" si="25"/>
        <v>0.8</v>
      </c>
      <c r="P186" s="42" t="s">
        <v>1</v>
      </c>
      <c r="Q186" s="29"/>
      <c r="R186" s="29"/>
      <c r="S186" s="30"/>
      <c r="T186" s="18"/>
      <c r="U186" s="19"/>
      <c r="V186" s="19"/>
      <c r="W186" s="19"/>
      <c r="X186" s="19"/>
      <c r="Y186" s="19"/>
      <c r="Z186" s="19"/>
      <c r="AA186" s="19"/>
      <c r="AB186" s="19"/>
      <c r="AC186" s="19"/>
      <c r="AD186" s="19"/>
      <c r="AE186" s="19"/>
      <c r="AF186" s="143">
        <f>AF185+1</f>
        <v>30</v>
      </c>
      <c r="AG186" s="143">
        <f t="shared" si="16"/>
        <v>3</v>
      </c>
      <c r="AH186" s="144">
        <f t="shared" si="3"/>
        <v>72</v>
      </c>
      <c r="AI186" s="145">
        <f t="shared" si="4"/>
        <v>0.16376306620209058</v>
      </c>
      <c r="AJ186" s="145">
        <f t="shared" si="5"/>
        <v>3.5874999999999999</v>
      </c>
      <c r="AK186" s="145" t="e">
        <f t="shared" si="26"/>
        <v>#NAME?</v>
      </c>
      <c r="AL186" s="145" t="e">
        <f t="shared" si="27"/>
        <v>#NAME?</v>
      </c>
      <c r="AM186" s="146"/>
      <c r="AN186" s="145" t="e">
        <f>MAX(0,Table7[[#This Row],[I_L]]-0.5*Table7[[#This Row],[I_L pkpk]])</f>
        <v>#NAME?</v>
      </c>
      <c r="AO186" s="145" t="e">
        <f>Table7[[#This Row],[I_L]]+0.5*Table7[[#This Row],[I_L pkpk]]</f>
        <v>#NAME?</v>
      </c>
      <c r="AP186" s="145" t="e">
        <f ca="1">IF(VACnom&gt;Vbat, (VGS_S-(TI_MOSFET_S_VTH_H_BU+Table7[[#This Row],[I_L]]/TI_MOSFET_S_gFS_H_BU))/3.4, (VGS_S-(TI_MOSFET_S_VTH_L_BO+Table7[[#This Row],[I_L]]/TI_MOSFET_S_gFS_L_BO))/3.4 )</f>
        <v>#REF!</v>
      </c>
      <c r="AQ186" s="145" t="e">
        <f ca="1">IF(VACnom&gt;Vbat, ((TI_MOSFET_S_VTH_H_BU+Table7[[#This Row],[I_L]]/TI_MOSFET_S_gFS_H_BU))/1, ((TI_MOSFET_S_VTH_L_BO+Table7[[#This Row],[I_L]]/TI_MOSFET_S_gFS_L_BO))/1 )</f>
        <v>#REF!</v>
      </c>
      <c r="AR186" s="145" t="e">
        <f ca="1">IF(VACnom&gt;Vbat, (TI_MOSFET_S_QGD_H_BU+TI_MOSFET_S_QGS_H_BU)*10^-9/Table7[[#This Row],[Ion (A)]], (TI_MOSFET_S_QGD_L_BO+TI_MOSFET_S_QGS_L_BO)*10^-9/Table7[[#This Row],[Ion (A)]])/10^-9</f>
        <v>#REF!</v>
      </c>
      <c r="AS186" s="145" t="e">
        <f ca="1">IF(VACnom&gt;Vbat, (TI_MOSFET_S_QGD_H_BU+TI_MOSFET_S_QGS_H_BU)*10^-9/Table7[[#This Row],[Ioff (A)]], (TI_MOSFET_S_QGD_L_BO+TI_MOSFET_S_QGS_L_BO)*10^-9/Table7[[#This Row],[Ioff (A)]])/10^-9</f>
        <v>#REF!</v>
      </c>
      <c r="AT186" s="145" t="e">
        <f ca="1" xml:space="preserve"> 0.5*VACnom*Table7[[#This Row],[Ivalley (A)]]*Table7[[#This Row],[ton (ns)]]*10^-9*Fsw*10^3+0.5*VACnom*Table7[[#This Row],[Ipeak (A)]]*Table7[[#This Row],[toff (ns)]]*10^-9*Fsw*10^3/10^-3</f>
        <v>#NAME?</v>
      </c>
      <c r="AU186" s="145" t="e">
        <f t="shared" ca="1" si="8"/>
        <v>#REF!</v>
      </c>
      <c r="AV186" s="145" t="e">
        <f t="shared" ca="1" si="9"/>
        <v>#REF!</v>
      </c>
      <c r="AW186" s="145" t="e">
        <f t="shared" ca="1" si="10"/>
        <v>#REF!</v>
      </c>
      <c r="AX186" s="145" t="e">
        <f ca="1">IF(VACnom&gt;Vbat, TI_MOSFET_S_VSD_L_BU*Table7[[#This Row],[Ivalley (A)]]*Fsw*10^3*40*10^-9+TI_MOSFET_S_VSD_L_BU*Table7[[#This Row],[Ipeak (A)]]*Fsw*10^3*30*10^-9, TI_MOSFET_S_VSD_H_BO*Table7[[#This Row],[Ivalley (A)]]*Fsw*10^3*40*10^-9+TI_MOSFET_S_VSD_H_BO*Table7[[#This Row],[Ipeak (A)]]*Fsw*10^3*30*10^-9)/10^-3</f>
        <v>#REF!</v>
      </c>
      <c r="AY186" s="145" t="e">
        <f t="shared" ca="1" si="11"/>
        <v>#REF!</v>
      </c>
      <c r="AZ186" s="145" t="e">
        <f ca="1">IF(VACnom&lt;Vbat, Table7[[#This Row],[Duty Cycle]]*Table7[[#This Row],[I_L RMS]]^2*TI_MOSFET_S_RDSON_H_BU*10^-3, (1-Table7[[#This Row],[Duty Cycle]])*Table7[[#This Row],[I_L RMS]]^2*TI_MOSFET_S_RDSON_H_BO*10^-3)/10^-3</f>
        <v>#NAME?</v>
      </c>
      <c r="BA186" s="145" t="e">
        <f ca="1">IF(VACnom&gt;Vbat, Table7[[#This Row],[PIV (mW)]]+Table7[[#This Row],[Pqoss (mW)]]+Table7[[#This Row],[Pgate_top (mW)]], Table7[[#This Row],[PRR (mW)]]+Table7[[#This Row],[Pdead (mW)]]+Table7[[#This Row],[Pgate_top (mW)]])</f>
        <v>#REF!</v>
      </c>
      <c r="BB186" s="145" t="e">
        <f ca="1">Table7[[#This Row],[Pcon_top (mW)]]+Table7[[#This Row],[Psw_top (mW)]]</f>
        <v>#NAME?</v>
      </c>
      <c r="BC186" s="145" t="e">
        <f ca="1">IF(VACnom&gt;Vbat, (1-Table7[[#This Row],[Duty Cycle]])*Table7[[#This Row],[I_L RMS]]^2*TI_MOSFET_S_RDSON_L_BU*10^-3, Table7[[#This Row],[Duty Cycle]]*Table7[[#This Row],[I_L RMS]]^2*TI_MOSFET_S_RDSON_L_BO*10^-3)/10^-3</f>
        <v>#NAME?</v>
      </c>
      <c r="BD186" s="145" t="e">
        <f ca="1">IF(VACnom&gt;Vbat, Table7[[#This Row],[PRR (mW)]]+Table7[[#This Row],[Pdead (mW)]]+Table7[[#This Row],[Pgate_bottom (mW)]], Table7[[#This Row],[PIV (mW)]]+Table7[[#This Row],[Pqoss (mW)]]+Table7[[#This Row],[Pgate_bottom (mW)]])</f>
        <v>#NAME?</v>
      </c>
      <c r="BE186" s="147" t="e">
        <f ca="1">Table7[[#This Row],[Pcon_bottom (mW)]]+Table7[[#This Row],[Psw_bottom (mW)]]</f>
        <v>#NAME?</v>
      </c>
      <c r="BF186" s="145" t="e">
        <f ca="1">Table7[[#This Row],[Pbottom (mW)]]+Table7[[#This Row],[Ptop (mW)]]</f>
        <v>#NAME?</v>
      </c>
      <c r="BG186" s="142"/>
      <c r="BH186" s="145" t="e">
        <f>MAX(0,Table7[[#This Row],[I_L]]-0.5*Table7[[#This Row],[I_L pkpk]])</f>
        <v>#NAME?</v>
      </c>
      <c r="BI186" s="145" t="e">
        <f>Table7[[#This Row],[I_L]]+0.5*Table7[[#This Row],[I_L pkpk]]</f>
        <v>#NAME?</v>
      </c>
      <c r="BJ186" s="145">
        <f>IF(VACnom&gt;Vbat, (VGS_S-(C_MOSFET_S_VTH_H_BU+Table7[[#This Row],[I_L]]/C_MOSFET_S_gFS_H_BU))/3.4, (VGS_S-(C_MOSFET_S_VTH_L_BO+Table7[[#This Row],[I_L]]/C_MOSFET_S_gFS_L_BO))/3.4 )</f>
        <v>2.3459068627450983</v>
      </c>
      <c r="BK186" s="145">
        <f>IF(VACnom&gt;Vbat, ((C_MOSFET_S_VTH_H_BU+Table7[[#This Row],[I_L]]/C_MOSFET_S_gFS_H_BU))/1, ((C_MOSFET_S_VTH_L_BO+Table7[[#This Row],[I_L]]/C_MOSFET_S_gFS_L_BO))/1 )</f>
        <v>2.0239166666666666</v>
      </c>
      <c r="BL186" s="145">
        <f>IF(VACnom&gt;Vbat, (C_MOSFET_S_QGD_H_BU+C_MOSFET_S_QGS_H_BU)*10^-9/Table7[[#This Row],[Ion (A) C]], (C_MOSFET_S_QGD_L_BO+C_MOSFET_S_QGS_L_BO)*10^-9/Table7[[#This Row],[Ion (A) C]])/10^-9</f>
        <v>2.7707834881364071</v>
      </c>
      <c r="BM186" s="145">
        <f>IF(VACnom&gt;Vbat, (C_MOSFET_S_QGD_H_BU+C_MOSFET_S_QGS_H_BU)*10^-9/Table7[[#This Row],[Ioff (A) C]], (C_MOSFET_S_QGD_L_BO+C_MOSFET_S_QGS_L_BO)*10^-9/Table7[[#This Row],[Ioff (A) C]])/10^-9</f>
        <v>3.2115946802816322</v>
      </c>
      <c r="BN186" s="145" t="e">
        <f xml:space="preserve"> 0.5*VACnom*Table7[[#This Row],[Ivalley (A) C]]*Table7[[#This Row],[ton (ns) C]]*10^-9*Fsw*10^3+0.5*VACnom*Table7[[#This Row],[Ipeak (A) C]]*Table7[[#This Row],[toff (ns) C]]*10^-9*Fsw*10^3/10^-3</f>
        <v>#NAME?</v>
      </c>
      <c r="BO186" s="145">
        <f t="shared" si="12"/>
        <v>259.2</v>
      </c>
      <c r="BP186" s="145" t="e">
        <f t="shared" ca="1" si="13"/>
        <v>#REF!</v>
      </c>
      <c r="BQ186" s="145">
        <f t="shared" si="14"/>
        <v>475.2</v>
      </c>
      <c r="BR186" s="145" t="e">
        <f>IF(VACnom&gt;Vbat, C_MOSFET_S_VSD_L_BU*Table7[[#This Row],[Ivalley (A) C]]*Fsw*10^3*40*10^-9+C_MOSFET_S_VSD_L_BU*Table7[[#This Row],[Ipeak (A) C]]*Fsw*10^3*30*10^-9, C_MOSFET_S_VSD_H_BO*Table7[[#This Row],[Ivalley (A) C]]*Fsw*10^3*40*10^-9+C_MOSFET_S_VSD_H_BO*Table7[[#This Row],[Ipeak (A) C]]*Fsw*10^3*30*10^-9)/10^-3</f>
        <v>#NAME?</v>
      </c>
      <c r="BS186" s="145" t="e">
        <f t="shared" ca="1" si="15"/>
        <v>#REF!</v>
      </c>
      <c r="BT186" s="145" t="e">
        <f>IF(VACnom&lt;Vbat, Table7[[#This Row],[Duty Cycle]]*Table7[[#This Row],[I_L RMS]]^2*C_MOSFET_S_RDSON_H_BU*10^-3, (1-Table7[[#This Row],[Duty Cycle]])*Table7[[#This Row],[I_L RMS]]^2*C_MOSFET_S_RDSON_H_BO*10^-3)/10^-3</f>
        <v>#NAME?</v>
      </c>
      <c r="BU186" s="145" t="e">
        <f ca="1">IF(VACnom&gt;Vbat, Table7[[#This Row],[PIV (mW) C]]+Table7[[#This Row],[PQoss (mW) C]]+Table7[[#This Row],[Pgate_top (mW) C]], Table7[[#This Row],[PRR (mW) C]]+Table7[[#This Row],[Pdead (mW) C]]+Table7[[#This Row],[Pgate_top (mW) C]])</f>
        <v>#NAME?</v>
      </c>
      <c r="BV186" s="145" t="e">
        <f ca="1">Table7[[#This Row],[Pcon_top (mW) C]]+Table7[[#This Row],[Psw_top (mW) C]]</f>
        <v>#NAME?</v>
      </c>
      <c r="BW186" s="145" t="e">
        <f ca="1">IF(VACnom&gt;Vbat, (1-Table7[[#This Row],[Duty Cycle]])*Table7[[#This Row],[I_L RMS]]^2*C_MOSFET_S_RDSON_L_BU*10^-3, Table7[[#This Row],[Duty Cycle]]*Table7[[#This Row],[I_L RMS]]^2*C_MOSFET_S_RDSON_L_BO*10^-3)/10^-3</f>
        <v>#NAME?</v>
      </c>
      <c r="BX186" s="145" t="e">
        <f ca="1">IF(VACnom&gt;Vbat, Table7[[#This Row],[PRR (mW) C]]+Table7[[#This Row],[Pdead (mW) C]]+Table7[[#This Row],[Pgate_bottom (mW) C]], Table7[[#This Row],[PIV (mW) C]]+Table7[[#This Row],[PQoss (mW) C]]+Table7[[#This Row],[Pgate_bottom (mW) C]])</f>
        <v>#NAME?</v>
      </c>
      <c r="BY186" s="145" t="e">
        <f ca="1">Table7[[#This Row],[Pcon_bottom (mW) C]]+Table7[[#This Row],[Psw_bottom (mV) C]]</f>
        <v>#NAME?</v>
      </c>
      <c r="BZ186" s="145" t="e">
        <f ca="1">Table7[[#This Row],[Pbottom (mW) C]]+Table7[[#This Row],[Ptop (mW) C]]</f>
        <v>#NAME?</v>
      </c>
      <c r="CA186" s="148"/>
      <c r="CB186" s="144">
        <f>(RAC_SNS*10^-3*(Table7[[#This Row],[IOUT (A)]]*Vbat/VACnom)^2/10^-3)</f>
        <v>64.350781249999997</v>
      </c>
      <c r="CC186" s="144">
        <f>(RBAT_SNS*10^-3*Table7[[#This Row],[IOUT (A)]]^2)/10^-3</f>
        <v>45</v>
      </c>
      <c r="CD186" s="144">
        <f>IF(VACnom&gt;Vbat,(L_DRC*10^-3*(Table7[[#This Row],[IOUT (A)]])^2/10^-3),(L_DRC*10^-3*(Table7[[#This Row],[IOUT (A)]]*Vbat/VACnom)^2/10^-3))</f>
        <v>43.758531249999997</v>
      </c>
      <c r="CE186" s="152"/>
      <c r="CF186" s="145">
        <f>(Table7[[#This Row],[R_AC (mW)]]+Table7[[#This Row],[R_SR (mW)]]+Table7[[#This Row],[Inductor Loss (mW)]])/10^3</f>
        <v>0.15310931249999998</v>
      </c>
      <c r="CG186" s="145" t="e">
        <f ca="1">Table7[[#This Row],[Total TI (mW)]]/10^3</f>
        <v>#NAME?</v>
      </c>
      <c r="CH186" s="145" t="e">
        <f ca="1">Table7[[#This Row],[Total Sense Loss]]+Table7[[#This Row],[Total MOSFET Loss]]</f>
        <v>#NAME?</v>
      </c>
      <c r="CI186" s="149" t="e">
        <f ca="1">IF(Table7[[#This Row],[POUT (W)]]=0,0,(Table7[[#This Row],[POUT (W)]])/(Table7[[#This Row],[POUT (W)]]+Table7[[#This Row],[Total Power Loss (W)]]))*100</f>
        <v>#NAME?</v>
      </c>
      <c r="CJ186" s="153"/>
      <c r="CK186" s="145">
        <f>(Table7[[#This Row],[R_AC (mW)]]+Table7[[#This Row],[R_SR (mW)]]+Table7[[#This Row],[Inductor Loss (mW)]])/10^3</f>
        <v>0.15310931249999998</v>
      </c>
      <c r="CL186" s="145" t="e">
        <f ca="1">Table7[[#This Row],[Total (mW) C]]/10^3</f>
        <v>#NAME?</v>
      </c>
      <c r="CM186" s="145" t="e">
        <f ca="1">Table7[[#This Row],[Total Sense Loss C]]+Table7[[#This Row],[Total MOSFET Loss C]]</f>
        <v>#NAME?</v>
      </c>
      <c r="CN186" s="149" t="e">
        <f ca="1">IF(Table7[[#This Row],[POUT (W)]]=0,0,(Table7[[#This Row],[POUT (W)]])/(Table7[[#This Row],[POUT (W)]]+Table7[[#This Row],[Total Power Loss (W) C]]))*100</f>
        <v>#NAME?</v>
      </c>
      <c r="CO186" s="153"/>
      <c r="CP186" s="149">
        <f>IF(MOSFET_S=Custom_MOSFET,Table7[[#This Row],[Total Sense Loss C]],Table7[[#This Row],[Total Sense Loss]])</f>
        <v>0.15310931249999998</v>
      </c>
      <c r="CQ186" s="149" t="e">
        <f ca="1">IF(MOSFET_S=Custom_MOSFET,Table7[[#This Row],[Total MOSFET Loss C]],Table7[[#This Row],[Total MOSFET Loss]])</f>
        <v>#NAME?</v>
      </c>
      <c r="CR186" s="149" t="e">
        <f ca="1">IF(MOSFET_S=Custom_MOSFET,Table7[[#This Row],[Efficiency C]],Table7[[#This Row],[Efficiency]])</f>
        <v>#NAME?</v>
      </c>
      <c r="CS186" s="153"/>
      <c r="CT186" s="149">
        <f>IF(MOSFET_S=Compare_MOSFET, Table7[[#This Row],[Total Sense Loss C]], -100)</f>
        <v>-100</v>
      </c>
      <c r="CU186" s="149">
        <f>IF(MOSFET_S=Compare_MOSFET, Table7[[#This Row],[Total MOSFET Loss C]], -100)</f>
        <v>-100</v>
      </c>
      <c r="CV186" s="149">
        <f>IF(MOSFET_S=Compare_MOSFET, Table7[[#This Row],[Efficiency C]], -100)</f>
        <v>-100</v>
      </c>
      <c r="CW186" s="153"/>
      <c r="CX186" s="149">
        <f ca="1">IF(Save_Sel=CLR_Save,  Table7[[#This Row],[Total Sense Loss P1]], Table7[[#This Row],[Total Sense Loss P1 Saved]])</f>
        <v>0.12839062500000001</v>
      </c>
      <c r="CY186" s="149">
        <f ca="1">IF(Save_Sel=CLR_Save,  Table7[[#This Row],[Total MOSFET Loss P1]], Table7[[#This Row],[Total MOSFET Loss P1 Saved]] )</f>
        <v>1.678213087328474</v>
      </c>
      <c r="CZ186" s="149">
        <f ca="1">IF(Save_Sel=CLR_Save, Table7[[#This Row],[Efficiency P1]], Table7[[#This Row],[Efficiency P1 Saved]])</f>
        <v>90.878780943125719</v>
      </c>
      <c r="DA186" s="153"/>
      <c r="DB186" s="149">
        <f ca="1">IF(Save_Sel=CLR_Save,  Table7[[#This Row],[Total Sense Loss P2]], Table7[[#This Row],[Total Sense Loss P2 Saved]])</f>
        <v>0.12839062500000001</v>
      </c>
      <c r="DC186" s="149">
        <f ca="1">IF(Save_Sel=CLR_Save,  Table7[[#This Row],[Total MOSFET Loss P2]], Table7[[#This Row],[Total MOSFET Loss P2 Saved]] )</f>
        <v>1.1082294103884087</v>
      </c>
      <c r="DD186" s="149">
        <f ca="1">IF(Save_Sel=CLR_Save, Table7[[#This Row],[Efficiency P2]], Table7[[#This Row],[Efficiency P2 Saved]])</f>
        <v>93.571531625028328</v>
      </c>
      <c r="DE186" s="153"/>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row>
    <row r="187" spans="1:165" x14ac:dyDescent="0.2">
      <c r="A187" s="48">
        <v>14</v>
      </c>
      <c r="B187" s="49"/>
      <c r="C187" s="49"/>
      <c r="D187" s="32" t="s">
        <v>20</v>
      </c>
      <c r="E187" s="117" t="e">
        <f t="shared" ca="1" si="22"/>
        <v>#REF!</v>
      </c>
      <c r="F187" s="49"/>
      <c r="G187" s="42" t="s">
        <v>23</v>
      </c>
      <c r="H187" s="29"/>
      <c r="I187" s="48">
        <v>14</v>
      </c>
      <c r="J187" s="29"/>
      <c r="K187" s="49"/>
      <c r="L187" s="49"/>
      <c r="M187" s="32" t="s">
        <v>20</v>
      </c>
      <c r="N187" s="117">
        <f t="shared" si="24"/>
        <v>33</v>
      </c>
      <c r="O187" s="49"/>
      <c r="P187" s="42" t="s">
        <v>23</v>
      </c>
      <c r="Q187" s="29"/>
      <c r="R187" s="29"/>
      <c r="S187" s="30"/>
      <c r="T187" s="18"/>
      <c r="U187" s="19"/>
      <c r="V187" s="19"/>
      <c r="W187" s="19"/>
      <c r="X187" s="19"/>
      <c r="Y187" s="19"/>
      <c r="Z187" s="19"/>
      <c r="AA187" s="19"/>
      <c r="AB187" s="19"/>
      <c r="AC187" s="19"/>
      <c r="AD187" s="19"/>
      <c r="AE187" s="19"/>
      <c r="AF187" s="143">
        <f t="shared" si="17"/>
        <v>31</v>
      </c>
      <c r="AG187" s="143">
        <f t="shared" si="16"/>
        <v>3.1</v>
      </c>
      <c r="AH187" s="144">
        <f t="shared" si="3"/>
        <v>74.400000000000006</v>
      </c>
      <c r="AI187" s="145">
        <f t="shared" si="4"/>
        <v>0.16376306620209058</v>
      </c>
      <c r="AJ187" s="145">
        <f t="shared" si="5"/>
        <v>3.7070833333333333</v>
      </c>
      <c r="AK187" s="145" t="e">
        <f t="shared" si="26"/>
        <v>#NAME?</v>
      </c>
      <c r="AL187" s="145" t="e">
        <f t="shared" si="27"/>
        <v>#NAME?</v>
      </c>
      <c r="AM187" s="146"/>
      <c r="AN187" s="145" t="e">
        <f>MAX(0,Table7[[#This Row],[I_L]]-0.5*Table7[[#This Row],[I_L pkpk]])</f>
        <v>#NAME?</v>
      </c>
      <c r="AO187" s="145" t="e">
        <f>Table7[[#This Row],[I_L]]+0.5*Table7[[#This Row],[I_L pkpk]]</f>
        <v>#NAME?</v>
      </c>
      <c r="AP187" s="145" t="e">
        <f ca="1">IF(VACnom&gt;Vbat, (VGS_S-(TI_MOSFET_S_VTH_H_BU+Table7[[#This Row],[I_L]]/TI_MOSFET_S_gFS_H_BU))/3.4, (VGS_S-(TI_MOSFET_S_VTH_L_BO+Table7[[#This Row],[I_L]]/TI_MOSFET_S_gFS_L_BO))/3.4 )</f>
        <v>#REF!</v>
      </c>
      <c r="AQ187" s="145" t="e">
        <f ca="1">IF(VACnom&gt;Vbat, ((TI_MOSFET_S_VTH_H_BU+Table7[[#This Row],[I_L]]/TI_MOSFET_S_gFS_H_BU))/1, ((TI_MOSFET_S_VTH_L_BO+Table7[[#This Row],[I_L]]/TI_MOSFET_S_gFS_L_BO))/1 )</f>
        <v>#REF!</v>
      </c>
      <c r="AR187" s="145" t="e">
        <f ca="1">IF(VACnom&gt;Vbat, (TI_MOSFET_S_QGD_H_BU+TI_MOSFET_S_QGS_H_BU)*10^-9/Table7[[#This Row],[Ion (A)]], (TI_MOSFET_S_QGD_L_BO+TI_MOSFET_S_QGS_L_BO)*10^-9/Table7[[#This Row],[Ion (A)]])/10^-9</f>
        <v>#REF!</v>
      </c>
      <c r="AS187" s="145" t="e">
        <f ca="1">IF(VACnom&gt;Vbat, (TI_MOSFET_S_QGD_H_BU+TI_MOSFET_S_QGS_H_BU)*10^-9/Table7[[#This Row],[Ioff (A)]], (TI_MOSFET_S_QGD_L_BO+TI_MOSFET_S_QGS_L_BO)*10^-9/Table7[[#This Row],[Ioff (A)]])/10^-9</f>
        <v>#REF!</v>
      </c>
      <c r="AT187" s="145" t="e">
        <f ca="1" xml:space="preserve"> 0.5*VACnom*Table7[[#This Row],[Ivalley (A)]]*Table7[[#This Row],[ton (ns)]]*10^-9*Fsw*10^3+0.5*VACnom*Table7[[#This Row],[Ipeak (A)]]*Table7[[#This Row],[toff (ns)]]*10^-9*Fsw*10^3/10^-3</f>
        <v>#NAME?</v>
      </c>
      <c r="AU187" s="145" t="e">
        <f t="shared" ca="1" si="8"/>
        <v>#REF!</v>
      </c>
      <c r="AV187" s="145" t="e">
        <f t="shared" ca="1" si="9"/>
        <v>#REF!</v>
      </c>
      <c r="AW187" s="145" t="e">
        <f t="shared" ca="1" si="10"/>
        <v>#REF!</v>
      </c>
      <c r="AX187" s="145" t="e">
        <f ca="1">IF(VACnom&gt;Vbat, TI_MOSFET_S_VSD_L_BU*Table7[[#This Row],[Ivalley (A)]]*Fsw*10^3*40*10^-9+TI_MOSFET_S_VSD_L_BU*Table7[[#This Row],[Ipeak (A)]]*Fsw*10^3*30*10^-9, TI_MOSFET_S_VSD_H_BO*Table7[[#This Row],[Ivalley (A)]]*Fsw*10^3*40*10^-9+TI_MOSFET_S_VSD_H_BO*Table7[[#This Row],[Ipeak (A)]]*Fsw*10^3*30*10^-9)/10^-3</f>
        <v>#REF!</v>
      </c>
      <c r="AY187" s="145" t="e">
        <f t="shared" ca="1" si="11"/>
        <v>#REF!</v>
      </c>
      <c r="AZ187" s="145" t="e">
        <f ca="1">IF(VACnom&lt;Vbat, Table7[[#This Row],[Duty Cycle]]*Table7[[#This Row],[I_L RMS]]^2*TI_MOSFET_S_RDSON_H_BU*10^-3, (1-Table7[[#This Row],[Duty Cycle]])*Table7[[#This Row],[I_L RMS]]^2*TI_MOSFET_S_RDSON_H_BO*10^-3)/10^-3</f>
        <v>#NAME?</v>
      </c>
      <c r="BA187" s="145" t="e">
        <f ca="1">IF(VACnom&gt;Vbat, Table7[[#This Row],[PIV (mW)]]+Table7[[#This Row],[Pqoss (mW)]]+Table7[[#This Row],[Pgate_top (mW)]], Table7[[#This Row],[PRR (mW)]]+Table7[[#This Row],[Pdead (mW)]]+Table7[[#This Row],[Pgate_top (mW)]])</f>
        <v>#REF!</v>
      </c>
      <c r="BB187" s="145" t="e">
        <f ca="1">Table7[[#This Row],[Pcon_top (mW)]]+Table7[[#This Row],[Psw_top (mW)]]</f>
        <v>#NAME?</v>
      </c>
      <c r="BC187" s="145" t="e">
        <f ca="1">IF(VACnom&gt;Vbat, (1-Table7[[#This Row],[Duty Cycle]])*Table7[[#This Row],[I_L RMS]]^2*TI_MOSFET_S_RDSON_L_BU*10^-3, Table7[[#This Row],[Duty Cycle]]*Table7[[#This Row],[I_L RMS]]^2*TI_MOSFET_S_RDSON_L_BO*10^-3)/10^-3</f>
        <v>#NAME?</v>
      </c>
      <c r="BD187" s="145" t="e">
        <f ca="1">IF(VACnom&gt;Vbat, Table7[[#This Row],[PRR (mW)]]+Table7[[#This Row],[Pdead (mW)]]+Table7[[#This Row],[Pgate_bottom (mW)]], Table7[[#This Row],[PIV (mW)]]+Table7[[#This Row],[Pqoss (mW)]]+Table7[[#This Row],[Pgate_bottom (mW)]])</f>
        <v>#NAME?</v>
      </c>
      <c r="BE187" s="147" t="e">
        <f ca="1">Table7[[#This Row],[Pcon_bottom (mW)]]+Table7[[#This Row],[Psw_bottom (mW)]]</f>
        <v>#NAME?</v>
      </c>
      <c r="BF187" s="145" t="e">
        <f ca="1">Table7[[#This Row],[Pbottom (mW)]]+Table7[[#This Row],[Ptop (mW)]]</f>
        <v>#NAME?</v>
      </c>
      <c r="BG187" s="142"/>
      <c r="BH187" s="145" t="e">
        <f>MAX(0,Table7[[#This Row],[I_L]]-0.5*Table7[[#This Row],[I_L pkpk]])</f>
        <v>#NAME?</v>
      </c>
      <c r="BI187" s="145" t="e">
        <f>Table7[[#This Row],[I_L]]+0.5*Table7[[#This Row],[I_L pkpk]]</f>
        <v>#NAME?</v>
      </c>
      <c r="BJ187" s="145">
        <f>IF(VACnom&gt;Vbat, (VGS_S-(C_MOSFET_S_VTH_H_BU+Table7[[#This Row],[I_L]]/C_MOSFET_S_gFS_H_BU))/3.4, (VGS_S-(C_MOSFET_S_VTH_L_BO+Table7[[#This Row],[I_L]]/C_MOSFET_S_gFS_L_BO))/3.4 )</f>
        <v>2.3456723856209152</v>
      </c>
      <c r="BK187" s="145">
        <f>IF(VACnom&gt;Vbat, ((C_MOSFET_S_VTH_H_BU+Table7[[#This Row],[I_L]]/C_MOSFET_S_gFS_H_BU))/1, ((C_MOSFET_S_VTH_L_BO+Table7[[#This Row],[I_L]]/C_MOSFET_S_gFS_L_BO))/1 )</f>
        <v>2.0247138888888889</v>
      </c>
      <c r="BL187" s="145">
        <f>IF(VACnom&gt;Vbat, (C_MOSFET_S_QGD_H_BU+C_MOSFET_S_QGS_H_BU)*10^-9/Table7[[#This Row],[Ion (A) C]], (C_MOSFET_S_QGD_L_BO+C_MOSFET_S_QGS_L_BO)*10^-9/Table7[[#This Row],[Ion (A) C]])/10^-9</f>
        <v>2.7710604600392252</v>
      </c>
      <c r="BM187" s="145">
        <f>IF(VACnom&gt;Vbat, (C_MOSFET_S_QGD_H_BU+C_MOSFET_S_QGS_H_BU)*10^-9/Table7[[#This Row],[Ioff (A) C]], (C_MOSFET_S_QGD_L_BO+C_MOSFET_S_QGS_L_BO)*10^-9/Table7[[#This Row],[Ioff (A) C]])/10^-9</f>
        <v>3.21033012894826</v>
      </c>
      <c r="BN187" s="145" t="e">
        <f xml:space="preserve"> 0.5*VACnom*Table7[[#This Row],[Ivalley (A) C]]*Table7[[#This Row],[ton (ns) C]]*10^-9*Fsw*10^3+0.5*VACnom*Table7[[#This Row],[Ipeak (A) C]]*Table7[[#This Row],[toff (ns) C]]*10^-9*Fsw*10^3/10^-3</f>
        <v>#NAME?</v>
      </c>
      <c r="BO187" s="145">
        <f t="shared" si="12"/>
        <v>259.2</v>
      </c>
      <c r="BP187" s="145" t="e">
        <f t="shared" ca="1" si="13"/>
        <v>#REF!</v>
      </c>
      <c r="BQ187" s="145">
        <f t="shared" si="14"/>
        <v>475.2</v>
      </c>
      <c r="BR187" s="145" t="e">
        <f>IF(VACnom&gt;Vbat, C_MOSFET_S_VSD_L_BU*Table7[[#This Row],[Ivalley (A) C]]*Fsw*10^3*40*10^-9+C_MOSFET_S_VSD_L_BU*Table7[[#This Row],[Ipeak (A) C]]*Fsw*10^3*30*10^-9, C_MOSFET_S_VSD_H_BO*Table7[[#This Row],[Ivalley (A) C]]*Fsw*10^3*40*10^-9+C_MOSFET_S_VSD_H_BO*Table7[[#This Row],[Ipeak (A) C]]*Fsw*10^3*30*10^-9)/10^-3</f>
        <v>#NAME?</v>
      </c>
      <c r="BS187" s="145" t="e">
        <f t="shared" ca="1" si="15"/>
        <v>#REF!</v>
      </c>
      <c r="BT187" s="145" t="e">
        <f>IF(VACnom&lt;Vbat, Table7[[#This Row],[Duty Cycle]]*Table7[[#This Row],[I_L RMS]]^2*C_MOSFET_S_RDSON_H_BU*10^-3, (1-Table7[[#This Row],[Duty Cycle]])*Table7[[#This Row],[I_L RMS]]^2*C_MOSFET_S_RDSON_H_BO*10^-3)/10^-3</f>
        <v>#NAME?</v>
      </c>
      <c r="BU187" s="145" t="e">
        <f ca="1">IF(VACnom&gt;Vbat, Table7[[#This Row],[PIV (mW) C]]+Table7[[#This Row],[PQoss (mW) C]]+Table7[[#This Row],[Pgate_top (mW) C]], Table7[[#This Row],[PRR (mW) C]]+Table7[[#This Row],[Pdead (mW) C]]+Table7[[#This Row],[Pgate_top (mW) C]])</f>
        <v>#NAME?</v>
      </c>
      <c r="BV187" s="145" t="e">
        <f ca="1">Table7[[#This Row],[Pcon_top (mW) C]]+Table7[[#This Row],[Psw_top (mW) C]]</f>
        <v>#NAME?</v>
      </c>
      <c r="BW187" s="145" t="e">
        <f ca="1">IF(VACnom&gt;Vbat, (1-Table7[[#This Row],[Duty Cycle]])*Table7[[#This Row],[I_L RMS]]^2*C_MOSFET_S_RDSON_L_BU*10^-3, Table7[[#This Row],[Duty Cycle]]*Table7[[#This Row],[I_L RMS]]^2*C_MOSFET_S_RDSON_L_BO*10^-3)/10^-3</f>
        <v>#NAME?</v>
      </c>
      <c r="BX187" s="145" t="e">
        <f ca="1">IF(VACnom&gt;Vbat, Table7[[#This Row],[PRR (mW) C]]+Table7[[#This Row],[Pdead (mW) C]]+Table7[[#This Row],[Pgate_bottom (mW) C]], Table7[[#This Row],[PIV (mW) C]]+Table7[[#This Row],[PQoss (mW) C]]+Table7[[#This Row],[Pgate_bottom (mW) C]])</f>
        <v>#NAME?</v>
      </c>
      <c r="BY187" s="145" t="e">
        <f ca="1">Table7[[#This Row],[Pcon_bottom (mW) C]]+Table7[[#This Row],[Psw_bottom (mV) C]]</f>
        <v>#NAME?</v>
      </c>
      <c r="BZ187" s="145" t="e">
        <f ca="1">Table7[[#This Row],[Pbottom (mW) C]]+Table7[[#This Row],[Ptop (mW) C]]</f>
        <v>#NAME?</v>
      </c>
      <c r="CA187" s="148"/>
      <c r="CB187" s="144">
        <f>(RAC_SNS*10^-3*(Table7[[#This Row],[IOUT (A)]]*Vbat/VACnom)^2/10^-3)</f>
        <v>68.71233420138887</v>
      </c>
      <c r="CC187" s="144">
        <f>(RBAT_SNS*10^-3*Table7[[#This Row],[IOUT (A)]]^2)/10^-3</f>
        <v>48.050000000000011</v>
      </c>
      <c r="CD187" s="144">
        <f>IF(VACnom&gt;Vbat,(L_DRC*10^-3*(Table7[[#This Row],[IOUT (A)]])^2/10^-3),(L_DRC*10^-3*(Table7[[#This Row],[IOUT (A)]]*Vbat/VACnom)^2/10^-3))</f>
        <v>46.724387256944439</v>
      </c>
      <c r="CE187" s="152"/>
      <c r="CF187" s="145">
        <f>(Table7[[#This Row],[R_AC (mW)]]+Table7[[#This Row],[R_SR (mW)]]+Table7[[#This Row],[Inductor Loss (mW)]])/10^3</f>
        <v>0.16348672145833332</v>
      </c>
      <c r="CG187" s="145" t="e">
        <f ca="1">Table7[[#This Row],[Total TI (mW)]]/10^3</f>
        <v>#NAME?</v>
      </c>
      <c r="CH187" s="145" t="e">
        <f ca="1">Table7[[#This Row],[Total Sense Loss]]+Table7[[#This Row],[Total MOSFET Loss]]</f>
        <v>#NAME?</v>
      </c>
      <c r="CI187" s="149" t="e">
        <f ca="1">IF(Table7[[#This Row],[POUT (W)]]=0,0,(Table7[[#This Row],[POUT (W)]])/(Table7[[#This Row],[POUT (W)]]+Table7[[#This Row],[Total Power Loss (W)]]))*100</f>
        <v>#NAME?</v>
      </c>
      <c r="CJ187" s="153"/>
      <c r="CK187" s="145">
        <f>(Table7[[#This Row],[R_AC (mW)]]+Table7[[#This Row],[R_SR (mW)]]+Table7[[#This Row],[Inductor Loss (mW)]])/10^3</f>
        <v>0.16348672145833332</v>
      </c>
      <c r="CL187" s="145" t="e">
        <f ca="1">Table7[[#This Row],[Total (mW) C]]/10^3</f>
        <v>#NAME?</v>
      </c>
      <c r="CM187" s="145" t="e">
        <f ca="1">Table7[[#This Row],[Total Sense Loss C]]+Table7[[#This Row],[Total MOSFET Loss C]]</f>
        <v>#NAME?</v>
      </c>
      <c r="CN187" s="149" t="e">
        <f ca="1">IF(Table7[[#This Row],[POUT (W)]]=0,0,(Table7[[#This Row],[POUT (W)]])/(Table7[[#This Row],[POUT (W)]]+Table7[[#This Row],[Total Power Loss (W) C]]))*100</f>
        <v>#NAME?</v>
      </c>
      <c r="CO187" s="153"/>
      <c r="CP187" s="149">
        <f>IF(MOSFET_S=Custom_MOSFET,Table7[[#This Row],[Total Sense Loss C]],Table7[[#This Row],[Total Sense Loss]])</f>
        <v>0.16348672145833332</v>
      </c>
      <c r="CQ187" s="149" t="e">
        <f ca="1">IF(MOSFET_S=Custom_MOSFET,Table7[[#This Row],[Total MOSFET Loss C]],Table7[[#This Row],[Total MOSFET Loss]])</f>
        <v>#NAME?</v>
      </c>
      <c r="CR187" s="149" t="e">
        <f ca="1">IF(MOSFET_S=Custom_MOSFET,Table7[[#This Row],[Efficiency C]],Table7[[#This Row],[Efficiency]])</f>
        <v>#NAME?</v>
      </c>
      <c r="CS187" s="153"/>
      <c r="CT187" s="149">
        <f>IF(MOSFET_S=Compare_MOSFET, Table7[[#This Row],[Total Sense Loss C]], -100)</f>
        <v>-100</v>
      </c>
      <c r="CU187" s="149">
        <f>IF(MOSFET_S=Compare_MOSFET, Table7[[#This Row],[Total MOSFET Loss C]], -100)</f>
        <v>-100</v>
      </c>
      <c r="CV187" s="149">
        <f>IF(MOSFET_S=Compare_MOSFET, Table7[[#This Row],[Efficiency C]], -100)</f>
        <v>-100</v>
      </c>
      <c r="CW187" s="153"/>
      <c r="CX187" s="149">
        <f ca="1">IF(Save_Sel=CLR_Save,  Table7[[#This Row],[Total Sense Loss P1]], Table7[[#This Row],[Total Sense Loss P1 Saved]])</f>
        <v>0.13709265625000003</v>
      </c>
      <c r="CY187" s="149">
        <f ca="1">IF(Save_Sel=CLR_Save,  Table7[[#This Row],[Total MOSFET Loss P1]], Table7[[#This Row],[Total MOSFET Loss P1 Saved]] )</f>
        <v>1.6873465107759693</v>
      </c>
      <c r="CZ187" s="149">
        <f ca="1">IF(Save_Sel=CLR_Save, Table7[[#This Row],[Efficiency P1]], Table7[[#This Row],[Efficiency P1 Saved]])</f>
        <v>91.067372023749783</v>
      </c>
      <c r="DA187" s="153"/>
      <c r="DB187" s="149">
        <f ca="1">IF(Save_Sel=CLR_Save,  Table7[[#This Row],[Total Sense Loss P2]], Table7[[#This Row],[Total Sense Loss P2 Saved]])</f>
        <v>0.13709265625000003</v>
      </c>
      <c r="DC187" s="149">
        <f ca="1">IF(Save_Sel=CLR_Save,  Table7[[#This Row],[Total MOSFET Loss P2]], Table7[[#This Row],[Total MOSFET Loss P2 Saved]] )</f>
        <v>1.1146084694333636</v>
      </c>
      <c r="DD187" s="149">
        <f ca="1">IF(Save_Sel=CLR_Save, Table7[[#This Row],[Efficiency P2]], Table7[[#This Row],[Efficiency P2 Saved]])</f>
        <v>93.694741232709973</v>
      </c>
      <c r="DE187" s="153"/>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row>
    <row r="188" spans="1:165" ht="16" thickBot="1" x14ac:dyDescent="0.25">
      <c r="A188" s="46">
        <v>15</v>
      </c>
      <c r="B188" s="47"/>
      <c r="C188" s="47"/>
      <c r="D188" s="35" t="s">
        <v>21</v>
      </c>
      <c r="E188" s="121" t="e">
        <f t="shared" ca="1" si="22"/>
        <v>#REF!</v>
      </c>
      <c r="F188" s="121" t="e">
        <f ca="1">$O149</f>
        <v>#REF!</v>
      </c>
      <c r="G188" s="45" t="s">
        <v>26</v>
      </c>
      <c r="H188" s="29"/>
      <c r="I188" s="46">
        <v>15</v>
      </c>
      <c r="J188" s="114"/>
      <c r="K188" s="47"/>
      <c r="L188" s="47"/>
      <c r="M188" s="35" t="s">
        <v>21</v>
      </c>
      <c r="N188" s="121">
        <f t="shared" si="24"/>
        <v>50</v>
      </c>
      <c r="O188" s="121">
        <f>$F149</f>
        <v>50</v>
      </c>
      <c r="P188" s="45" t="s">
        <v>26</v>
      </c>
      <c r="Q188" s="29"/>
      <c r="R188" s="29"/>
      <c r="S188" s="30"/>
      <c r="T188" s="18"/>
      <c r="U188" s="19"/>
      <c r="V188" s="19"/>
      <c r="W188" s="19"/>
      <c r="X188" s="19"/>
      <c r="Y188" s="19"/>
      <c r="Z188" s="19"/>
      <c r="AA188" s="19"/>
      <c r="AB188" s="19"/>
      <c r="AC188" s="19"/>
      <c r="AD188" s="19"/>
      <c r="AE188" s="19"/>
      <c r="AF188" s="143">
        <f t="shared" si="17"/>
        <v>32</v>
      </c>
      <c r="AG188" s="143">
        <f t="shared" si="16"/>
        <v>3.2</v>
      </c>
      <c r="AH188" s="144">
        <f t="shared" ref="AH188:AH219" si="28">AG188*VACnom</f>
        <v>76.800000000000011</v>
      </c>
      <c r="AI188" s="145">
        <f t="shared" ref="AI188:AI219" si="29">IF(VACnom&lt;Vbat, (Vbat-VACnom)/Vbat, Vbat/VACnom)</f>
        <v>0.16376306620209058</v>
      </c>
      <c r="AJ188" s="145">
        <f t="shared" ref="AJ188:AJ219" si="30">IF(VACnom&lt;Vbat, AG188/(1-AI188), AG188*AI188)</f>
        <v>3.8266666666666667</v>
      </c>
      <c r="AK188" s="145" t="e">
        <f t="shared" si="26"/>
        <v>#NAME?</v>
      </c>
      <c r="AL188" s="145" t="e">
        <f t="shared" si="27"/>
        <v>#NAME?</v>
      </c>
      <c r="AM188" s="146"/>
      <c r="AN188" s="145" t="e">
        <f>MAX(0,Table7[[#This Row],[I_L]]-0.5*Table7[[#This Row],[I_L pkpk]])</f>
        <v>#NAME?</v>
      </c>
      <c r="AO188" s="145" t="e">
        <f>Table7[[#This Row],[I_L]]+0.5*Table7[[#This Row],[I_L pkpk]]</f>
        <v>#NAME?</v>
      </c>
      <c r="AP188" s="145" t="e">
        <f ca="1">IF(VACnom&gt;Vbat, (VGS_S-(TI_MOSFET_S_VTH_H_BU+Table7[[#This Row],[I_L]]/TI_MOSFET_S_gFS_H_BU))/3.4, (VGS_S-(TI_MOSFET_S_VTH_L_BO+Table7[[#This Row],[I_L]]/TI_MOSFET_S_gFS_L_BO))/3.4 )</f>
        <v>#REF!</v>
      </c>
      <c r="AQ188" s="145" t="e">
        <f ca="1">IF(VACnom&gt;Vbat, ((TI_MOSFET_S_VTH_H_BU+Table7[[#This Row],[I_L]]/TI_MOSFET_S_gFS_H_BU))/1, ((TI_MOSFET_S_VTH_L_BO+Table7[[#This Row],[I_L]]/TI_MOSFET_S_gFS_L_BO))/1 )</f>
        <v>#REF!</v>
      </c>
      <c r="AR188" s="145" t="e">
        <f ca="1">IF(VACnom&gt;Vbat, (TI_MOSFET_S_QGD_H_BU+TI_MOSFET_S_QGS_H_BU)*10^-9/Table7[[#This Row],[Ion (A)]], (TI_MOSFET_S_QGD_L_BO+TI_MOSFET_S_QGS_L_BO)*10^-9/Table7[[#This Row],[Ion (A)]])/10^-9</f>
        <v>#REF!</v>
      </c>
      <c r="AS188" s="145" t="e">
        <f ca="1">IF(VACnom&gt;Vbat, (TI_MOSFET_S_QGD_H_BU+TI_MOSFET_S_QGS_H_BU)*10^-9/Table7[[#This Row],[Ioff (A)]], (TI_MOSFET_S_QGD_L_BO+TI_MOSFET_S_QGS_L_BO)*10^-9/Table7[[#This Row],[Ioff (A)]])/10^-9</f>
        <v>#REF!</v>
      </c>
      <c r="AT188" s="145" t="e">
        <f ca="1" xml:space="preserve"> 0.5*VACnom*Table7[[#This Row],[Ivalley (A)]]*Table7[[#This Row],[ton (ns)]]*10^-9*Fsw*10^3+0.5*VACnom*Table7[[#This Row],[Ipeak (A)]]*Table7[[#This Row],[toff (ns)]]*10^-9*Fsw*10^3/10^-3</f>
        <v>#NAME?</v>
      </c>
      <c r="AU188" s="145" t="e">
        <f t="shared" ref="AU188:AU219" ca="1" si="31">IF(VACnom&gt;Vbat, 0.5*VACnom*TI_MOSFET_S_QOSS_H_BU*10^-9*Fsw*10^3,0.5*VACnom*TI_MOSFET_S_QOSS_L_BO*10^-9*Fsw*10^3)/10^-3</f>
        <v>#REF!</v>
      </c>
      <c r="AV188" s="145" t="e">
        <f t="shared" ref="AV188:AV219" ca="1" si="32">IF(VACnom&gt;Vbat, VACnom*TI_MOSFET_S_QG_H_BU*10^-9*Fsw*10^3,VACnom*TI_MOSFET_S_QG_H_BO*10^-9*Fsw*10^3)/10^-3</f>
        <v>#REF!</v>
      </c>
      <c r="AW188" s="145" t="e">
        <f t="shared" ref="AW188:AW219" ca="1" si="33">IF(VACnom&gt;Vbat, VACnom*TI_MOSFET_S_QRR_L_BU*10^-9*Fsw*10^3, VACnom*TI_MOSFET_S_QRR_H_BO*10^-9*Fsw*10^3)/10^-3</f>
        <v>#REF!</v>
      </c>
      <c r="AX188" s="145" t="e">
        <f ca="1">IF(VACnom&gt;Vbat, TI_MOSFET_S_VSD_L_BU*Table7[[#This Row],[Ivalley (A)]]*Fsw*10^3*40*10^-9+TI_MOSFET_S_VSD_L_BU*Table7[[#This Row],[Ipeak (A)]]*Fsw*10^3*30*10^-9, TI_MOSFET_S_VSD_H_BO*Table7[[#This Row],[Ivalley (A)]]*Fsw*10^3*40*10^-9+TI_MOSFET_S_VSD_H_BO*Table7[[#This Row],[Ipeak (A)]]*Fsw*10^3*30*10^-9)/10^-3</f>
        <v>#REF!</v>
      </c>
      <c r="AY188" s="145" t="e">
        <f t="shared" ref="AY188:AY219" ca="1" si="34">IF(VACnom&gt;Vbat, VACnom*TI_MOSFET_S_QG_L_BU*10^-9*Fsw*10^3, VACnom*TI_MOSFET_S_QG_L_BO*10^-9*Fsw*10^3)/10^-3</f>
        <v>#REF!</v>
      </c>
      <c r="AZ188" s="145" t="e">
        <f ca="1">IF(VACnom&lt;Vbat, Table7[[#This Row],[Duty Cycle]]*Table7[[#This Row],[I_L RMS]]^2*TI_MOSFET_S_RDSON_H_BU*10^-3, (1-Table7[[#This Row],[Duty Cycle]])*Table7[[#This Row],[I_L RMS]]^2*TI_MOSFET_S_RDSON_H_BO*10^-3)/10^-3</f>
        <v>#NAME?</v>
      </c>
      <c r="BA188" s="145" t="e">
        <f ca="1">IF(VACnom&gt;Vbat, Table7[[#This Row],[PIV (mW)]]+Table7[[#This Row],[Pqoss (mW)]]+Table7[[#This Row],[Pgate_top (mW)]], Table7[[#This Row],[PRR (mW)]]+Table7[[#This Row],[Pdead (mW)]]+Table7[[#This Row],[Pgate_top (mW)]])</f>
        <v>#REF!</v>
      </c>
      <c r="BB188" s="145" t="e">
        <f ca="1">Table7[[#This Row],[Pcon_top (mW)]]+Table7[[#This Row],[Psw_top (mW)]]</f>
        <v>#NAME?</v>
      </c>
      <c r="BC188" s="145" t="e">
        <f ca="1">IF(VACnom&gt;Vbat, (1-Table7[[#This Row],[Duty Cycle]])*Table7[[#This Row],[I_L RMS]]^2*TI_MOSFET_S_RDSON_L_BU*10^-3, Table7[[#This Row],[Duty Cycle]]*Table7[[#This Row],[I_L RMS]]^2*TI_MOSFET_S_RDSON_L_BO*10^-3)/10^-3</f>
        <v>#NAME?</v>
      </c>
      <c r="BD188" s="145" t="e">
        <f ca="1">IF(VACnom&gt;Vbat, Table7[[#This Row],[PRR (mW)]]+Table7[[#This Row],[Pdead (mW)]]+Table7[[#This Row],[Pgate_bottom (mW)]], Table7[[#This Row],[PIV (mW)]]+Table7[[#This Row],[Pqoss (mW)]]+Table7[[#This Row],[Pgate_bottom (mW)]])</f>
        <v>#NAME?</v>
      </c>
      <c r="BE188" s="147" t="e">
        <f ca="1">Table7[[#This Row],[Pcon_bottom (mW)]]+Table7[[#This Row],[Psw_bottom (mW)]]</f>
        <v>#NAME?</v>
      </c>
      <c r="BF188" s="145" t="e">
        <f ca="1">Table7[[#This Row],[Pbottom (mW)]]+Table7[[#This Row],[Ptop (mW)]]</f>
        <v>#NAME?</v>
      </c>
      <c r="BG188" s="142"/>
      <c r="BH188" s="145" t="e">
        <f>MAX(0,Table7[[#This Row],[I_L]]-0.5*Table7[[#This Row],[I_L pkpk]])</f>
        <v>#NAME?</v>
      </c>
      <c r="BI188" s="145" t="e">
        <f>Table7[[#This Row],[I_L]]+0.5*Table7[[#This Row],[I_L pkpk]]</f>
        <v>#NAME?</v>
      </c>
      <c r="BJ188" s="145">
        <f>IF(VACnom&gt;Vbat, (VGS_S-(C_MOSFET_S_VTH_H_BU+Table7[[#This Row],[I_L]]/C_MOSFET_S_gFS_H_BU))/3.4, (VGS_S-(C_MOSFET_S_VTH_L_BO+Table7[[#This Row],[I_L]]/C_MOSFET_S_gFS_L_BO))/3.4 )</f>
        <v>2.3454379084967321</v>
      </c>
      <c r="BK188" s="145">
        <f>IF(VACnom&gt;Vbat, ((C_MOSFET_S_VTH_H_BU+Table7[[#This Row],[I_L]]/C_MOSFET_S_gFS_H_BU))/1, ((C_MOSFET_S_VTH_L_BO+Table7[[#This Row],[I_L]]/C_MOSFET_S_gFS_L_BO))/1 )</f>
        <v>2.0255111111111113</v>
      </c>
      <c r="BL188" s="145">
        <f>IF(VACnom&gt;Vbat, (C_MOSFET_S_QGD_H_BU+C_MOSFET_S_QGS_H_BU)*10^-9/Table7[[#This Row],[Ion (A) C]], (C_MOSFET_S_QGD_L_BO+C_MOSFET_S_QGS_L_BO)*10^-9/Table7[[#This Row],[Ion (A) C]])/10^-9</f>
        <v>2.771337487320678</v>
      </c>
      <c r="BM188" s="145">
        <f>IF(VACnom&gt;Vbat, (C_MOSFET_S_QGD_H_BU+C_MOSFET_S_QGS_H_BU)*10^-9/Table7[[#This Row],[Ioff (A) C]], (C_MOSFET_S_QGD_L_BO+C_MOSFET_S_QGS_L_BO)*10^-9/Table7[[#This Row],[Ioff (A) C]])/10^-9</f>
        <v>3.2090665730460346</v>
      </c>
      <c r="BN188" s="145" t="e">
        <f xml:space="preserve"> 0.5*VACnom*Table7[[#This Row],[Ivalley (A) C]]*Table7[[#This Row],[ton (ns) C]]*10^-9*Fsw*10^3+0.5*VACnom*Table7[[#This Row],[Ipeak (A) C]]*Table7[[#This Row],[toff (ns) C]]*10^-9*Fsw*10^3/10^-3</f>
        <v>#NAME?</v>
      </c>
      <c r="BO188" s="145">
        <f t="shared" ref="BO188:BO219" si="35">IF(VACnom&gt;Vbat, 0.5*VACnom*C_MOSFET_S_QOSS_H_BU*10^-9*Fsw*10^3,0.5*VACnom*C_MOSFET_S_QOSS_L_BO*10^-9*Fsw*10^3)/10^-3</f>
        <v>259.2</v>
      </c>
      <c r="BP188" s="145" t="e">
        <f t="shared" ref="BP188:BP219" ca="1" si="36">IF(VACnom&gt;Vbat, VACnom*C_MOSFET_S_QG_H_BU*10^-9*Fsw*10^3,VACnom*C_MOSFET_S_QG_H_BO*10^-9*Fsw*10^3)/10^-3</f>
        <v>#REF!</v>
      </c>
      <c r="BQ188" s="145">
        <f t="shared" ref="BQ188:BQ219" si="37">IF(VACnom&gt;Vbat, VACnom*C_MOSFET_S_QRR_L_BU*10^-9*Fsw*10^3, VACnom*C_MOSFET_S_QRR_H_BO*10^-9*Fsw*10^3)/10^-3</f>
        <v>475.2</v>
      </c>
      <c r="BR188" s="145" t="e">
        <f>IF(VACnom&gt;Vbat, C_MOSFET_S_VSD_L_BU*Table7[[#This Row],[Ivalley (A) C]]*Fsw*10^3*40*10^-9+C_MOSFET_S_VSD_L_BU*Table7[[#This Row],[Ipeak (A) C]]*Fsw*10^3*30*10^-9, C_MOSFET_S_VSD_H_BO*Table7[[#This Row],[Ivalley (A) C]]*Fsw*10^3*40*10^-9+C_MOSFET_S_VSD_H_BO*Table7[[#This Row],[Ipeak (A) C]]*Fsw*10^3*30*10^-9)/10^-3</f>
        <v>#NAME?</v>
      </c>
      <c r="BS188" s="145" t="e">
        <f t="shared" ref="BS188:BS219" ca="1" si="38">IF(VACnom&gt;Vbat, VACnom*C_MOSFET_S_QG_L_BU*10^-9*Fsw*10^3, VACnom*C_MOSFET_S_QG_L_BO*10^-9*Fsw*10^3)/10^-3</f>
        <v>#REF!</v>
      </c>
      <c r="BT188" s="145" t="e">
        <f>IF(VACnom&lt;Vbat, Table7[[#This Row],[Duty Cycle]]*Table7[[#This Row],[I_L RMS]]^2*C_MOSFET_S_RDSON_H_BU*10^-3, (1-Table7[[#This Row],[Duty Cycle]])*Table7[[#This Row],[I_L RMS]]^2*C_MOSFET_S_RDSON_H_BO*10^-3)/10^-3</f>
        <v>#NAME?</v>
      </c>
      <c r="BU188" s="145" t="e">
        <f ca="1">IF(VACnom&gt;Vbat, Table7[[#This Row],[PIV (mW) C]]+Table7[[#This Row],[PQoss (mW) C]]+Table7[[#This Row],[Pgate_top (mW) C]], Table7[[#This Row],[PRR (mW) C]]+Table7[[#This Row],[Pdead (mW) C]]+Table7[[#This Row],[Pgate_top (mW) C]])</f>
        <v>#NAME?</v>
      </c>
      <c r="BV188" s="145" t="e">
        <f ca="1">Table7[[#This Row],[Pcon_top (mW) C]]+Table7[[#This Row],[Psw_top (mW) C]]</f>
        <v>#NAME?</v>
      </c>
      <c r="BW188" s="145" t="e">
        <f ca="1">IF(VACnom&gt;Vbat, (1-Table7[[#This Row],[Duty Cycle]])*Table7[[#This Row],[I_L RMS]]^2*C_MOSFET_S_RDSON_L_BU*10^-3, Table7[[#This Row],[Duty Cycle]]*Table7[[#This Row],[I_L RMS]]^2*C_MOSFET_S_RDSON_L_BO*10^-3)/10^-3</f>
        <v>#NAME?</v>
      </c>
      <c r="BX188" s="145" t="e">
        <f ca="1">IF(VACnom&gt;Vbat, Table7[[#This Row],[PRR (mW) C]]+Table7[[#This Row],[Pdead (mW) C]]+Table7[[#This Row],[Pgate_bottom (mW) C]], Table7[[#This Row],[PIV (mW) C]]+Table7[[#This Row],[PQoss (mW) C]]+Table7[[#This Row],[Pgate_bottom (mW) C]])</f>
        <v>#NAME?</v>
      </c>
      <c r="BY188" s="145" t="e">
        <f ca="1">Table7[[#This Row],[Pcon_bottom (mW) C]]+Table7[[#This Row],[Psw_bottom (mV) C]]</f>
        <v>#NAME?</v>
      </c>
      <c r="BZ188" s="145" t="e">
        <f ca="1">Table7[[#This Row],[Pbottom (mW) C]]+Table7[[#This Row],[Ptop (mW) C]]</f>
        <v>#NAME?</v>
      </c>
      <c r="CA188" s="148"/>
      <c r="CB188" s="144">
        <f>(RAC_SNS*10^-3*(Table7[[#This Row],[IOUT (A)]]*Vbat/VACnom)^2/10^-3)</f>
        <v>73.216888888888889</v>
      </c>
      <c r="CC188" s="144">
        <f>(RBAT_SNS*10^-3*Table7[[#This Row],[IOUT (A)]]^2)/10^-3</f>
        <v>51.20000000000001</v>
      </c>
      <c r="CD188" s="144">
        <f>IF(VACnom&gt;Vbat,(L_DRC*10^-3*(Table7[[#This Row],[IOUT (A)]])^2/10^-3),(L_DRC*10^-3*(Table7[[#This Row],[IOUT (A)]]*Vbat/VACnom)^2/10^-3))</f>
        <v>49.787484444444438</v>
      </c>
      <c r="CE188" s="152"/>
      <c r="CF188" s="145">
        <f>(Table7[[#This Row],[R_AC (mW)]]+Table7[[#This Row],[R_SR (mW)]]+Table7[[#This Row],[Inductor Loss (mW)]])/10^3</f>
        <v>0.17420437333333333</v>
      </c>
      <c r="CG188" s="145" t="e">
        <f ca="1">Table7[[#This Row],[Total TI (mW)]]/10^3</f>
        <v>#NAME?</v>
      </c>
      <c r="CH188" s="145" t="e">
        <f ca="1">Table7[[#This Row],[Total Sense Loss]]+Table7[[#This Row],[Total MOSFET Loss]]</f>
        <v>#NAME?</v>
      </c>
      <c r="CI188" s="149" t="e">
        <f ca="1">IF(Table7[[#This Row],[POUT (W)]]=0,0,(Table7[[#This Row],[POUT (W)]])/(Table7[[#This Row],[POUT (W)]]+Table7[[#This Row],[Total Power Loss (W)]]))*100</f>
        <v>#NAME?</v>
      </c>
      <c r="CJ188" s="153"/>
      <c r="CK188" s="145">
        <f>(Table7[[#This Row],[R_AC (mW)]]+Table7[[#This Row],[R_SR (mW)]]+Table7[[#This Row],[Inductor Loss (mW)]])/10^3</f>
        <v>0.17420437333333333</v>
      </c>
      <c r="CL188" s="145" t="e">
        <f ca="1">Table7[[#This Row],[Total (mW) C]]/10^3</f>
        <v>#NAME?</v>
      </c>
      <c r="CM188" s="145" t="e">
        <f ca="1">Table7[[#This Row],[Total Sense Loss C]]+Table7[[#This Row],[Total MOSFET Loss C]]</f>
        <v>#NAME?</v>
      </c>
      <c r="CN188" s="149" t="e">
        <f ca="1">IF(Table7[[#This Row],[POUT (W)]]=0,0,(Table7[[#This Row],[POUT (W)]])/(Table7[[#This Row],[POUT (W)]]+Table7[[#This Row],[Total Power Loss (W) C]]))*100</f>
        <v>#NAME?</v>
      </c>
      <c r="CO188" s="153"/>
      <c r="CP188" s="149">
        <f>IF(MOSFET_S=Custom_MOSFET,Table7[[#This Row],[Total Sense Loss C]],Table7[[#This Row],[Total Sense Loss]])</f>
        <v>0.17420437333333333</v>
      </c>
      <c r="CQ188" s="149" t="e">
        <f ca="1">IF(MOSFET_S=Custom_MOSFET,Table7[[#This Row],[Total MOSFET Loss C]],Table7[[#This Row],[Total MOSFET Loss]])</f>
        <v>#NAME?</v>
      </c>
      <c r="CR188" s="149" t="e">
        <f ca="1">IF(MOSFET_S=Custom_MOSFET,Table7[[#This Row],[Efficiency C]],Table7[[#This Row],[Efficiency]])</f>
        <v>#NAME?</v>
      </c>
      <c r="CS188" s="153"/>
      <c r="CT188" s="149">
        <f>IF(MOSFET_S=Compare_MOSFET, Table7[[#This Row],[Total Sense Loss C]], -100)</f>
        <v>-100</v>
      </c>
      <c r="CU188" s="149">
        <f>IF(MOSFET_S=Compare_MOSFET, Table7[[#This Row],[Total MOSFET Loss C]], -100)</f>
        <v>-100</v>
      </c>
      <c r="CV188" s="149">
        <f>IF(MOSFET_S=Compare_MOSFET, Table7[[#This Row],[Efficiency C]], -100)</f>
        <v>-100</v>
      </c>
      <c r="CW188" s="153"/>
      <c r="CX188" s="149">
        <f ca="1">IF(Save_Sel=CLR_Save,  Table7[[#This Row],[Total Sense Loss P1]], Table7[[#This Row],[Total Sense Loss P1 Saved]])</f>
        <v>0.14608000000000004</v>
      </c>
      <c r="CY188" s="149">
        <f ca="1">IF(Save_Sel=CLR_Save,  Table7[[#This Row],[Total MOSFET Loss P1]], Table7[[#This Row],[Total MOSFET Loss P1 Saved]] )</f>
        <v>1.6965226924427239</v>
      </c>
      <c r="CZ188" s="149">
        <f ca="1">IF(Save_Sel=CLR_Save, Table7[[#This Row],[Efficiency P1]], Table7[[#This Row],[Efficiency P1 Saved]])</f>
        <v>91.243465842253059</v>
      </c>
      <c r="DA188" s="153"/>
      <c r="DB188" s="149">
        <f ca="1">IF(Save_Sel=CLR_Save,  Table7[[#This Row],[Total Sense Loss P2]], Table7[[#This Row],[Total Sense Loss P2 Saved]])</f>
        <v>0.14608000000000004</v>
      </c>
      <c r="DC188" s="149">
        <f ca="1">IF(Save_Sel=CLR_Save,  Table7[[#This Row],[Total MOSFET Loss P2]], Table7[[#This Row],[Total MOSFET Loss P2 Saved]] )</f>
        <v>1.1210666837328791</v>
      </c>
      <c r="DD188" s="149">
        <f ca="1">IF(Save_Sel=CLR_Save, Table7[[#This Row],[Efficiency P2]], Table7[[#This Row],[Efficiency P2 Saved]])</f>
        <v>93.808874762499272</v>
      </c>
      <c r="DE188" s="153"/>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row>
    <row r="189" spans="1:165" x14ac:dyDescent="0.2">
      <c r="A189" s="116"/>
      <c r="C189" s="49"/>
      <c r="D189" s="39"/>
      <c r="E189" s="49"/>
      <c r="F189" s="49"/>
      <c r="G189" s="49"/>
      <c r="H189" s="29"/>
      <c r="I189" s="29"/>
      <c r="J189" s="29"/>
      <c r="K189" s="29"/>
      <c r="L189" s="29"/>
      <c r="M189" s="29"/>
      <c r="N189" s="29"/>
      <c r="O189" s="29"/>
      <c r="P189" s="29"/>
      <c r="Q189" s="29"/>
      <c r="R189" s="29"/>
      <c r="S189" s="30"/>
      <c r="T189" s="18"/>
      <c r="U189" s="19"/>
      <c r="V189" s="19"/>
      <c r="W189" s="19"/>
      <c r="X189" s="19"/>
      <c r="Y189" s="19"/>
      <c r="Z189" s="19"/>
      <c r="AA189" s="19"/>
      <c r="AB189" s="19"/>
      <c r="AC189" s="19"/>
      <c r="AD189" s="19"/>
      <c r="AE189" s="19"/>
      <c r="AF189" s="143">
        <f t="shared" si="17"/>
        <v>33</v>
      </c>
      <c r="AG189" s="143">
        <f t="shared" ref="AG189:AG220" si="39">$AG$156+AF189*($AG$256-$AG$156)/$AF$256</f>
        <v>3.3</v>
      </c>
      <c r="AH189" s="144">
        <f t="shared" si="28"/>
        <v>79.199999999999989</v>
      </c>
      <c r="AI189" s="145">
        <f t="shared" si="29"/>
        <v>0.16376306620209058</v>
      </c>
      <c r="AJ189" s="145">
        <f t="shared" si="30"/>
        <v>3.9462499999999996</v>
      </c>
      <c r="AK189" s="145" t="e">
        <f t="shared" si="26"/>
        <v>#NAME?</v>
      </c>
      <c r="AL189" s="145" t="e">
        <f t="shared" si="27"/>
        <v>#NAME?</v>
      </c>
      <c r="AM189" s="146"/>
      <c r="AN189" s="145" t="e">
        <f>MAX(0,Table7[[#This Row],[I_L]]-0.5*Table7[[#This Row],[I_L pkpk]])</f>
        <v>#NAME?</v>
      </c>
      <c r="AO189" s="145" t="e">
        <f>Table7[[#This Row],[I_L]]+0.5*Table7[[#This Row],[I_L pkpk]]</f>
        <v>#NAME?</v>
      </c>
      <c r="AP189" s="145" t="e">
        <f ca="1">IF(VACnom&gt;Vbat, (VGS_S-(TI_MOSFET_S_VTH_H_BU+Table7[[#This Row],[I_L]]/TI_MOSFET_S_gFS_H_BU))/3.4, (VGS_S-(TI_MOSFET_S_VTH_L_BO+Table7[[#This Row],[I_L]]/TI_MOSFET_S_gFS_L_BO))/3.4 )</f>
        <v>#REF!</v>
      </c>
      <c r="AQ189" s="145" t="e">
        <f ca="1">IF(VACnom&gt;Vbat, ((TI_MOSFET_S_VTH_H_BU+Table7[[#This Row],[I_L]]/TI_MOSFET_S_gFS_H_BU))/1, ((TI_MOSFET_S_VTH_L_BO+Table7[[#This Row],[I_L]]/TI_MOSFET_S_gFS_L_BO))/1 )</f>
        <v>#REF!</v>
      </c>
      <c r="AR189" s="145" t="e">
        <f ca="1">IF(VACnom&gt;Vbat, (TI_MOSFET_S_QGD_H_BU+TI_MOSFET_S_QGS_H_BU)*10^-9/Table7[[#This Row],[Ion (A)]], (TI_MOSFET_S_QGD_L_BO+TI_MOSFET_S_QGS_L_BO)*10^-9/Table7[[#This Row],[Ion (A)]])/10^-9</f>
        <v>#REF!</v>
      </c>
      <c r="AS189" s="145" t="e">
        <f ca="1">IF(VACnom&gt;Vbat, (TI_MOSFET_S_QGD_H_BU+TI_MOSFET_S_QGS_H_BU)*10^-9/Table7[[#This Row],[Ioff (A)]], (TI_MOSFET_S_QGD_L_BO+TI_MOSFET_S_QGS_L_BO)*10^-9/Table7[[#This Row],[Ioff (A)]])/10^-9</f>
        <v>#REF!</v>
      </c>
      <c r="AT189" s="145" t="e">
        <f ca="1" xml:space="preserve"> 0.5*VACnom*Table7[[#This Row],[Ivalley (A)]]*Table7[[#This Row],[ton (ns)]]*10^-9*Fsw*10^3+0.5*VACnom*Table7[[#This Row],[Ipeak (A)]]*Table7[[#This Row],[toff (ns)]]*10^-9*Fsw*10^3/10^-3</f>
        <v>#NAME?</v>
      </c>
      <c r="AU189" s="145" t="e">
        <f t="shared" ca="1" si="31"/>
        <v>#REF!</v>
      </c>
      <c r="AV189" s="145" t="e">
        <f t="shared" ca="1" si="32"/>
        <v>#REF!</v>
      </c>
      <c r="AW189" s="145" t="e">
        <f t="shared" ca="1" si="33"/>
        <v>#REF!</v>
      </c>
      <c r="AX189" s="145" t="e">
        <f ca="1">IF(VACnom&gt;Vbat, TI_MOSFET_S_VSD_L_BU*Table7[[#This Row],[Ivalley (A)]]*Fsw*10^3*40*10^-9+TI_MOSFET_S_VSD_L_BU*Table7[[#This Row],[Ipeak (A)]]*Fsw*10^3*30*10^-9, TI_MOSFET_S_VSD_H_BO*Table7[[#This Row],[Ivalley (A)]]*Fsw*10^3*40*10^-9+TI_MOSFET_S_VSD_H_BO*Table7[[#This Row],[Ipeak (A)]]*Fsw*10^3*30*10^-9)/10^-3</f>
        <v>#REF!</v>
      </c>
      <c r="AY189" s="145" t="e">
        <f t="shared" ca="1" si="34"/>
        <v>#REF!</v>
      </c>
      <c r="AZ189" s="145" t="e">
        <f ca="1">IF(VACnom&lt;Vbat, Table7[[#This Row],[Duty Cycle]]*Table7[[#This Row],[I_L RMS]]^2*TI_MOSFET_S_RDSON_H_BU*10^-3, (1-Table7[[#This Row],[Duty Cycle]])*Table7[[#This Row],[I_L RMS]]^2*TI_MOSFET_S_RDSON_H_BO*10^-3)/10^-3</f>
        <v>#NAME?</v>
      </c>
      <c r="BA189" s="145" t="e">
        <f ca="1">IF(VACnom&gt;Vbat, Table7[[#This Row],[PIV (mW)]]+Table7[[#This Row],[Pqoss (mW)]]+Table7[[#This Row],[Pgate_top (mW)]], Table7[[#This Row],[PRR (mW)]]+Table7[[#This Row],[Pdead (mW)]]+Table7[[#This Row],[Pgate_top (mW)]])</f>
        <v>#REF!</v>
      </c>
      <c r="BB189" s="145" t="e">
        <f ca="1">Table7[[#This Row],[Pcon_top (mW)]]+Table7[[#This Row],[Psw_top (mW)]]</f>
        <v>#NAME?</v>
      </c>
      <c r="BC189" s="145" t="e">
        <f ca="1">IF(VACnom&gt;Vbat, (1-Table7[[#This Row],[Duty Cycle]])*Table7[[#This Row],[I_L RMS]]^2*TI_MOSFET_S_RDSON_L_BU*10^-3, Table7[[#This Row],[Duty Cycle]]*Table7[[#This Row],[I_L RMS]]^2*TI_MOSFET_S_RDSON_L_BO*10^-3)/10^-3</f>
        <v>#NAME?</v>
      </c>
      <c r="BD189" s="145" t="e">
        <f ca="1">IF(VACnom&gt;Vbat, Table7[[#This Row],[PRR (mW)]]+Table7[[#This Row],[Pdead (mW)]]+Table7[[#This Row],[Pgate_bottom (mW)]], Table7[[#This Row],[PIV (mW)]]+Table7[[#This Row],[Pqoss (mW)]]+Table7[[#This Row],[Pgate_bottom (mW)]])</f>
        <v>#NAME?</v>
      </c>
      <c r="BE189" s="147" t="e">
        <f ca="1">Table7[[#This Row],[Pcon_bottom (mW)]]+Table7[[#This Row],[Psw_bottom (mW)]]</f>
        <v>#NAME?</v>
      </c>
      <c r="BF189" s="145" t="e">
        <f ca="1">Table7[[#This Row],[Pbottom (mW)]]+Table7[[#This Row],[Ptop (mW)]]</f>
        <v>#NAME?</v>
      </c>
      <c r="BG189" s="142"/>
      <c r="BH189" s="145" t="e">
        <f>MAX(0,Table7[[#This Row],[I_L]]-0.5*Table7[[#This Row],[I_L pkpk]])</f>
        <v>#NAME?</v>
      </c>
      <c r="BI189" s="145" t="e">
        <f>Table7[[#This Row],[I_L]]+0.5*Table7[[#This Row],[I_L pkpk]]</f>
        <v>#NAME?</v>
      </c>
      <c r="BJ189" s="145">
        <f>IF(VACnom&gt;Vbat, (VGS_S-(C_MOSFET_S_VTH_H_BU+Table7[[#This Row],[I_L]]/C_MOSFET_S_gFS_H_BU))/3.4, (VGS_S-(C_MOSFET_S_VTH_L_BO+Table7[[#This Row],[I_L]]/C_MOSFET_S_gFS_L_BO))/3.4 )</f>
        <v>2.3452034313725494</v>
      </c>
      <c r="BK189" s="145">
        <f>IF(VACnom&gt;Vbat, ((C_MOSFET_S_VTH_H_BU+Table7[[#This Row],[I_L]]/C_MOSFET_S_gFS_H_BU))/1, ((C_MOSFET_S_VTH_L_BO+Table7[[#This Row],[I_L]]/C_MOSFET_S_gFS_L_BO))/1 )</f>
        <v>2.0263083333333332</v>
      </c>
      <c r="BL189" s="145">
        <f>IF(VACnom&gt;Vbat, (C_MOSFET_S_QGD_H_BU+C_MOSFET_S_QGS_H_BU)*10^-9/Table7[[#This Row],[Ion (A) C]], (C_MOSFET_S_QGD_L_BO+C_MOSFET_S_QGS_L_BO)*10^-9/Table7[[#This Row],[Ion (A) C]])/10^-9</f>
        <v>2.7716145699973764</v>
      </c>
      <c r="BM189" s="145">
        <f>IF(VACnom&gt;Vbat, (C_MOSFET_S_QGD_H_BU+C_MOSFET_S_QGS_H_BU)*10^-9/Table7[[#This Row],[Ioff (A) C]], (C_MOSFET_S_QGD_L_BO+C_MOSFET_S_QGS_L_BO)*10^-9/Table7[[#This Row],[Ioff (A) C]])/10^-9</f>
        <v>3.2078040114000421</v>
      </c>
      <c r="BN189" s="145" t="e">
        <f xml:space="preserve"> 0.5*VACnom*Table7[[#This Row],[Ivalley (A) C]]*Table7[[#This Row],[ton (ns) C]]*10^-9*Fsw*10^3+0.5*VACnom*Table7[[#This Row],[Ipeak (A) C]]*Table7[[#This Row],[toff (ns) C]]*10^-9*Fsw*10^3/10^-3</f>
        <v>#NAME?</v>
      </c>
      <c r="BO189" s="145">
        <f t="shared" si="35"/>
        <v>259.2</v>
      </c>
      <c r="BP189" s="145" t="e">
        <f t="shared" ca="1" si="36"/>
        <v>#REF!</v>
      </c>
      <c r="BQ189" s="145">
        <f t="shared" si="37"/>
        <v>475.2</v>
      </c>
      <c r="BR189" s="145" t="e">
        <f>IF(VACnom&gt;Vbat, C_MOSFET_S_VSD_L_BU*Table7[[#This Row],[Ivalley (A) C]]*Fsw*10^3*40*10^-9+C_MOSFET_S_VSD_L_BU*Table7[[#This Row],[Ipeak (A) C]]*Fsw*10^3*30*10^-9, C_MOSFET_S_VSD_H_BO*Table7[[#This Row],[Ivalley (A) C]]*Fsw*10^3*40*10^-9+C_MOSFET_S_VSD_H_BO*Table7[[#This Row],[Ipeak (A) C]]*Fsw*10^3*30*10^-9)/10^-3</f>
        <v>#NAME?</v>
      </c>
      <c r="BS189" s="145" t="e">
        <f t="shared" ca="1" si="38"/>
        <v>#REF!</v>
      </c>
      <c r="BT189" s="145" t="e">
        <f>IF(VACnom&lt;Vbat, Table7[[#This Row],[Duty Cycle]]*Table7[[#This Row],[I_L RMS]]^2*C_MOSFET_S_RDSON_H_BU*10^-3, (1-Table7[[#This Row],[Duty Cycle]])*Table7[[#This Row],[I_L RMS]]^2*C_MOSFET_S_RDSON_H_BO*10^-3)/10^-3</f>
        <v>#NAME?</v>
      </c>
      <c r="BU189" s="145" t="e">
        <f ca="1">IF(VACnom&gt;Vbat, Table7[[#This Row],[PIV (mW) C]]+Table7[[#This Row],[PQoss (mW) C]]+Table7[[#This Row],[Pgate_top (mW) C]], Table7[[#This Row],[PRR (mW) C]]+Table7[[#This Row],[Pdead (mW) C]]+Table7[[#This Row],[Pgate_top (mW) C]])</f>
        <v>#NAME?</v>
      </c>
      <c r="BV189" s="145" t="e">
        <f ca="1">Table7[[#This Row],[Pcon_top (mW) C]]+Table7[[#This Row],[Psw_top (mW) C]]</f>
        <v>#NAME?</v>
      </c>
      <c r="BW189" s="145" t="e">
        <f ca="1">IF(VACnom&gt;Vbat, (1-Table7[[#This Row],[Duty Cycle]])*Table7[[#This Row],[I_L RMS]]^2*C_MOSFET_S_RDSON_L_BU*10^-3, Table7[[#This Row],[Duty Cycle]]*Table7[[#This Row],[I_L RMS]]^2*C_MOSFET_S_RDSON_L_BO*10^-3)/10^-3</f>
        <v>#NAME?</v>
      </c>
      <c r="BX189" s="145" t="e">
        <f ca="1">IF(VACnom&gt;Vbat, Table7[[#This Row],[PRR (mW) C]]+Table7[[#This Row],[Pdead (mW) C]]+Table7[[#This Row],[Pgate_bottom (mW) C]], Table7[[#This Row],[PIV (mW) C]]+Table7[[#This Row],[PQoss (mW) C]]+Table7[[#This Row],[Pgate_bottom (mW) C]])</f>
        <v>#NAME?</v>
      </c>
      <c r="BY189" s="145" t="e">
        <f ca="1">Table7[[#This Row],[Pcon_bottom (mW) C]]+Table7[[#This Row],[Psw_bottom (mV) C]]</f>
        <v>#NAME?</v>
      </c>
      <c r="BZ189" s="145" t="e">
        <f ca="1">Table7[[#This Row],[Pbottom (mW) C]]+Table7[[#This Row],[Ptop (mW) C]]</f>
        <v>#NAME?</v>
      </c>
      <c r="CA189" s="148"/>
      <c r="CB189" s="144">
        <f>(RAC_SNS*10^-3*(Table7[[#This Row],[IOUT (A)]]*Vbat/VACnom)^2/10^-3)</f>
        <v>77.864445312499981</v>
      </c>
      <c r="CC189" s="144">
        <f>(RBAT_SNS*10^-3*Table7[[#This Row],[IOUT (A)]]^2)/10^-3</f>
        <v>54.449999999999996</v>
      </c>
      <c r="CD189" s="144">
        <f>IF(VACnom&gt;Vbat,(L_DRC*10^-3*(Table7[[#This Row],[IOUT (A)]])^2/10^-3),(L_DRC*10^-3*(Table7[[#This Row],[IOUT (A)]]*Vbat/VACnom)^2/10^-3))</f>
        <v>52.947822812499979</v>
      </c>
      <c r="CE189" s="152"/>
      <c r="CF189" s="145">
        <f>(Table7[[#This Row],[R_AC (mW)]]+Table7[[#This Row],[R_SR (mW)]]+Table7[[#This Row],[Inductor Loss (mW)]])/10^3</f>
        <v>0.18526226812499993</v>
      </c>
      <c r="CG189" s="145" t="e">
        <f ca="1">Table7[[#This Row],[Total TI (mW)]]/10^3</f>
        <v>#NAME?</v>
      </c>
      <c r="CH189" s="145" t="e">
        <f ca="1">Table7[[#This Row],[Total Sense Loss]]+Table7[[#This Row],[Total MOSFET Loss]]</f>
        <v>#NAME?</v>
      </c>
      <c r="CI189" s="149" t="e">
        <f ca="1">IF(Table7[[#This Row],[POUT (W)]]=0,0,(Table7[[#This Row],[POUT (W)]])/(Table7[[#This Row],[POUT (W)]]+Table7[[#This Row],[Total Power Loss (W)]]))*100</f>
        <v>#NAME?</v>
      </c>
      <c r="CJ189" s="153"/>
      <c r="CK189" s="145">
        <f>(Table7[[#This Row],[R_AC (mW)]]+Table7[[#This Row],[R_SR (mW)]]+Table7[[#This Row],[Inductor Loss (mW)]])/10^3</f>
        <v>0.18526226812499993</v>
      </c>
      <c r="CL189" s="145" t="e">
        <f ca="1">Table7[[#This Row],[Total (mW) C]]/10^3</f>
        <v>#NAME?</v>
      </c>
      <c r="CM189" s="145" t="e">
        <f ca="1">Table7[[#This Row],[Total Sense Loss C]]+Table7[[#This Row],[Total MOSFET Loss C]]</f>
        <v>#NAME?</v>
      </c>
      <c r="CN189" s="149" t="e">
        <f ca="1">IF(Table7[[#This Row],[POUT (W)]]=0,0,(Table7[[#This Row],[POUT (W)]])/(Table7[[#This Row],[POUT (W)]]+Table7[[#This Row],[Total Power Loss (W) C]]))*100</f>
        <v>#NAME?</v>
      </c>
      <c r="CO189" s="153"/>
      <c r="CP189" s="149">
        <f>IF(MOSFET_S=Custom_MOSFET,Table7[[#This Row],[Total Sense Loss C]],Table7[[#This Row],[Total Sense Loss]])</f>
        <v>0.18526226812499993</v>
      </c>
      <c r="CQ189" s="149" t="e">
        <f ca="1">IF(MOSFET_S=Custom_MOSFET,Table7[[#This Row],[Total MOSFET Loss C]],Table7[[#This Row],[Total MOSFET Loss]])</f>
        <v>#NAME?</v>
      </c>
      <c r="CR189" s="149" t="e">
        <f ca="1">IF(MOSFET_S=Custom_MOSFET,Table7[[#This Row],[Efficiency C]],Table7[[#This Row],[Efficiency]])</f>
        <v>#NAME?</v>
      </c>
      <c r="CS189" s="153"/>
      <c r="CT189" s="149">
        <f>IF(MOSFET_S=Compare_MOSFET, Table7[[#This Row],[Total Sense Loss C]], -100)</f>
        <v>-100</v>
      </c>
      <c r="CU189" s="149">
        <f>IF(MOSFET_S=Compare_MOSFET, Table7[[#This Row],[Total MOSFET Loss C]], -100)</f>
        <v>-100</v>
      </c>
      <c r="CV189" s="149">
        <f>IF(MOSFET_S=Compare_MOSFET, Table7[[#This Row],[Efficiency C]], -100)</f>
        <v>-100</v>
      </c>
      <c r="CW189" s="153"/>
      <c r="CX189" s="149">
        <f ca="1">IF(Save_Sel=CLR_Save,  Table7[[#This Row],[Total Sense Loss P1]], Table7[[#This Row],[Total Sense Loss P1 Saved]])</f>
        <v>0.15535265624999997</v>
      </c>
      <c r="CY189" s="149">
        <f ca="1">IF(Save_Sel=CLR_Save,  Table7[[#This Row],[Total MOSFET Loss P1]], Table7[[#This Row],[Total MOSFET Loss P1 Saved]] )</f>
        <v>1.7057416367094285</v>
      </c>
      <c r="CZ189" s="149">
        <f ca="1">IF(Save_Sel=CLR_Save, Table7[[#This Row],[Efficiency P1]], Table7[[#This Row],[Efficiency P1 Saved]])</f>
        <v>91.408124318242102</v>
      </c>
      <c r="DA189" s="153"/>
      <c r="DB189" s="149">
        <f ca="1">IF(Save_Sel=CLR_Save,  Table7[[#This Row],[Total Sense Loss P2]], Table7[[#This Row],[Total Sense Loss P2 Saved]])</f>
        <v>0.15535265624999997</v>
      </c>
      <c r="DC189" s="149">
        <f ca="1">IF(Save_Sel=CLR_Save,  Table7[[#This Row],[Total MOSFET Loss P2]], Table7[[#This Row],[Total MOSFET Loss P2 Saved]] )</f>
        <v>1.1276040537909411</v>
      </c>
      <c r="DD189" s="149">
        <f ca="1">IF(Save_Sel=CLR_Save, Table7[[#This Row],[Efficiency P2]], Table7[[#This Row],[Efficiency P2 Saved]])</f>
        <v>93.91472112908184</v>
      </c>
      <c r="DE189" s="153"/>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row>
    <row r="190" spans="1:165" x14ac:dyDescent="0.2">
      <c r="A190" s="96"/>
      <c r="B190" s="29"/>
      <c r="C190" s="49"/>
      <c r="D190" s="32"/>
      <c r="E190" s="66"/>
      <c r="F190" s="29"/>
      <c r="G190" s="29"/>
      <c r="H190" s="29"/>
      <c r="I190" s="29"/>
      <c r="J190" s="29"/>
      <c r="L190" s="29"/>
      <c r="M190" s="29"/>
      <c r="N190" s="29"/>
      <c r="O190" s="29"/>
      <c r="P190" s="29"/>
      <c r="Q190" s="29"/>
      <c r="R190" s="29"/>
      <c r="S190" s="30"/>
      <c r="T190" s="18"/>
      <c r="U190" s="19"/>
      <c r="V190" s="19"/>
      <c r="W190" s="19"/>
      <c r="X190" s="19"/>
      <c r="Y190" s="19"/>
      <c r="Z190" s="19"/>
      <c r="AA190" s="19"/>
      <c r="AB190" s="19"/>
      <c r="AC190" s="19"/>
      <c r="AD190" s="19"/>
      <c r="AE190" s="19"/>
      <c r="AF190" s="143">
        <f t="shared" si="17"/>
        <v>34</v>
      </c>
      <c r="AG190" s="143">
        <f t="shared" si="39"/>
        <v>3.4</v>
      </c>
      <c r="AH190" s="144">
        <f t="shared" si="28"/>
        <v>81.599999999999994</v>
      </c>
      <c r="AI190" s="145">
        <f t="shared" si="29"/>
        <v>0.16376306620209058</v>
      </c>
      <c r="AJ190" s="145">
        <f t="shared" si="30"/>
        <v>4.065833333333333</v>
      </c>
      <c r="AK190" s="145" t="e">
        <f t="shared" si="26"/>
        <v>#NAME?</v>
      </c>
      <c r="AL190" s="145" t="e">
        <f t="shared" si="27"/>
        <v>#NAME?</v>
      </c>
      <c r="AM190" s="146"/>
      <c r="AN190" s="145" t="e">
        <f>MAX(0,Table7[[#This Row],[I_L]]-0.5*Table7[[#This Row],[I_L pkpk]])</f>
        <v>#NAME?</v>
      </c>
      <c r="AO190" s="145" t="e">
        <f>Table7[[#This Row],[I_L]]+0.5*Table7[[#This Row],[I_L pkpk]]</f>
        <v>#NAME?</v>
      </c>
      <c r="AP190" s="145" t="e">
        <f ca="1">IF(VACnom&gt;Vbat, (VGS_S-(TI_MOSFET_S_VTH_H_BU+Table7[[#This Row],[I_L]]/TI_MOSFET_S_gFS_H_BU))/3.4, (VGS_S-(TI_MOSFET_S_VTH_L_BO+Table7[[#This Row],[I_L]]/TI_MOSFET_S_gFS_L_BO))/3.4 )</f>
        <v>#REF!</v>
      </c>
      <c r="AQ190" s="145" t="e">
        <f ca="1">IF(VACnom&gt;Vbat, ((TI_MOSFET_S_VTH_H_BU+Table7[[#This Row],[I_L]]/TI_MOSFET_S_gFS_H_BU))/1, ((TI_MOSFET_S_VTH_L_BO+Table7[[#This Row],[I_L]]/TI_MOSFET_S_gFS_L_BO))/1 )</f>
        <v>#REF!</v>
      </c>
      <c r="AR190" s="145" t="e">
        <f ca="1">IF(VACnom&gt;Vbat, (TI_MOSFET_S_QGD_H_BU+TI_MOSFET_S_QGS_H_BU)*10^-9/Table7[[#This Row],[Ion (A)]], (TI_MOSFET_S_QGD_L_BO+TI_MOSFET_S_QGS_L_BO)*10^-9/Table7[[#This Row],[Ion (A)]])/10^-9</f>
        <v>#REF!</v>
      </c>
      <c r="AS190" s="145" t="e">
        <f ca="1">IF(VACnom&gt;Vbat, (TI_MOSFET_S_QGD_H_BU+TI_MOSFET_S_QGS_H_BU)*10^-9/Table7[[#This Row],[Ioff (A)]], (TI_MOSFET_S_QGD_L_BO+TI_MOSFET_S_QGS_L_BO)*10^-9/Table7[[#This Row],[Ioff (A)]])/10^-9</f>
        <v>#REF!</v>
      </c>
      <c r="AT190" s="145" t="e">
        <f ca="1" xml:space="preserve"> 0.5*VACnom*Table7[[#This Row],[Ivalley (A)]]*Table7[[#This Row],[ton (ns)]]*10^-9*Fsw*10^3+0.5*VACnom*Table7[[#This Row],[Ipeak (A)]]*Table7[[#This Row],[toff (ns)]]*10^-9*Fsw*10^3/10^-3</f>
        <v>#NAME?</v>
      </c>
      <c r="AU190" s="145" t="e">
        <f t="shared" ca="1" si="31"/>
        <v>#REF!</v>
      </c>
      <c r="AV190" s="145" t="e">
        <f t="shared" ca="1" si="32"/>
        <v>#REF!</v>
      </c>
      <c r="AW190" s="145" t="e">
        <f t="shared" ca="1" si="33"/>
        <v>#REF!</v>
      </c>
      <c r="AX190" s="145" t="e">
        <f ca="1">IF(VACnom&gt;Vbat, TI_MOSFET_S_VSD_L_BU*Table7[[#This Row],[Ivalley (A)]]*Fsw*10^3*40*10^-9+TI_MOSFET_S_VSD_L_BU*Table7[[#This Row],[Ipeak (A)]]*Fsw*10^3*30*10^-9, TI_MOSFET_S_VSD_H_BO*Table7[[#This Row],[Ivalley (A)]]*Fsw*10^3*40*10^-9+TI_MOSFET_S_VSD_H_BO*Table7[[#This Row],[Ipeak (A)]]*Fsw*10^3*30*10^-9)/10^-3</f>
        <v>#REF!</v>
      </c>
      <c r="AY190" s="145" t="e">
        <f t="shared" ca="1" si="34"/>
        <v>#REF!</v>
      </c>
      <c r="AZ190" s="145" t="e">
        <f ca="1">IF(VACnom&lt;Vbat, Table7[[#This Row],[Duty Cycle]]*Table7[[#This Row],[I_L RMS]]^2*TI_MOSFET_S_RDSON_H_BU*10^-3, (1-Table7[[#This Row],[Duty Cycle]])*Table7[[#This Row],[I_L RMS]]^2*TI_MOSFET_S_RDSON_H_BO*10^-3)/10^-3</f>
        <v>#NAME?</v>
      </c>
      <c r="BA190" s="145" t="e">
        <f ca="1">IF(VACnom&gt;Vbat, Table7[[#This Row],[PIV (mW)]]+Table7[[#This Row],[Pqoss (mW)]]+Table7[[#This Row],[Pgate_top (mW)]], Table7[[#This Row],[PRR (mW)]]+Table7[[#This Row],[Pdead (mW)]]+Table7[[#This Row],[Pgate_top (mW)]])</f>
        <v>#REF!</v>
      </c>
      <c r="BB190" s="145" t="e">
        <f ca="1">Table7[[#This Row],[Pcon_top (mW)]]+Table7[[#This Row],[Psw_top (mW)]]</f>
        <v>#NAME?</v>
      </c>
      <c r="BC190" s="145" t="e">
        <f ca="1">IF(VACnom&gt;Vbat, (1-Table7[[#This Row],[Duty Cycle]])*Table7[[#This Row],[I_L RMS]]^2*TI_MOSFET_S_RDSON_L_BU*10^-3, Table7[[#This Row],[Duty Cycle]]*Table7[[#This Row],[I_L RMS]]^2*TI_MOSFET_S_RDSON_L_BO*10^-3)/10^-3</f>
        <v>#NAME?</v>
      </c>
      <c r="BD190" s="145" t="e">
        <f ca="1">IF(VACnom&gt;Vbat, Table7[[#This Row],[PRR (mW)]]+Table7[[#This Row],[Pdead (mW)]]+Table7[[#This Row],[Pgate_bottom (mW)]], Table7[[#This Row],[PIV (mW)]]+Table7[[#This Row],[Pqoss (mW)]]+Table7[[#This Row],[Pgate_bottom (mW)]])</f>
        <v>#NAME?</v>
      </c>
      <c r="BE190" s="147" t="e">
        <f ca="1">Table7[[#This Row],[Pcon_bottom (mW)]]+Table7[[#This Row],[Psw_bottom (mW)]]</f>
        <v>#NAME?</v>
      </c>
      <c r="BF190" s="145" t="e">
        <f ca="1">Table7[[#This Row],[Pbottom (mW)]]+Table7[[#This Row],[Ptop (mW)]]</f>
        <v>#NAME?</v>
      </c>
      <c r="BG190" s="142"/>
      <c r="BH190" s="145" t="e">
        <f>MAX(0,Table7[[#This Row],[I_L]]-0.5*Table7[[#This Row],[I_L pkpk]])</f>
        <v>#NAME?</v>
      </c>
      <c r="BI190" s="145" t="e">
        <f>Table7[[#This Row],[I_L]]+0.5*Table7[[#This Row],[I_L pkpk]]</f>
        <v>#NAME?</v>
      </c>
      <c r="BJ190" s="145">
        <f>IF(VACnom&gt;Vbat, (VGS_S-(C_MOSFET_S_VTH_H_BU+Table7[[#This Row],[I_L]]/C_MOSFET_S_gFS_H_BU))/3.4, (VGS_S-(C_MOSFET_S_VTH_L_BO+Table7[[#This Row],[I_L]]/C_MOSFET_S_gFS_L_BO))/3.4 )</f>
        <v>2.3449689542483658</v>
      </c>
      <c r="BK190" s="145">
        <f>IF(VACnom&gt;Vbat, ((C_MOSFET_S_VTH_H_BU+Table7[[#This Row],[I_L]]/C_MOSFET_S_gFS_H_BU))/1, ((C_MOSFET_S_VTH_L_BO+Table7[[#This Row],[I_L]]/C_MOSFET_S_gFS_L_BO))/1 )</f>
        <v>2.0271055555555555</v>
      </c>
      <c r="BL190" s="145">
        <f>IF(VACnom&gt;Vbat, (C_MOSFET_S_QGD_H_BU+C_MOSFET_S_QGS_H_BU)*10^-9/Table7[[#This Row],[Ion (A) C]], (C_MOSFET_S_QGD_L_BO+C_MOSFET_S_QGS_L_BO)*10^-9/Table7[[#This Row],[Ion (A) C]])/10^-9</f>
        <v>2.7718917080859384</v>
      </c>
      <c r="BM190" s="145">
        <f>IF(VACnom&gt;Vbat, (C_MOSFET_S_QGD_H_BU+C_MOSFET_S_QGS_H_BU)*10^-9/Table7[[#This Row],[Ioff (A) C]], (C_MOSFET_S_QGD_L_BO+C_MOSFET_S_QGS_L_BO)*10^-9/Table7[[#This Row],[Ioff (A) C]])/10^-9</f>
        <v>3.2065424428372147</v>
      </c>
      <c r="BN190" s="145" t="e">
        <f xml:space="preserve"> 0.5*VACnom*Table7[[#This Row],[Ivalley (A) C]]*Table7[[#This Row],[ton (ns) C]]*10^-9*Fsw*10^3+0.5*VACnom*Table7[[#This Row],[Ipeak (A) C]]*Table7[[#This Row],[toff (ns) C]]*10^-9*Fsw*10^3/10^-3</f>
        <v>#NAME?</v>
      </c>
      <c r="BO190" s="145">
        <f t="shared" si="35"/>
        <v>259.2</v>
      </c>
      <c r="BP190" s="145" t="e">
        <f t="shared" ca="1" si="36"/>
        <v>#REF!</v>
      </c>
      <c r="BQ190" s="145">
        <f t="shared" si="37"/>
        <v>475.2</v>
      </c>
      <c r="BR190" s="145" t="e">
        <f>IF(VACnom&gt;Vbat, C_MOSFET_S_VSD_L_BU*Table7[[#This Row],[Ivalley (A) C]]*Fsw*10^3*40*10^-9+C_MOSFET_S_VSD_L_BU*Table7[[#This Row],[Ipeak (A) C]]*Fsw*10^3*30*10^-9, C_MOSFET_S_VSD_H_BO*Table7[[#This Row],[Ivalley (A) C]]*Fsw*10^3*40*10^-9+C_MOSFET_S_VSD_H_BO*Table7[[#This Row],[Ipeak (A) C]]*Fsw*10^3*30*10^-9)/10^-3</f>
        <v>#NAME?</v>
      </c>
      <c r="BS190" s="145" t="e">
        <f t="shared" ca="1" si="38"/>
        <v>#REF!</v>
      </c>
      <c r="BT190" s="145" t="e">
        <f>IF(VACnom&lt;Vbat, Table7[[#This Row],[Duty Cycle]]*Table7[[#This Row],[I_L RMS]]^2*C_MOSFET_S_RDSON_H_BU*10^-3, (1-Table7[[#This Row],[Duty Cycle]])*Table7[[#This Row],[I_L RMS]]^2*C_MOSFET_S_RDSON_H_BO*10^-3)/10^-3</f>
        <v>#NAME?</v>
      </c>
      <c r="BU190" s="145" t="e">
        <f ca="1">IF(VACnom&gt;Vbat, Table7[[#This Row],[PIV (mW) C]]+Table7[[#This Row],[PQoss (mW) C]]+Table7[[#This Row],[Pgate_top (mW) C]], Table7[[#This Row],[PRR (mW) C]]+Table7[[#This Row],[Pdead (mW) C]]+Table7[[#This Row],[Pgate_top (mW) C]])</f>
        <v>#NAME?</v>
      </c>
      <c r="BV190" s="145" t="e">
        <f ca="1">Table7[[#This Row],[Pcon_top (mW) C]]+Table7[[#This Row],[Psw_top (mW) C]]</f>
        <v>#NAME?</v>
      </c>
      <c r="BW190" s="145" t="e">
        <f ca="1">IF(VACnom&gt;Vbat, (1-Table7[[#This Row],[Duty Cycle]])*Table7[[#This Row],[I_L RMS]]^2*C_MOSFET_S_RDSON_L_BU*10^-3, Table7[[#This Row],[Duty Cycle]]*Table7[[#This Row],[I_L RMS]]^2*C_MOSFET_S_RDSON_L_BO*10^-3)/10^-3</f>
        <v>#NAME?</v>
      </c>
      <c r="BX190" s="145" t="e">
        <f ca="1">IF(VACnom&gt;Vbat, Table7[[#This Row],[PRR (mW) C]]+Table7[[#This Row],[Pdead (mW) C]]+Table7[[#This Row],[Pgate_bottom (mW) C]], Table7[[#This Row],[PIV (mW) C]]+Table7[[#This Row],[PQoss (mW) C]]+Table7[[#This Row],[Pgate_bottom (mW) C]])</f>
        <v>#NAME?</v>
      </c>
      <c r="BY190" s="145" t="e">
        <f ca="1">Table7[[#This Row],[Pcon_bottom (mW) C]]+Table7[[#This Row],[Psw_bottom (mV) C]]</f>
        <v>#NAME?</v>
      </c>
      <c r="BZ190" s="145" t="e">
        <f ca="1">Table7[[#This Row],[Pbottom (mW) C]]+Table7[[#This Row],[Ptop (mW) C]]</f>
        <v>#NAME?</v>
      </c>
      <c r="CA190" s="148"/>
      <c r="CB190" s="144">
        <f>(RAC_SNS*10^-3*(Table7[[#This Row],[IOUT (A)]]*Vbat/VACnom)^2/10^-3)</f>
        <v>82.655003472222191</v>
      </c>
      <c r="CC190" s="144">
        <f>(RBAT_SNS*10^-3*Table7[[#This Row],[IOUT (A)]]^2)/10^-3</f>
        <v>57.8</v>
      </c>
      <c r="CD190" s="144">
        <f>IF(VACnom&gt;Vbat,(L_DRC*10^-3*(Table7[[#This Row],[IOUT (A)]])^2/10^-3),(L_DRC*10^-3*(Table7[[#This Row],[IOUT (A)]]*Vbat/VACnom)^2/10^-3))</f>
        <v>56.205402361111091</v>
      </c>
      <c r="CE190" s="152"/>
      <c r="CF190" s="145">
        <f>(Table7[[#This Row],[R_AC (mW)]]+Table7[[#This Row],[R_SR (mW)]]+Table7[[#This Row],[Inductor Loss (mW)]])/10^3</f>
        <v>0.19666040583333327</v>
      </c>
      <c r="CG190" s="145" t="e">
        <f ca="1">Table7[[#This Row],[Total TI (mW)]]/10^3</f>
        <v>#NAME?</v>
      </c>
      <c r="CH190" s="145" t="e">
        <f ca="1">Table7[[#This Row],[Total Sense Loss]]+Table7[[#This Row],[Total MOSFET Loss]]</f>
        <v>#NAME?</v>
      </c>
      <c r="CI190" s="149" t="e">
        <f ca="1">IF(Table7[[#This Row],[POUT (W)]]=0,0,(Table7[[#This Row],[POUT (W)]])/(Table7[[#This Row],[POUT (W)]]+Table7[[#This Row],[Total Power Loss (W)]]))*100</f>
        <v>#NAME?</v>
      </c>
      <c r="CJ190" s="153"/>
      <c r="CK190" s="145">
        <f>(Table7[[#This Row],[R_AC (mW)]]+Table7[[#This Row],[R_SR (mW)]]+Table7[[#This Row],[Inductor Loss (mW)]])/10^3</f>
        <v>0.19666040583333327</v>
      </c>
      <c r="CL190" s="145" t="e">
        <f ca="1">Table7[[#This Row],[Total (mW) C]]/10^3</f>
        <v>#NAME?</v>
      </c>
      <c r="CM190" s="145" t="e">
        <f ca="1">Table7[[#This Row],[Total Sense Loss C]]+Table7[[#This Row],[Total MOSFET Loss C]]</f>
        <v>#NAME?</v>
      </c>
      <c r="CN190" s="149" t="e">
        <f ca="1">IF(Table7[[#This Row],[POUT (W)]]=0,0,(Table7[[#This Row],[POUT (W)]])/(Table7[[#This Row],[POUT (W)]]+Table7[[#This Row],[Total Power Loss (W) C]]))*100</f>
        <v>#NAME?</v>
      </c>
      <c r="CO190" s="153"/>
      <c r="CP190" s="149">
        <f>IF(MOSFET_S=Custom_MOSFET,Table7[[#This Row],[Total Sense Loss C]],Table7[[#This Row],[Total Sense Loss]])</f>
        <v>0.19666040583333327</v>
      </c>
      <c r="CQ190" s="149" t="e">
        <f ca="1">IF(MOSFET_S=Custom_MOSFET,Table7[[#This Row],[Total MOSFET Loss C]],Table7[[#This Row],[Total MOSFET Loss]])</f>
        <v>#NAME?</v>
      </c>
      <c r="CR190" s="149" t="e">
        <f ca="1">IF(MOSFET_S=Custom_MOSFET,Table7[[#This Row],[Efficiency C]],Table7[[#This Row],[Efficiency]])</f>
        <v>#NAME?</v>
      </c>
      <c r="CS190" s="153"/>
      <c r="CT190" s="149">
        <f>IF(MOSFET_S=Compare_MOSFET, Table7[[#This Row],[Total Sense Loss C]], -100)</f>
        <v>-100</v>
      </c>
      <c r="CU190" s="149">
        <f>IF(MOSFET_S=Compare_MOSFET, Table7[[#This Row],[Total MOSFET Loss C]], -100)</f>
        <v>-100</v>
      </c>
      <c r="CV190" s="149">
        <f>IF(MOSFET_S=Compare_MOSFET, Table7[[#This Row],[Efficiency C]], -100)</f>
        <v>-100</v>
      </c>
      <c r="CW190" s="153"/>
      <c r="CX190" s="149">
        <f ca="1">IF(Save_Sel=CLR_Save,  Table7[[#This Row],[Total Sense Loss P1]], Table7[[#This Row],[Total Sense Loss P1 Saved]])</f>
        <v>0.16491062499999995</v>
      </c>
      <c r="CY190" s="149">
        <f ca="1">IF(Save_Sel=CLR_Save,  Table7[[#This Row],[Total MOSFET Loss P1]], Table7[[#This Row],[Total MOSFET Loss P1 Saved]] )</f>
        <v>1.7150033479501332</v>
      </c>
      <c r="CZ190" s="149">
        <f ca="1">IF(Save_Sel=CLR_Save, Table7[[#This Row],[Efficiency P1]], Table7[[#This Row],[Efficiency P1 Saved]])</f>
        <v>91.562292497033326</v>
      </c>
      <c r="DA190" s="153"/>
      <c r="DB190" s="149">
        <f ca="1">IF(Save_Sel=CLR_Save,  Table7[[#This Row],[Total Sense Loss P2]], Table7[[#This Row],[Total Sense Loss P2 Saved]])</f>
        <v>0.16491062499999995</v>
      </c>
      <c r="DC190" s="149">
        <f ca="1">IF(Save_Sel=CLR_Save,  Table7[[#This Row],[Total MOSFET Loss P2]], Table7[[#This Row],[Total MOSFET Loss P2 Saved]] )</f>
        <v>1.1342205801109539</v>
      </c>
      <c r="DD190" s="149">
        <f ca="1">IF(Save_Sel=CLR_Save, Table7[[#This Row],[Efficiency P2]], Table7[[#This Row],[Efficiency P2 Saved]])</f>
        <v>94.012980552857528</v>
      </c>
      <c r="DE190" s="153"/>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row>
    <row r="191" spans="1:165" x14ac:dyDescent="0.2">
      <c r="A191" s="32"/>
      <c r="B191" s="49"/>
      <c r="C191" s="49"/>
      <c r="D191" s="32"/>
      <c r="E191" s="66"/>
      <c r="F191" s="66"/>
      <c r="G191" s="49"/>
      <c r="H191" s="29"/>
      <c r="I191" s="29"/>
      <c r="J191" s="29"/>
      <c r="K191" s="29"/>
      <c r="L191" s="29"/>
      <c r="M191" s="29"/>
      <c r="N191" s="29"/>
      <c r="O191" s="29"/>
      <c r="P191" s="29"/>
      <c r="Q191" s="29"/>
      <c r="R191" s="29"/>
      <c r="S191" s="30"/>
      <c r="T191" s="18"/>
      <c r="U191" s="19"/>
      <c r="V191" s="19"/>
      <c r="W191" s="19"/>
      <c r="X191" s="19"/>
      <c r="Y191" s="19"/>
      <c r="Z191" s="19"/>
      <c r="AA191" s="19"/>
      <c r="AB191" s="19"/>
      <c r="AC191" s="19"/>
      <c r="AD191" s="19"/>
      <c r="AE191" s="19"/>
      <c r="AF191" s="143">
        <f t="shared" si="17"/>
        <v>35</v>
      </c>
      <c r="AG191" s="143">
        <f t="shared" si="39"/>
        <v>3.5</v>
      </c>
      <c r="AH191" s="144">
        <f t="shared" si="28"/>
        <v>84</v>
      </c>
      <c r="AI191" s="145">
        <f t="shared" si="29"/>
        <v>0.16376306620209058</v>
      </c>
      <c r="AJ191" s="145">
        <f t="shared" si="30"/>
        <v>4.1854166666666668</v>
      </c>
      <c r="AK191" s="145" t="e">
        <f t="shared" si="26"/>
        <v>#NAME?</v>
      </c>
      <c r="AL191" s="145" t="e">
        <f t="shared" si="27"/>
        <v>#NAME?</v>
      </c>
      <c r="AM191" s="146"/>
      <c r="AN191" s="145" t="e">
        <f>MAX(0,Table7[[#This Row],[I_L]]-0.5*Table7[[#This Row],[I_L pkpk]])</f>
        <v>#NAME?</v>
      </c>
      <c r="AO191" s="145" t="e">
        <f>Table7[[#This Row],[I_L]]+0.5*Table7[[#This Row],[I_L pkpk]]</f>
        <v>#NAME?</v>
      </c>
      <c r="AP191" s="145" t="e">
        <f ca="1">IF(VACnom&gt;Vbat, (VGS_S-(TI_MOSFET_S_VTH_H_BU+Table7[[#This Row],[I_L]]/TI_MOSFET_S_gFS_H_BU))/3.4, (VGS_S-(TI_MOSFET_S_VTH_L_BO+Table7[[#This Row],[I_L]]/TI_MOSFET_S_gFS_L_BO))/3.4 )</f>
        <v>#REF!</v>
      </c>
      <c r="AQ191" s="145" t="e">
        <f ca="1">IF(VACnom&gt;Vbat, ((TI_MOSFET_S_VTH_H_BU+Table7[[#This Row],[I_L]]/TI_MOSFET_S_gFS_H_BU))/1, ((TI_MOSFET_S_VTH_L_BO+Table7[[#This Row],[I_L]]/TI_MOSFET_S_gFS_L_BO))/1 )</f>
        <v>#REF!</v>
      </c>
      <c r="AR191" s="145" t="e">
        <f ca="1">IF(VACnom&gt;Vbat, (TI_MOSFET_S_QGD_H_BU+TI_MOSFET_S_QGS_H_BU)*10^-9/Table7[[#This Row],[Ion (A)]], (TI_MOSFET_S_QGD_L_BO+TI_MOSFET_S_QGS_L_BO)*10^-9/Table7[[#This Row],[Ion (A)]])/10^-9</f>
        <v>#REF!</v>
      </c>
      <c r="AS191" s="145" t="e">
        <f ca="1">IF(VACnom&gt;Vbat, (TI_MOSFET_S_QGD_H_BU+TI_MOSFET_S_QGS_H_BU)*10^-9/Table7[[#This Row],[Ioff (A)]], (TI_MOSFET_S_QGD_L_BO+TI_MOSFET_S_QGS_L_BO)*10^-9/Table7[[#This Row],[Ioff (A)]])/10^-9</f>
        <v>#REF!</v>
      </c>
      <c r="AT191" s="145" t="e">
        <f ca="1" xml:space="preserve"> 0.5*VACnom*Table7[[#This Row],[Ivalley (A)]]*Table7[[#This Row],[ton (ns)]]*10^-9*Fsw*10^3+0.5*VACnom*Table7[[#This Row],[Ipeak (A)]]*Table7[[#This Row],[toff (ns)]]*10^-9*Fsw*10^3/10^-3</f>
        <v>#NAME?</v>
      </c>
      <c r="AU191" s="145" t="e">
        <f t="shared" ca="1" si="31"/>
        <v>#REF!</v>
      </c>
      <c r="AV191" s="145" t="e">
        <f t="shared" ca="1" si="32"/>
        <v>#REF!</v>
      </c>
      <c r="AW191" s="145" t="e">
        <f t="shared" ca="1" si="33"/>
        <v>#REF!</v>
      </c>
      <c r="AX191" s="145" t="e">
        <f ca="1">IF(VACnom&gt;Vbat, TI_MOSFET_S_VSD_L_BU*Table7[[#This Row],[Ivalley (A)]]*Fsw*10^3*40*10^-9+TI_MOSFET_S_VSD_L_BU*Table7[[#This Row],[Ipeak (A)]]*Fsw*10^3*30*10^-9, TI_MOSFET_S_VSD_H_BO*Table7[[#This Row],[Ivalley (A)]]*Fsw*10^3*40*10^-9+TI_MOSFET_S_VSD_H_BO*Table7[[#This Row],[Ipeak (A)]]*Fsw*10^3*30*10^-9)/10^-3</f>
        <v>#REF!</v>
      </c>
      <c r="AY191" s="145" t="e">
        <f t="shared" ca="1" si="34"/>
        <v>#REF!</v>
      </c>
      <c r="AZ191" s="145" t="e">
        <f ca="1">IF(VACnom&lt;Vbat, Table7[[#This Row],[Duty Cycle]]*Table7[[#This Row],[I_L RMS]]^2*TI_MOSFET_S_RDSON_H_BU*10^-3, (1-Table7[[#This Row],[Duty Cycle]])*Table7[[#This Row],[I_L RMS]]^2*TI_MOSFET_S_RDSON_H_BO*10^-3)/10^-3</f>
        <v>#NAME?</v>
      </c>
      <c r="BA191" s="145" t="e">
        <f ca="1">IF(VACnom&gt;Vbat, Table7[[#This Row],[PIV (mW)]]+Table7[[#This Row],[Pqoss (mW)]]+Table7[[#This Row],[Pgate_top (mW)]], Table7[[#This Row],[PRR (mW)]]+Table7[[#This Row],[Pdead (mW)]]+Table7[[#This Row],[Pgate_top (mW)]])</f>
        <v>#REF!</v>
      </c>
      <c r="BB191" s="145" t="e">
        <f ca="1">Table7[[#This Row],[Pcon_top (mW)]]+Table7[[#This Row],[Psw_top (mW)]]</f>
        <v>#NAME?</v>
      </c>
      <c r="BC191" s="145" t="e">
        <f ca="1">IF(VACnom&gt;Vbat, (1-Table7[[#This Row],[Duty Cycle]])*Table7[[#This Row],[I_L RMS]]^2*TI_MOSFET_S_RDSON_L_BU*10^-3, Table7[[#This Row],[Duty Cycle]]*Table7[[#This Row],[I_L RMS]]^2*TI_MOSFET_S_RDSON_L_BO*10^-3)/10^-3</f>
        <v>#NAME?</v>
      </c>
      <c r="BD191" s="145" t="e">
        <f ca="1">IF(VACnom&gt;Vbat, Table7[[#This Row],[PRR (mW)]]+Table7[[#This Row],[Pdead (mW)]]+Table7[[#This Row],[Pgate_bottom (mW)]], Table7[[#This Row],[PIV (mW)]]+Table7[[#This Row],[Pqoss (mW)]]+Table7[[#This Row],[Pgate_bottom (mW)]])</f>
        <v>#NAME?</v>
      </c>
      <c r="BE191" s="147" t="e">
        <f ca="1">Table7[[#This Row],[Pcon_bottom (mW)]]+Table7[[#This Row],[Psw_bottom (mW)]]</f>
        <v>#NAME?</v>
      </c>
      <c r="BF191" s="145" t="e">
        <f ca="1">Table7[[#This Row],[Pbottom (mW)]]+Table7[[#This Row],[Ptop (mW)]]</f>
        <v>#NAME?</v>
      </c>
      <c r="BG191" s="142"/>
      <c r="BH191" s="145" t="e">
        <f>MAX(0,Table7[[#This Row],[I_L]]-0.5*Table7[[#This Row],[I_L pkpk]])</f>
        <v>#NAME?</v>
      </c>
      <c r="BI191" s="145" t="e">
        <f>Table7[[#This Row],[I_L]]+0.5*Table7[[#This Row],[I_L pkpk]]</f>
        <v>#NAME?</v>
      </c>
      <c r="BJ191" s="145">
        <f>IF(VACnom&gt;Vbat, (VGS_S-(C_MOSFET_S_VTH_H_BU+Table7[[#This Row],[I_L]]/C_MOSFET_S_gFS_H_BU))/3.4, (VGS_S-(C_MOSFET_S_VTH_L_BO+Table7[[#This Row],[I_L]]/C_MOSFET_S_gFS_L_BO))/3.4 )</f>
        <v>2.3447344771241831</v>
      </c>
      <c r="BK191" s="145">
        <f>IF(VACnom&gt;Vbat, ((C_MOSFET_S_VTH_H_BU+Table7[[#This Row],[I_L]]/C_MOSFET_S_gFS_H_BU))/1, ((C_MOSFET_S_VTH_L_BO+Table7[[#This Row],[I_L]]/C_MOSFET_S_gFS_L_BO))/1 )</f>
        <v>2.0279027777777778</v>
      </c>
      <c r="BL191" s="145">
        <f>IF(VACnom&gt;Vbat, (C_MOSFET_S_QGD_H_BU+C_MOSFET_S_QGS_H_BU)*10^-9/Table7[[#This Row],[Ion (A) C]], (C_MOSFET_S_QGD_L_BO+C_MOSFET_S_QGS_L_BO)*10^-9/Table7[[#This Row],[Ion (A) C]])/10^-9</f>
        <v>2.7721689016029867</v>
      </c>
      <c r="BM191" s="145">
        <f>IF(VACnom&gt;Vbat, (C_MOSFET_S_QGD_H_BU+C_MOSFET_S_QGS_H_BU)*10^-9/Table7[[#This Row],[Ioff (A) C]], (C_MOSFET_S_QGD_L_BO+C_MOSFET_S_QGS_L_BO)*10^-9/Table7[[#This Row],[Ioff (A) C]])/10^-9</f>
        <v>3.2052818661863309</v>
      </c>
      <c r="BN191" s="145" t="e">
        <f xml:space="preserve"> 0.5*VACnom*Table7[[#This Row],[Ivalley (A) C]]*Table7[[#This Row],[ton (ns) C]]*10^-9*Fsw*10^3+0.5*VACnom*Table7[[#This Row],[Ipeak (A) C]]*Table7[[#This Row],[toff (ns) C]]*10^-9*Fsw*10^3/10^-3</f>
        <v>#NAME?</v>
      </c>
      <c r="BO191" s="145">
        <f t="shared" si="35"/>
        <v>259.2</v>
      </c>
      <c r="BP191" s="145" t="e">
        <f t="shared" ca="1" si="36"/>
        <v>#REF!</v>
      </c>
      <c r="BQ191" s="145">
        <f t="shared" si="37"/>
        <v>475.2</v>
      </c>
      <c r="BR191" s="145" t="e">
        <f>IF(VACnom&gt;Vbat, C_MOSFET_S_VSD_L_BU*Table7[[#This Row],[Ivalley (A) C]]*Fsw*10^3*40*10^-9+C_MOSFET_S_VSD_L_BU*Table7[[#This Row],[Ipeak (A) C]]*Fsw*10^3*30*10^-9, C_MOSFET_S_VSD_H_BO*Table7[[#This Row],[Ivalley (A) C]]*Fsw*10^3*40*10^-9+C_MOSFET_S_VSD_H_BO*Table7[[#This Row],[Ipeak (A) C]]*Fsw*10^3*30*10^-9)/10^-3</f>
        <v>#NAME?</v>
      </c>
      <c r="BS191" s="145" t="e">
        <f t="shared" ca="1" si="38"/>
        <v>#REF!</v>
      </c>
      <c r="BT191" s="145" t="e">
        <f>IF(VACnom&lt;Vbat, Table7[[#This Row],[Duty Cycle]]*Table7[[#This Row],[I_L RMS]]^2*C_MOSFET_S_RDSON_H_BU*10^-3, (1-Table7[[#This Row],[Duty Cycle]])*Table7[[#This Row],[I_L RMS]]^2*C_MOSFET_S_RDSON_H_BO*10^-3)/10^-3</f>
        <v>#NAME?</v>
      </c>
      <c r="BU191" s="145" t="e">
        <f ca="1">IF(VACnom&gt;Vbat, Table7[[#This Row],[PIV (mW) C]]+Table7[[#This Row],[PQoss (mW) C]]+Table7[[#This Row],[Pgate_top (mW) C]], Table7[[#This Row],[PRR (mW) C]]+Table7[[#This Row],[Pdead (mW) C]]+Table7[[#This Row],[Pgate_top (mW) C]])</f>
        <v>#NAME?</v>
      </c>
      <c r="BV191" s="145" t="e">
        <f ca="1">Table7[[#This Row],[Pcon_top (mW) C]]+Table7[[#This Row],[Psw_top (mW) C]]</f>
        <v>#NAME?</v>
      </c>
      <c r="BW191" s="145" t="e">
        <f ca="1">IF(VACnom&gt;Vbat, (1-Table7[[#This Row],[Duty Cycle]])*Table7[[#This Row],[I_L RMS]]^2*C_MOSFET_S_RDSON_L_BU*10^-3, Table7[[#This Row],[Duty Cycle]]*Table7[[#This Row],[I_L RMS]]^2*C_MOSFET_S_RDSON_L_BO*10^-3)/10^-3</f>
        <v>#NAME?</v>
      </c>
      <c r="BX191" s="145" t="e">
        <f ca="1">IF(VACnom&gt;Vbat, Table7[[#This Row],[PRR (mW) C]]+Table7[[#This Row],[Pdead (mW) C]]+Table7[[#This Row],[Pgate_bottom (mW) C]], Table7[[#This Row],[PIV (mW) C]]+Table7[[#This Row],[PQoss (mW) C]]+Table7[[#This Row],[Pgate_bottom (mW) C]])</f>
        <v>#NAME?</v>
      </c>
      <c r="BY191" s="145" t="e">
        <f ca="1">Table7[[#This Row],[Pcon_bottom (mW) C]]+Table7[[#This Row],[Psw_bottom (mV) C]]</f>
        <v>#NAME?</v>
      </c>
      <c r="BZ191" s="145" t="e">
        <f ca="1">Table7[[#This Row],[Pbottom (mW) C]]+Table7[[#This Row],[Ptop (mW) C]]</f>
        <v>#NAME?</v>
      </c>
      <c r="CA191" s="148"/>
      <c r="CB191" s="144">
        <f>(RAC_SNS*10^-3*(Table7[[#This Row],[IOUT (A)]]*Vbat/VACnom)^2/10^-3)</f>
        <v>87.588563368055546</v>
      </c>
      <c r="CC191" s="144">
        <f>(RBAT_SNS*10^-3*Table7[[#This Row],[IOUT (A)]]^2)/10^-3</f>
        <v>61.25</v>
      </c>
      <c r="CD191" s="144">
        <f>IF(VACnom&gt;Vbat,(L_DRC*10^-3*(Table7[[#This Row],[IOUT (A)]])^2/10^-3),(L_DRC*10^-3*(Table7[[#This Row],[IOUT (A)]]*Vbat/VACnom)^2/10^-3))</f>
        <v>59.560223090277773</v>
      </c>
      <c r="CE191" s="152"/>
      <c r="CF191" s="145">
        <f>(Table7[[#This Row],[R_AC (mW)]]+Table7[[#This Row],[R_SR (mW)]]+Table7[[#This Row],[Inductor Loss (mW)]])/10^3</f>
        <v>0.20839878645833329</v>
      </c>
      <c r="CG191" s="145" t="e">
        <f ca="1">Table7[[#This Row],[Total TI (mW)]]/10^3</f>
        <v>#NAME?</v>
      </c>
      <c r="CH191" s="145" t="e">
        <f ca="1">Table7[[#This Row],[Total Sense Loss]]+Table7[[#This Row],[Total MOSFET Loss]]</f>
        <v>#NAME?</v>
      </c>
      <c r="CI191" s="149" t="e">
        <f ca="1">IF(Table7[[#This Row],[POUT (W)]]=0,0,(Table7[[#This Row],[POUT (W)]])/(Table7[[#This Row],[POUT (W)]]+Table7[[#This Row],[Total Power Loss (W)]]))*100</f>
        <v>#NAME?</v>
      </c>
      <c r="CJ191" s="153"/>
      <c r="CK191" s="145">
        <f>(Table7[[#This Row],[R_AC (mW)]]+Table7[[#This Row],[R_SR (mW)]]+Table7[[#This Row],[Inductor Loss (mW)]])/10^3</f>
        <v>0.20839878645833329</v>
      </c>
      <c r="CL191" s="145" t="e">
        <f ca="1">Table7[[#This Row],[Total (mW) C]]/10^3</f>
        <v>#NAME?</v>
      </c>
      <c r="CM191" s="145" t="e">
        <f ca="1">Table7[[#This Row],[Total Sense Loss C]]+Table7[[#This Row],[Total MOSFET Loss C]]</f>
        <v>#NAME?</v>
      </c>
      <c r="CN191" s="149" t="e">
        <f ca="1">IF(Table7[[#This Row],[POUT (W)]]=0,0,(Table7[[#This Row],[POUT (W)]])/(Table7[[#This Row],[POUT (W)]]+Table7[[#This Row],[Total Power Loss (W) C]]))*100</f>
        <v>#NAME?</v>
      </c>
      <c r="CO191" s="153"/>
      <c r="CP191" s="149">
        <f>IF(MOSFET_S=Custom_MOSFET,Table7[[#This Row],[Total Sense Loss C]],Table7[[#This Row],[Total Sense Loss]])</f>
        <v>0.20839878645833329</v>
      </c>
      <c r="CQ191" s="149" t="e">
        <f ca="1">IF(MOSFET_S=Custom_MOSFET,Table7[[#This Row],[Total MOSFET Loss C]],Table7[[#This Row],[Total MOSFET Loss]])</f>
        <v>#NAME?</v>
      </c>
      <c r="CR191" s="149" t="e">
        <f ca="1">IF(MOSFET_S=Custom_MOSFET,Table7[[#This Row],[Efficiency C]],Table7[[#This Row],[Efficiency]])</f>
        <v>#NAME?</v>
      </c>
      <c r="CS191" s="153"/>
      <c r="CT191" s="149">
        <f>IF(MOSFET_S=Compare_MOSFET, Table7[[#This Row],[Total Sense Loss C]], -100)</f>
        <v>-100</v>
      </c>
      <c r="CU191" s="149">
        <f>IF(MOSFET_S=Compare_MOSFET, Table7[[#This Row],[Total MOSFET Loss C]], -100)</f>
        <v>-100</v>
      </c>
      <c r="CV191" s="149">
        <f>IF(MOSFET_S=Compare_MOSFET, Table7[[#This Row],[Efficiency C]], -100)</f>
        <v>-100</v>
      </c>
      <c r="CW191" s="153"/>
      <c r="CX191" s="149">
        <f ca="1">IF(Save_Sel=CLR_Save,  Table7[[#This Row],[Total Sense Loss P1]], Table7[[#This Row],[Total Sense Loss P1 Saved]])</f>
        <v>0.17475390625000001</v>
      </c>
      <c r="CY191" s="149">
        <f ca="1">IF(Save_Sel=CLR_Save,  Table7[[#This Row],[Total MOSFET Loss P1]], Table7[[#This Row],[Total MOSFET Loss P1 Saved]] )</f>
        <v>1.7243078305322566</v>
      </c>
      <c r="CZ191" s="149">
        <f ca="1">IF(Save_Sel=CLR_Save, Table7[[#This Row],[Efficiency P1]], Table7[[#This Row],[Efficiency P1 Saved]])</f>
        <v>91.706814197841837</v>
      </c>
      <c r="DA191" s="153"/>
      <c r="DB191" s="149">
        <f ca="1">IF(Save_Sel=CLR_Save,  Table7[[#This Row],[Total Sense Loss P2]], Table7[[#This Row],[Total Sense Loss P2 Saved]])</f>
        <v>0.17475390625000001</v>
      </c>
      <c r="DC191" s="149">
        <f ca="1">IF(Save_Sel=CLR_Save,  Table7[[#This Row],[Total MOSFET Loss P2]], Table7[[#This Row],[Total MOSFET Loss P2 Saved]] )</f>
        <v>1.140916263195743</v>
      </c>
      <c r="DD191" s="149">
        <f ca="1">IF(Save_Sel=CLR_Save, Table7[[#This Row],[Efficiency P2]], Table7[[#This Row],[Efficiency P2 Saved]])</f>
        <v>94.104276683354399</v>
      </c>
      <c r="DE191" s="153"/>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row>
    <row r="192" spans="1:165" x14ac:dyDescent="0.2">
      <c r="A192" s="32"/>
      <c r="B192" s="49"/>
      <c r="C192" s="49"/>
      <c r="D192" s="32"/>
      <c r="E192" s="66"/>
      <c r="F192" s="66"/>
      <c r="G192" s="49"/>
      <c r="H192" s="29"/>
      <c r="I192" s="29"/>
      <c r="J192" s="29"/>
      <c r="K192" s="29"/>
      <c r="L192" s="29"/>
      <c r="M192" s="29"/>
      <c r="N192" s="29"/>
      <c r="O192" s="29"/>
      <c r="P192" s="29"/>
      <c r="Q192" s="29"/>
      <c r="R192" s="29"/>
      <c r="S192" s="30"/>
      <c r="T192" s="18"/>
      <c r="U192" s="19"/>
      <c r="V192" s="19"/>
      <c r="W192" s="19"/>
      <c r="X192" s="19"/>
      <c r="Y192" s="19"/>
      <c r="Z192" s="19"/>
      <c r="AA192" s="19"/>
      <c r="AB192" s="19"/>
      <c r="AC192" s="19"/>
      <c r="AD192" s="19"/>
      <c r="AE192" s="19"/>
      <c r="AF192" s="143">
        <f t="shared" si="17"/>
        <v>36</v>
      </c>
      <c r="AG192" s="143">
        <f t="shared" si="39"/>
        <v>3.6</v>
      </c>
      <c r="AH192" s="144">
        <f t="shared" si="28"/>
        <v>86.4</v>
      </c>
      <c r="AI192" s="145">
        <f t="shared" si="29"/>
        <v>0.16376306620209058</v>
      </c>
      <c r="AJ192" s="145">
        <f t="shared" si="30"/>
        <v>4.3049999999999997</v>
      </c>
      <c r="AK192" s="145" t="e">
        <f t="shared" si="26"/>
        <v>#NAME?</v>
      </c>
      <c r="AL192" s="145" t="e">
        <f t="shared" si="27"/>
        <v>#NAME?</v>
      </c>
      <c r="AM192" s="146"/>
      <c r="AN192" s="145" t="e">
        <f>MAX(0,Table7[[#This Row],[I_L]]-0.5*Table7[[#This Row],[I_L pkpk]])</f>
        <v>#NAME?</v>
      </c>
      <c r="AO192" s="145" t="e">
        <f>Table7[[#This Row],[I_L]]+0.5*Table7[[#This Row],[I_L pkpk]]</f>
        <v>#NAME?</v>
      </c>
      <c r="AP192" s="145" t="e">
        <f ca="1">IF(VACnom&gt;Vbat, (VGS_S-(TI_MOSFET_S_VTH_H_BU+Table7[[#This Row],[I_L]]/TI_MOSFET_S_gFS_H_BU))/3.4, (VGS_S-(TI_MOSFET_S_VTH_L_BO+Table7[[#This Row],[I_L]]/TI_MOSFET_S_gFS_L_BO))/3.4 )</f>
        <v>#REF!</v>
      </c>
      <c r="AQ192" s="145" t="e">
        <f ca="1">IF(VACnom&gt;Vbat, ((TI_MOSFET_S_VTH_H_BU+Table7[[#This Row],[I_L]]/TI_MOSFET_S_gFS_H_BU))/1, ((TI_MOSFET_S_VTH_L_BO+Table7[[#This Row],[I_L]]/TI_MOSFET_S_gFS_L_BO))/1 )</f>
        <v>#REF!</v>
      </c>
      <c r="AR192" s="145" t="e">
        <f ca="1">IF(VACnom&gt;Vbat, (TI_MOSFET_S_QGD_H_BU+TI_MOSFET_S_QGS_H_BU)*10^-9/Table7[[#This Row],[Ion (A)]], (TI_MOSFET_S_QGD_L_BO+TI_MOSFET_S_QGS_L_BO)*10^-9/Table7[[#This Row],[Ion (A)]])/10^-9</f>
        <v>#REF!</v>
      </c>
      <c r="AS192" s="145" t="e">
        <f ca="1">IF(VACnom&gt;Vbat, (TI_MOSFET_S_QGD_H_BU+TI_MOSFET_S_QGS_H_BU)*10^-9/Table7[[#This Row],[Ioff (A)]], (TI_MOSFET_S_QGD_L_BO+TI_MOSFET_S_QGS_L_BO)*10^-9/Table7[[#This Row],[Ioff (A)]])/10^-9</f>
        <v>#REF!</v>
      </c>
      <c r="AT192" s="145" t="e">
        <f ca="1" xml:space="preserve"> 0.5*VACnom*Table7[[#This Row],[Ivalley (A)]]*Table7[[#This Row],[ton (ns)]]*10^-9*Fsw*10^3+0.5*VACnom*Table7[[#This Row],[Ipeak (A)]]*Table7[[#This Row],[toff (ns)]]*10^-9*Fsw*10^3/10^-3</f>
        <v>#NAME?</v>
      </c>
      <c r="AU192" s="145" t="e">
        <f t="shared" ca="1" si="31"/>
        <v>#REF!</v>
      </c>
      <c r="AV192" s="145" t="e">
        <f t="shared" ca="1" si="32"/>
        <v>#REF!</v>
      </c>
      <c r="AW192" s="145" t="e">
        <f t="shared" ca="1" si="33"/>
        <v>#REF!</v>
      </c>
      <c r="AX192" s="145" t="e">
        <f ca="1">IF(VACnom&gt;Vbat, TI_MOSFET_S_VSD_L_BU*Table7[[#This Row],[Ivalley (A)]]*Fsw*10^3*40*10^-9+TI_MOSFET_S_VSD_L_BU*Table7[[#This Row],[Ipeak (A)]]*Fsw*10^3*30*10^-9, TI_MOSFET_S_VSD_H_BO*Table7[[#This Row],[Ivalley (A)]]*Fsw*10^3*40*10^-9+TI_MOSFET_S_VSD_H_BO*Table7[[#This Row],[Ipeak (A)]]*Fsw*10^3*30*10^-9)/10^-3</f>
        <v>#REF!</v>
      </c>
      <c r="AY192" s="145" t="e">
        <f t="shared" ca="1" si="34"/>
        <v>#REF!</v>
      </c>
      <c r="AZ192" s="145" t="e">
        <f ca="1">IF(VACnom&lt;Vbat, Table7[[#This Row],[Duty Cycle]]*Table7[[#This Row],[I_L RMS]]^2*TI_MOSFET_S_RDSON_H_BU*10^-3, (1-Table7[[#This Row],[Duty Cycle]])*Table7[[#This Row],[I_L RMS]]^2*TI_MOSFET_S_RDSON_H_BO*10^-3)/10^-3</f>
        <v>#NAME?</v>
      </c>
      <c r="BA192" s="145" t="e">
        <f ca="1">IF(VACnom&gt;Vbat, Table7[[#This Row],[PIV (mW)]]+Table7[[#This Row],[Pqoss (mW)]]+Table7[[#This Row],[Pgate_top (mW)]], Table7[[#This Row],[PRR (mW)]]+Table7[[#This Row],[Pdead (mW)]]+Table7[[#This Row],[Pgate_top (mW)]])</f>
        <v>#REF!</v>
      </c>
      <c r="BB192" s="145" t="e">
        <f ca="1">Table7[[#This Row],[Pcon_top (mW)]]+Table7[[#This Row],[Psw_top (mW)]]</f>
        <v>#NAME?</v>
      </c>
      <c r="BC192" s="145" t="e">
        <f ca="1">IF(VACnom&gt;Vbat, (1-Table7[[#This Row],[Duty Cycle]])*Table7[[#This Row],[I_L RMS]]^2*TI_MOSFET_S_RDSON_L_BU*10^-3, Table7[[#This Row],[Duty Cycle]]*Table7[[#This Row],[I_L RMS]]^2*TI_MOSFET_S_RDSON_L_BO*10^-3)/10^-3</f>
        <v>#NAME?</v>
      </c>
      <c r="BD192" s="145" t="e">
        <f ca="1">IF(VACnom&gt;Vbat, Table7[[#This Row],[PRR (mW)]]+Table7[[#This Row],[Pdead (mW)]]+Table7[[#This Row],[Pgate_bottom (mW)]], Table7[[#This Row],[PIV (mW)]]+Table7[[#This Row],[Pqoss (mW)]]+Table7[[#This Row],[Pgate_bottom (mW)]])</f>
        <v>#NAME?</v>
      </c>
      <c r="BE192" s="147" t="e">
        <f ca="1">Table7[[#This Row],[Pcon_bottom (mW)]]+Table7[[#This Row],[Psw_bottom (mW)]]</f>
        <v>#NAME?</v>
      </c>
      <c r="BF192" s="145" t="e">
        <f ca="1">Table7[[#This Row],[Pbottom (mW)]]+Table7[[#This Row],[Ptop (mW)]]</f>
        <v>#NAME?</v>
      </c>
      <c r="BG192" s="142"/>
      <c r="BH192" s="145" t="e">
        <f>MAX(0,Table7[[#This Row],[I_L]]-0.5*Table7[[#This Row],[I_L pkpk]])</f>
        <v>#NAME?</v>
      </c>
      <c r="BI192" s="145" t="e">
        <f>Table7[[#This Row],[I_L]]+0.5*Table7[[#This Row],[I_L pkpk]]</f>
        <v>#NAME?</v>
      </c>
      <c r="BJ192" s="145">
        <f>IF(VACnom&gt;Vbat, (VGS_S-(C_MOSFET_S_VTH_H_BU+Table7[[#This Row],[I_L]]/C_MOSFET_S_gFS_H_BU))/3.4, (VGS_S-(C_MOSFET_S_VTH_L_BO+Table7[[#This Row],[I_L]]/C_MOSFET_S_gFS_L_BO))/3.4 )</f>
        <v>2.3445</v>
      </c>
      <c r="BK192" s="145">
        <f>IF(VACnom&gt;Vbat, ((C_MOSFET_S_VTH_H_BU+Table7[[#This Row],[I_L]]/C_MOSFET_S_gFS_H_BU))/1, ((C_MOSFET_S_VTH_L_BO+Table7[[#This Row],[I_L]]/C_MOSFET_S_gFS_L_BO))/1 )</f>
        <v>2.0287000000000002</v>
      </c>
      <c r="BL192" s="145">
        <f>IF(VACnom&gt;Vbat, (C_MOSFET_S_QGD_H_BU+C_MOSFET_S_QGS_H_BU)*10^-9/Table7[[#This Row],[Ion (A) C]], (C_MOSFET_S_QGD_L_BO+C_MOSFET_S_QGS_L_BO)*10^-9/Table7[[#This Row],[Ion (A) C]])/10^-9</f>
        <v>2.7724461505651523</v>
      </c>
      <c r="BM192" s="145">
        <f>IF(VACnom&gt;Vbat, (C_MOSFET_S_QGD_H_BU+C_MOSFET_S_QGS_H_BU)*10^-9/Table7[[#This Row],[Ioff (A) C]], (C_MOSFET_S_QGD_L_BO+C_MOSFET_S_QGS_L_BO)*10^-9/Table7[[#This Row],[Ioff (A) C]])/10^-9</f>
        <v>3.2040222802780103</v>
      </c>
      <c r="BN192" s="145" t="e">
        <f xml:space="preserve"> 0.5*VACnom*Table7[[#This Row],[Ivalley (A) C]]*Table7[[#This Row],[ton (ns) C]]*10^-9*Fsw*10^3+0.5*VACnom*Table7[[#This Row],[Ipeak (A) C]]*Table7[[#This Row],[toff (ns) C]]*10^-9*Fsw*10^3/10^-3</f>
        <v>#NAME?</v>
      </c>
      <c r="BO192" s="145">
        <f t="shared" si="35"/>
        <v>259.2</v>
      </c>
      <c r="BP192" s="145" t="e">
        <f t="shared" ca="1" si="36"/>
        <v>#REF!</v>
      </c>
      <c r="BQ192" s="145">
        <f t="shared" si="37"/>
        <v>475.2</v>
      </c>
      <c r="BR192" s="145" t="e">
        <f>IF(VACnom&gt;Vbat, C_MOSFET_S_VSD_L_BU*Table7[[#This Row],[Ivalley (A) C]]*Fsw*10^3*40*10^-9+C_MOSFET_S_VSD_L_BU*Table7[[#This Row],[Ipeak (A) C]]*Fsw*10^3*30*10^-9, C_MOSFET_S_VSD_H_BO*Table7[[#This Row],[Ivalley (A) C]]*Fsw*10^3*40*10^-9+C_MOSFET_S_VSD_H_BO*Table7[[#This Row],[Ipeak (A) C]]*Fsw*10^3*30*10^-9)/10^-3</f>
        <v>#NAME?</v>
      </c>
      <c r="BS192" s="145" t="e">
        <f t="shared" ca="1" si="38"/>
        <v>#REF!</v>
      </c>
      <c r="BT192" s="145" t="e">
        <f>IF(VACnom&lt;Vbat, Table7[[#This Row],[Duty Cycle]]*Table7[[#This Row],[I_L RMS]]^2*C_MOSFET_S_RDSON_H_BU*10^-3, (1-Table7[[#This Row],[Duty Cycle]])*Table7[[#This Row],[I_L RMS]]^2*C_MOSFET_S_RDSON_H_BO*10^-3)/10^-3</f>
        <v>#NAME?</v>
      </c>
      <c r="BU192" s="145" t="e">
        <f ca="1">IF(VACnom&gt;Vbat, Table7[[#This Row],[PIV (mW) C]]+Table7[[#This Row],[PQoss (mW) C]]+Table7[[#This Row],[Pgate_top (mW) C]], Table7[[#This Row],[PRR (mW) C]]+Table7[[#This Row],[Pdead (mW) C]]+Table7[[#This Row],[Pgate_top (mW) C]])</f>
        <v>#NAME?</v>
      </c>
      <c r="BV192" s="145" t="e">
        <f ca="1">Table7[[#This Row],[Pcon_top (mW) C]]+Table7[[#This Row],[Psw_top (mW) C]]</f>
        <v>#NAME?</v>
      </c>
      <c r="BW192" s="145" t="e">
        <f ca="1">IF(VACnom&gt;Vbat, (1-Table7[[#This Row],[Duty Cycle]])*Table7[[#This Row],[I_L RMS]]^2*C_MOSFET_S_RDSON_L_BU*10^-3, Table7[[#This Row],[Duty Cycle]]*Table7[[#This Row],[I_L RMS]]^2*C_MOSFET_S_RDSON_L_BO*10^-3)/10^-3</f>
        <v>#NAME?</v>
      </c>
      <c r="BX192" s="145" t="e">
        <f ca="1">IF(VACnom&gt;Vbat, Table7[[#This Row],[PRR (mW) C]]+Table7[[#This Row],[Pdead (mW) C]]+Table7[[#This Row],[Pgate_bottom (mW) C]], Table7[[#This Row],[PIV (mW) C]]+Table7[[#This Row],[PQoss (mW) C]]+Table7[[#This Row],[Pgate_bottom (mW) C]])</f>
        <v>#NAME?</v>
      </c>
      <c r="BY192" s="145" t="e">
        <f ca="1">Table7[[#This Row],[Pcon_bottom (mW) C]]+Table7[[#This Row],[Psw_bottom (mV) C]]</f>
        <v>#NAME?</v>
      </c>
      <c r="BZ192" s="145" t="e">
        <f ca="1">Table7[[#This Row],[Pbottom (mW) C]]+Table7[[#This Row],[Ptop (mW) C]]</f>
        <v>#NAME?</v>
      </c>
      <c r="CA192" s="148"/>
      <c r="CB192" s="144">
        <f>(RAC_SNS*10^-3*(Table7[[#This Row],[IOUT (A)]]*Vbat/VACnom)^2/10^-3)</f>
        <v>92.665125000000003</v>
      </c>
      <c r="CC192" s="144">
        <f>(RBAT_SNS*10^-3*Table7[[#This Row],[IOUT (A)]]^2)/10^-3</f>
        <v>64.800000000000011</v>
      </c>
      <c r="CD192" s="144">
        <f>IF(VACnom&gt;Vbat,(L_DRC*10^-3*(Table7[[#This Row],[IOUT (A)]])^2/10^-3),(L_DRC*10^-3*(Table7[[#This Row],[IOUT (A)]]*Vbat/VACnom)^2/10^-3))</f>
        <v>63.012284999999984</v>
      </c>
      <c r="CE192" s="152"/>
      <c r="CF192" s="145">
        <f>(Table7[[#This Row],[R_AC (mW)]]+Table7[[#This Row],[R_SR (mW)]]+Table7[[#This Row],[Inductor Loss (mW)]])/10^3</f>
        <v>0.22047740999999998</v>
      </c>
      <c r="CG192" s="145" t="e">
        <f ca="1">Table7[[#This Row],[Total TI (mW)]]/10^3</f>
        <v>#NAME?</v>
      </c>
      <c r="CH192" s="145" t="e">
        <f ca="1">Table7[[#This Row],[Total Sense Loss]]+Table7[[#This Row],[Total MOSFET Loss]]</f>
        <v>#NAME?</v>
      </c>
      <c r="CI192" s="149" t="e">
        <f ca="1">IF(Table7[[#This Row],[POUT (W)]]=0,0,(Table7[[#This Row],[POUT (W)]])/(Table7[[#This Row],[POUT (W)]]+Table7[[#This Row],[Total Power Loss (W)]]))*100</f>
        <v>#NAME?</v>
      </c>
      <c r="CJ192" s="153"/>
      <c r="CK192" s="145">
        <f>(Table7[[#This Row],[R_AC (mW)]]+Table7[[#This Row],[R_SR (mW)]]+Table7[[#This Row],[Inductor Loss (mW)]])/10^3</f>
        <v>0.22047740999999998</v>
      </c>
      <c r="CL192" s="145" t="e">
        <f ca="1">Table7[[#This Row],[Total (mW) C]]/10^3</f>
        <v>#NAME?</v>
      </c>
      <c r="CM192" s="145" t="e">
        <f ca="1">Table7[[#This Row],[Total Sense Loss C]]+Table7[[#This Row],[Total MOSFET Loss C]]</f>
        <v>#NAME?</v>
      </c>
      <c r="CN192" s="149" t="e">
        <f ca="1">IF(Table7[[#This Row],[POUT (W)]]=0,0,(Table7[[#This Row],[POUT (W)]])/(Table7[[#This Row],[POUT (W)]]+Table7[[#This Row],[Total Power Loss (W) C]]))*100</f>
        <v>#NAME?</v>
      </c>
      <c r="CO192" s="153"/>
      <c r="CP192" s="149">
        <f>IF(MOSFET_S=Custom_MOSFET,Table7[[#This Row],[Total Sense Loss C]],Table7[[#This Row],[Total Sense Loss]])</f>
        <v>0.22047740999999998</v>
      </c>
      <c r="CQ192" s="149" t="e">
        <f ca="1">IF(MOSFET_S=Custom_MOSFET,Table7[[#This Row],[Total MOSFET Loss C]],Table7[[#This Row],[Total MOSFET Loss]])</f>
        <v>#NAME?</v>
      </c>
      <c r="CR192" s="149" t="e">
        <f ca="1">IF(MOSFET_S=Custom_MOSFET,Table7[[#This Row],[Efficiency C]],Table7[[#This Row],[Efficiency]])</f>
        <v>#NAME?</v>
      </c>
      <c r="CS192" s="153"/>
      <c r="CT192" s="149">
        <f>IF(MOSFET_S=Compare_MOSFET, Table7[[#This Row],[Total Sense Loss C]], -100)</f>
        <v>-100</v>
      </c>
      <c r="CU192" s="149">
        <f>IF(MOSFET_S=Compare_MOSFET, Table7[[#This Row],[Total MOSFET Loss C]], -100)</f>
        <v>-100</v>
      </c>
      <c r="CV192" s="149">
        <f>IF(MOSFET_S=Compare_MOSFET, Table7[[#This Row],[Efficiency C]], -100)</f>
        <v>-100</v>
      </c>
      <c r="CW192" s="153"/>
      <c r="CX192" s="149">
        <f ca="1">IF(Save_Sel=CLR_Save,  Table7[[#This Row],[Total Sense Loss P1]], Table7[[#This Row],[Total Sense Loss P1 Saved]])</f>
        <v>0.18488250000000006</v>
      </c>
      <c r="CY192" s="149">
        <f ca="1">IF(Save_Sel=CLR_Save,  Table7[[#This Row],[Total MOSFET Loss P1]], Table7[[#This Row],[Total MOSFET Loss P1 Saved]] )</f>
        <v>1.7336550888166016</v>
      </c>
      <c r="CZ192" s="149">
        <f ca="1">IF(Save_Sel=CLR_Save, Table7[[#This Row],[Efficiency P1]], Table7[[#This Row],[Efficiency P1 Saved]])</f>
        <v>91.842445213392466</v>
      </c>
      <c r="DA192" s="153"/>
      <c r="DB192" s="149">
        <f ca="1">IF(Save_Sel=CLR_Save,  Table7[[#This Row],[Total Sense Loss P2]], Table7[[#This Row],[Total Sense Loss P2 Saved]])</f>
        <v>0.18488250000000006</v>
      </c>
      <c r="DC192" s="149">
        <f ca="1">IF(Save_Sel=CLR_Save,  Table7[[#This Row],[Total MOSFET Loss P2]], Table7[[#This Row],[Total MOSFET Loss P2 Saved]] )</f>
        <v>1.1476911035475554</v>
      </c>
      <c r="DD192" s="149">
        <f ca="1">IF(Save_Sel=CLR_Save, Table7[[#This Row],[Efficiency P2]], Table7[[#This Row],[Efficiency P2 Saved]])</f>
        <v>94.189166787013335</v>
      </c>
      <c r="DE192" s="153"/>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row>
    <row r="193" spans="1:165" x14ac:dyDescent="0.2">
      <c r="A193" s="32"/>
      <c r="B193" s="49"/>
      <c r="C193" s="49"/>
      <c r="D193" s="32"/>
      <c r="E193" s="66"/>
      <c r="F193" s="66"/>
      <c r="G193" s="49"/>
      <c r="H193" s="29"/>
      <c r="I193" s="29"/>
      <c r="J193" s="29"/>
      <c r="K193" s="29"/>
      <c r="L193" s="29"/>
      <c r="M193" s="29"/>
      <c r="N193" s="29"/>
      <c r="O193" s="29"/>
      <c r="P193" s="29"/>
      <c r="Q193" s="29"/>
      <c r="R193" s="29"/>
      <c r="S193" s="30"/>
      <c r="T193" s="18"/>
      <c r="U193" s="19"/>
      <c r="V193" s="19"/>
      <c r="W193" s="19"/>
      <c r="X193" s="19"/>
      <c r="Y193" s="19"/>
      <c r="Z193" s="19"/>
      <c r="AA193" s="19"/>
      <c r="AB193" s="19"/>
      <c r="AC193" s="19"/>
      <c r="AD193" s="19"/>
      <c r="AE193" s="19"/>
      <c r="AF193" s="143">
        <f t="shared" si="17"/>
        <v>37</v>
      </c>
      <c r="AG193" s="143">
        <f t="shared" si="39"/>
        <v>3.7</v>
      </c>
      <c r="AH193" s="144">
        <f t="shared" si="28"/>
        <v>88.800000000000011</v>
      </c>
      <c r="AI193" s="145">
        <f t="shared" si="29"/>
        <v>0.16376306620209058</v>
      </c>
      <c r="AJ193" s="145">
        <f t="shared" si="30"/>
        <v>4.4245833333333335</v>
      </c>
      <c r="AK193" s="145" t="e">
        <f t="shared" si="26"/>
        <v>#NAME?</v>
      </c>
      <c r="AL193" s="145" t="e">
        <f t="shared" si="27"/>
        <v>#NAME?</v>
      </c>
      <c r="AM193" s="146"/>
      <c r="AN193" s="145" t="e">
        <f>MAX(0,Table7[[#This Row],[I_L]]-0.5*Table7[[#This Row],[I_L pkpk]])</f>
        <v>#NAME?</v>
      </c>
      <c r="AO193" s="145" t="e">
        <f>Table7[[#This Row],[I_L]]+0.5*Table7[[#This Row],[I_L pkpk]]</f>
        <v>#NAME?</v>
      </c>
      <c r="AP193" s="145" t="e">
        <f ca="1">IF(VACnom&gt;Vbat, (VGS_S-(TI_MOSFET_S_VTH_H_BU+Table7[[#This Row],[I_L]]/TI_MOSFET_S_gFS_H_BU))/3.4, (VGS_S-(TI_MOSFET_S_VTH_L_BO+Table7[[#This Row],[I_L]]/TI_MOSFET_S_gFS_L_BO))/3.4 )</f>
        <v>#REF!</v>
      </c>
      <c r="AQ193" s="145" t="e">
        <f ca="1">IF(VACnom&gt;Vbat, ((TI_MOSFET_S_VTH_H_BU+Table7[[#This Row],[I_L]]/TI_MOSFET_S_gFS_H_BU))/1, ((TI_MOSFET_S_VTH_L_BO+Table7[[#This Row],[I_L]]/TI_MOSFET_S_gFS_L_BO))/1 )</f>
        <v>#REF!</v>
      </c>
      <c r="AR193" s="145" t="e">
        <f ca="1">IF(VACnom&gt;Vbat, (TI_MOSFET_S_QGD_H_BU+TI_MOSFET_S_QGS_H_BU)*10^-9/Table7[[#This Row],[Ion (A)]], (TI_MOSFET_S_QGD_L_BO+TI_MOSFET_S_QGS_L_BO)*10^-9/Table7[[#This Row],[Ion (A)]])/10^-9</f>
        <v>#REF!</v>
      </c>
      <c r="AS193" s="145" t="e">
        <f ca="1">IF(VACnom&gt;Vbat, (TI_MOSFET_S_QGD_H_BU+TI_MOSFET_S_QGS_H_BU)*10^-9/Table7[[#This Row],[Ioff (A)]], (TI_MOSFET_S_QGD_L_BO+TI_MOSFET_S_QGS_L_BO)*10^-9/Table7[[#This Row],[Ioff (A)]])/10^-9</f>
        <v>#REF!</v>
      </c>
      <c r="AT193" s="145" t="e">
        <f ca="1" xml:space="preserve"> 0.5*VACnom*Table7[[#This Row],[Ivalley (A)]]*Table7[[#This Row],[ton (ns)]]*10^-9*Fsw*10^3+0.5*VACnom*Table7[[#This Row],[Ipeak (A)]]*Table7[[#This Row],[toff (ns)]]*10^-9*Fsw*10^3/10^-3</f>
        <v>#NAME?</v>
      </c>
      <c r="AU193" s="145" t="e">
        <f t="shared" ca="1" si="31"/>
        <v>#REF!</v>
      </c>
      <c r="AV193" s="145" t="e">
        <f t="shared" ca="1" si="32"/>
        <v>#REF!</v>
      </c>
      <c r="AW193" s="145" t="e">
        <f t="shared" ca="1" si="33"/>
        <v>#REF!</v>
      </c>
      <c r="AX193" s="145" t="e">
        <f ca="1">IF(VACnom&gt;Vbat, TI_MOSFET_S_VSD_L_BU*Table7[[#This Row],[Ivalley (A)]]*Fsw*10^3*40*10^-9+TI_MOSFET_S_VSD_L_BU*Table7[[#This Row],[Ipeak (A)]]*Fsw*10^3*30*10^-9, TI_MOSFET_S_VSD_H_BO*Table7[[#This Row],[Ivalley (A)]]*Fsw*10^3*40*10^-9+TI_MOSFET_S_VSD_H_BO*Table7[[#This Row],[Ipeak (A)]]*Fsw*10^3*30*10^-9)/10^-3</f>
        <v>#REF!</v>
      </c>
      <c r="AY193" s="145" t="e">
        <f t="shared" ca="1" si="34"/>
        <v>#REF!</v>
      </c>
      <c r="AZ193" s="145" t="e">
        <f ca="1">IF(VACnom&lt;Vbat, Table7[[#This Row],[Duty Cycle]]*Table7[[#This Row],[I_L RMS]]^2*TI_MOSFET_S_RDSON_H_BU*10^-3, (1-Table7[[#This Row],[Duty Cycle]])*Table7[[#This Row],[I_L RMS]]^2*TI_MOSFET_S_RDSON_H_BO*10^-3)/10^-3</f>
        <v>#NAME?</v>
      </c>
      <c r="BA193" s="145" t="e">
        <f ca="1">IF(VACnom&gt;Vbat, Table7[[#This Row],[PIV (mW)]]+Table7[[#This Row],[Pqoss (mW)]]+Table7[[#This Row],[Pgate_top (mW)]], Table7[[#This Row],[PRR (mW)]]+Table7[[#This Row],[Pdead (mW)]]+Table7[[#This Row],[Pgate_top (mW)]])</f>
        <v>#REF!</v>
      </c>
      <c r="BB193" s="145" t="e">
        <f ca="1">Table7[[#This Row],[Pcon_top (mW)]]+Table7[[#This Row],[Psw_top (mW)]]</f>
        <v>#NAME?</v>
      </c>
      <c r="BC193" s="145" t="e">
        <f ca="1">IF(VACnom&gt;Vbat, (1-Table7[[#This Row],[Duty Cycle]])*Table7[[#This Row],[I_L RMS]]^2*TI_MOSFET_S_RDSON_L_BU*10^-3, Table7[[#This Row],[Duty Cycle]]*Table7[[#This Row],[I_L RMS]]^2*TI_MOSFET_S_RDSON_L_BO*10^-3)/10^-3</f>
        <v>#NAME?</v>
      </c>
      <c r="BD193" s="145" t="e">
        <f ca="1">IF(VACnom&gt;Vbat, Table7[[#This Row],[PRR (mW)]]+Table7[[#This Row],[Pdead (mW)]]+Table7[[#This Row],[Pgate_bottom (mW)]], Table7[[#This Row],[PIV (mW)]]+Table7[[#This Row],[Pqoss (mW)]]+Table7[[#This Row],[Pgate_bottom (mW)]])</f>
        <v>#NAME?</v>
      </c>
      <c r="BE193" s="147" t="e">
        <f ca="1">Table7[[#This Row],[Pcon_bottom (mW)]]+Table7[[#This Row],[Psw_bottom (mW)]]</f>
        <v>#NAME?</v>
      </c>
      <c r="BF193" s="145" t="e">
        <f ca="1">Table7[[#This Row],[Pbottom (mW)]]+Table7[[#This Row],[Ptop (mW)]]</f>
        <v>#NAME?</v>
      </c>
      <c r="BG193" s="142"/>
      <c r="BH193" s="145" t="e">
        <f>MAX(0,Table7[[#This Row],[I_L]]-0.5*Table7[[#This Row],[I_L pkpk]])</f>
        <v>#NAME?</v>
      </c>
      <c r="BI193" s="145" t="e">
        <f>Table7[[#This Row],[I_L]]+0.5*Table7[[#This Row],[I_L pkpk]]</f>
        <v>#NAME?</v>
      </c>
      <c r="BJ193" s="145">
        <f>IF(VACnom&gt;Vbat, (VGS_S-(C_MOSFET_S_VTH_H_BU+Table7[[#This Row],[I_L]]/C_MOSFET_S_gFS_H_BU))/3.4, (VGS_S-(C_MOSFET_S_VTH_L_BO+Table7[[#This Row],[I_L]]/C_MOSFET_S_gFS_L_BO))/3.4 )</f>
        <v>2.3442655228758169</v>
      </c>
      <c r="BK193" s="145">
        <f>IF(VACnom&gt;Vbat, ((C_MOSFET_S_VTH_H_BU+Table7[[#This Row],[I_L]]/C_MOSFET_S_gFS_H_BU))/1, ((C_MOSFET_S_VTH_L_BO+Table7[[#This Row],[I_L]]/C_MOSFET_S_gFS_L_BO))/1 )</f>
        <v>2.0294972222222221</v>
      </c>
      <c r="BL193" s="145">
        <f>IF(VACnom&gt;Vbat, (C_MOSFET_S_QGD_H_BU+C_MOSFET_S_QGS_H_BU)*10^-9/Table7[[#This Row],[Ion (A) C]], (C_MOSFET_S_QGD_L_BO+C_MOSFET_S_QGS_L_BO)*10^-9/Table7[[#This Row],[Ion (A) C]])/10^-9</f>
        <v>2.7727234549890722</v>
      </c>
      <c r="BM193" s="145">
        <f>IF(VACnom&gt;Vbat, (C_MOSFET_S_QGD_H_BU+C_MOSFET_S_QGS_H_BU)*10^-9/Table7[[#This Row],[Ioff (A) C]], (C_MOSFET_S_QGD_L_BO+C_MOSFET_S_QGS_L_BO)*10^-9/Table7[[#This Row],[Ioff (A) C]])/10^-9</f>
        <v>3.2027636839447102</v>
      </c>
      <c r="BN193" s="145" t="e">
        <f xml:space="preserve"> 0.5*VACnom*Table7[[#This Row],[Ivalley (A) C]]*Table7[[#This Row],[ton (ns) C]]*10^-9*Fsw*10^3+0.5*VACnom*Table7[[#This Row],[Ipeak (A) C]]*Table7[[#This Row],[toff (ns) C]]*10^-9*Fsw*10^3/10^-3</f>
        <v>#NAME?</v>
      </c>
      <c r="BO193" s="145">
        <f t="shared" si="35"/>
        <v>259.2</v>
      </c>
      <c r="BP193" s="145" t="e">
        <f t="shared" ca="1" si="36"/>
        <v>#REF!</v>
      </c>
      <c r="BQ193" s="145">
        <f t="shared" si="37"/>
        <v>475.2</v>
      </c>
      <c r="BR193" s="145" t="e">
        <f>IF(VACnom&gt;Vbat, C_MOSFET_S_VSD_L_BU*Table7[[#This Row],[Ivalley (A) C]]*Fsw*10^3*40*10^-9+C_MOSFET_S_VSD_L_BU*Table7[[#This Row],[Ipeak (A) C]]*Fsw*10^3*30*10^-9, C_MOSFET_S_VSD_H_BO*Table7[[#This Row],[Ivalley (A) C]]*Fsw*10^3*40*10^-9+C_MOSFET_S_VSD_H_BO*Table7[[#This Row],[Ipeak (A) C]]*Fsw*10^3*30*10^-9)/10^-3</f>
        <v>#NAME?</v>
      </c>
      <c r="BS193" s="145" t="e">
        <f t="shared" ca="1" si="38"/>
        <v>#REF!</v>
      </c>
      <c r="BT193" s="145" t="e">
        <f>IF(VACnom&lt;Vbat, Table7[[#This Row],[Duty Cycle]]*Table7[[#This Row],[I_L RMS]]^2*C_MOSFET_S_RDSON_H_BU*10^-3, (1-Table7[[#This Row],[Duty Cycle]])*Table7[[#This Row],[I_L RMS]]^2*C_MOSFET_S_RDSON_H_BO*10^-3)/10^-3</f>
        <v>#NAME?</v>
      </c>
      <c r="BU193" s="145" t="e">
        <f ca="1">IF(VACnom&gt;Vbat, Table7[[#This Row],[PIV (mW) C]]+Table7[[#This Row],[PQoss (mW) C]]+Table7[[#This Row],[Pgate_top (mW) C]], Table7[[#This Row],[PRR (mW) C]]+Table7[[#This Row],[Pdead (mW) C]]+Table7[[#This Row],[Pgate_top (mW) C]])</f>
        <v>#NAME?</v>
      </c>
      <c r="BV193" s="145" t="e">
        <f ca="1">Table7[[#This Row],[Pcon_top (mW) C]]+Table7[[#This Row],[Psw_top (mW) C]]</f>
        <v>#NAME?</v>
      </c>
      <c r="BW193" s="145" t="e">
        <f ca="1">IF(VACnom&gt;Vbat, (1-Table7[[#This Row],[Duty Cycle]])*Table7[[#This Row],[I_L RMS]]^2*C_MOSFET_S_RDSON_L_BU*10^-3, Table7[[#This Row],[Duty Cycle]]*Table7[[#This Row],[I_L RMS]]^2*C_MOSFET_S_RDSON_L_BO*10^-3)/10^-3</f>
        <v>#NAME?</v>
      </c>
      <c r="BX193" s="145" t="e">
        <f ca="1">IF(VACnom&gt;Vbat, Table7[[#This Row],[PRR (mW) C]]+Table7[[#This Row],[Pdead (mW) C]]+Table7[[#This Row],[Pgate_bottom (mW) C]], Table7[[#This Row],[PIV (mW) C]]+Table7[[#This Row],[PQoss (mW) C]]+Table7[[#This Row],[Pgate_bottom (mW) C]])</f>
        <v>#NAME?</v>
      </c>
      <c r="BY193" s="145" t="e">
        <f ca="1">Table7[[#This Row],[Pcon_bottom (mW) C]]+Table7[[#This Row],[Psw_bottom (mV) C]]</f>
        <v>#NAME?</v>
      </c>
      <c r="BZ193" s="145" t="e">
        <f ca="1">Table7[[#This Row],[Pbottom (mW) C]]+Table7[[#This Row],[Ptop (mW) C]]</f>
        <v>#NAME?</v>
      </c>
      <c r="CA193" s="148"/>
      <c r="CB193" s="144">
        <f>(RAC_SNS*10^-3*(Table7[[#This Row],[IOUT (A)]]*Vbat/VACnom)^2/10^-3)</f>
        <v>97.884688368055564</v>
      </c>
      <c r="CC193" s="144">
        <f>(RBAT_SNS*10^-3*Table7[[#This Row],[IOUT (A)]]^2)/10^-3</f>
        <v>68.45</v>
      </c>
      <c r="CD193" s="144">
        <f>IF(VACnom&gt;Vbat,(L_DRC*10^-3*(Table7[[#This Row],[IOUT (A)]])^2/10^-3),(L_DRC*10^-3*(Table7[[#This Row],[IOUT (A)]]*Vbat/VACnom)^2/10^-3))</f>
        <v>66.56158809027778</v>
      </c>
      <c r="CE193" s="152"/>
      <c r="CF193" s="145">
        <f>(Table7[[#This Row],[R_AC (mW)]]+Table7[[#This Row],[R_SR (mW)]]+Table7[[#This Row],[Inductor Loss (mW)]])/10^3</f>
        <v>0.23289627645833336</v>
      </c>
      <c r="CG193" s="145" t="e">
        <f ca="1">Table7[[#This Row],[Total TI (mW)]]/10^3</f>
        <v>#NAME?</v>
      </c>
      <c r="CH193" s="145" t="e">
        <f ca="1">Table7[[#This Row],[Total Sense Loss]]+Table7[[#This Row],[Total MOSFET Loss]]</f>
        <v>#NAME?</v>
      </c>
      <c r="CI193" s="149" t="e">
        <f ca="1">IF(Table7[[#This Row],[POUT (W)]]=0,0,(Table7[[#This Row],[POUT (W)]])/(Table7[[#This Row],[POUT (W)]]+Table7[[#This Row],[Total Power Loss (W)]]))*100</f>
        <v>#NAME?</v>
      </c>
      <c r="CJ193" s="153"/>
      <c r="CK193" s="145">
        <f>(Table7[[#This Row],[R_AC (mW)]]+Table7[[#This Row],[R_SR (mW)]]+Table7[[#This Row],[Inductor Loss (mW)]])/10^3</f>
        <v>0.23289627645833336</v>
      </c>
      <c r="CL193" s="145" t="e">
        <f ca="1">Table7[[#This Row],[Total (mW) C]]/10^3</f>
        <v>#NAME?</v>
      </c>
      <c r="CM193" s="145" t="e">
        <f ca="1">Table7[[#This Row],[Total Sense Loss C]]+Table7[[#This Row],[Total MOSFET Loss C]]</f>
        <v>#NAME?</v>
      </c>
      <c r="CN193" s="149" t="e">
        <f ca="1">IF(Table7[[#This Row],[POUT (W)]]=0,0,(Table7[[#This Row],[POUT (W)]])/(Table7[[#This Row],[POUT (W)]]+Table7[[#This Row],[Total Power Loss (W) C]]))*100</f>
        <v>#NAME?</v>
      </c>
      <c r="CO193" s="153"/>
      <c r="CP193" s="149">
        <f>IF(MOSFET_S=Custom_MOSFET,Table7[[#This Row],[Total Sense Loss C]],Table7[[#This Row],[Total Sense Loss]])</f>
        <v>0.23289627645833336</v>
      </c>
      <c r="CQ193" s="149" t="e">
        <f ca="1">IF(MOSFET_S=Custom_MOSFET,Table7[[#This Row],[Total MOSFET Loss C]],Table7[[#This Row],[Total MOSFET Loss]])</f>
        <v>#NAME?</v>
      </c>
      <c r="CR193" s="149" t="e">
        <f ca="1">IF(MOSFET_S=Custom_MOSFET,Table7[[#This Row],[Efficiency C]],Table7[[#This Row],[Efficiency]])</f>
        <v>#NAME?</v>
      </c>
      <c r="CS193" s="153"/>
      <c r="CT193" s="149">
        <f>IF(MOSFET_S=Compare_MOSFET, Table7[[#This Row],[Total Sense Loss C]], -100)</f>
        <v>-100</v>
      </c>
      <c r="CU193" s="149">
        <f>IF(MOSFET_S=Compare_MOSFET, Table7[[#This Row],[Total MOSFET Loss C]], -100)</f>
        <v>-100</v>
      </c>
      <c r="CV193" s="149">
        <f>IF(MOSFET_S=Compare_MOSFET, Table7[[#This Row],[Efficiency C]], -100)</f>
        <v>-100</v>
      </c>
      <c r="CW193" s="153"/>
      <c r="CX193" s="149">
        <f ca="1">IF(Save_Sel=CLR_Save,  Table7[[#This Row],[Total Sense Loss P1]], Table7[[#This Row],[Total Sense Loss P1 Saved]])</f>
        <v>0.19529640625000003</v>
      </c>
      <c r="CY193" s="149">
        <f ca="1">IF(Save_Sel=CLR_Save,  Table7[[#This Row],[Total MOSFET Loss P1]], Table7[[#This Row],[Total MOSFET Loss P1 Saved]] )</f>
        <v>1.7430451271573661</v>
      </c>
      <c r="CZ193" s="149">
        <f ca="1">IF(Save_Sel=CLR_Save, Table7[[#This Row],[Efficiency P1]], Table7[[#This Row],[Efficiency P1 Saved]])</f>
        <v>91.969864496594724</v>
      </c>
      <c r="DA193" s="153"/>
      <c r="DB193" s="149">
        <f ca="1">IF(Save_Sel=CLR_Save,  Table7[[#This Row],[Total Sense Loss P2]], Table7[[#This Row],[Total Sense Loss P2 Saved]])</f>
        <v>0.19529640625000003</v>
      </c>
      <c r="DC193" s="149">
        <f ca="1">IF(Save_Sel=CLR_Save,  Table7[[#This Row],[Total MOSFET Loss P2]], Table7[[#This Row],[Total MOSFET Loss P2 Saved]] )</f>
        <v>1.1545451016680601</v>
      </c>
      <c r="DD193" s="149">
        <f ca="1">IF(Save_Sel=CLR_Save, Table7[[#This Row],[Efficiency P2]], Table7[[#This Row],[Efficiency P2 Saved]])</f>
        <v>94.268150350548169</v>
      </c>
      <c r="DE193" s="153"/>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row>
    <row r="194" spans="1:165" x14ac:dyDescent="0.2">
      <c r="A194" s="32"/>
      <c r="B194" s="49"/>
      <c r="C194" s="49"/>
      <c r="D194" s="32"/>
      <c r="E194" s="66"/>
      <c r="F194" s="66"/>
      <c r="G194" s="49"/>
      <c r="H194" s="29"/>
      <c r="I194" s="29"/>
      <c r="J194" s="29"/>
      <c r="K194" s="29"/>
      <c r="L194" s="29"/>
      <c r="M194" s="29"/>
      <c r="N194" s="29"/>
      <c r="O194" s="29"/>
      <c r="P194" s="29"/>
      <c r="Q194" s="29"/>
      <c r="R194" s="29"/>
      <c r="S194" s="30"/>
      <c r="T194" s="18"/>
      <c r="U194" s="19"/>
      <c r="V194" s="19"/>
      <c r="W194" s="19"/>
      <c r="X194" s="19"/>
      <c r="Y194" s="19"/>
      <c r="Z194" s="19"/>
      <c r="AA194" s="19"/>
      <c r="AB194" s="19"/>
      <c r="AC194" s="19"/>
      <c r="AD194" s="19"/>
      <c r="AE194" s="19"/>
      <c r="AF194" s="143">
        <f t="shared" si="17"/>
        <v>38</v>
      </c>
      <c r="AG194" s="143">
        <f t="shared" si="39"/>
        <v>3.8</v>
      </c>
      <c r="AH194" s="144">
        <f t="shared" si="28"/>
        <v>91.199999999999989</v>
      </c>
      <c r="AI194" s="145">
        <f t="shared" si="29"/>
        <v>0.16376306620209058</v>
      </c>
      <c r="AJ194" s="145">
        <f t="shared" si="30"/>
        <v>4.5441666666666665</v>
      </c>
      <c r="AK194" s="145" t="e">
        <f t="shared" si="26"/>
        <v>#NAME?</v>
      </c>
      <c r="AL194" s="145" t="e">
        <f t="shared" si="27"/>
        <v>#NAME?</v>
      </c>
      <c r="AM194" s="146"/>
      <c r="AN194" s="145" t="e">
        <f>MAX(0,Table7[[#This Row],[I_L]]-0.5*Table7[[#This Row],[I_L pkpk]])</f>
        <v>#NAME?</v>
      </c>
      <c r="AO194" s="145" t="e">
        <f>Table7[[#This Row],[I_L]]+0.5*Table7[[#This Row],[I_L pkpk]]</f>
        <v>#NAME?</v>
      </c>
      <c r="AP194" s="145" t="e">
        <f ca="1">IF(VACnom&gt;Vbat, (VGS_S-(TI_MOSFET_S_VTH_H_BU+Table7[[#This Row],[I_L]]/TI_MOSFET_S_gFS_H_BU))/3.4, (VGS_S-(TI_MOSFET_S_VTH_L_BO+Table7[[#This Row],[I_L]]/TI_MOSFET_S_gFS_L_BO))/3.4 )</f>
        <v>#REF!</v>
      </c>
      <c r="AQ194" s="145" t="e">
        <f ca="1">IF(VACnom&gt;Vbat, ((TI_MOSFET_S_VTH_H_BU+Table7[[#This Row],[I_L]]/TI_MOSFET_S_gFS_H_BU))/1, ((TI_MOSFET_S_VTH_L_BO+Table7[[#This Row],[I_L]]/TI_MOSFET_S_gFS_L_BO))/1 )</f>
        <v>#REF!</v>
      </c>
      <c r="AR194" s="145" t="e">
        <f ca="1">IF(VACnom&gt;Vbat, (TI_MOSFET_S_QGD_H_BU+TI_MOSFET_S_QGS_H_BU)*10^-9/Table7[[#This Row],[Ion (A)]], (TI_MOSFET_S_QGD_L_BO+TI_MOSFET_S_QGS_L_BO)*10^-9/Table7[[#This Row],[Ion (A)]])/10^-9</f>
        <v>#REF!</v>
      </c>
      <c r="AS194" s="145" t="e">
        <f ca="1">IF(VACnom&gt;Vbat, (TI_MOSFET_S_QGD_H_BU+TI_MOSFET_S_QGS_H_BU)*10^-9/Table7[[#This Row],[Ioff (A)]], (TI_MOSFET_S_QGD_L_BO+TI_MOSFET_S_QGS_L_BO)*10^-9/Table7[[#This Row],[Ioff (A)]])/10^-9</f>
        <v>#REF!</v>
      </c>
      <c r="AT194" s="145" t="e">
        <f ca="1" xml:space="preserve"> 0.5*VACnom*Table7[[#This Row],[Ivalley (A)]]*Table7[[#This Row],[ton (ns)]]*10^-9*Fsw*10^3+0.5*VACnom*Table7[[#This Row],[Ipeak (A)]]*Table7[[#This Row],[toff (ns)]]*10^-9*Fsw*10^3/10^-3</f>
        <v>#NAME?</v>
      </c>
      <c r="AU194" s="145" t="e">
        <f t="shared" ca="1" si="31"/>
        <v>#REF!</v>
      </c>
      <c r="AV194" s="145" t="e">
        <f t="shared" ca="1" si="32"/>
        <v>#REF!</v>
      </c>
      <c r="AW194" s="145" t="e">
        <f t="shared" ca="1" si="33"/>
        <v>#REF!</v>
      </c>
      <c r="AX194" s="145" t="e">
        <f ca="1">IF(VACnom&gt;Vbat, TI_MOSFET_S_VSD_L_BU*Table7[[#This Row],[Ivalley (A)]]*Fsw*10^3*40*10^-9+TI_MOSFET_S_VSD_L_BU*Table7[[#This Row],[Ipeak (A)]]*Fsw*10^3*30*10^-9, TI_MOSFET_S_VSD_H_BO*Table7[[#This Row],[Ivalley (A)]]*Fsw*10^3*40*10^-9+TI_MOSFET_S_VSD_H_BO*Table7[[#This Row],[Ipeak (A)]]*Fsw*10^3*30*10^-9)/10^-3</f>
        <v>#REF!</v>
      </c>
      <c r="AY194" s="145" t="e">
        <f t="shared" ca="1" si="34"/>
        <v>#REF!</v>
      </c>
      <c r="AZ194" s="145" t="e">
        <f ca="1">IF(VACnom&lt;Vbat, Table7[[#This Row],[Duty Cycle]]*Table7[[#This Row],[I_L RMS]]^2*TI_MOSFET_S_RDSON_H_BU*10^-3, (1-Table7[[#This Row],[Duty Cycle]])*Table7[[#This Row],[I_L RMS]]^2*TI_MOSFET_S_RDSON_H_BO*10^-3)/10^-3</f>
        <v>#NAME?</v>
      </c>
      <c r="BA194" s="145" t="e">
        <f ca="1">IF(VACnom&gt;Vbat, Table7[[#This Row],[PIV (mW)]]+Table7[[#This Row],[Pqoss (mW)]]+Table7[[#This Row],[Pgate_top (mW)]], Table7[[#This Row],[PRR (mW)]]+Table7[[#This Row],[Pdead (mW)]]+Table7[[#This Row],[Pgate_top (mW)]])</f>
        <v>#REF!</v>
      </c>
      <c r="BB194" s="145" t="e">
        <f ca="1">Table7[[#This Row],[Pcon_top (mW)]]+Table7[[#This Row],[Psw_top (mW)]]</f>
        <v>#NAME?</v>
      </c>
      <c r="BC194" s="145" t="e">
        <f ca="1">IF(VACnom&gt;Vbat, (1-Table7[[#This Row],[Duty Cycle]])*Table7[[#This Row],[I_L RMS]]^2*TI_MOSFET_S_RDSON_L_BU*10^-3, Table7[[#This Row],[Duty Cycle]]*Table7[[#This Row],[I_L RMS]]^2*TI_MOSFET_S_RDSON_L_BO*10^-3)/10^-3</f>
        <v>#NAME?</v>
      </c>
      <c r="BD194" s="145" t="e">
        <f ca="1">IF(VACnom&gt;Vbat, Table7[[#This Row],[PRR (mW)]]+Table7[[#This Row],[Pdead (mW)]]+Table7[[#This Row],[Pgate_bottom (mW)]], Table7[[#This Row],[PIV (mW)]]+Table7[[#This Row],[Pqoss (mW)]]+Table7[[#This Row],[Pgate_bottom (mW)]])</f>
        <v>#NAME?</v>
      </c>
      <c r="BE194" s="147" t="e">
        <f ca="1">Table7[[#This Row],[Pcon_bottom (mW)]]+Table7[[#This Row],[Psw_bottom (mW)]]</f>
        <v>#NAME?</v>
      </c>
      <c r="BF194" s="145" t="e">
        <f ca="1">Table7[[#This Row],[Pbottom (mW)]]+Table7[[#This Row],[Ptop (mW)]]</f>
        <v>#NAME?</v>
      </c>
      <c r="BG194" s="142"/>
      <c r="BH194" s="145" t="e">
        <f>MAX(0,Table7[[#This Row],[I_L]]-0.5*Table7[[#This Row],[I_L pkpk]])</f>
        <v>#NAME?</v>
      </c>
      <c r="BI194" s="145" t="e">
        <f>Table7[[#This Row],[I_L]]+0.5*Table7[[#This Row],[I_L pkpk]]</f>
        <v>#NAME?</v>
      </c>
      <c r="BJ194" s="145">
        <f>IF(VACnom&gt;Vbat, (VGS_S-(C_MOSFET_S_VTH_H_BU+Table7[[#This Row],[I_L]]/C_MOSFET_S_gFS_H_BU))/3.4, (VGS_S-(C_MOSFET_S_VTH_L_BO+Table7[[#This Row],[I_L]]/C_MOSFET_S_gFS_L_BO))/3.4 )</f>
        <v>2.3440310457516342</v>
      </c>
      <c r="BK194" s="145">
        <f>IF(VACnom&gt;Vbat, ((C_MOSFET_S_VTH_H_BU+Table7[[#This Row],[I_L]]/C_MOSFET_S_gFS_H_BU))/1, ((C_MOSFET_S_VTH_L_BO+Table7[[#This Row],[I_L]]/C_MOSFET_S_gFS_L_BO))/1 )</f>
        <v>2.0302944444444444</v>
      </c>
      <c r="BL194" s="145">
        <f>IF(VACnom&gt;Vbat, (C_MOSFET_S_QGD_H_BU+C_MOSFET_S_QGS_H_BU)*10^-9/Table7[[#This Row],[Ion (A) C]], (C_MOSFET_S_QGD_L_BO+C_MOSFET_S_QGS_L_BO)*10^-9/Table7[[#This Row],[Ion (A) C]])/10^-9</f>
        <v>2.7730008148913905</v>
      </c>
      <c r="BM194" s="145">
        <f>IF(VACnom&gt;Vbat, (C_MOSFET_S_QGD_H_BU+C_MOSFET_S_QGS_H_BU)*10^-9/Table7[[#This Row],[Ioff (A) C]], (C_MOSFET_S_QGD_L_BO+C_MOSFET_S_QGS_L_BO)*10^-9/Table7[[#This Row],[Ioff (A) C]])/10^-9</f>
        <v>3.2015060760207197</v>
      </c>
      <c r="BN194" s="145" t="e">
        <f xml:space="preserve"> 0.5*VACnom*Table7[[#This Row],[Ivalley (A) C]]*Table7[[#This Row],[ton (ns) C]]*10^-9*Fsw*10^3+0.5*VACnom*Table7[[#This Row],[Ipeak (A) C]]*Table7[[#This Row],[toff (ns) C]]*10^-9*Fsw*10^3/10^-3</f>
        <v>#NAME?</v>
      </c>
      <c r="BO194" s="145">
        <f t="shared" si="35"/>
        <v>259.2</v>
      </c>
      <c r="BP194" s="145" t="e">
        <f t="shared" ca="1" si="36"/>
        <v>#REF!</v>
      </c>
      <c r="BQ194" s="145">
        <f t="shared" si="37"/>
        <v>475.2</v>
      </c>
      <c r="BR194" s="145" t="e">
        <f>IF(VACnom&gt;Vbat, C_MOSFET_S_VSD_L_BU*Table7[[#This Row],[Ivalley (A) C]]*Fsw*10^3*40*10^-9+C_MOSFET_S_VSD_L_BU*Table7[[#This Row],[Ipeak (A) C]]*Fsw*10^3*30*10^-9, C_MOSFET_S_VSD_H_BO*Table7[[#This Row],[Ivalley (A) C]]*Fsw*10^3*40*10^-9+C_MOSFET_S_VSD_H_BO*Table7[[#This Row],[Ipeak (A) C]]*Fsw*10^3*30*10^-9)/10^-3</f>
        <v>#NAME?</v>
      </c>
      <c r="BS194" s="145" t="e">
        <f t="shared" ca="1" si="38"/>
        <v>#REF!</v>
      </c>
      <c r="BT194" s="145" t="e">
        <f>IF(VACnom&lt;Vbat, Table7[[#This Row],[Duty Cycle]]*Table7[[#This Row],[I_L RMS]]^2*C_MOSFET_S_RDSON_H_BU*10^-3, (1-Table7[[#This Row],[Duty Cycle]])*Table7[[#This Row],[I_L RMS]]^2*C_MOSFET_S_RDSON_H_BO*10^-3)/10^-3</f>
        <v>#NAME?</v>
      </c>
      <c r="BU194" s="145" t="e">
        <f ca="1">IF(VACnom&gt;Vbat, Table7[[#This Row],[PIV (mW) C]]+Table7[[#This Row],[PQoss (mW) C]]+Table7[[#This Row],[Pgate_top (mW) C]], Table7[[#This Row],[PRR (mW) C]]+Table7[[#This Row],[Pdead (mW) C]]+Table7[[#This Row],[Pgate_top (mW) C]])</f>
        <v>#NAME?</v>
      </c>
      <c r="BV194" s="145" t="e">
        <f ca="1">Table7[[#This Row],[Pcon_top (mW) C]]+Table7[[#This Row],[Psw_top (mW) C]]</f>
        <v>#NAME?</v>
      </c>
      <c r="BW194" s="145" t="e">
        <f ca="1">IF(VACnom&gt;Vbat, (1-Table7[[#This Row],[Duty Cycle]])*Table7[[#This Row],[I_L RMS]]^2*C_MOSFET_S_RDSON_L_BU*10^-3, Table7[[#This Row],[Duty Cycle]]*Table7[[#This Row],[I_L RMS]]^2*C_MOSFET_S_RDSON_L_BO*10^-3)/10^-3</f>
        <v>#NAME?</v>
      </c>
      <c r="BX194" s="145" t="e">
        <f ca="1">IF(VACnom&gt;Vbat, Table7[[#This Row],[PRR (mW) C]]+Table7[[#This Row],[Pdead (mW) C]]+Table7[[#This Row],[Pgate_bottom (mW) C]], Table7[[#This Row],[PIV (mW) C]]+Table7[[#This Row],[PQoss (mW) C]]+Table7[[#This Row],[Pgate_bottom (mW) C]])</f>
        <v>#NAME?</v>
      </c>
      <c r="BY194" s="145" t="e">
        <f ca="1">Table7[[#This Row],[Pcon_bottom (mW) C]]+Table7[[#This Row],[Psw_bottom (mV) C]]</f>
        <v>#NAME?</v>
      </c>
      <c r="BZ194" s="145" t="e">
        <f ca="1">Table7[[#This Row],[Pbottom (mW) C]]+Table7[[#This Row],[Ptop (mW) C]]</f>
        <v>#NAME?</v>
      </c>
      <c r="CA194" s="148"/>
      <c r="CB194" s="144">
        <f>(RAC_SNS*10^-3*(Table7[[#This Row],[IOUT (A)]]*Vbat/VACnom)^2/10^-3)</f>
        <v>103.24725347222221</v>
      </c>
      <c r="CC194" s="144">
        <f>(RBAT_SNS*10^-3*Table7[[#This Row],[IOUT (A)]]^2)/10^-3</f>
        <v>72.2</v>
      </c>
      <c r="CD194" s="144">
        <f>IF(VACnom&gt;Vbat,(L_DRC*10^-3*(Table7[[#This Row],[IOUT (A)]])^2/10^-3),(L_DRC*10^-3*(Table7[[#This Row],[IOUT (A)]]*Vbat/VACnom)^2/10^-3))</f>
        <v>70.208132361111097</v>
      </c>
      <c r="CE194" s="152"/>
      <c r="CF194" s="145">
        <f>(Table7[[#This Row],[R_AC (mW)]]+Table7[[#This Row],[R_SR (mW)]]+Table7[[#This Row],[Inductor Loss (mW)]])/10^3</f>
        <v>0.2456553858333333</v>
      </c>
      <c r="CG194" s="145" t="e">
        <f ca="1">Table7[[#This Row],[Total TI (mW)]]/10^3</f>
        <v>#NAME?</v>
      </c>
      <c r="CH194" s="145" t="e">
        <f ca="1">Table7[[#This Row],[Total Sense Loss]]+Table7[[#This Row],[Total MOSFET Loss]]</f>
        <v>#NAME?</v>
      </c>
      <c r="CI194" s="149" t="e">
        <f ca="1">IF(Table7[[#This Row],[POUT (W)]]=0,0,(Table7[[#This Row],[POUT (W)]])/(Table7[[#This Row],[POUT (W)]]+Table7[[#This Row],[Total Power Loss (W)]]))*100</f>
        <v>#NAME?</v>
      </c>
      <c r="CJ194" s="153"/>
      <c r="CK194" s="145">
        <f>(Table7[[#This Row],[R_AC (mW)]]+Table7[[#This Row],[R_SR (mW)]]+Table7[[#This Row],[Inductor Loss (mW)]])/10^3</f>
        <v>0.2456553858333333</v>
      </c>
      <c r="CL194" s="145" t="e">
        <f ca="1">Table7[[#This Row],[Total (mW) C]]/10^3</f>
        <v>#NAME?</v>
      </c>
      <c r="CM194" s="145" t="e">
        <f ca="1">Table7[[#This Row],[Total Sense Loss C]]+Table7[[#This Row],[Total MOSFET Loss C]]</f>
        <v>#NAME?</v>
      </c>
      <c r="CN194" s="149" t="e">
        <f ca="1">IF(Table7[[#This Row],[POUT (W)]]=0,0,(Table7[[#This Row],[POUT (W)]])/(Table7[[#This Row],[POUT (W)]]+Table7[[#This Row],[Total Power Loss (W) C]]))*100</f>
        <v>#NAME?</v>
      </c>
      <c r="CO194" s="153"/>
      <c r="CP194" s="149">
        <f>IF(MOSFET_S=Custom_MOSFET,Table7[[#This Row],[Total Sense Loss C]],Table7[[#This Row],[Total Sense Loss]])</f>
        <v>0.2456553858333333</v>
      </c>
      <c r="CQ194" s="149" t="e">
        <f ca="1">IF(MOSFET_S=Custom_MOSFET,Table7[[#This Row],[Total MOSFET Loss C]],Table7[[#This Row],[Total MOSFET Loss]])</f>
        <v>#NAME?</v>
      </c>
      <c r="CR194" s="149" t="e">
        <f ca="1">IF(MOSFET_S=Custom_MOSFET,Table7[[#This Row],[Efficiency C]],Table7[[#This Row],[Efficiency]])</f>
        <v>#NAME?</v>
      </c>
      <c r="CS194" s="153"/>
      <c r="CT194" s="149">
        <f>IF(MOSFET_S=Compare_MOSFET, Table7[[#This Row],[Total Sense Loss C]], -100)</f>
        <v>-100</v>
      </c>
      <c r="CU194" s="149">
        <f>IF(MOSFET_S=Compare_MOSFET, Table7[[#This Row],[Total MOSFET Loss C]], -100)</f>
        <v>-100</v>
      </c>
      <c r="CV194" s="149">
        <f>IF(MOSFET_S=Compare_MOSFET, Table7[[#This Row],[Efficiency C]], -100)</f>
        <v>-100</v>
      </c>
      <c r="CW194" s="153"/>
      <c r="CX194" s="149">
        <f ca="1">IF(Save_Sel=CLR_Save,  Table7[[#This Row],[Total Sense Loss P1]], Table7[[#This Row],[Total Sense Loss P1 Saved]])</f>
        <v>0.20599562499999996</v>
      </c>
      <c r="CY194" s="149">
        <f ca="1">IF(Save_Sel=CLR_Save,  Table7[[#This Row],[Total MOSFET Loss P1]], Table7[[#This Row],[Total MOSFET Loss P1 Saved]] )</f>
        <v>1.7524779499021568</v>
      </c>
      <c r="CZ194" s="149">
        <f ca="1">IF(Save_Sel=CLR_Save, Table7[[#This Row],[Efficiency P1]], Table7[[#This Row],[Efficiency P1 Saved]])</f>
        <v>92.08968368353905</v>
      </c>
      <c r="DA194" s="153"/>
      <c r="DB194" s="149">
        <f ca="1">IF(Save_Sel=CLR_Save,  Table7[[#This Row],[Total Sense Loss P2]], Table7[[#This Row],[Total Sense Loss P2 Saved]])</f>
        <v>0.20599562499999996</v>
      </c>
      <c r="DC194" s="149">
        <f ca="1">IF(Save_Sel=CLR_Save,  Table7[[#This Row],[Total MOSFET Loss P2]], Table7[[#This Row],[Total MOSFET Loss P2 Saved]] )</f>
        <v>1.1614782580583496</v>
      </c>
      <c r="DD194" s="149">
        <f ca="1">IF(Save_Sel=CLR_Save, Table7[[#This Row],[Efficiency P2]], Table7[[#This Row],[Efficiency P2 Saved]])</f>
        <v>94.341676380099599</v>
      </c>
      <c r="DE194" s="153"/>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row>
    <row r="195" spans="1:165" x14ac:dyDescent="0.2">
      <c r="A195" s="32"/>
      <c r="B195" s="49"/>
      <c r="C195" s="49"/>
      <c r="D195" s="32"/>
      <c r="E195" s="66"/>
      <c r="F195" s="66"/>
      <c r="G195" s="49"/>
      <c r="H195" s="29"/>
      <c r="I195" s="29"/>
      <c r="J195" s="29"/>
      <c r="K195" s="29"/>
      <c r="L195" s="29"/>
      <c r="M195" s="29"/>
      <c r="N195" s="29"/>
      <c r="O195" s="29"/>
      <c r="P195" s="29"/>
      <c r="Q195" s="29"/>
      <c r="R195" s="29"/>
      <c r="S195" s="30"/>
      <c r="T195" s="18"/>
      <c r="U195" s="19"/>
      <c r="V195" s="19"/>
      <c r="W195" s="19"/>
      <c r="X195" s="19"/>
      <c r="Y195" s="19"/>
      <c r="Z195" s="19"/>
      <c r="AA195" s="19"/>
      <c r="AB195" s="19"/>
      <c r="AC195" s="19"/>
      <c r="AD195" s="19"/>
      <c r="AE195" s="19"/>
      <c r="AF195" s="143">
        <f t="shared" si="17"/>
        <v>39</v>
      </c>
      <c r="AG195" s="143">
        <f t="shared" si="39"/>
        <v>3.9</v>
      </c>
      <c r="AH195" s="144">
        <f t="shared" si="28"/>
        <v>93.6</v>
      </c>
      <c r="AI195" s="145">
        <f t="shared" si="29"/>
        <v>0.16376306620209058</v>
      </c>
      <c r="AJ195" s="145">
        <f t="shared" si="30"/>
        <v>4.6637499999999994</v>
      </c>
      <c r="AK195" s="145" t="e">
        <f t="shared" si="26"/>
        <v>#NAME?</v>
      </c>
      <c r="AL195" s="145" t="e">
        <f t="shared" si="27"/>
        <v>#NAME?</v>
      </c>
      <c r="AM195" s="146"/>
      <c r="AN195" s="145" t="e">
        <f>MAX(0,Table7[[#This Row],[I_L]]-0.5*Table7[[#This Row],[I_L pkpk]])</f>
        <v>#NAME?</v>
      </c>
      <c r="AO195" s="145" t="e">
        <f>Table7[[#This Row],[I_L]]+0.5*Table7[[#This Row],[I_L pkpk]]</f>
        <v>#NAME?</v>
      </c>
      <c r="AP195" s="145" t="e">
        <f ca="1">IF(VACnom&gt;Vbat, (VGS_S-(TI_MOSFET_S_VTH_H_BU+Table7[[#This Row],[I_L]]/TI_MOSFET_S_gFS_H_BU))/3.4, (VGS_S-(TI_MOSFET_S_VTH_L_BO+Table7[[#This Row],[I_L]]/TI_MOSFET_S_gFS_L_BO))/3.4 )</f>
        <v>#REF!</v>
      </c>
      <c r="AQ195" s="145" t="e">
        <f ca="1">IF(VACnom&gt;Vbat, ((TI_MOSFET_S_VTH_H_BU+Table7[[#This Row],[I_L]]/TI_MOSFET_S_gFS_H_BU))/1, ((TI_MOSFET_S_VTH_L_BO+Table7[[#This Row],[I_L]]/TI_MOSFET_S_gFS_L_BO))/1 )</f>
        <v>#REF!</v>
      </c>
      <c r="AR195" s="145" t="e">
        <f ca="1">IF(VACnom&gt;Vbat, (TI_MOSFET_S_QGD_H_BU+TI_MOSFET_S_QGS_H_BU)*10^-9/Table7[[#This Row],[Ion (A)]], (TI_MOSFET_S_QGD_L_BO+TI_MOSFET_S_QGS_L_BO)*10^-9/Table7[[#This Row],[Ion (A)]])/10^-9</f>
        <v>#REF!</v>
      </c>
      <c r="AS195" s="145" t="e">
        <f ca="1">IF(VACnom&gt;Vbat, (TI_MOSFET_S_QGD_H_BU+TI_MOSFET_S_QGS_H_BU)*10^-9/Table7[[#This Row],[Ioff (A)]], (TI_MOSFET_S_QGD_L_BO+TI_MOSFET_S_QGS_L_BO)*10^-9/Table7[[#This Row],[Ioff (A)]])/10^-9</f>
        <v>#REF!</v>
      </c>
      <c r="AT195" s="145" t="e">
        <f ca="1" xml:space="preserve"> 0.5*VACnom*Table7[[#This Row],[Ivalley (A)]]*Table7[[#This Row],[ton (ns)]]*10^-9*Fsw*10^3+0.5*VACnom*Table7[[#This Row],[Ipeak (A)]]*Table7[[#This Row],[toff (ns)]]*10^-9*Fsw*10^3/10^-3</f>
        <v>#NAME?</v>
      </c>
      <c r="AU195" s="145" t="e">
        <f t="shared" ca="1" si="31"/>
        <v>#REF!</v>
      </c>
      <c r="AV195" s="145" t="e">
        <f t="shared" ca="1" si="32"/>
        <v>#REF!</v>
      </c>
      <c r="AW195" s="145" t="e">
        <f t="shared" ca="1" si="33"/>
        <v>#REF!</v>
      </c>
      <c r="AX195" s="145" t="e">
        <f ca="1">IF(VACnom&gt;Vbat, TI_MOSFET_S_VSD_L_BU*Table7[[#This Row],[Ivalley (A)]]*Fsw*10^3*40*10^-9+TI_MOSFET_S_VSD_L_BU*Table7[[#This Row],[Ipeak (A)]]*Fsw*10^3*30*10^-9, TI_MOSFET_S_VSD_H_BO*Table7[[#This Row],[Ivalley (A)]]*Fsw*10^3*40*10^-9+TI_MOSFET_S_VSD_H_BO*Table7[[#This Row],[Ipeak (A)]]*Fsw*10^3*30*10^-9)/10^-3</f>
        <v>#REF!</v>
      </c>
      <c r="AY195" s="145" t="e">
        <f t="shared" ca="1" si="34"/>
        <v>#REF!</v>
      </c>
      <c r="AZ195" s="145" t="e">
        <f ca="1">IF(VACnom&lt;Vbat, Table7[[#This Row],[Duty Cycle]]*Table7[[#This Row],[I_L RMS]]^2*TI_MOSFET_S_RDSON_H_BU*10^-3, (1-Table7[[#This Row],[Duty Cycle]])*Table7[[#This Row],[I_L RMS]]^2*TI_MOSFET_S_RDSON_H_BO*10^-3)/10^-3</f>
        <v>#NAME?</v>
      </c>
      <c r="BA195" s="145" t="e">
        <f ca="1">IF(VACnom&gt;Vbat, Table7[[#This Row],[PIV (mW)]]+Table7[[#This Row],[Pqoss (mW)]]+Table7[[#This Row],[Pgate_top (mW)]], Table7[[#This Row],[PRR (mW)]]+Table7[[#This Row],[Pdead (mW)]]+Table7[[#This Row],[Pgate_top (mW)]])</f>
        <v>#REF!</v>
      </c>
      <c r="BB195" s="145" t="e">
        <f ca="1">Table7[[#This Row],[Pcon_top (mW)]]+Table7[[#This Row],[Psw_top (mW)]]</f>
        <v>#NAME?</v>
      </c>
      <c r="BC195" s="145" t="e">
        <f ca="1">IF(VACnom&gt;Vbat, (1-Table7[[#This Row],[Duty Cycle]])*Table7[[#This Row],[I_L RMS]]^2*TI_MOSFET_S_RDSON_L_BU*10^-3, Table7[[#This Row],[Duty Cycle]]*Table7[[#This Row],[I_L RMS]]^2*TI_MOSFET_S_RDSON_L_BO*10^-3)/10^-3</f>
        <v>#NAME?</v>
      </c>
      <c r="BD195" s="145" t="e">
        <f ca="1">IF(VACnom&gt;Vbat, Table7[[#This Row],[PRR (mW)]]+Table7[[#This Row],[Pdead (mW)]]+Table7[[#This Row],[Pgate_bottom (mW)]], Table7[[#This Row],[PIV (mW)]]+Table7[[#This Row],[Pqoss (mW)]]+Table7[[#This Row],[Pgate_bottom (mW)]])</f>
        <v>#NAME?</v>
      </c>
      <c r="BE195" s="147" t="e">
        <f ca="1">Table7[[#This Row],[Pcon_bottom (mW)]]+Table7[[#This Row],[Psw_bottom (mW)]]</f>
        <v>#NAME?</v>
      </c>
      <c r="BF195" s="145" t="e">
        <f ca="1">Table7[[#This Row],[Pbottom (mW)]]+Table7[[#This Row],[Ptop (mW)]]</f>
        <v>#NAME?</v>
      </c>
      <c r="BG195" s="142"/>
      <c r="BH195" s="145" t="e">
        <f>MAX(0,Table7[[#This Row],[I_L]]-0.5*Table7[[#This Row],[I_L pkpk]])</f>
        <v>#NAME?</v>
      </c>
      <c r="BI195" s="145" t="e">
        <f>Table7[[#This Row],[I_L]]+0.5*Table7[[#This Row],[I_L pkpk]]</f>
        <v>#NAME?</v>
      </c>
      <c r="BJ195" s="145">
        <f>IF(VACnom&gt;Vbat, (VGS_S-(C_MOSFET_S_VTH_H_BU+Table7[[#This Row],[I_L]]/C_MOSFET_S_gFS_H_BU))/3.4, (VGS_S-(C_MOSFET_S_VTH_L_BO+Table7[[#This Row],[I_L]]/C_MOSFET_S_gFS_L_BO))/3.4 )</f>
        <v>2.3437965686274511</v>
      </c>
      <c r="BK195" s="145">
        <f>IF(VACnom&gt;Vbat, ((C_MOSFET_S_VTH_H_BU+Table7[[#This Row],[I_L]]/C_MOSFET_S_gFS_H_BU))/1, ((C_MOSFET_S_VTH_L_BO+Table7[[#This Row],[I_L]]/C_MOSFET_S_gFS_L_BO))/1 )</f>
        <v>2.0310916666666667</v>
      </c>
      <c r="BL195" s="145">
        <f>IF(VACnom&gt;Vbat, (C_MOSFET_S_QGD_H_BU+C_MOSFET_S_QGS_H_BU)*10^-9/Table7[[#This Row],[Ion (A) C]], (C_MOSFET_S_QGD_L_BO+C_MOSFET_S_QGS_L_BO)*10^-9/Table7[[#This Row],[Ion (A) C]])/10^-9</f>
        <v>2.7732782302887573</v>
      </c>
      <c r="BM195" s="145">
        <f>IF(VACnom&gt;Vbat, (C_MOSFET_S_QGD_H_BU+C_MOSFET_S_QGS_H_BU)*10^-9/Table7[[#This Row],[Ioff (A) C]], (C_MOSFET_S_QGD_L_BO+C_MOSFET_S_QGS_L_BO)*10^-9/Table7[[#This Row],[Ioff (A) C]])/10^-9</f>
        <v>3.2002494553421599</v>
      </c>
      <c r="BN195" s="145" t="e">
        <f xml:space="preserve"> 0.5*VACnom*Table7[[#This Row],[Ivalley (A) C]]*Table7[[#This Row],[ton (ns) C]]*10^-9*Fsw*10^3+0.5*VACnom*Table7[[#This Row],[Ipeak (A) C]]*Table7[[#This Row],[toff (ns) C]]*10^-9*Fsw*10^3/10^-3</f>
        <v>#NAME?</v>
      </c>
      <c r="BO195" s="145">
        <f t="shared" si="35"/>
        <v>259.2</v>
      </c>
      <c r="BP195" s="145" t="e">
        <f t="shared" ca="1" si="36"/>
        <v>#REF!</v>
      </c>
      <c r="BQ195" s="145">
        <f t="shared" si="37"/>
        <v>475.2</v>
      </c>
      <c r="BR195" s="145" t="e">
        <f>IF(VACnom&gt;Vbat, C_MOSFET_S_VSD_L_BU*Table7[[#This Row],[Ivalley (A) C]]*Fsw*10^3*40*10^-9+C_MOSFET_S_VSD_L_BU*Table7[[#This Row],[Ipeak (A) C]]*Fsw*10^3*30*10^-9, C_MOSFET_S_VSD_H_BO*Table7[[#This Row],[Ivalley (A) C]]*Fsw*10^3*40*10^-9+C_MOSFET_S_VSD_H_BO*Table7[[#This Row],[Ipeak (A) C]]*Fsw*10^3*30*10^-9)/10^-3</f>
        <v>#NAME?</v>
      </c>
      <c r="BS195" s="145" t="e">
        <f t="shared" ca="1" si="38"/>
        <v>#REF!</v>
      </c>
      <c r="BT195" s="145" t="e">
        <f>IF(VACnom&lt;Vbat, Table7[[#This Row],[Duty Cycle]]*Table7[[#This Row],[I_L RMS]]^2*C_MOSFET_S_RDSON_H_BU*10^-3, (1-Table7[[#This Row],[Duty Cycle]])*Table7[[#This Row],[I_L RMS]]^2*C_MOSFET_S_RDSON_H_BO*10^-3)/10^-3</f>
        <v>#NAME?</v>
      </c>
      <c r="BU195" s="145" t="e">
        <f ca="1">IF(VACnom&gt;Vbat, Table7[[#This Row],[PIV (mW) C]]+Table7[[#This Row],[PQoss (mW) C]]+Table7[[#This Row],[Pgate_top (mW) C]], Table7[[#This Row],[PRR (mW) C]]+Table7[[#This Row],[Pdead (mW) C]]+Table7[[#This Row],[Pgate_top (mW) C]])</f>
        <v>#NAME?</v>
      </c>
      <c r="BV195" s="145" t="e">
        <f ca="1">Table7[[#This Row],[Pcon_top (mW) C]]+Table7[[#This Row],[Psw_top (mW) C]]</f>
        <v>#NAME?</v>
      </c>
      <c r="BW195" s="145" t="e">
        <f ca="1">IF(VACnom&gt;Vbat, (1-Table7[[#This Row],[Duty Cycle]])*Table7[[#This Row],[I_L RMS]]^2*C_MOSFET_S_RDSON_L_BU*10^-3, Table7[[#This Row],[Duty Cycle]]*Table7[[#This Row],[I_L RMS]]^2*C_MOSFET_S_RDSON_L_BO*10^-3)/10^-3</f>
        <v>#NAME?</v>
      </c>
      <c r="BX195" s="145" t="e">
        <f ca="1">IF(VACnom&gt;Vbat, Table7[[#This Row],[PRR (mW) C]]+Table7[[#This Row],[Pdead (mW) C]]+Table7[[#This Row],[Pgate_bottom (mW) C]], Table7[[#This Row],[PIV (mW) C]]+Table7[[#This Row],[PQoss (mW) C]]+Table7[[#This Row],[Pgate_bottom (mW) C]])</f>
        <v>#NAME?</v>
      </c>
      <c r="BY195" s="145" t="e">
        <f ca="1">Table7[[#This Row],[Pcon_bottom (mW) C]]+Table7[[#This Row],[Psw_bottom (mV) C]]</f>
        <v>#NAME?</v>
      </c>
      <c r="BZ195" s="145" t="e">
        <f ca="1">Table7[[#This Row],[Pbottom (mW) C]]+Table7[[#This Row],[Ptop (mW) C]]</f>
        <v>#NAME?</v>
      </c>
      <c r="CA195" s="148"/>
      <c r="CB195" s="144">
        <f>(RAC_SNS*10^-3*(Table7[[#This Row],[IOUT (A)]]*Vbat/VACnom)^2/10^-3)</f>
        <v>108.75282031249996</v>
      </c>
      <c r="CC195" s="144">
        <f>(RBAT_SNS*10^-3*Table7[[#This Row],[IOUT (A)]]^2)/10^-3</f>
        <v>76.05</v>
      </c>
      <c r="CD195" s="144">
        <f>IF(VACnom&gt;Vbat,(L_DRC*10^-3*(Table7[[#This Row],[IOUT (A)]])^2/10^-3),(L_DRC*10^-3*(Table7[[#This Row],[IOUT (A)]]*Vbat/VACnom)^2/10^-3))</f>
        <v>73.951917812499971</v>
      </c>
      <c r="CE195" s="152"/>
      <c r="CF195" s="145">
        <f>(Table7[[#This Row],[R_AC (mW)]]+Table7[[#This Row],[R_SR (mW)]]+Table7[[#This Row],[Inductor Loss (mW)]])/10^3</f>
        <v>0.25875473812499988</v>
      </c>
      <c r="CG195" s="145" t="e">
        <f ca="1">Table7[[#This Row],[Total TI (mW)]]/10^3</f>
        <v>#NAME?</v>
      </c>
      <c r="CH195" s="145" t="e">
        <f ca="1">Table7[[#This Row],[Total Sense Loss]]+Table7[[#This Row],[Total MOSFET Loss]]</f>
        <v>#NAME?</v>
      </c>
      <c r="CI195" s="149" t="e">
        <f ca="1">IF(Table7[[#This Row],[POUT (W)]]=0,0,(Table7[[#This Row],[POUT (W)]])/(Table7[[#This Row],[POUT (W)]]+Table7[[#This Row],[Total Power Loss (W)]]))*100</f>
        <v>#NAME?</v>
      </c>
      <c r="CJ195" s="153"/>
      <c r="CK195" s="145">
        <f>(Table7[[#This Row],[R_AC (mW)]]+Table7[[#This Row],[R_SR (mW)]]+Table7[[#This Row],[Inductor Loss (mW)]])/10^3</f>
        <v>0.25875473812499988</v>
      </c>
      <c r="CL195" s="145" t="e">
        <f ca="1">Table7[[#This Row],[Total (mW) C]]/10^3</f>
        <v>#NAME?</v>
      </c>
      <c r="CM195" s="145" t="e">
        <f ca="1">Table7[[#This Row],[Total Sense Loss C]]+Table7[[#This Row],[Total MOSFET Loss C]]</f>
        <v>#NAME?</v>
      </c>
      <c r="CN195" s="149" t="e">
        <f ca="1">IF(Table7[[#This Row],[POUT (W)]]=0,0,(Table7[[#This Row],[POUT (W)]])/(Table7[[#This Row],[POUT (W)]]+Table7[[#This Row],[Total Power Loss (W) C]]))*100</f>
        <v>#NAME?</v>
      </c>
      <c r="CO195" s="153"/>
      <c r="CP195" s="149">
        <f>IF(MOSFET_S=Custom_MOSFET,Table7[[#This Row],[Total Sense Loss C]],Table7[[#This Row],[Total Sense Loss]])</f>
        <v>0.25875473812499988</v>
      </c>
      <c r="CQ195" s="149" t="e">
        <f ca="1">IF(MOSFET_S=Custom_MOSFET,Table7[[#This Row],[Total MOSFET Loss C]],Table7[[#This Row],[Total MOSFET Loss]])</f>
        <v>#NAME?</v>
      </c>
      <c r="CR195" s="149" t="e">
        <f ca="1">IF(MOSFET_S=Custom_MOSFET,Table7[[#This Row],[Efficiency C]],Table7[[#This Row],[Efficiency]])</f>
        <v>#NAME?</v>
      </c>
      <c r="CS195" s="153"/>
      <c r="CT195" s="149">
        <f>IF(MOSFET_S=Compare_MOSFET, Table7[[#This Row],[Total Sense Loss C]], -100)</f>
        <v>-100</v>
      </c>
      <c r="CU195" s="149">
        <f>IF(MOSFET_S=Compare_MOSFET, Table7[[#This Row],[Total MOSFET Loss C]], -100)</f>
        <v>-100</v>
      </c>
      <c r="CV195" s="149">
        <f>IF(MOSFET_S=Compare_MOSFET, Table7[[#This Row],[Efficiency C]], -100)</f>
        <v>-100</v>
      </c>
      <c r="CW195" s="153"/>
      <c r="CX195" s="149">
        <f ca="1">IF(Save_Sel=CLR_Save,  Table7[[#This Row],[Total Sense Loss P1]], Table7[[#This Row],[Total Sense Loss P1 Saved]])</f>
        <v>0.21698015625</v>
      </c>
      <c r="CY195" s="149">
        <f ca="1">IF(Save_Sel=CLR_Save,  Table7[[#This Row],[Total MOSFET Loss P1]], Table7[[#This Row],[Total MOSFET Loss P1 Saved]] )</f>
        <v>1.7619535613920008</v>
      </c>
      <c r="CZ195" s="149">
        <f ca="1">IF(Save_Sel=CLR_Save, Table7[[#This Row],[Efficiency P1]], Table7[[#This Row],[Efficiency P1 Saved]])</f>
        <v>92.202455234490969</v>
      </c>
      <c r="DA195" s="153"/>
      <c r="DB195" s="149">
        <f ca="1">IF(Save_Sel=CLR_Save,  Table7[[#This Row],[Total Sense Loss P2]], Table7[[#This Row],[Total Sense Loss P2 Saved]])</f>
        <v>0.21698015625</v>
      </c>
      <c r="DC195" s="149">
        <f ca="1">IF(Save_Sel=CLR_Save,  Table7[[#This Row],[Total MOSFET Loss P2]], Table7[[#This Row],[Total MOSFET Loss P2 Saved]] )</f>
        <v>1.1684905732189399</v>
      </c>
      <c r="DD195" s="149">
        <f ca="1">IF(Save_Sel=CLR_Save, Table7[[#This Row],[Efficiency P2]], Table7[[#This Row],[Efficiency P2 Saved]])</f>
        <v>94.410149621158212</v>
      </c>
      <c r="DE195" s="153"/>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row>
    <row r="196" spans="1:165" x14ac:dyDescent="0.2">
      <c r="A196" s="32"/>
      <c r="B196" s="49"/>
      <c r="C196" s="49"/>
      <c r="D196" s="32"/>
      <c r="E196" s="66"/>
      <c r="F196" s="66"/>
      <c r="G196" s="49"/>
      <c r="H196" s="29"/>
      <c r="I196" s="29"/>
      <c r="J196" s="29"/>
      <c r="K196" s="29"/>
      <c r="L196" s="29"/>
      <c r="M196" s="29"/>
      <c r="N196" s="29"/>
      <c r="O196" s="29"/>
      <c r="P196" s="29"/>
      <c r="Q196" s="29"/>
      <c r="R196" s="29"/>
      <c r="S196" s="30"/>
      <c r="T196" s="18"/>
      <c r="U196" s="19"/>
      <c r="V196" s="19"/>
      <c r="W196" s="19"/>
      <c r="X196" s="19"/>
      <c r="Y196" s="19"/>
      <c r="Z196" s="19"/>
      <c r="AA196" s="19"/>
      <c r="AB196" s="19"/>
      <c r="AC196" s="19"/>
      <c r="AD196" s="19"/>
      <c r="AE196" s="19"/>
      <c r="AF196" s="143">
        <f t="shared" si="17"/>
        <v>40</v>
      </c>
      <c r="AG196" s="143">
        <f t="shared" si="39"/>
        <v>4</v>
      </c>
      <c r="AH196" s="144">
        <f t="shared" si="28"/>
        <v>96</v>
      </c>
      <c r="AI196" s="145">
        <f t="shared" si="29"/>
        <v>0.16376306620209058</v>
      </c>
      <c r="AJ196" s="145">
        <f t="shared" si="30"/>
        <v>4.7833333333333332</v>
      </c>
      <c r="AK196" s="145" t="e">
        <f t="shared" si="26"/>
        <v>#NAME?</v>
      </c>
      <c r="AL196" s="145" t="e">
        <f t="shared" si="27"/>
        <v>#NAME?</v>
      </c>
      <c r="AM196" s="146"/>
      <c r="AN196" s="145" t="e">
        <f>MAX(0,Table7[[#This Row],[I_L]]-0.5*Table7[[#This Row],[I_L pkpk]])</f>
        <v>#NAME?</v>
      </c>
      <c r="AO196" s="145" t="e">
        <f>Table7[[#This Row],[I_L]]+0.5*Table7[[#This Row],[I_L pkpk]]</f>
        <v>#NAME?</v>
      </c>
      <c r="AP196" s="145" t="e">
        <f ca="1">IF(VACnom&gt;Vbat, (VGS_S-(TI_MOSFET_S_VTH_H_BU+Table7[[#This Row],[I_L]]/TI_MOSFET_S_gFS_H_BU))/3.4, (VGS_S-(TI_MOSFET_S_VTH_L_BO+Table7[[#This Row],[I_L]]/TI_MOSFET_S_gFS_L_BO))/3.4 )</f>
        <v>#REF!</v>
      </c>
      <c r="AQ196" s="145" t="e">
        <f ca="1">IF(VACnom&gt;Vbat, ((TI_MOSFET_S_VTH_H_BU+Table7[[#This Row],[I_L]]/TI_MOSFET_S_gFS_H_BU))/1, ((TI_MOSFET_S_VTH_L_BO+Table7[[#This Row],[I_L]]/TI_MOSFET_S_gFS_L_BO))/1 )</f>
        <v>#REF!</v>
      </c>
      <c r="AR196" s="145" t="e">
        <f ca="1">IF(VACnom&gt;Vbat, (TI_MOSFET_S_QGD_H_BU+TI_MOSFET_S_QGS_H_BU)*10^-9/Table7[[#This Row],[Ion (A)]], (TI_MOSFET_S_QGD_L_BO+TI_MOSFET_S_QGS_L_BO)*10^-9/Table7[[#This Row],[Ion (A)]])/10^-9</f>
        <v>#REF!</v>
      </c>
      <c r="AS196" s="145" t="e">
        <f ca="1">IF(VACnom&gt;Vbat, (TI_MOSFET_S_QGD_H_BU+TI_MOSFET_S_QGS_H_BU)*10^-9/Table7[[#This Row],[Ioff (A)]], (TI_MOSFET_S_QGD_L_BO+TI_MOSFET_S_QGS_L_BO)*10^-9/Table7[[#This Row],[Ioff (A)]])/10^-9</f>
        <v>#REF!</v>
      </c>
      <c r="AT196" s="145" t="e">
        <f ca="1" xml:space="preserve"> 0.5*VACnom*Table7[[#This Row],[Ivalley (A)]]*Table7[[#This Row],[ton (ns)]]*10^-9*Fsw*10^3+0.5*VACnom*Table7[[#This Row],[Ipeak (A)]]*Table7[[#This Row],[toff (ns)]]*10^-9*Fsw*10^3/10^-3</f>
        <v>#NAME?</v>
      </c>
      <c r="AU196" s="145" t="e">
        <f t="shared" ca="1" si="31"/>
        <v>#REF!</v>
      </c>
      <c r="AV196" s="145" t="e">
        <f t="shared" ca="1" si="32"/>
        <v>#REF!</v>
      </c>
      <c r="AW196" s="145" t="e">
        <f t="shared" ca="1" si="33"/>
        <v>#REF!</v>
      </c>
      <c r="AX196" s="145" t="e">
        <f ca="1">IF(VACnom&gt;Vbat, TI_MOSFET_S_VSD_L_BU*Table7[[#This Row],[Ivalley (A)]]*Fsw*10^3*40*10^-9+TI_MOSFET_S_VSD_L_BU*Table7[[#This Row],[Ipeak (A)]]*Fsw*10^3*30*10^-9, TI_MOSFET_S_VSD_H_BO*Table7[[#This Row],[Ivalley (A)]]*Fsw*10^3*40*10^-9+TI_MOSFET_S_VSD_H_BO*Table7[[#This Row],[Ipeak (A)]]*Fsw*10^3*30*10^-9)/10^-3</f>
        <v>#REF!</v>
      </c>
      <c r="AY196" s="145" t="e">
        <f t="shared" ca="1" si="34"/>
        <v>#REF!</v>
      </c>
      <c r="AZ196" s="145" t="e">
        <f ca="1">IF(VACnom&lt;Vbat, Table7[[#This Row],[Duty Cycle]]*Table7[[#This Row],[I_L RMS]]^2*TI_MOSFET_S_RDSON_H_BU*10^-3, (1-Table7[[#This Row],[Duty Cycle]])*Table7[[#This Row],[I_L RMS]]^2*TI_MOSFET_S_RDSON_H_BO*10^-3)/10^-3</f>
        <v>#NAME?</v>
      </c>
      <c r="BA196" s="145" t="e">
        <f ca="1">IF(VACnom&gt;Vbat, Table7[[#This Row],[PIV (mW)]]+Table7[[#This Row],[Pqoss (mW)]]+Table7[[#This Row],[Pgate_top (mW)]], Table7[[#This Row],[PRR (mW)]]+Table7[[#This Row],[Pdead (mW)]]+Table7[[#This Row],[Pgate_top (mW)]])</f>
        <v>#REF!</v>
      </c>
      <c r="BB196" s="145" t="e">
        <f ca="1">Table7[[#This Row],[Pcon_top (mW)]]+Table7[[#This Row],[Psw_top (mW)]]</f>
        <v>#NAME?</v>
      </c>
      <c r="BC196" s="145" t="e">
        <f ca="1">IF(VACnom&gt;Vbat, (1-Table7[[#This Row],[Duty Cycle]])*Table7[[#This Row],[I_L RMS]]^2*TI_MOSFET_S_RDSON_L_BU*10^-3, Table7[[#This Row],[Duty Cycle]]*Table7[[#This Row],[I_L RMS]]^2*TI_MOSFET_S_RDSON_L_BO*10^-3)/10^-3</f>
        <v>#NAME?</v>
      </c>
      <c r="BD196" s="145" t="e">
        <f ca="1">IF(VACnom&gt;Vbat, Table7[[#This Row],[PRR (mW)]]+Table7[[#This Row],[Pdead (mW)]]+Table7[[#This Row],[Pgate_bottom (mW)]], Table7[[#This Row],[PIV (mW)]]+Table7[[#This Row],[Pqoss (mW)]]+Table7[[#This Row],[Pgate_bottom (mW)]])</f>
        <v>#NAME?</v>
      </c>
      <c r="BE196" s="147" t="e">
        <f ca="1">Table7[[#This Row],[Pcon_bottom (mW)]]+Table7[[#This Row],[Psw_bottom (mW)]]</f>
        <v>#NAME?</v>
      </c>
      <c r="BF196" s="145" t="e">
        <f ca="1">Table7[[#This Row],[Pbottom (mW)]]+Table7[[#This Row],[Ptop (mW)]]</f>
        <v>#NAME?</v>
      </c>
      <c r="BG196" s="142"/>
      <c r="BH196" s="145" t="e">
        <f>MAX(0,Table7[[#This Row],[I_L]]-0.5*Table7[[#This Row],[I_L pkpk]])</f>
        <v>#NAME?</v>
      </c>
      <c r="BI196" s="145" t="e">
        <f>Table7[[#This Row],[I_L]]+0.5*Table7[[#This Row],[I_L pkpk]]</f>
        <v>#NAME?</v>
      </c>
      <c r="BJ196" s="145">
        <f>IF(VACnom&gt;Vbat, (VGS_S-(C_MOSFET_S_VTH_H_BU+Table7[[#This Row],[I_L]]/C_MOSFET_S_gFS_H_BU))/3.4, (VGS_S-(C_MOSFET_S_VTH_L_BO+Table7[[#This Row],[I_L]]/C_MOSFET_S_gFS_L_BO))/3.4 )</f>
        <v>2.343562091503268</v>
      </c>
      <c r="BK196" s="145">
        <f>IF(VACnom&gt;Vbat, ((C_MOSFET_S_VTH_H_BU+Table7[[#This Row],[I_L]]/C_MOSFET_S_gFS_H_BU))/1, ((C_MOSFET_S_VTH_L_BO+Table7[[#This Row],[I_L]]/C_MOSFET_S_gFS_L_BO))/1 )</f>
        <v>2.0318888888888891</v>
      </c>
      <c r="BL196" s="145">
        <f>IF(VACnom&gt;Vbat, (C_MOSFET_S_QGD_H_BU+C_MOSFET_S_QGS_H_BU)*10^-9/Table7[[#This Row],[Ion (A) C]], (C_MOSFET_S_QGD_L_BO+C_MOSFET_S_QGS_L_BO)*10^-9/Table7[[#This Row],[Ion (A) C]])/10^-9</f>
        <v>2.77355570119783</v>
      </c>
      <c r="BM196" s="145">
        <f>IF(VACnom&gt;Vbat, (C_MOSFET_S_QGD_H_BU+C_MOSFET_S_QGS_H_BU)*10^-9/Table7[[#This Row],[Ioff (A) C]], (C_MOSFET_S_QGD_L_BO+C_MOSFET_S_QGS_L_BO)*10^-9/Table7[[#This Row],[Ioff (A) C]])/10^-9</f>
        <v>3.1989938207469781</v>
      </c>
      <c r="BN196" s="145" t="e">
        <f xml:space="preserve"> 0.5*VACnom*Table7[[#This Row],[Ivalley (A) C]]*Table7[[#This Row],[ton (ns) C]]*10^-9*Fsw*10^3+0.5*VACnom*Table7[[#This Row],[Ipeak (A) C]]*Table7[[#This Row],[toff (ns) C]]*10^-9*Fsw*10^3/10^-3</f>
        <v>#NAME?</v>
      </c>
      <c r="BO196" s="145">
        <f t="shared" si="35"/>
        <v>259.2</v>
      </c>
      <c r="BP196" s="145" t="e">
        <f t="shared" ca="1" si="36"/>
        <v>#REF!</v>
      </c>
      <c r="BQ196" s="145">
        <f t="shared" si="37"/>
        <v>475.2</v>
      </c>
      <c r="BR196" s="145" t="e">
        <f>IF(VACnom&gt;Vbat, C_MOSFET_S_VSD_L_BU*Table7[[#This Row],[Ivalley (A) C]]*Fsw*10^3*40*10^-9+C_MOSFET_S_VSD_L_BU*Table7[[#This Row],[Ipeak (A) C]]*Fsw*10^3*30*10^-9, C_MOSFET_S_VSD_H_BO*Table7[[#This Row],[Ivalley (A) C]]*Fsw*10^3*40*10^-9+C_MOSFET_S_VSD_H_BO*Table7[[#This Row],[Ipeak (A) C]]*Fsw*10^3*30*10^-9)/10^-3</f>
        <v>#NAME?</v>
      </c>
      <c r="BS196" s="145" t="e">
        <f t="shared" ca="1" si="38"/>
        <v>#REF!</v>
      </c>
      <c r="BT196" s="145" t="e">
        <f>IF(VACnom&lt;Vbat, Table7[[#This Row],[Duty Cycle]]*Table7[[#This Row],[I_L RMS]]^2*C_MOSFET_S_RDSON_H_BU*10^-3, (1-Table7[[#This Row],[Duty Cycle]])*Table7[[#This Row],[I_L RMS]]^2*C_MOSFET_S_RDSON_H_BO*10^-3)/10^-3</f>
        <v>#NAME?</v>
      </c>
      <c r="BU196" s="145" t="e">
        <f ca="1">IF(VACnom&gt;Vbat, Table7[[#This Row],[PIV (mW) C]]+Table7[[#This Row],[PQoss (mW) C]]+Table7[[#This Row],[Pgate_top (mW) C]], Table7[[#This Row],[PRR (mW) C]]+Table7[[#This Row],[Pdead (mW) C]]+Table7[[#This Row],[Pgate_top (mW) C]])</f>
        <v>#NAME?</v>
      </c>
      <c r="BV196" s="145" t="e">
        <f ca="1">Table7[[#This Row],[Pcon_top (mW) C]]+Table7[[#This Row],[Psw_top (mW) C]]</f>
        <v>#NAME?</v>
      </c>
      <c r="BW196" s="145" t="e">
        <f ca="1">IF(VACnom&gt;Vbat, (1-Table7[[#This Row],[Duty Cycle]])*Table7[[#This Row],[I_L RMS]]^2*C_MOSFET_S_RDSON_L_BU*10^-3, Table7[[#This Row],[Duty Cycle]]*Table7[[#This Row],[I_L RMS]]^2*C_MOSFET_S_RDSON_L_BO*10^-3)/10^-3</f>
        <v>#NAME?</v>
      </c>
      <c r="BX196" s="145" t="e">
        <f ca="1">IF(VACnom&gt;Vbat, Table7[[#This Row],[PRR (mW) C]]+Table7[[#This Row],[Pdead (mW) C]]+Table7[[#This Row],[Pgate_bottom (mW) C]], Table7[[#This Row],[PIV (mW) C]]+Table7[[#This Row],[PQoss (mW) C]]+Table7[[#This Row],[Pgate_bottom (mW) C]])</f>
        <v>#NAME?</v>
      </c>
      <c r="BY196" s="145" t="e">
        <f ca="1">Table7[[#This Row],[Pcon_bottom (mW) C]]+Table7[[#This Row],[Psw_bottom (mV) C]]</f>
        <v>#NAME?</v>
      </c>
      <c r="BZ196" s="145" t="e">
        <f ca="1">Table7[[#This Row],[Pbottom (mW) C]]+Table7[[#This Row],[Ptop (mW) C]]</f>
        <v>#NAME?</v>
      </c>
      <c r="CA196" s="148"/>
      <c r="CB196" s="144">
        <f>(RAC_SNS*10^-3*(Table7[[#This Row],[IOUT (A)]]*Vbat/VACnom)^2/10^-3)</f>
        <v>114.40138888888889</v>
      </c>
      <c r="CC196" s="144">
        <f>(RBAT_SNS*10^-3*Table7[[#This Row],[IOUT (A)]]^2)/10^-3</f>
        <v>80</v>
      </c>
      <c r="CD196" s="144">
        <f>IF(VACnom&gt;Vbat,(L_DRC*10^-3*(Table7[[#This Row],[IOUT (A)]])^2/10^-3),(L_DRC*10^-3*(Table7[[#This Row],[IOUT (A)]]*Vbat/VACnom)^2/10^-3))</f>
        <v>77.792944444444444</v>
      </c>
      <c r="CE196" s="152"/>
      <c r="CF196" s="145">
        <f>(Table7[[#This Row],[R_AC (mW)]]+Table7[[#This Row],[R_SR (mW)]]+Table7[[#This Row],[Inductor Loss (mW)]])/10^3</f>
        <v>0.27219433333333337</v>
      </c>
      <c r="CG196" s="145" t="e">
        <f ca="1">Table7[[#This Row],[Total TI (mW)]]/10^3</f>
        <v>#NAME?</v>
      </c>
      <c r="CH196" s="145" t="e">
        <f ca="1">Table7[[#This Row],[Total Sense Loss]]+Table7[[#This Row],[Total MOSFET Loss]]</f>
        <v>#NAME?</v>
      </c>
      <c r="CI196" s="149" t="e">
        <f ca="1">IF(Table7[[#This Row],[POUT (W)]]=0,0,(Table7[[#This Row],[POUT (W)]])/(Table7[[#This Row],[POUT (W)]]+Table7[[#This Row],[Total Power Loss (W)]]))*100</f>
        <v>#NAME?</v>
      </c>
      <c r="CJ196" s="153"/>
      <c r="CK196" s="145">
        <f>(Table7[[#This Row],[R_AC (mW)]]+Table7[[#This Row],[R_SR (mW)]]+Table7[[#This Row],[Inductor Loss (mW)]])/10^3</f>
        <v>0.27219433333333337</v>
      </c>
      <c r="CL196" s="145" t="e">
        <f ca="1">Table7[[#This Row],[Total (mW) C]]/10^3</f>
        <v>#NAME?</v>
      </c>
      <c r="CM196" s="145" t="e">
        <f ca="1">Table7[[#This Row],[Total Sense Loss C]]+Table7[[#This Row],[Total MOSFET Loss C]]</f>
        <v>#NAME?</v>
      </c>
      <c r="CN196" s="149" t="e">
        <f ca="1">IF(Table7[[#This Row],[POUT (W)]]=0,0,(Table7[[#This Row],[POUT (W)]])/(Table7[[#This Row],[POUT (W)]]+Table7[[#This Row],[Total Power Loss (W) C]]))*100</f>
        <v>#NAME?</v>
      </c>
      <c r="CO196" s="153"/>
      <c r="CP196" s="149">
        <f>IF(MOSFET_S=Custom_MOSFET,Table7[[#This Row],[Total Sense Loss C]],Table7[[#This Row],[Total Sense Loss]])</f>
        <v>0.27219433333333337</v>
      </c>
      <c r="CQ196" s="149" t="e">
        <f ca="1">IF(MOSFET_S=Custom_MOSFET,Table7[[#This Row],[Total MOSFET Loss C]],Table7[[#This Row],[Total MOSFET Loss]])</f>
        <v>#NAME?</v>
      </c>
      <c r="CR196" s="149" t="e">
        <f ca="1">IF(MOSFET_S=Custom_MOSFET,Table7[[#This Row],[Efficiency C]],Table7[[#This Row],[Efficiency]])</f>
        <v>#NAME?</v>
      </c>
      <c r="CS196" s="153"/>
      <c r="CT196" s="149">
        <f>IF(MOSFET_S=Compare_MOSFET, Table7[[#This Row],[Total Sense Loss C]], -100)</f>
        <v>-100</v>
      </c>
      <c r="CU196" s="149">
        <f>IF(MOSFET_S=Compare_MOSFET, Table7[[#This Row],[Total MOSFET Loss C]], -100)</f>
        <v>-100</v>
      </c>
      <c r="CV196" s="149">
        <f>IF(MOSFET_S=Compare_MOSFET, Table7[[#This Row],[Efficiency C]], -100)</f>
        <v>-100</v>
      </c>
      <c r="CW196" s="153"/>
      <c r="CX196" s="149">
        <f ca="1">IF(Save_Sel=CLR_Save,  Table7[[#This Row],[Total Sense Loss P1]], Table7[[#This Row],[Total Sense Loss P1 Saved]])</f>
        <v>0.22825000000000001</v>
      </c>
      <c r="CY196" s="149">
        <f ca="1">IF(Save_Sel=CLR_Save,  Table7[[#This Row],[Total MOSFET Loss P1]], Table7[[#This Row],[Total MOSFET Loss P1 Saved]] )</f>
        <v>1.7714719659613578</v>
      </c>
      <c r="CZ196" s="149">
        <f ca="1">IF(Save_Sel=CLR_Save, Table7[[#This Row],[Efficiency P1]], Table7[[#This Row],[Efficiency P1 Saved]])</f>
        <v>92.308679421343896</v>
      </c>
      <c r="DA196" s="153"/>
      <c r="DB196" s="149">
        <f ca="1">IF(Save_Sel=CLR_Save,  Table7[[#This Row],[Total Sense Loss P2]], Table7[[#This Row],[Total Sense Loss P2 Saved]])</f>
        <v>0.22825000000000001</v>
      </c>
      <c r="DC196" s="149">
        <f ca="1">IF(Save_Sel=CLR_Save,  Table7[[#This Row],[Total MOSFET Loss P2]], Table7[[#This Row],[Total MOSFET Loss P2 Saved]] )</f>
        <v>1.1755820476497718</v>
      </c>
      <c r="DD196" s="149">
        <f ca="1">IF(Save_Sel=CLR_Save, Table7[[#This Row],[Efficiency P2]], Table7[[#This Row],[Efficiency P2 Saved]])</f>
        <v>94.47393588094657</v>
      </c>
      <c r="DE196" s="153"/>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row>
    <row r="197" spans="1:165" x14ac:dyDescent="0.2">
      <c r="A197" s="32"/>
      <c r="B197" s="49"/>
      <c r="C197" s="49"/>
      <c r="D197" s="32"/>
      <c r="E197" s="66"/>
      <c r="F197" s="66"/>
      <c r="G197" s="49"/>
      <c r="H197" s="29"/>
      <c r="I197" s="29"/>
      <c r="J197" s="29"/>
      <c r="K197" s="29"/>
      <c r="L197" s="29"/>
      <c r="M197" s="29"/>
      <c r="N197" s="29"/>
      <c r="O197" s="29"/>
      <c r="P197" s="29"/>
      <c r="Q197" s="29"/>
      <c r="R197" s="29"/>
      <c r="S197" s="30"/>
      <c r="T197" s="18"/>
      <c r="U197" s="19"/>
      <c r="V197" s="19"/>
      <c r="W197" s="19"/>
      <c r="X197" s="19"/>
      <c r="Y197" s="19"/>
      <c r="Z197" s="19"/>
      <c r="AA197" s="19"/>
      <c r="AB197" s="19"/>
      <c r="AC197" s="19"/>
      <c r="AD197" s="19"/>
      <c r="AE197" s="19"/>
      <c r="AF197" s="143">
        <f t="shared" si="17"/>
        <v>41</v>
      </c>
      <c r="AG197" s="143">
        <f t="shared" si="39"/>
        <v>4.0999999999999996</v>
      </c>
      <c r="AH197" s="144">
        <f t="shared" si="28"/>
        <v>98.399999999999991</v>
      </c>
      <c r="AI197" s="145">
        <f t="shared" si="29"/>
        <v>0.16376306620209058</v>
      </c>
      <c r="AJ197" s="145">
        <f t="shared" si="30"/>
        <v>4.9029166666666661</v>
      </c>
      <c r="AK197" s="145" t="e">
        <f t="shared" si="26"/>
        <v>#NAME?</v>
      </c>
      <c r="AL197" s="145" t="e">
        <f t="shared" si="27"/>
        <v>#NAME?</v>
      </c>
      <c r="AM197" s="146"/>
      <c r="AN197" s="145" t="e">
        <f>MAX(0,Table7[[#This Row],[I_L]]-0.5*Table7[[#This Row],[I_L pkpk]])</f>
        <v>#NAME?</v>
      </c>
      <c r="AO197" s="145" t="e">
        <f>Table7[[#This Row],[I_L]]+0.5*Table7[[#This Row],[I_L pkpk]]</f>
        <v>#NAME?</v>
      </c>
      <c r="AP197" s="145" t="e">
        <f ca="1">IF(VACnom&gt;Vbat, (VGS_S-(TI_MOSFET_S_VTH_H_BU+Table7[[#This Row],[I_L]]/TI_MOSFET_S_gFS_H_BU))/3.4, (VGS_S-(TI_MOSFET_S_VTH_L_BO+Table7[[#This Row],[I_L]]/TI_MOSFET_S_gFS_L_BO))/3.4 )</f>
        <v>#REF!</v>
      </c>
      <c r="AQ197" s="145" t="e">
        <f ca="1">IF(VACnom&gt;Vbat, ((TI_MOSFET_S_VTH_H_BU+Table7[[#This Row],[I_L]]/TI_MOSFET_S_gFS_H_BU))/1, ((TI_MOSFET_S_VTH_L_BO+Table7[[#This Row],[I_L]]/TI_MOSFET_S_gFS_L_BO))/1 )</f>
        <v>#REF!</v>
      </c>
      <c r="AR197" s="145" t="e">
        <f ca="1">IF(VACnom&gt;Vbat, (TI_MOSFET_S_QGD_H_BU+TI_MOSFET_S_QGS_H_BU)*10^-9/Table7[[#This Row],[Ion (A)]], (TI_MOSFET_S_QGD_L_BO+TI_MOSFET_S_QGS_L_BO)*10^-9/Table7[[#This Row],[Ion (A)]])/10^-9</f>
        <v>#REF!</v>
      </c>
      <c r="AS197" s="145" t="e">
        <f ca="1">IF(VACnom&gt;Vbat, (TI_MOSFET_S_QGD_H_BU+TI_MOSFET_S_QGS_H_BU)*10^-9/Table7[[#This Row],[Ioff (A)]], (TI_MOSFET_S_QGD_L_BO+TI_MOSFET_S_QGS_L_BO)*10^-9/Table7[[#This Row],[Ioff (A)]])/10^-9</f>
        <v>#REF!</v>
      </c>
      <c r="AT197" s="145" t="e">
        <f ca="1" xml:space="preserve"> 0.5*VACnom*Table7[[#This Row],[Ivalley (A)]]*Table7[[#This Row],[ton (ns)]]*10^-9*Fsw*10^3+0.5*VACnom*Table7[[#This Row],[Ipeak (A)]]*Table7[[#This Row],[toff (ns)]]*10^-9*Fsw*10^3/10^-3</f>
        <v>#NAME?</v>
      </c>
      <c r="AU197" s="145" t="e">
        <f t="shared" ca="1" si="31"/>
        <v>#REF!</v>
      </c>
      <c r="AV197" s="145" t="e">
        <f t="shared" ca="1" si="32"/>
        <v>#REF!</v>
      </c>
      <c r="AW197" s="145" t="e">
        <f t="shared" ca="1" si="33"/>
        <v>#REF!</v>
      </c>
      <c r="AX197" s="145" t="e">
        <f ca="1">IF(VACnom&gt;Vbat, TI_MOSFET_S_VSD_L_BU*Table7[[#This Row],[Ivalley (A)]]*Fsw*10^3*40*10^-9+TI_MOSFET_S_VSD_L_BU*Table7[[#This Row],[Ipeak (A)]]*Fsw*10^3*30*10^-9, TI_MOSFET_S_VSD_H_BO*Table7[[#This Row],[Ivalley (A)]]*Fsw*10^3*40*10^-9+TI_MOSFET_S_VSD_H_BO*Table7[[#This Row],[Ipeak (A)]]*Fsw*10^3*30*10^-9)/10^-3</f>
        <v>#REF!</v>
      </c>
      <c r="AY197" s="145" t="e">
        <f t="shared" ca="1" si="34"/>
        <v>#REF!</v>
      </c>
      <c r="AZ197" s="145" t="e">
        <f ca="1">IF(VACnom&lt;Vbat, Table7[[#This Row],[Duty Cycle]]*Table7[[#This Row],[I_L RMS]]^2*TI_MOSFET_S_RDSON_H_BU*10^-3, (1-Table7[[#This Row],[Duty Cycle]])*Table7[[#This Row],[I_L RMS]]^2*TI_MOSFET_S_RDSON_H_BO*10^-3)/10^-3</f>
        <v>#NAME?</v>
      </c>
      <c r="BA197" s="145" t="e">
        <f ca="1">IF(VACnom&gt;Vbat, Table7[[#This Row],[PIV (mW)]]+Table7[[#This Row],[Pqoss (mW)]]+Table7[[#This Row],[Pgate_top (mW)]], Table7[[#This Row],[PRR (mW)]]+Table7[[#This Row],[Pdead (mW)]]+Table7[[#This Row],[Pgate_top (mW)]])</f>
        <v>#REF!</v>
      </c>
      <c r="BB197" s="145" t="e">
        <f ca="1">Table7[[#This Row],[Pcon_top (mW)]]+Table7[[#This Row],[Psw_top (mW)]]</f>
        <v>#NAME?</v>
      </c>
      <c r="BC197" s="145" t="e">
        <f ca="1">IF(VACnom&gt;Vbat, (1-Table7[[#This Row],[Duty Cycle]])*Table7[[#This Row],[I_L RMS]]^2*TI_MOSFET_S_RDSON_L_BU*10^-3, Table7[[#This Row],[Duty Cycle]]*Table7[[#This Row],[I_L RMS]]^2*TI_MOSFET_S_RDSON_L_BO*10^-3)/10^-3</f>
        <v>#NAME?</v>
      </c>
      <c r="BD197" s="145" t="e">
        <f ca="1">IF(VACnom&gt;Vbat, Table7[[#This Row],[PRR (mW)]]+Table7[[#This Row],[Pdead (mW)]]+Table7[[#This Row],[Pgate_bottom (mW)]], Table7[[#This Row],[PIV (mW)]]+Table7[[#This Row],[Pqoss (mW)]]+Table7[[#This Row],[Pgate_bottom (mW)]])</f>
        <v>#NAME?</v>
      </c>
      <c r="BE197" s="147" t="e">
        <f ca="1">Table7[[#This Row],[Pcon_bottom (mW)]]+Table7[[#This Row],[Psw_bottom (mW)]]</f>
        <v>#NAME?</v>
      </c>
      <c r="BF197" s="145" t="e">
        <f ca="1">Table7[[#This Row],[Pbottom (mW)]]+Table7[[#This Row],[Ptop (mW)]]</f>
        <v>#NAME?</v>
      </c>
      <c r="BG197" s="142"/>
      <c r="BH197" s="145" t="e">
        <f>MAX(0,Table7[[#This Row],[I_L]]-0.5*Table7[[#This Row],[I_L pkpk]])</f>
        <v>#NAME?</v>
      </c>
      <c r="BI197" s="145" t="e">
        <f>Table7[[#This Row],[I_L]]+0.5*Table7[[#This Row],[I_L pkpk]]</f>
        <v>#NAME?</v>
      </c>
      <c r="BJ197" s="145">
        <f>IF(VACnom&gt;Vbat, (VGS_S-(C_MOSFET_S_VTH_H_BU+Table7[[#This Row],[I_L]]/C_MOSFET_S_gFS_H_BU))/3.4, (VGS_S-(C_MOSFET_S_VTH_L_BO+Table7[[#This Row],[I_L]]/C_MOSFET_S_gFS_L_BO))/3.4 )</f>
        <v>2.3433276143790849</v>
      </c>
      <c r="BK197" s="145">
        <f>IF(VACnom&gt;Vbat, ((C_MOSFET_S_VTH_H_BU+Table7[[#This Row],[I_L]]/C_MOSFET_S_gFS_H_BU))/1, ((C_MOSFET_S_VTH_L_BO+Table7[[#This Row],[I_L]]/C_MOSFET_S_gFS_L_BO))/1 )</f>
        <v>2.032686111111111</v>
      </c>
      <c r="BL197" s="145">
        <f>IF(VACnom&gt;Vbat, (C_MOSFET_S_QGD_H_BU+C_MOSFET_S_QGS_H_BU)*10^-9/Table7[[#This Row],[Ion (A) C]], (C_MOSFET_S_QGD_L_BO+C_MOSFET_S_QGS_L_BO)*10^-9/Table7[[#This Row],[Ion (A) C]])/10^-9</f>
        <v>2.7738332276352722</v>
      </c>
      <c r="BM197" s="145">
        <f>IF(VACnom&gt;Vbat, (C_MOSFET_S_QGD_H_BU+C_MOSFET_S_QGS_H_BU)*10^-9/Table7[[#This Row],[Ioff (A) C]], (C_MOSFET_S_QGD_L_BO+C_MOSFET_S_QGS_L_BO)*10^-9/Table7[[#This Row],[Ioff (A) C]])/10^-9</f>
        <v>3.1977391710749461</v>
      </c>
      <c r="BN197" s="145" t="e">
        <f xml:space="preserve"> 0.5*VACnom*Table7[[#This Row],[Ivalley (A) C]]*Table7[[#This Row],[ton (ns) C]]*10^-9*Fsw*10^3+0.5*VACnom*Table7[[#This Row],[Ipeak (A) C]]*Table7[[#This Row],[toff (ns) C]]*10^-9*Fsw*10^3/10^-3</f>
        <v>#NAME?</v>
      </c>
      <c r="BO197" s="145">
        <f t="shared" si="35"/>
        <v>259.2</v>
      </c>
      <c r="BP197" s="145" t="e">
        <f t="shared" ca="1" si="36"/>
        <v>#REF!</v>
      </c>
      <c r="BQ197" s="145">
        <f t="shared" si="37"/>
        <v>475.2</v>
      </c>
      <c r="BR197" s="145" t="e">
        <f>IF(VACnom&gt;Vbat, C_MOSFET_S_VSD_L_BU*Table7[[#This Row],[Ivalley (A) C]]*Fsw*10^3*40*10^-9+C_MOSFET_S_VSD_L_BU*Table7[[#This Row],[Ipeak (A) C]]*Fsw*10^3*30*10^-9, C_MOSFET_S_VSD_H_BO*Table7[[#This Row],[Ivalley (A) C]]*Fsw*10^3*40*10^-9+C_MOSFET_S_VSD_H_BO*Table7[[#This Row],[Ipeak (A) C]]*Fsw*10^3*30*10^-9)/10^-3</f>
        <v>#NAME?</v>
      </c>
      <c r="BS197" s="145" t="e">
        <f t="shared" ca="1" si="38"/>
        <v>#REF!</v>
      </c>
      <c r="BT197" s="145" t="e">
        <f>IF(VACnom&lt;Vbat, Table7[[#This Row],[Duty Cycle]]*Table7[[#This Row],[I_L RMS]]^2*C_MOSFET_S_RDSON_H_BU*10^-3, (1-Table7[[#This Row],[Duty Cycle]])*Table7[[#This Row],[I_L RMS]]^2*C_MOSFET_S_RDSON_H_BO*10^-3)/10^-3</f>
        <v>#NAME?</v>
      </c>
      <c r="BU197" s="145" t="e">
        <f ca="1">IF(VACnom&gt;Vbat, Table7[[#This Row],[PIV (mW) C]]+Table7[[#This Row],[PQoss (mW) C]]+Table7[[#This Row],[Pgate_top (mW) C]], Table7[[#This Row],[PRR (mW) C]]+Table7[[#This Row],[Pdead (mW) C]]+Table7[[#This Row],[Pgate_top (mW) C]])</f>
        <v>#NAME?</v>
      </c>
      <c r="BV197" s="145" t="e">
        <f ca="1">Table7[[#This Row],[Pcon_top (mW) C]]+Table7[[#This Row],[Psw_top (mW) C]]</f>
        <v>#NAME?</v>
      </c>
      <c r="BW197" s="145" t="e">
        <f ca="1">IF(VACnom&gt;Vbat, (1-Table7[[#This Row],[Duty Cycle]])*Table7[[#This Row],[I_L RMS]]^2*C_MOSFET_S_RDSON_L_BU*10^-3, Table7[[#This Row],[Duty Cycle]]*Table7[[#This Row],[I_L RMS]]^2*C_MOSFET_S_RDSON_L_BO*10^-3)/10^-3</f>
        <v>#NAME?</v>
      </c>
      <c r="BX197" s="145" t="e">
        <f ca="1">IF(VACnom&gt;Vbat, Table7[[#This Row],[PRR (mW) C]]+Table7[[#This Row],[Pdead (mW) C]]+Table7[[#This Row],[Pgate_bottom (mW) C]], Table7[[#This Row],[PIV (mW) C]]+Table7[[#This Row],[PQoss (mW) C]]+Table7[[#This Row],[Pgate_bottom (mW) C]])</f>
        <v>#NAME?</v>
      </c>
      <c r="BY197" s="145" t="e">
        <f ca="1">Table7[[#This Row],[Pcon_bottom (mW) C]]+Table7[[#This Row],[Psw_bottom (mV) C]]</f>
        <v>#NAME?</v>
      </c>
      <c r="BZ197" s="145" t="e">
        <f ca="1">Table7[[#This Row],[Pbottom (mW) C]]+Table7[[#This Row],[Ptop (mW) C]]</f>
        <v>#NAME?</v>
      </c>
      <c r="CA197" s="148"/>
      <c r="CB197" s="144">
        <f>(RAC_SNS*10^-3*(Table7[[#This Row],[IOUT (A)]]*Vbat/VACnom)^2/10^-3)</f>
        <v>120.19295920138885</v>
      </c>
      <c r="CC197" s="144">
        <f>(RBAT_SNS*10^-3*Table7[[#This Row],[IOUT (A)]]^2)/10^-3</f>
        <v>84.05</v>
      </c>
      <c r="CD197" s="144">
        <f>IF(VACnom&gt;Vbat,(L_DRC*10^-3*(Table7[[#This Row],[IOUT (A)]])^2/10^-3),(L_DRC*10^-3*(Table7[[#This Row],[IOUT (A)]]*Vbat/VACnom)^2/10^-3))</f>
        <v>81.731212256944417</v>
      </c>
      <c r="CE197" s="152"/>
      <c r="CF197" s="145">
        <f>(Table7[[#This Row],[R_AC (mW)]]+Table7[[#This Row],[R_SR (mW)]]+Table7[[#This Row],[Inductor Loss (mW)]])/10^3</f>
        <v>0.2859741714583332</v>
      </c>
      <c r="CG197" s="145" t="e">
        <f ca="1">Table7[[#This Row],[Total TI (mW)]]/10^3</f>
        <v>#NAME?</v>
      </c>
      <c r="CH197" s="145" t="e">
        <f ca="1">Table7[[#This Row],[Total Sense Loss]]+Table7[[#This Row],[Total MOSFET Loss]]</f>
        <v>#NAME?</v>
      </c>
      <c r="CI197" s="149" t="e">
        <f ca="1">IF(Table7[[#This Row],[POUT (W)]]=0,0,(Table7[[#This Row],[POUT (W)]])/(Table7[[#This Row],[POUT (W)]]+Table7[[#This Row],[Total Power Loss (W)]]))*100</f>
        <v>#NAME?</v>
      </c>
      <c r="CJ197" s="153"/>
      <c r="CK197" s="145">
        <f>(Table7[[#This Row],[R_AC (mW)]]+Table7[[#This Row],[R_SR (mW)]]+Table7[[#This Row],[Inductor Loss (mW)]])/10^3</f>
        <v>0.2859741714583332</v>
      </c>
      <c r="CL197" s="145" t="e">
        <f ca="1">Table7[[#This Row],[Total (mW) C]]/10^3</f>
        <v>#NAME?</v>
      </c>
      <c r="CM197" s="145" t="e">
        <f ca="1">Table7[[#This Row],[Total Sense Loss C]]+Table7[[#This Row],[Total MOSFET Loss C]]</f>
        <v>#NAME?</v>
      </c>
      <c r="CN197" s="149" t="e">
        <f ca="1">IF(Table7[[#This Row],[POUT (W)]]=0,0,(Table7[[#This Row],[POUT (W)]])/(Table7[[#This Row],[POUT (W)]]+Table7[[#This Row],[Total Power Loss (W) C]]))*100</f>
        <v>#NAME?</v>
      </c>
      <c r="CO197" s="153"/>
      <c r="CP197" s="149">
        <f>IF(MOSFET_S=Custom_MOSFET,Table7[[#This Row],[Total Sense Loss C]],Table7[[#This Row],[Total Sense Loss]])</f>
        <v>0.2859741714583332</v>
      </c>
      <c r="CQ197" s="149" t="e">
        <f ca="1">IF(MOSFET_S=Custom_MOSFET,Table7[[#This Row],[Total MOSFET Loss C]],Table7[[#This Row],[Total MOSFET Loss]])</f>
        <v>#NAME?</v>
      </c>
      <c r="CR197" s="149" t="e">
        <f ca="1">IF(MOSFET_S=Custom_MOSFET,Table7[[#This Row],[Efficiency C]],Table7[[#This Row],[Efficiency]])</f>
        <v>#NAME?</v>
      </c>
      <c r="CS197" s="153"/>
      <c r="CT197" s="149">
        <f>IF(MOSFET_S=Compare_MOSFET, Table7[[#This Row],[Total Sense Loss C]], -100)</f>
        <v>-100</v>
      </c>
      <c r="CU197" s="149">
        <f>IF(MOSFET_S=Compare_MOSFET, Table7[[#This Row],[Total MOSFET Loss C]], -100)</f>
        <v>-100</v>
      </c>
      <c r="CV197" s="149">
        <f>IF(MOSFET_S=Compare_MOSFET, Table7[[#This Row],[Efficiency C]], -100)</f>
        <v>-100</v>
      </c>
      <c r="CW197" s="153"/>
      <c r="CX197" s="149">
        <f ca="1">IF(Save_Sel=CLR_Save,  Table7[[#This Row],[Total Sense Loss P1]], Table7[[#This Row],[Total Sense Loss P1 Saved]])</f>
        <v>0.23980515624999998</v>
      </c>
      <c r="CY197" s="149">
        <f ca="1">IF(Save_Sel=CLR_Save,  Table7[[#This Row],[Total MOSFET Loss P1]], Table7[[#This Row],[Total MOSFET Loss P1 Saved]] )</f>
        <v>1.7810331679381344</v>
      </c>
      <c r="CZ197" s="149">
        <f ca="1">IF(Save_Sel=CLR_Save, Table7[[#This Row],[Efficiency P1]], Table7[[#This Row],[Efficiency P1 Saved]])</f>
        <v>92.408810347824527</v>
      </c>
      <c r="DA197" s="153"/>
      <c r="DB197" s="149">
        <f ca="1">IF(Save_Sel=CLR_Save,  Table7[[#This Row],[Total Sense Loss P2]], Table7[[#This Row],[Total Sense Loss P2 Saved]])</f>
        <v>0.23980515624999998</v>
      </c>
      <c r="DC197" s="149">
        <f ca="1">IF(Save_Sel=CLR_Save,  Table7[[#This Row],[Total MOSFET Loss P2]], Table7[[#This Row],[Total MOSFET Loss P2 Saved]] )</f>
        <v>1.1827526818502119</v>
      </c>
      <c r="DD197" s="149">
        <f ca="1">IF(Save_Sel=CLR_Save, Table7[[#This Row],[Efficiency P2]], Table7[[#This Row],[Efficiency P2 Saved]])</f>
        <v>94.533366600813494</v>
      </c>
      <c r="DE197" s="153"/>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row>
    <row r="198" spans="1:165" x14ac:dyDescent="0.2">
      <c r="A198" s="32"/>
      <c r="B198" s="49"/>
      <c r="C198" s="49"/>
      <c r="D198" s="32"/>
      <c r="E198" s="66"/>
      <c r="F198" s="66"/>
      <c r="G198" s="49"/>
      <c r="H198" s="29"/>
      <c r="I198" s="29"/>
      <c r="J198" s="29"/>
      <c r="K198" s="29"/>
      <c r="L198" s="29"/>
      <c r="M198" s="29"/>
      <c r="N198" s="29"/>
      <c r="O198" s="29"/>
      <c r="P198" s="29"/>
      <c r="Q198" s="29"/>
      <c r="R198" s="29"/>
      <c r="S198" s="30"/>
      <c r="T198" s="18"/>
      <c r="U198" s="19"/>
      <c r="V198" s="19"/>
      <c r="W198" s="19"/>
      <c r="X198" s="19"/>
      <c r="Y198" s="19"/>
      <c r="Z198" s="19"/>
      <c r="AA198" s="19"/>
      <c r="AB198" s="19"/>
      <c r="AC198" s="19"/>
      <c r="AD198" s="19"/>
      <c r="AE198" s="19"/>
      <c r="AF198" s="143">
        <f t="shared" si="17"/>
        <v>42</v>
      </c>
      <c r="AG198" s="143">
        <f t="shared" si="39"/>
        <v>4.2</v>
      </c>
      <c r="AH198" s="144">
        <f t="shared" si="28"/>
        <v>100.80000000000001</v>
      </c>
      <c r="AI198" s="145">
        <f t="shared" si="29"/>
        <v>0.16376306620209058</v>
      </c>
      <c r="AJ198" s="145">
        <f t="shared" si="30"/>
        <v>5.0225</v>
      </c>
      <c r="AK198" s="145" t="e">
        <f t="shared" si="26"/>
        <v>#NAME?</v>
      </c>
      <c r="AL198" s="145" t="e">
        <f t="shared" si="27"/>
        <v>#NAME?</v>
      </c>
      <c r="AM198" s="146"/>
      <c r="AN198" s="145" t="e">
        <f>MAX(0,Table7[[#This Row],[I_L]]-0.5*Table7[[#This Row],[I_L pkpk]])</f>
        <v>#NAME?</v>
      </c>
      <c r="AO198" s="145" t="e">
        <f>Table7[[#This Row],[I_L]]+0.5*Table7[[#This Row],[I_L pkpk]]</f>
        <v>#NAME?</v>
      </c>
      <c r="AP198" s="145" t="e">
        <f ca="1">IF(VACnom&gt;Vbat, (VGS_S-(TI_MOSFET_S_VTH_H_BU+Table7[[#This Row],[I_L]]/TI_MOSFET_S_gFS_H_BU))/3.4, (VGS_S-(TI_MOSFET_S_VTH_L_BO+Table7[[#This Row],[I_L]]/TI_MOSFET_S_gFS_L_BO))/3.4 )</f>
        <v>#REF!</v>
      </c>
      <c r="AQ198" s="145" t="e">
        <f ca="1">IF(VACnom&gt;Vbat, ((TI_MOSFET_S_VTH_H_BU+Table7[[#This Row],[I_L]]/TI_MOSFET_S_gFS_H_BU))/1, ((TI_MOSFET_S_VTH_L_BO+Table7[[#This Row],[I_L]]/TI_MOSFET_S_gFS_L_BO))/1 )</f>
        <v>#REF!</v>
      </c>
      <c r="AR198" s="145" t="e">
        <f ca="1">IF(VACnom&gt;Vbat, (TI_MOSFET_S_QGD_H_BU+TI_MOSFET_S_QGS_H_BU)*10^-9/Table7[[#This Row],[Ion (A)]], (TI_MOSFET_S_QGD_L_BO+TI_MOSFET_S_QGS_L_BO)*10^-9/Table7[[#This Row],[Ion (A)]])/10^-9</f>
        <v>#REF!</v>
      </c>
      <c r="AS198" s="145" t="e">
        <f ca="1">IF(VACnom&gt;Vbat, (TI_MOSFET_S_QGD_H_BU+TI_MOSFET_S_QGS_H_BU)*10^-9/Table7[[#This Row],[Ioff (A)]], (TI_MOSFET_S_QGD_L_BO+TI_MOSFET_S_QGS_L_BO)*10^-9/Table7[[#This Row],[Ioff (A)]])/10^-9</f>
        <v>#REF!</v>
      </c>
      <c r="AT198" s="145" t="e">
        <f ca="1" xml:space="preserve"> 0.5*VACnom*Table7[[#This Row],[Ivalley (A)]]*Table7[[#This Row],[ton (ns)]]*10^-9*Fsw*10^3+0.5*VACnom*Table7[[#This Row],[Ipeak (A)]]*Table7[[#This Row],[toff (ns)]]*10^-9*Fsw*10^3/10^-3</f>
        <v>#NAME?</v>
      </c>
      <c r="AU198" s="145" t="e">
        <f t="shared" ca="1" si="31"/>
        <v>#REF!</v>
      </c>
      <c r="AV198" s="145" t="e">
        <f t="shared" ca="1" si="32"/>
        <v>#REF!</v>
      </c>
      <c r="AW198" s="145" t="e">
        <f t="shared" ca="1" si="33"/>
        <v>#REF!</v>
      </c>
      <c r="AX198" s="145" t="e">
        <f ca="1">IF(VACnom&gt;Vbat, TI_MOSFET_S_VSD_L_BU*Table7[[#This Row],[Ivalley (A)]]*Fsw*10^3*40*10^-9+TI_MOSFET_S_VSD_L_BU*Table7[[#This Row],[Ipeak (A)]]*Fsw*10^3*30*10^-9, TI_MOSFET_S_VSD_H_BO*Table7[[#This Row],[Ivalley (A)]]*Fsw*10^3*40*10^-9+TI_MOSFET_S_VSD_H_BO*Table7[[#This Row],[Ipeak (A)]]*Fsw*10^3*30*10^-9)/10^-3</f>
        <v>#REF!</v>
      </c>
      <c r="AY198" s="145" t="e">
        <f t="shared" ca="1" si="34"/>
        <v>#REF!</v>
      </c>
      <c r="AZ198" s="145" t="e">
        <f ca="1">IF(VACnom&lt;Vbat, Table7[[#This Row],[Duty Cycle]]*Table7[[#This Row],[I_L RMS]]^2*TI_MOSFET_S_RDSON_H_BU*10^-3, (1-Table7[[#This Row],[Duty Cycle]])*Table7[[#This Row],[I_L RMS]]^2*TI_MOSFET_S_RDSON_H_BO*10^-3)/10^-3</f>
        <v>#NAME?</v>
      </c>
      <c r="BA198" s="145" t="e">
        <f ca="1">IF(VACnom&gt;Vbat, Table7[[#This Row],[PIV (mW)]]+Table7[[#This Row],[Pqoss (mW)]]+Table7[[#This Row],[Pgate_top (mW)]], Table7[[#This Row],[PRR (mW)]]+Table7[[#This Row],[Pdead (mW)]]+Table7[[#This Row],[Pgate_top (mW)]])</f>
        <v>#REF!</v>
      </c>
      <c r="BB198" s="145" t="e">
        <f ca="1">Table7[[#This Row],[Pcon_top (mW)]]+Table7[[#This Row],[Psw_top (mW)]]</f>
        <v>#NAME?</v>
      </c>
      <c r="BC198" s="145" t="e">
        <f ca="1">IF(VACnom&gt;Vbat, (1-Table7[[#This Row],[Duty Cycle]])*Table7[[#This Row],[I_L RMS]]^2*TI_MOSFET_S_RDSON_L_BU*10^-3, Table7[[#This Row],[Duty Cycle]]*Table7[[#This Row],[I_L RMS]]^2*TI_MOSFET_S_RDSON_L_BO*10^-3)/10^-3</f>
        <v>#NAME?</v>
      </c>
      <c r="BD198" s="145" t="e">
        <f ca="1">IF(VACnom&gt;Vbat, Table7[[#This Row],[PRR (mW)]]+Table7[[#This Row],[Pdead (mW)]]+Table7[[#This Row],[Pgate_bottom (mW)]], Table7[[#This Row],[PIV (mW)]]+Table7[[#This Row],[Pqoss (mW)]]+Table7[[#This Row],[Pgate_bottom (mW)]])</f>
        <v>#NAME?</v>
      </c>
      <c r="BE198" s="147" t="e">
        <f ca="1">Table7[[#This Row],[Pcon_bottom (mW)]]+Table7[[#This Row],[Psw_bottom (mW)]]</f>
        <v>#NAME?</v>
      </c>
      <c r="BF198" s="145" t="e">
        <f ca="1">Table7[[#This Row],[Pbottom (mW)]]+Table7[[#This Row],[Ptop (mW)]]</f>
        <v>#NAME?</v>
      </c>
      <c r="BG198" s="142"/>
      <c r="BH198" s="145" t="e">
        <f>MAX(0,Table7[[#This Row],[I_L]]-0.5*Table7[[#This Row],[I_L pkpk]])</f>
        <v>#NAME?</v>
      </c>
      <c r="BI198" s="145" t="e">
        <f>Table7[[#This Row],[I_L]]+0.5*Table7[[#This Row],[I_L pkpk]]</f>
        <v>#NAME?</v>
      </c>
      <c r="BJ198" s="145">
        <f>IF(VACnom&gt;Vbat, (VGS_S-(C_MOSFET_S_VTH_H_BU+Table7[[#This Row],[I_L]]/C_MOSFET_S_gFS_H_BU))/3.4, (VGS_S-(C_MOSFET_S_VTH_L_BO+Table7[[#This Row],[I_L]]/C_MOSFET_S_gFS_L_BO))/3.4 )</f>
        <v>2.3430931372549022</v>
      </c>
      <c r="BK198" s="145">
        <f>IF(VACnom&gt;Vbat, ((C_MOSFET_S_VTH_H_BU+Table7[[#This Row],[I_L]]/C_MOSFET_S_gFS_H_BU))/1, ((C_MOSFET_S_VTH_L_BO+Table7[[#This Row],[I_L]]/C_MOSFET_S_gFS_L_BO))/1 )</f>
        <v>2.0334833333333333</v>
      </c>
      <c r="BL198" s="145">
        <f>IF(VACnom&gt;Vbat, (C_MOSFET_S_QGD_H_BU+C_MOSFET_S_QGS_H_BU)*10^-9/Table7[[#This Row],[Ion (A) C]], (C_MOSFET_S_QGD_L_BO+C_MOSFET_S_QGS_L_BO)*10^-9/Table7[[#This Row],[Ion (A) C]])/10^-9</f>
        <v>2.774110809617754</v>
      </c>
      <c r="BM198" s="145">
        <f>IF(VACnom&gt;Vbat, (C_MOSFET_S_QGD_H_BU+C_MOSFET_S_QGS_H_BU)*10^-9/Table7[[#This Row],[Ioff (A) C]], (C_MOSFET_S_QGD_L_BO+C_MOSFET_S_QGS_L_BO)*10^-9/Table7[[#This Row],[Ioff (A) C]])/10^-9</f>
        <v>3.1964855051676517</v>
      </c>
      <c r="BN198" s="145" t="e">
        <f xml:space="preserve"> 0.5*VACnom*Table7[[#This Row],[Ivalley (A) C]]*Table7[[#This Row],[ton (ns) C]]*10^-9*Fsw*10^3+0.5*VACnom*Table7[[#This Row],[Ipeak (A) C]]*Table7[[#This Row],[toff (ns) C]]*10^-9*Fsw*10^3/10^-3</f>
        <v>#NAME?</v>
      </c>
      <c r="BO198" s="145">
        <f t="shared" si="35"/>
        <v>259.2</v>
      </c>
      <c r="BP198" s="145" t="e">
        <f t="shared" ca="1" si="36"/>
        <v>#REF!</v>
      </c>
      <c r="BQ198" s="145">
        <f t="shared" si="37"/>
        <v>475.2</v>
      </c>
      <c r="BR198" s="145" t="e">
        <f>IF(VACnom&gt;Vbat, C_MOSFET_S_VSD_L_BU*Table7[[#This Row],[Ivalley (A) C]]*Fsw*10^3*40*10^-9+C_MOSFET_S_VSD_L_BU*Table7[[#This Row],[Ipeak (A) C]]*Fsw*10^3*30*10^-9, C_MOSFET_S_VSD_H_BO*Table7[[#This Row],[Ivalley (A) C]]*Fsw*10^3*40*10^-9+C_MOSFET_S_VSD_H_BO*Table7[[#This Row],[Ipeak (A) C]]*Fsw*10^3*30*10^-9)/10^-3</f>
        <v>#NAME?</v>
      </c>
      <c r="BS198" s="145" t="e">
        <f t="shared" ca="1" si="38"/>
        <v>#REF!</v>
      </c>
      <c r="BT198" s="145" t="e">
        <f>IF(VACnom&lt;Vbat, Table7[[#This Row],[Duty Cycle]]*Table7[[#This Row],[I_L RMS]]^2*C_MOSFET_S_RDSON_H_BU*10^-3, (1-Table7[[#This Row],[Duty Cycle]])*Table7[[#This Row],[I_L RMS]]^2*C_MOSFET_S_RDSON_H_BO*10^-3)/10^-3</f>
        <v>#NAME?</v>
      </c>
      <c r="BU198" s="145" t="e">
        <f ca="1">IF(VACnom&gt;Vbat, Table7[[#This Row],[PIV (mW) C]]+Table7[[#This Row],[PQoss (mW) C]]+Table7[[#This Row],[Pgate_top (mW) C]], Table7[[#This Row],[PRR (mW) C]]+Table7[[#This Row],[Pdead (mW) C]]+Table7[[#This Row],[Pgate_top (mW) C]])</f>
        <v>#NAME?</v>
      </c>
      <c r="BV198" s="145" t="e">
        <f ca="1">Table7[[#This Row],[Pcon_top (mW) C]]+Table7[[#This Row],[Psw_top (mW) C]]</f>
        <v>#NAME?</v>
      </c>
      <c r="BW198" s="145" t="e">
        <f ca="1">IF(VACnom&gt;Vbat, (1-Table7[[#This Row],[Duty Cycle]])*Table7[[#This Row],[I_L RMS]]^2*C_MOSFET_S_RDSON_L_BU*10^-3, Table7[[#This Row],[Duty Cycle]]*Table7[[#This Row],[I_L RMS]]^2*C_MOSFET_S_RDSON_L_BO*10^-3)/10^-3</f>
        <v>#NAME?</v>
      </c>
      <c r="BX198" s="145" t="e">
        <f ca="1">IF(VACnom&gt;Vbat, Table7[[#This Row],[PRR (mW) C]]+Table7[[#This Row],[Pdead (mW) C]]+Table7[[#This Row],[Pgate_bottom (mW) C]], Table7[[#This Row],[PIV (mW) C]]+Table7[[#This Row],[PQoss (mW) C]]+Table7[[#This Row],[Pgate_bottom (mW) C]])</f>
        <v>#NAME?</v>
      </c>
      <c r="BY198" s="145" t="e">
        <f ca="1">Table7[[#This Row],[Pcon_bottom (mW) C]]+Table7[[#This Row],[Psw_bottom (mV) C]]</f>
        <v>#NAME?</v>
      </c>
      <c r="BZ198" s="145" t="e">
        <f ca="1">Table7[[#This Row],[Pbottom (mW) C]]+Table7[[#This Row],[Ptop (mW) C]]</f>
        <v>#NAME?</v>
      </c>
      <c r="CA198" s="148"/>
      <c r="CB198" s="144">
        <f>(RAC_SNS*10^-3*(Table7[[#This Row],[IOUT (A)]]*Vbat/VACnom)^2/10^-3)</f>
        <v>126.12753125</v>
      </c>
      <c r="CC198" s="144">
        <f>(RBAT_SNS*10^-3*Table7[[#This Row],[IOUT (A)]]^2)/10^-3</f>
        <v>88.2</v>
      </c>
      <c r="CD198" s="144">
        <f>IF(VACnom&gt;Vbat,(L_DRC*10^-3*(Table7[[#This Row],[IOUT (A)]])^2/10^-3),(L_DRC*10^-3*(Table7[[#This Row],[IOUT (A)]]*Vbat/VACnom)^2/10^-3))</f>
        <v>85.766721249999989</v>
      </c>
      <c r="CE198" s="152"/>
      <c r="CF198" s="145">
        <f>(Table7[[#This Row],[R_AC (mW)]]+Table7[[#This Row],[R_SR (mW)]]+Table7[[#This Row],[Inductor Loss (mW)]])/10^3</f>
        <v>0.30009425249999999</v>
      </c>
      <c r="CG198" s="145" t="e">
        <f ca="1">Table7[[#This Row],[Total TI (mW)]]/10^3</f>
        <v>#NAME?</v>
      </c>
      <c r="CH198" s="145" t="e">
        <f ca="1">Table7[[#This Row],[Total Sense Loss]]+Table7[[#This Row],[Total MOSFET Loss]]</f>
        <v>#NAME?</v>
      </c>
      <c r="CI198" s="149" t="e">
        <f ca="1">IF(Table7[[#This Row],[POUT (W)]]=0,0,(Table7[[#This Row],[POUT (W)]])/(Table7[[#This Row],[POUT (W)]]+Table7[[#This Row],[Total Power Loss (W)]]))*100</f>
        <v>#NAME?</v>
      </c>
      <c r="CJ198" s="153"/>
      <c r="CK198" s="145">
        <f>(Table7[[#This Row],[R_AC (mW)]]+Table7[[#This Row],[R_SR (mW)]]+Table7[[#This Row],[Inductor Loss (mW)]])/10^3</f>
        <v>0.30009425249999999</v>
      </c>
      <c r="CL198" s="145" t="e">
        <f ca="1">Table7[[#This Row],[Total (mW) C]]/10^3</f>
        <v>#NAME?</v>
      </c>
      <c r="CM198" s="145" t="e">
        <f ca="1">Table7[[#This Row],[Total Sense Loss C]]+Table7[[#This Row],[Total MOSFET Loss C]]</f>
        <v>#NAME?</v>
      </c>
      <c r="CN198" s="149" t="e">
        <f ca="1">IF(Table7[[#This Row],[POUT (W)]]=0,0,(Table7[[#This Row],[POUT (W)]])/(Table7[[#This Row],[POUT (W)]]+Table7[[#This Row],[Total Power Loss (W) C]]))*100</f>
        <v>#NAME?</v>
      </c>
      <c r="CO198" s="153"/>
      <c r="CP198" s="149">
        <f>IF(MOSFET_S=Custom_MOSFET,Table7[[#This Row],[Total Sense Loss C]],Table7[[#This Row],[Total Sense Loss]])</f>
        <v>0.30009425249999999</v>
      </c>
      <c r="CQ198" s="149" t="e">
        <f ca="1">IF(MOSFET_S=Custom_MOSFET,Table7[[#This Row],[Total MOSFET Loss C]],Table7[[#This Row],[Total MOSFET Loss]])</f>
        <v>#NAME?</v>
      </c>
      <c r="CR198" s="149" t="e">
        <f ca="1">IF(MOSFET_S=Custom_MOSFET,Table7[[#This Row],[Efficiency C]],Table7[[#This Row],[Efficiency]])</f>
        <v>#NAME?</v>
      </c>
      <c r="CS198" s="153"/>
      <c r="CT198" s="149">
        <f>IF(MOSFET_S=Compare_MOSFET, Table7[[#This Row],[Total Sense Loss C]], -100)</f>
        <v>-100</v>
      </c>
      <c r="CU198" s="149">
        <f>IF(MOSFET_S=Compare_MOSFET, Table7[[#This Row],[Total MOSFET Loss C]], -100)</f>
        <v>-100</v>
      </c>
      <c r="CV198" s="149">
        <f>IF(MOSFET_S=Compare_MOSFET, Table7[[#This Row],[Efficiency C]], -100)</f>
        <v>-100</v>
      </c>
      <c r="CW198" s="153"/>
      <c r="CX198" s="149">
        <f ca="1">IF(Save_Sel=CLR_Save,  Table7[[#This Row],[Total Sense Loss P1]], Table7[[#This Row],[Total Sense Loss P1 Saved]])</f>
        <v>0.25164562500000004</v>
      </c>
      <c r="CY198" s="149">
        <f ca="1">IF(Save_Sel=CLR_Save,  Table7[[#This Row],[Total MOSFET Loss P1]], Table7[[#This Row],[Total MOSFET Loss P1 Saved]] )</f>
        <v>1.7906371716436935</v>
      </c>
      <c r="CZ198" s="149">
        <f ca="1">IF(Save_Sel=CLR_Save, Table7[[#This Row],[Efficiency P1]], Table7[[#This Row],[Efficiency P1 Saved]])</f>
        <v>92.503261155135988</v>
      </c>
      <c r="DA198" s="153"/>
      <c r="DB198" s="149">
        <f ca="1">IF(Save_Sel=CLR_Save,  Table7[[#This Row],[Total Sense Loss P2]], Table7[[#This Row],[Total Sense Loss P2 Saved]])</f>
        <v>0.25164562500000004</v>
      </c>
      <c r="DC198" s="149">
        <f ca="1">IF(Save_Sel=CLR_Save,  Table7[[#This Row],[Total MOSFET Loss P2]], Table7[[#This Row],[Total MOSFET Loss P2 Saved]] )</f>
        <v>1.1900024763190535</v>
      </c>
      <c r="DD198" s="149">
        <f ca="1">IF(Save_Sel=CLR_Save, Table7[[#This Row],[Efficiency P2]], Table7[[#This Row],[Efficiency P2 Saved]])</f>
        <v>94.58874279910755</v>
      </c>
      <c r="DE198" s="153"/>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row>
    <row r="199" spans="1:165" x14ac:dyDescent="0.2">
      <c r="A199" s="32"/>
      <c r="B199" s="49"/>
      <c r="C199" s="49"/>
      <c r="D199" s="32"/>
      <c r="E199" s="66"/>
      <c r="F199" s="66"/>
      <c r="G199" s="49"/>
      <c r="H199" s="29"/>
      <c r="I199" s="29"/>
      <c r="J199" s="29"/>
      <c r="K199" s="29"/>
      <c r="L199" s="29"/>
      <c r="M199" s="29"/>
      <c r="N199" s="29"/>
      <c r="O199" s="29"/>
      <c r="P199" s="29"/>
      <c r="Q199" s="29"/>
      <c r="R199" s="29"/>
      <c r="S199" s="30"/>
      <c r="T199" s="18"/>
      <c r="U199" s="19"/>
      <c r="V199" s="19"/>
      <c r="W199" s="19"/>
      <c r="X199" s="19"/>
      <c r="Y199" s="19"/>
      <c r="Z199" s="19"/>
      <c r="AA199" s="19"/>
      <c r="AB199" s="19"/>
      <c r="AC199" s="19"/>
      <c r="AD199" s="19"/>
      <c r="AE199" s="19"/>
      <c r="AF199" s="143">
        <f t="shared" si="17"/>
        <v>43</v>
      </c>
      <c r="AG199" s="143">
        <f t="shared" si="39"/>
        <v>4.3</v>
      </c>
      <c r="AH199" s="144">
        <f t="shared" si="28"/>
        <v>103.19999999999999</v>
      </c>
      <c r="AI199" s="145">
        <f t="shared" si="29"/>
        <v>0.16376306620209058</v>
      </c>
      <c r="AJ199" s="145">
        <f t="shared" si="30"/>
        <v>5.1420833333333329</v>
      </c>
      <c r="AK199" s="145" t="e">
        <f t="shared" si="26"/>
        <v>#NAME?</v>
      </c>
      <c r="AL199" s="145" t="e">
        <f t="shared" si="27"/>
        <v>#NAME?</v>
      </c>
      <c r="AM199" s="146"/>
      <c r="AN199" s="145" t="e">
        <f>MAX(0,Table7[[#This Row],[I_L]]-0.5*Table7[[#This Row],[I_L pkpk]])</f>
        <v>#NAME?</v>
      </c>
      <c r="AO199" s="145" t="e">
        <f>Table7[[#This Row],[I_L]]+0.5*Table7[[#This Row],[I_L pkpk]]</f>
        <v>#NAME?</v>
      </c>
      <c r="AP199" s="145" t="e">
        <f ca="1">IF(VACnom&gt;Vbat, (VGS_S-(TI_MOSFET_S_VTH_H_BU+Table7[[#This Row],[I_L]]/TI_MOSFET_S_gFS_H_BU))/3.4, (VGS_S-(TI_MOSFET_S_VTH_L_BO+Table7[[#This Row],[I_L]]/TI_MOSFET_S_gFS_L_BO))/3.4 )</f>
        <v>#REF!</v>
      </c>
      <c r="AQ199" s="145" t="e">
        <f ca="1">IF(VACnom&gt;Vbat, ((TI_MOSFET_S_VTH_H_BU+Table7[[#This Row],[I_L]]/TI_MOSFET_S_gFS_H_BU))/1, ((TI_MOSFET_S_VTH_L_BO+Table7[[#This Row],[I_L]]/TI_MOSFET_S_gFS_L_BO))/1 )</f>
        <v>#REF!</v>
      </c>
      <c r="AR199" s="145" t="e">
        <f ca="1">IF(VACnom&gt;Vbat, (TI_MOSFET_S_QGD_H_BU+TI_MOSFET_S_QGS_H_BU)*10^-9/Table7[[#This Row],[Ion (A)]], (TI_MOSFET_S_QGD_L_BO+TI_MOSFET_S_QGS_L_BO)*10^-9/Table7[[#This Row],[Ion (A)]])/10^-9</f>
        <v>#REF!</v>
      </c>
      <c r="AS199" s="145" t="e">
        <f ca="1">IF(VACnom&gt;Vbat, (TI_MOSFET_S_QGD_H_BU+TI_MOSFET_S_QGS_H_BU)*10^-9/Table7[[#This Row],[Ioff (A)]], (TI_MOSFET_S_QGD_L_BO+TI_MOSFET_S_QGS_L_BO)*10^-9/Table7[[#This Row],[Ioff (A)]])/10^-9</f>
        <v>#REF!</v>
      </c>
      <c r="AT199" s="145" t="e">
        <f ca="1" xml:space="preserve"> 0.5*VACnom*Table7[[#This Row],[Ivalley (A)]]*Table7[[#This Row],[ton (ns)]]*10^-9*Fsw*10^3+0.5*VACnom*Table7[[#This Row],[Ipeak (A)]]*Table7[[#This Row],[toff (ns)]]*10^-9*Fsw*10^3/10^-3</f>
        <v>#NAME?</v>
      </c>
      <c r="AU199" s="145" t="e">
        <f t="shared" ca="1" si="31"/>
        <v>#REF!</v>
      </c>
      <c r="AV199" s="145" t="e">
        <f t="shared" ca="1" si="32"/>
        <v>#REF!</v>
      </c>
      <c r="AW199" s="145" t="e">
        <f t="shared" ca="1" si="33"/>
        <v>#REF!</v>
      </c>
      <c r="AX199" s="145" t="e">
        <f ca="1">IF(VACnom&gt;Vbat, TI_MOSFET_S_VSD_L_BU*Table7[[#This Row],[Ivalley (A)]]*Fsw*10^3*40*10^-9+TI_MOSFET_S_VSD_L_BU*Table7[[#This Row],[Ipeak (A)]]*Fsw*10^3*30*10^-9, TI_MOSFET_S_VSD_H_BO*Table7[[#This Row],[Ivalley (A)]]*Fsw*10^3*40*10^-9+TI_MOSFET_S_VSD_H_BO*Table7[[#This Row],[Ipeak (A)]]*Fsw*10^3*30*10^-9)/10^-3</f>
        <v>#REF!</v>
      </c>
      <c r="AY199" s="145" t="e">
        <f t="shared" ca="1" si="34"/>
        <v>#REF!</v>
      </c>
      <c r="AZ199" s="145" t="e">
        <f ca="1">IF(VACnom&lt;Vbat, Table7[[#This Row],[Duty Cycle]]*Table7[[#This Row],[I_L RMS]]^2*TI_MOSFET_S_RDSON_H_BU*10^-3, (1-Table7[[#This Row],[Duty Cycle]])*Table7[[#This Row],[I_L RMS]]^2*TI_MOSFET_S_RDSON_H_BO*10^-3)/10^-3</f>
        <v>#NAME?</v>
      </c>
      <c r="BA199" s="145" t="e">
        <f ca="1">IF(VACnom&gt;Vbat, Table7[[#This Row],[PIV (mW)]]+Table7[[#This Row],[Pqoss (mW)]]+Table7[[#This Row],[Pgate_top (mW)]], Table7[[#This Row],[PRR (mW)]]+Table7[[#This Row],[Pdead (mW)]]+Table7[[#This Row],[Pgate_top (mW)]])</f>
        <v>#REF!</v>
      </c>
      <c r="BB199" s="145" t="e">
        <f ca="1">Table7[[#This Row],[Pcon_top (mW)]]+Table7[[#This Row],[Psw_top (mW)]]</f>
        <v>#NAME?</v>
      </c>
      <c r="BC199" s="145" t="e">
        <f ca="1">IF(VACnom&gt;Vbat, (1-Table7[[#This Row],[Duty Cycle]])*Table7[[#This Row],[I_L RMS]]^2*TI_MOSFET_S_RDSON_L_BU*10^-3, Table7[[#This Row],[Duty Cycle]]*Table7[[#This Row],[I_L RMS]]^2*TI_MOSFET_S_RDSON_L_BO*10^-3)/10^-3</f>
        <v>#NAME?</v>
      </c>
      <c r="BD199" s="145" t="e">
        <f ca="1">IF(VACnom&gt;Vbat, Table7[[#This Row],[PRR (mW)]]+Table7[[#This Row],[Pdead (mW)]]+Table7[[#This Row],[Pgate_bottom (mW)]], Table7[[#This Row],[PIV (mW)]]+Table7[[#This Row],[Pqoss (mW)]]+Table7[[#This Row],[Pgate_bottom (mW)]])</f>
        <v>#NAME?</v>
      </c>
      <c r="BE199" s="147" t="e">
        <f ca="1">Table7[[#This Row],[Pcon_bottom (mW)]]+Table7[[#This Row],[Psw_bottom (mW)]]</f>
        <v>#NAME?</v>
      </c>
      <c r="BF199" s="145" t="e">
        <f ca="1">Table7[[#This Row],[Pbottom (mW)]]+Table7[[#This Row],[Ptop (mW)]]</f>
        <v>#NAME?</v>
      </c>
      <c r="BG199" s="142"/>
      <c r="BH199" s="145" t="e">
        <f>MAX(0,Table7[[#This Row],[I_L]]-0.5*Table7[[#This Row],[I_L pkpk]])</f>
        <v>#NAME?</v>
      </c>
      <c r="BI199" s="145" t="e">
        <f>Table7[[#This Row],[I_L]]+0.5*Table7[[#This Row],[I_L pkpk]]</f>
        <v>#NAME?</v>
      </c>
      <c r="BJ199" s="145">
        <f>IF(VACnom&gt;Vbat, (VGS_S-(C_MOSFET_S_VTH_H_BU+Table7[[#This Row],[I_L]]/C_MOSFET_S_gFS_H_BU))/3.4, (VGS_S-(C_MOSFET_S_VTH_L_BO+Table7[[#This Row],[I_L]]/C_MOSFET_S_gFS_L_BO))/3.4 )</f>
        <v>2.3428586601307186</v>
      </c>
      <c r="BK199" s="145">
        <f>IF(VACnom&gt;Vbat, ((C_MOSFET_S_VTH_H_BU+Table7[[#This Row],[I_L]]/C_MOSFET_S_gFS_H_BU))/1, ((C_MOSFET_S_VTH_L_BO+Table7[[#This Row],[I_L]]/C_MOSFET_S_gFS_L_BO))/1 )</f>
        <v>2.0342805555555556</v>
      </c>
      <c r="BL199" s="145">
        <f>IF(VACnom&gt;Vbat, (C_MOSFET_S_QGD_H_BU+C_MOSFET_S_QGS_H_BU)*10^-9/Table7[[#This Row],[Ion (A) C]], (C_MOSFET_S_QGD_L_BO+C_MOSFET_S_QGS_L_BO)*10^-9/Table7[[#This Row],[Ion (A) C]])/10^-9</f>
        <v>2.7743884471619538</v>
      </c>
      <c r="BM199" s="145">
        <f>IF(VACnom&gt;Vbat, (C_MOSFET_S_QGD_H_BU+C_MOSFET_S_QGS_H_BU)*10^-9/Table7[[#This Row],[Ioff (A) C]], (C_MOSFET_S_QGD_L_BO+C_MOSFET_S_QGS_L_BO)*10^-9/Table7[[#This Row],[Ioff (A) C]])/10^-9</f>
        <v>3.1952328218685007</v>
      </c>
      <c r="BN199" s="145" t="e">
        <f xml:space="preserve"> 0.5*VACnom*Table7[[#This Row],[Ivalley (A) C]]*Table7[[#This Row],[ton (ns) C]]*10^-9*Fsw*10^3+0.5*VACnom*Table7[[#This Row],[Ipeak (A) C]]*Table7[[#This Row],[toff (ns) C]]*10^-9*Fsw*10^3/10^-3</f>
        <v>#NAME?</v>
      </c>
      <c r="BO199" s="145">
        <f t="shared" si="35"/>
        <v>259.2</v>
      </c>
      <c r="BP199" s="145" t="e">
        <f t="shared" ca="1" si="36"/>
        <v>#REF!</v>
      </c>
      <c r="BQ199" s="145">
        <f t="shared" si="37"/>
        <v>475.2</v>
      </c>
      <c r="BR199" s="145" t="e">
        <f>IF(VACnom&gt;Vbat, C_MOSFET_S_VSD_L_BU*Table7[[#This Row],[Ivalley (A) C]]*Fsw*10^3*40*10^-9+C_MOSFET_S_VSD_L_BU*Table7[[#This Row],[Ipeak (A) C]]*Fsw*10^3*30*10^-9, C_MOSFET_S_VSD_H_BO*Table7[[#This Row],[Ivalley (A) C]]*Fsw*10^3*40*10^-9+C_MOSFET_S_VSD_H_BO*Table7[[#This Row],[Ipeak (A) C]]*Fsw*10^3*30*10^-9)/10^-3</f>
        <v>#NAME?</v>
      </c>
      <c r="BS199" s="145" t="e">
        <f t="shared" ca="1" si="38"/>
        <v>#REF!</v>
      </c>
      <c r="BT199" s="145" t="e">
        <f>IF(VACnom&lt;Vbat, Table7[[#This Row],[Duty Cycle]]*Table7[[#This Row],[I_L RMS]]^2*C_MOSFET_S_RDSON_H_BU*10^-3, (1-Table7[[#This Row],[Duty Cycle]])*Table7[[#This Row],[I_L RMS]]^2*C_MOSFET_S_RDSON_H_BO*10^-3)/10^-3</f>
        <v>#NAME?</v>
      </c>
      <c r="BU199" s="145" t="e">
        <f ca="1">IF(VACnom&gt;Vbat, Table7[[#This Row],[PIV (mW) C]]+Table7[[#This Row],[PQoss (mW) C]]+Table7[[#This Row],[Pgate_top (mW) C]], Table7[[#This Row],[PRR (mW) C]]+Table7[[#This Row],[Pdead (mW) C]]+Table7[[#This Row],[Pgate_top (mW) C]])</f>
        <v>#NAME?</v>
      </c>
      <c r="BV199" s="145" t="e">
        <f ca="1">Table7[[#This Row],[Pcon_top (mW) C]]+Table7[[#This Row],[Psw_top (mW) C]]</f>
        <v>#NAME?</v>
      </c>
      <c r="BW199" s="145" t="e">
        <f ca="1">IF(VACnom&gt;Vbat, (1-Table7[[#This Row],[Duty Cycle]])*Table7[[#This Row],[I_L RMS]]^2*C_MOSFET_S_RDSON_L_BU*10^-3, Table7[[#This Row],[Duty Cycle]]*Table7[[#This Row],[I_L RMS]]^2*C_MOSFET_S_RDSON_L_BO*10^-3)/10^-3</f>
        <v>#NAME?</v>
      </c>
      <c r="BX199" s="145" t="e">
        <f ca="1">IF(VACnom&gt;Vbat, Table7[[#This Row],[PRR (mW) C]]+Table7[[#This Row],[Pdead (mW) C]]+Table7[[#This Row],[Pgate_bottom (mW) C]], Table7[[#This Row],[PIV (mW) C]]+Table7[[#This Row],[PQoss (mW) C]]+Table7[[#This Row],[Pgate_bottom (mW) C]])</f>
        <v>#NAME?</v>
      </c>
      <c r="BY199" s="145" t="e">
        <f ca="1">Table7[[#This Row],[Pcon_bottom (mW) C]]+Table7[[#This Row],[Psw_bottom (mV) C]]</f>
        <v>#NAME?</v>
      </c>
      <c r="BZ199" s="145" t="e">
        <f ca="1">Table7[[#This Row],[Pbottom (mW) C]]+Table7[[#This Row],[Ptop (mW) C]]</f>
        <v>#NAME?</v>
      </c>
      <c r="CA199" s="148"/>
      <c r="CB199" s="144">
        <f>(RAC_SNS*10^-3*(Table7[[#This Row],[IOUT (A)]]*Vbat/VACnom)^2/10^-3)</f>
        <v>132.20510503472218</v>
      </c>
      <c r="CC199" s="144">
        <f>(RBAT_SNS*10^-3*Table7[[#This Row],[IOUT (A)]]^2)/10^-3</f>
        <v>92.449999999999989</v>
      </c>
      <c r="CD199" s="144">
        <f>IF(VACnom&gt;Vbat,(L_DRC*10^-3*(Table7[[#This Row],[IOUT (A)]])^2/10^-3),(L_DRC*10^-3*(Table7[[#This Row],[IOUT (A)]]*Vbat/VACnom)^2/10^-3))</f>
        <v>89.899471423611089</v>
      </c>
      <c r="CE199" s="152"/>
      <c r="CF199" s="145">
        <f>(Table7[[#This Row],[R_AC (mW)]]+Table7[[#This Row],[R_SR (mW)]]+Table7[[#This Row],[Inductor Loss (mW)]])/10^3</f>
        <v>0.31455457645833323</v>
      </c>
      <c r="CG199" s="145" t="e">
        <f ca="1">Table7[[#This Row],[Total TI (mW)]]/10^3</f>
        <v>#NAME?</v>
      </c>
      <c r="CH199" s="145" t="e">
        <f ca="1">Table7[[#This Row],[Total Sense Loss]]+Table7[[#This Row],[Total MOSFET Loss]]</f>
        <v>#NAME?</v>
      </c>
      <c r="CI199" s="149" t="e">
        <f ca="1">IF(Table7[[#This Row],[POUT (W)]]=0,0,(Table7[[#This Row],[POUT (W)]])/(Table7[[#This Row],[POUT (W)]]+Table7[[#This Row],[Total Power Loss (W)]]))*100</f>
        <v>#NAME?</v>
      </c>
      <c r="CJ199" s="153"/>
      <c r="CK199" s="145">
        <f>(Table7[[#This Row],[R_AC (mW)]]+Table7[[#This Row],[R_SR (mW)]]+Table7[[#This Row],[Inductor Loss (mW)]])/10^3</f>
        <v>0.31455457645833323</v>
      </c>
      <c r="CL199" s="145" t="e">
        <f ca="1">Table7[[#This Row],[Total (mW) C]]/10^3</f>
        <v>#NAME?</v>
      </c>
      <c r="CM199" s="145" t="e">
        <f ca="1">Table7[[#This Row],[Total Sense Loss C]]+Table7[[#This Row],[Total MOSFET Loss C]]</f>
        <v>#NAME?</v>
      </c>
      <c r="CN199" s="149" t="e">
        <f ca="1">IF(Table7[[#This Row],[POUT (W)]]=0,0,(Table7[[#This Row],[POUT (W)]])/(Table7[[#This Row],[POUT (W)]]+Table7[[#This Row],[Total Power Loss (W) C]]))*100</f>
        <v>#NAME?</v>
      </c>
      <c r="CO199" s="153"/>
      <c r="CP199" s="149">
        <f>IF(MOSFET_S=Custom_MOSFET,Table7[[#This Row],[Total Sense Loss C]],Table7[[#This Row],[Total Sense Loss]])</f>
        <v>0.31455457645833323</v>
      </c>
      <c r="CQ199" s="149" t="e">
        <f ca="1">IF(MOSFET_S=Custom_MOSFET,Table7[[#This Row],[Total MOSFET Loss C]],Table7[[#This Row],[Total MOSFET Loss]])</f>
        <v>#NAME?</v>
      </c>
      <c r="CR199" s="149" t="e">
        <f ca="1">IF(MOSFET_S=Custom_MOSFET,Table7[[#This Row],[Efficiency C]],Table7[[#This Row],[Efficiency]])</f>
        <v>#NAME?</v>
      </c>
      <c r="CS199" s="153"/>
      <c r="CT199" s="149">
        <f>IF(MOSFET_S=Compare_MOSFET, Table7[[#This Row],[Total Sense Loss C]], -100)</f>
        <v>-100</v>
      </c>
      <c r="CU199" s="149">
        <f>IF(MOSFET_S=Compare_MOSFET, Table7[[#This Row],[Total MOSFET Loss C]], -100)</f>
        <v>-100</v>
      </c>
      <c r="CV199" s="149">
        <f>IF(MOSFET_S=Compare_MOSFET, Table7[[#This Row],[Efficiency C]], -100)</f>
        <v>-100</v>
      </c>
      <c r="CW199" s="153"/>
      <c r="CX199" s="149">
        <f ca="1">IF(Save_Sel=CLR_Save,  Table7[[#This Row],[Total Sense Loss P1]], Table7[[#This Row],[Total Sense Loss P1 Saved]])</f>
        <v>0.26377140625000001</v>
      </c>
      <c r="CY199" s="149">
        <f ca="1">IF(Save_Sel=CLR_Save,  Table7[[#This Row],[Total MOSFET Loss P1]], Table7[[#This Row],[Total MOSFET Loss P1 Saved]] )</f>
        <v>1.8002839813928699</v>
      </c>
      <c r="CZ199" s="149">
        <f ca="1">IF(Save_Sel=CLR_Save, Table7[[#This Row],[Efficiency P1]], Table7[[#This Row],[Efficiency P1 Saved]])</f>
        <v>92.592408538786358</v>
      </c>
      <c r="DA199" s="153"/>
      <c r="DB199" s="149">
        <f ca="1">IF(Save_Sel=CLR_Save,  Table7[[#This Row],[Total Sense Loss P2]], Table7[[#This Row],[Total Sense Loss P2 Saved]])</f>
        <v>0.26377140625000001</v>
      </c>
      <c r="DC199" s="149">
        <f ca="1">IF(Save_Sel=CLR_Save,  Table7[[#This Row],[Total MOSFET Loss P2]], Table7[[#This Row],[Total MOSFET Loss P2 Saved]] )</f>
        <v>1.1973314315545167</v>
      </c>
      <c r="DD199" s="149">
        <f ca="1">IF(Save_Sel=CLR_Save, Table7[[#This Row],[Efficiency P2]], Table7[[#This Row],[Efficiency P2 Saved]])</f>
        <v>94.640338483378144</v>
      </c>
      <c r="DE199" s="153"/>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row>
    <row r="200" spans="1:165" x14ac:dyDescent="0.2">
      <c r="A200" s="32"/>
      <c r="B200" s="49"/>
      <c r="C200" s="49"/>
      <c r="D200" s="32"/>
      <c r="E200" s="66"/>
      <c r="F200" s="66"/>
      <c r="G200" s="49"/>
      <c r="H200" s="29"/>
      <c r="I200" s="29"/>
      <c r="J200" s="29"/>
      <c r="K200" s="29"/>
      <c r="L200" s="29"/>
      <c r="M200" s="29"/>
      <c r="N200" s="29"/>
      <c r="O200" s="29"/>
      <c r="P200" s="29"/>
      <c r="Q200" s="29"/>
      <c r="R200" s="29"/>
      <c r="S200" s="30"/>
      <c r="T200" s="18"/>
      <c r="U200" s="19"/>
      <c r="V200" s="19"/>
      <c r="W200" s="19"/>
      <c r="X200" s="19"/>
      <c r="Y200" s="19"/>
      <c r="Z200" s="19"/>
      <c r="AA200" s="19"/>
      <c r="AB200" s="19"/>
      <c r="AC200" s="19"/>
      <c r="AD200" s="19"/>
      <c r="AE200" s="19"/>
      <c r="AF200" s="143">
        <f t="shared" si="17"/>
        <v>44</v>
      </c>
      <c r="AG200" s="143">
        <f t="shared" si="39"/>
        <v>4.4000000000000004</v>
      </c>
      <c r="AH200" s="144">
        <f t="shared" si="28"/>
        <v>105.60000000000001</v>
      </c>
      <c r="AI200" s="145">
        <f t="shared" si="29"/>
        <v>0.16376306620209058</v>
      </c>
      <c r="AJ200" s="145">
        <f t="shared" si="30"/>
        <v>5.2616666666666667</v>
      </c>
      <c r="AK200" s="145" t="e">
        <f t="shared" si="26"/>
        <v>#NAME?</v>
      </c>
      <c r="AL200" s="145" t="e">
        <f t="shared" si="27"/>
        <v>#NAME?</v>
      </c>
      <c r="AM200" s="146"/>
      <c r="AN200" s="145" t="e">
        <f>MAX(0,Table7[[#This Row],[I_L]]-0.5*Table7[[#This Row],[I_L pkpk]])</f>
        <v>#NAME?</v>
      </c>
      <c r="AO200" s="145" t="e">
        <f>Table7[[#This Row],[I_L]]+0.5*Table7[[#This Row],[I_L pkpk]]</f>
        <v>#NAME?</v>
      </c>
      <c r="AP200" s="145" t="e">
        <f ca="1">IF(VACnom&gt;Vbat, (VGS_S-(TI_MOSFET_S_VTH_H_BU+Table7[[#This Row],[I_L]]/TI_MOSFET_S_gFS_H_BU))/3.4, (VGS_S-(TI_MOSFET_S_VTH_L_BO+Table7[[#This Row],[I_L]]/TI_MOSFET_S_gFS_L_BO))/3.4 )</f>
        <v>#REF!</v>
      </c>
      <c r="AQ200" s="145" t="e">
        <f ca="1">IF(VACnom&gt;Vbat, ((TI_MOSFET_S_VTH_H_BU+Table7[[#This Row],[I_L]]/TI_MOSFET_S_gFS_H_BU))/1, ((TI_MOSFET_S_VTH_L_BO+Table7[[#This Row],[I_L]]/TI_MOSFET_S_gFS_L_BO))/1 )</f>
        <v>#REF!</v>
      </c>
      <c r="AR200" s="145" t="e">
        <f ca="1">IF(VACnom&gt;Vbat, (TI_MOSFET_S_QGD_H_BU+TI_MOSFET_S_QGS_H_BU)*10^-9/Table7[[#This Row],[Ion (A)]], (TI_MOSFET_S_QGD_L_BO+TI_MOSFET_S_QGS_L_BO)*10^-9/Table7[[#This Row],[Ion (A)]])/10^-9</f>
        <v>#REF!</v>
      </c>
      <c r="AS200" s="145" t="e">
        <f ca="1">IF(VACnom&gt;Vbat, (TI_MOSFET_S_QGD_H_BU+TI_MOSFET_S_QGS_H_BU)*10^-9/Table7[[#This Row],[Ioff (A)]], (TI_MOSFET_S_QGD_L_BO+TI_MOSFET_S_QGS_L_BO)*10^-9/Table7[[#This Row],[Ioff (A)]])/10^-9</f>
        <v>#REF!</v>
      </c>
      <c r="AT200" s="145" t="e">
        <f ca="1" xml:space="preserve"> 0.5*VACnom*Table7[[#This Row],[Ivalley (A)]]*Table7[[#This Row],[ton (ns)]]*10^-9*Fsw*10^3+0.5*VACnom*Table7[[#This Row],[Ipeak (A)]]*Table7[[#This Row],[toff (ns)]]*10^-9*Fsw*10^3/10^-3</f>
        <v>#NAME?</v>
      </c>
      <c r="AU200" s="145" t="e">
        <f t="shared" ca="1" si="31"/>
        <v>#REF!</v>
      </c>
      <c r="AV200" s="145" t="e">
        <f t="shared" ca="1" si="32"/>
        <v>#REF!</v>
      </c>
      <c r="AW200" s="145" t="e">
        <f t="shared" ca="1" si="33"/>
        <v>#REF!</v>
      </c>
      <c r="AX200" s="145" t="e">
        <f ca="1">IF(VACnom&gt;Vbat, TI_MOSFET_S_VSD_L_BU*Table7[[#This Row],[Ivalley (A)]]*Fsw*10^3*40*10^-9+TI_MOSFET_S_VSD_L_BU*Table7[[#This Row],[Ipeak (A)]]*Fsw*10^3*30*10^-9, TI_MOSFET_S_VSD_H_BO*Table7[[#This Row],[Ivalley (A)]]*Fsw*10^3*40*10^-9+TI_MOSFET_S_VSD_H_BO*Table7[[#This Row],[Ipeak (A)]]*Fsw*10^3*30*10^-9)/10^-3</f>
        <v>#REF!</v>
      </c>
      <c r="AY200" s="145" t="e">
        <f t="shared" ca="1" si="34"/>
        <v>#REF!</v>
      </c>
      <c r="AZ200" s="145" t="e">
        <f ca="1">IF(VACnom&lt;Vbat, Table7[[#This Row],[Duty Cycle]]*Table7[[#This Row],[I_L RMS]]^2*TI_MOSFET_S_RDSON_H_BU*10^-3, (1-Table7[[#This Row],[Duty Cycle]])*Table7[[#This Row],[I_L RMS]]^2*TI_MOSFET_S_RDSON_H_BO*10^-3)/10^-3</f>
        <v>#NAME?</v>
      </c>
      <c r="BA200" s="145" t="e">
        <f ca="1">IF(VACnom&gt;Vbat, Table7[[#This Row],[PIV (mW)]]+Table7[[#This Row],[Pqoss (mW)]]+Table7[[#This Row],[Pgate_top (mW)]], Table7[[#This Row],[PRR (mW)]]+Table7[[#This Row],[Pdead (mW)]]+Table7[[#This Row],[Pgate_top (mW)]])</f>
        <v>#REF!</v>
      </c>
      <c r="BB200" s="145" t="e">
        <f ca="1">Table7[[#This Row],[Pcon_top (mW)]]+Table7[[#This Row],[Psw_top (mW)]]</f>
        <v>#NAME?</v>
      </c>
      <c r="BC200" s="145" t="e">
        <f ca="1">IF(VACnom&gt;Vbat, (1-Table7[[#This Row],[Duty Cycle]])*Table7[[#This Row],[I_L RMS]]^2*TI_MOSFET_S_RDSON_L_BU*10^-3, Table7[[#This Row],[Duty Cycle]]*Table7[[#This Row],[I_L RMS]]^2*TI_MOSFET_S_RDSON_L_BO*10^-3)/10^-3</f>
        <v>#NAME?</v>
      </c>
      <c r="BD200" s="145" t="e">
        <f ca="1">IF(VACnom&gt;Vbat, Table7[[#This Row],[PRR (mW)]]+Table7[[#This Row],[Pdead (mW)]]+Table7[[#This Row],[Pgate_bottom (mW)]], Table7[[#This Row],[PIV (mW)]]+Table7[[#This Row],[Pqoss (mW)]]+Table7[[#This Row],[Pgate_bottom (mW)]])</f>
        <v>#NAME?</v>
      </c>
      <c r="BE200" s="147" t="e">
        <f ca="1">Table7[[#This Row],[Pcon_bottom (mW)]]+Table7[[#This Row],[Psw_bottom (mW)]]</f>
        <v>#NAME?</v>
      </c>
      <c r="BF200" s="145" t="e">
        <f ca="1">Table7[[#This Row],[Pbottom (mW)]]+Table7[[#This Row],[Ptop (mW)]]</f>
        <v>#NAME?</v>
      </c>
      <c r="BG200" s="142"/>
      <c r="BH200" s="145" t="e">
        <f>MAX(0,Table7[[#This Row],[I_L]]-0.5*Table7[[#This Row],[I_L pkpk]])</f>
        <v>#NAME?</v>
      </c>
      <c r="BI200" s="145" t="e">
        <f>Table7[[#This Row],[I_L]]+0.5*Table7[[#This Row],[I_L pkpk]]</f>
        <v>#NAME?</v>
      </c>
      <c r="BJ200" s="145">
        <f>IF(VACnom&gt;Vbat, (VGS_S-(C_MOSFET_S_VTH_H_BU+Table7[[#This Row],[I_L]]/C_MOSFET_S_gFS_H_BU))/3.4, (VGS_S-(C_MOSFET_S_VTH_L_BO+Table7[[#This Row],[I_L]]/C_MOSFET_S_gFS_L_BO))/3.4 )</f>
        <v>2.342624183006536</v>
      </c>
      <c r="BK200" s="145">
        <f>IF(VACnom&gt;Vbat, ((C_MOSFET_S_VTH_H_BU+Table7[[#This Row],[I_L]]/C_MOSFET_S_gFS_H_BU))/1, ((C_MOSFET_S_VTH_L_BO+Table7[[#This Row],[I_L]]/C_MOSFET_S_gFS_L_BO))/1 )</f>
        <v>2.035077777777778</v>
      </c>
      <c r="BL200" s="145">
        <f>IF(VACnom&gt;Vbat, (C_MOSFET_S_QGD_H_BU+C_MOSFET_S_QGS_H_BU)*10^-9/Table7[[#This Row],[Ion (A) C]], (C_MOSFET_S_QGD_L_BO+C_MOSFET_S_QGS_L_BO)*10^-9/Table7[[#This Row],[Ion (A) C]])/10^-9</f>
        <v>2.7746661402845532</v>
      </c>
      <c r="BM200" s="145">
        <f>IF(VACnom&gt;Vbat, (C_MOSFET_S_QGD_H_BU+C_MOSFET_S_QGS_H_BU)*10^-9/Table7[[#This Row],[Ioff (A) C]], (C_MOSFET_S_QGD_L_BO+C_MOSFET_S_QGS_L_BO)*10^-9/Table7[[#This Row],[Ioff (A) C]])/10^-9</f>
        <v>3.1939811200227122</v>
      </c>
      <c r="BN200" s="145" t="e">
        <f xml:space="preserve"> 0.5*VACnom*Table7[[#This Row],[Ivalley (A) C]]*Table7[[#This Row],[ton (ns) C]]*10^-9*Fsw*10^3+0.5*VACnom*Table7[[#This Row],[Ipeak (A) C]]*Table7[[#This Row],[toff (ns) C]]*10^-9*Fsw*10^3/10^-3</f>
        <v>#NAME?</v>
      </c>
      <c r="BO200" s="145">
        <f t="shared" si="35"/>
        <v>259.2</v>
      </c>
      <c r="BP200" s="145" t="e">
        <f t="shared" ca="1" si="36"/>
        <v>#REF!</v>
      </c>
      <c r="BQ200" s="145">
        <f t="shared" si="37"/>
        <v>475.2</v>
      </c>
      <c r="BR200" s="145" t="e">
        <f>IF(VACnom&gt;Vbat, C_MOSFET_S_VSD_L_BU*Table7[[#This Row],[Ivalley (A) C]]*Fsw*10^3*40*10^-9+C_MOSFET_S_VSD_L_BU*Table7[[#This Row],[Ipeak (A) C]]*Fsw*10^3*30*10^-9, C_MOSFET_S_VSD_H_BO*Table7[[#This Row],[Ivalley (A) C]]*Fsw*10^3*40*10^-9+C_MOSFET_S_VSD_H_BO*Table7[[#This Row],[Ipeak (A) C]]*Fsw*10^3*30*10^-9)/10^-3</f>
        <v>#NAME?</v>
      </c>
      <c r="BS200" s="145" t="e">
        <f t="shared" ca="1" si="38"/>
        <v>#REF!</v>
      </c>
      <c r="BT200" s="145" t="e">
        <f>IF(VACnom&lt;Vbat, Table7[[#This Row],[Duty Cycle]]*Table7[[#This Row],[I_L RMS]]^2*C_MOSFET_S_RDSON_H_BU*10^-3, (1-Table7[[#This Row],[Duty Cycle]])*Table7[[#This Row],[I_L RMS]]^2*C_MOSFET_S_RDSON_H_BO*10^-3)/10^-3</f>
        <v>#NAME?</v>
      </c>
      <c r="BU200" s="145" t="e">
        <f ca="1">IF(VACnom&gt;Vbat, Table7[[#This Row],[PIV (mW) C]]+Table7[[#This Row],[PQoss (mW) C]]+Table7[[#This Row],[Pgate_top (mW) C]], Table7[[#This Row],[PRR (mW) C]]+Table7[[#This Row],[Pdead (mW) C]]+Table7[[#This Row],[Pgate_top (mW) C]])</f>
        <v>#NAME?</v>
      </c>
      <c r="BV200" s="145" t="e">
        <f ca="1">Table7[[#This Row],[Pcon_top (mW) C]]+Table7[[#This Row],[Psw_top (mW) C]]</f>
        <v>#NAME?</v>
      </c>
      <c r="BW200" s="145" t="e">
        <f ca="1">IF(VACnom&gt;Vbat, (1-Table7[[#This Row],[Duty Cycle]])*Table7[[#This Row],[I_L RMS]]^2*C_MOSFET_S_RDSON_L_BU*10^-3, Table7[[#This Row],[Duty Cycle]]*Table7[[#This Row],[I_L RMS]]^2*C_MOSFET_S_RDSON_L_BO*10^-3)/10^-3</f>
        <v>#NAME?</v>
      </c>
      <c r="BX200" s="145" t="e">
        <f ca="1">IF(VACnom&gt;Vbat, Table7[[#This Row],[PRR (mW) C]]+Table7[[#This Row],[Pdead (mW) C]]+Table7[[#This Row],[Pgate_bottom (mW) C]], Table7[[#This Row],[PIV (mW) C]]+Table7[[#This Row],[PQoss (mW) C]]+Table7[[#This Row],[Pgate_bottom (mW) C]])</f>
        <v>#NAME?</v>
      </c>
      <c r="BY200" s="145" t="e">
        <f ca="1">Table7[[#This Row],[Pcon_bottom (mW) C]]+Table7[[#This Row],[Psw_bottom (mV) C]]</f>
        <v>#NAME?</v>
      </c>
      <c r="BZ200" s="145" t="e">
        <f ca="1">Table7[[#This Row],[Pbottom (mW) C]]+Table7[[#This Row],[Ptop (mW) C]]</f>
        <v>#NAME?</v>
      </c>
      <c r="CA200" s="148"/>
      <c r="CB200" s="144">
        <f>(RAC_SNS*10^-3*(Table7[[#This Row],[IOUT (A)]]*Vbat/VACnom)^2/10^-3)</f>
        <v>138.42568055555557</v>
      </c>
      <c r="CC200" s="144">
        <f>(RBAT_SNS*10^-3*Table7[[#This Row],[IOUT (A)]]^2)/10^-3</f>
        <v>96.800000000000011</v>
      </c>
      <c r="CD200" s="144">
        <f>IF(VACnom&gt;Vbat,(L_DRC*10^-3*(Table7[[#This Row],[IOUT (A)]])^2/10^-3),(L_DRC*10^-3*(Table7[[#This Row],[IOUT (A)]]*Vbat/VACnom)^2/10^-3))</f>
        <v>94.129462777777775</v>
      </c>
      <c r="CE200" s="152"/>
      <c r="CF200" s="145">
        <f>(Table7[[#This Row],[R_AC (mW)]]+Table7[[#This Row],[R_SR (mW)]]+Table7[[#This Row],[Inductor Loss (mW)]])/10^3</f>
        <v>0.32935514333333332</v>
      </c>
      <c r="CG200" s="145" t="e">
        <f ca="1">Table7[[#This Row],[Total TI (mW)]]/10^3</f>
        <v>#NAME?</v>
      </c>
      <c r="CH200" s="145" t="e">
        <f ca="1">Table7[[#This Row],[Total Sense Loss]]+Table7[[#This Row],[Total MOSFET Loss]]</f>
        <v>#NAME?</v>
      </c>
      <c r="CI200" s="149" t="e">
        <f ca="1">IF(Table7[[#This Row],[POUT (W)]]=0,0,(Table7[[#This Row],[POUT (W)]])/(Table7[[#This Row],[POUT (W)]]+Table7[[#This Row],[Total Power Loss (W)]]))*100</f>
        <v>#NAME?</v>
      </c>
      <c r="CJ200" s="153"/>
      <c r="CK200" s="145">
        <f>(Table7[[#This Row],[R_AC (mW)]]+Table7[[#This Row],[R_SR (mW)]]+Table7[[#This Row],[Inductor Loss (mW)]])/10^3</f>
        <v>0.32935514333333332</v>
      </c>
      <c r="CL200" s="145" t="e">
        <f ca="1">Table7[[#This Row],[Total (mW) C]]/10^3</f>
        <v>#NAME?</v>
      </c>
      <c r="CM200" s="145" t="e">
        <f ca="1">Table7[[#This Row],[Total Sense Loss C]]+Table7[[#This Row],[Total MOSFET Loss C]]</f>
        <v>#NAME?</v>
      </c>
      <c r="CN200" s="149" t="e">
        <f ca="1">IF(Table7[[#This Row],[POUT (W)]]=0,0,(Table7[[#This Row],[POUT (W)]])/(Table7[[#This Row],[POUT (W)]]+Table7[[#This Row],[Total Power Loss (W) C]]))*100</f>
        <v>#NAME?</v>
      </c>
      <c r="CO200" s="153"/>
      <c r="CP200" s="149">
        <f>IF(MOSFET_S=Custom_MOSFET,Table7[[#This Row],[Total Sense Loss C]],Table7[[#This Row],[Total Sense Loss]])</f>
        <v>0.32935514333333332</v>
      </c>
      <c r="CQ200" s="149" t="e">
        <f ca="1">IF(MOSFET_S=Custom_MOSFET,Table7[[#This Row],[Total MOSFET Loss C]],Table7[[#This Row],[Total MOSFET Loss]])</f>
        <v>#NAME?</v>
      </c>
      <c r="CR200" s="149" t="e">
        <f ca="1">IF(MOSFET_S=Custom_MOSFET,Table7[[#This Row],[Efficiency C]],Table7[[#This Row],[Efficiency]])</f>
        <v>#NAME?</v>
      </c>
      <c r="CS200" s="153"/>
      <c r="CT200" s="149">
        <f>IF(MOSFET_S=Compare_MOSFET, Table7[[#This Row],[Total Sense Loss C]], -100)</f>
        <v>-100</v>
      </c>
      <c r="CU200" s="149">
        <f>IF(MOSFET_S=Compare_MOSFET, Table7[[#This Row],[Total MOSFET Loss C]], -100)</f>
        <v>-100</v>
      </c>
      <c r="CV200" s="149">
        <f>IF(MOSFET_S=Compare_MOSFET, Table7[[#This Row],[Efficiency C]], -100)</f>
        <v>-100</v>
      </c>
      <c r="CW200" s="153"/>
      <c r="CX200" s="149">
        <f ca="1">IF(Save_Sel=CLR_Save,  Table7[[#This Row],[Total Sense Loss P1]], Table7[[#This Row],[Total Sense Loss P1 Saved]])</f>
        <v>0.27618250000000005</v>
      </c>
      <c r="CY200" s="149">
        <f ca="1">IF(Save_Sel=CLR_Save,  Table7[[#This Row],[Total MOSFET Loss P1]], Table7[[#This Row],[Total MOSFET Loss P1 Saved]] )</f>
        <v>1.8099736014939809</v>
      </c>
      <c r="CZ200" s="149">
        <f ca="1">IF(Save_Sel=CLR_Save, Table7[[#This Row],[Efficiency P1]], Table7[[#This Row],[Efficiency P1 Saved]])</f>
        <v>92.676596680643158</v>
      </c>
      <c r="DA200" s="153"/>
      <c r="DB200" s="149">
        <f ca="1">IF(Save_Sel=CLR_Save,  Table7[[#This Row],[Total Sense Loss P2]], Table7[[#This Row],[Total Sense Loss P2 Saved]])</f>
        <v>0.27618250000000005</v>
      </c>
      <c r="DC200" s="149">
        <f ca="1">IF(Save_Sel=CLR_Save,  Table7[[#This Row],[Total MOSFET Loss P2]], Table7[[#This Row],[Total MOSFET Loss P2 Saved]] )</f>
        <v>1.2047395480542495</v>
      </c>
      <c r="DD200" s="149">
        <f ca="1">IF(Save_Sel=CLR_Save, Table7[[#This Row],[Efficiency P2]], Table7[[#This Row],[Efficiency P2 Saved]])</f>
        <v>94.688403613403452</v>
      </c>
      <c r="DE200" s="153"/>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row>
    <row r="201" spans="1:165" x14ac:dyDescent="0.2">
      <c r="A201" s="32"/>
      <c r="B201" s="49"/>
      <c r="C201" s="49"/>
      <c r="D201" s="32"/>
      <c r="E201" s="66"/>
      <c r="F201" s="66"/>
      <c r="G201" s="49"/>
      <c r="H201" s="29"/>
      <c r="I201" s="29"/>
      <c r="J201" s="29"/>
      <c r="K201" s="29"/>
      <c r="L201" s="29"/>
      <c r="M201" s="29"/>
      <c r="N201" s="29"/>
      <c r="O201" s="29"/>
      <c r="P201" s="29"/>
      <c r="Q201" s="29"/>
      <c r="R201" s="29"/>
      <c r="S201" s="30"/>
      <c r="T201" s="18"/>
      <c r="U201" s="19"/>
      <c r="V201" s="19"/>
      <c r="W201" s="19"/>
      <c r="X201" s="19"/>
      <c r="Y201" s="19"/>
      <c r="Z201" s="19"/>
      <c r="AA201" s="19"/>
      <c r="AB201" s="19"/>
      <c r="AC201" s="19"/>
      <c r="AD201" s="19"/>
      <c r="AE201" s="19"/>
      <c r="AF201" s="143">
        <f t="shared" si="17"/>
        <v>45</v>
      </c>
      <c r="AG201" s="143">
        <f t="shared" si="39"/>
        <v>4.5</v>
      </c>
      <c r="AH201" s="144">
        <f t="shared" si="28"/>
        <v>108</v>
      </c>
      <c r="AI201" s="145">
        <f t="shared" si="29"/>
        <v>0.16376306620209058</v>
      </c>
      <c r="AJ201" s="145">
        <f t="shared" si="30"/>
        <v>5.3812499999999996</v>
      </c>
      <c r="AK201" s="145" t="e">
        <f t="shared" si="26"/>
        <v>#NAME?</v>
      </c>
      <c r="AL201" s="145" t="e">
        <f t="shared" si="27"/>
        <v>#NAME?</v>
      </c>
      <c r="AM201" s="146"/>
      <c r="AN201" s="145" t="e">
        <f>MAX(0,Table7[[#This Row],[I_L]]-0.5*Table7[[#This Row],[I_L pkpk]])</f>
        <v>#NAME?</v>
      </c>
      <c r="AO201" s="145" t="e">
        <f>Table7[[#This Row],[I_L]]+0.5*Table7[[#This Row],[I_L pkpk]]</f>
        <v>#NAME?</v>
      </c>
      <c r="AP201" s="145" t="e">
        <f ca="1">IF(VACnom&gt;Vbat, (VGS_S-(TI_MOSFET_S_VTH_H_BU+Table7[[#This Row],[I_L]]/TI_MOSFET_S_gFS_H_BU))/3.4, (VGS_S-(TI_MOSFET_S_VTH_L_BO+Table7[[#This Row],[I_L]]/TI_MOSFET_S_gFS_L_BO))/3.4 )</f>
        <v>#REF!</v>
      </c>
      <c r="AQ201" s="145" t="e">
        <f ca="1">IF(VACnom&gt;Vbat, ((TI_MOSFET_S_VTH_H_BU+Table7[[#This Row],[I_L]]/TI_MOSFET_S_gFS_H_BU))/1, ((TI_MOSFET_S_VTH_L_BO+Table7[[#This Row],[I_L]]/TI_MOSFET_S_gFS_L_BO))/1 )</f>
        <v>#REF!</v>
      </c>
      <c r="AR201" s="145" t="e">
        <f ca="1">IF(VACnom&gt;Vbat, (TI_MOSFET_S_QGD_H_BU+TI_MOSFET_S_QGS_H_BU)*10^-9/Table7[[#This Row],[Ion (A)]], (TI_MOSFET_S_QGD_L_BO+TI_MOSFET_S_QGS_L_BO)*10^-9/Table7[[#This Row],[Ion (A)]])/10^-9</f>
        <v>#REF!</v>
      </c>
      <c r="AS201" s="145" t="e">
        <f ca="1">IF(VACnom&gt;Vbat, (TI_MOSFET_S_QGD_H_BU+TI_MOSFET_S_QGS_H_BU)*10^-9/Table7[[#This Row],[Ioff (A)]], (TI_MOSFET_S_QGD_L_BO+TI_MOSFET_S_QGS_L_BO)*10^-9/Table7[[#This Row],[Ioff (A)]])/10^-9</f>
        <v>#REF!</v>
      </c>
      <c r="AT201" s="145" t="e">
        <f ca="1" xml:space="preserve"> 0.5*VACnom*Table7[[#This Row],[Ivalley (A)]]*Table7[[#This Row],[ton (ns)]]*10^-9*Fsw*10^3+0.5*VACnom*Table7[[#This Row],[Ipeak (A)]]*Table7[[#This Row],[toff (ns)]]*10^-9*Fsw*10^3/10^-3</f>
        <v>#NAME?</v>
      </c>
      <c r="AU201" s="145" t="e">
        <f t="shared" ca="1" si="31"/>
        <v>#REF!</v>
      </c>
      <c r="AV201" s="145" t="e">
        <f t="shared" ca="1" si="32"/>
        <v>#REF!</v>
      </c>
      <c r="AW201" s="145" t="e">
        <f t="shared" ca="1" si="33"/>
        <v>#REF!</v>
      </c>
      <c r="AX201" s="145" t="e">
        <f ca="1">IF(VACnom&gt;Vbat, TI_MOSFET_S_VSD_L_BU*Table7[[#This Row],[Ivalley (A)]]*Fsw*10^3*40*10^-9+TI_MOSFET_S_VSD_L_BU*Table7[[#This Row],[Ipeak (A)]]*Fsw*10^3*30*10^-9, TI_MOSFET_S_VSD_H_BO*Table7[[#This Row],[Ivalley (A)]]*Fsw*10^3*40*10^-9+TI_MOSFET_S_VSD_H_BO*Table7[[#This Row],[Ipeak (A)]]*Fsw*10^3*30*10^-9)/10^-3</f>
        <v>#REF!</v>
      </c>
      <c r="AY201" s="145" t="e">
        <f t="shared" ca="1" si="34"/>
        <v>#REF!</v>
      </c>
      <c r="AZ201" s="145" t="e">
        <f ca="1">IF(VACnom&lt;Vbat, Table7[[#This Row],[Duty Cycle]]*Table7[[#This Row],[I_L RMS]]^2*TI_MOSFET_S_RDSON_H_BU*10^-3, (1-Table7[[#This Row],[Duty Cycle]])*Table7[[#This Row],[I_L RMS]]^2*TI_MOSFET_S_RDSON_H_BO*10^-3)/10^-3</f>
        <v>#NAME?</v>
      </c>
      <c r="BA201" s="145" t="e">
        <f ca="1">IF(VACnom&gt;Vbat, Table7[[#This Row],[PIV (mW)]]+Table7[[#This Row],[Pqoss (mW)]]+Table7[[#This Row],[Pgate_top (mW)]], Table7[[#This Row],[PRR (mW)]]+Table7[[#This Row],[Pdead (mW)]]+Table7[[#This Row],[Pgate_top (mW)]])</f>
        <v>#REF!</v>
      </c>
      <c r="BB201" s="145" t="e">
        <f ca="1">Table7[[#This Row],[Pcon_top (mW)]]+Table7[[#This Row],[Psw_top (mW)]]</f>
        <v>#NAME?</v>
      </c>
      <c r="BC201" s="145" t="e">
        <f ca="1">IF(VACnom&gt;Vbat, (1-Table7[[#This Row],[Duty Cycle]])*Table7[[#This Row],[I_L RMS]]^2*TI_MOSFET_S_RDSON_L_BU*10^-3, Table7[[#This Row],[Duty Cycle]]*Table7[[#This Row],[I_L RMS]]^2*TI_MOSFET_S_RDSON_L_BO*10^-3)/10^-3</f>
        <v>#NAME?</v>
      </c>
      <c r="BD201" s="145" t="e">
        <f ca="1">IF(VACnom&gt;Vbat, Table7[[#This Row],[PRR (mW)]]+Table7[[#This Row],[Pdead (mW)]]+Table7[[#This Row],[Pgate_bottom (mW)]], Table7[[#This Row],[PIV (mW)]]+Table7[[#This Row],[Pqoss (mW)]]+Table7[[#This Row],[Pgate_bottom (mW)]])</f>
        <v>#NAME?</v>
      </c>
      <c r="BE201" s="147" t="e">
        <f ca="1">Table7[[#This Row],[Pcon_bottom (mW)]]+Table7[[#This Row],[Psw_bottom (mW)]]</f>
        <v>#NAME?</v>
      </c>
      <c r="BF201" s="145" t="e">
        <f ca="1">Table7[[#This Row],[Pbottom (mW)]]+Table7[[#This Row],[Ptop (mW)]]</f>
        <v>#NAME?</v>
      </c>
      <c r="BG201" s="142"/>
      <c r="BH201" s="145" t="e">
        <f>MAX(0,Table7[[#This Row],[I_L]]-0.5*Table7[[#This Row],[I_L pkpk]])</f>
        <v>#NAME?</v>
      </c>
      <c r="BI201" s="145" t="e">
        <f>Table7[[#This Row],[I_L]]+0.5*Table7[[#This Row],[I_L pkpk]]</f>
        <v>#NAME?</v>
      </c>
      <c r="BJ201" s="145">
        <f>IF(VACnom&gt;Vbat, (VGS_S-(C_MOSFET_S_VTH_H_BU+Table7[[#This Row],[I_L]]/C_MOSFET_S_gFS_H_BU))/3.4, (VGS_S-(C_MOSFET_S_VTH_L_BO+Table7[[#This Row],[I_L]]/C_MOSFET_S_gFS_L_BO))/3.4 )</f>
        <v>2.3423897058823528</v>
      </c>
      <c r="BK201" s="145">
        <f>IF(VACnom&gt;Vbat, ((C_MOSFET_S_VTH_H_BU+Table7[[#This Row],[I_L]]/C_MOSFET_S_gFS_H_BU))/1, ((C_MOSFET_S_VTH_L_BO+Table7[[#This Row],[I_L]]/C_MOSFET_S_gFS_L_BO))/1 )</f>
        <v>2.0358749999999999</v>
      </c>
      <c r="BL201" s="145">
        <f>IF(VACnom&gt;Vbat, (C_MOSFET_S_QGD_H_BU+C_MOSFET_S_QGS_H_BU)*10^-9/Table7[[#This Row],[Ion (A) C]], (C_MOSFET_S_QGD_L_BO+C_MOSFET_S_QGS_L_BO)*10^-9/Table7[[#This Row],[Ion (A) C]])/10^-9</f>
        <v>2.7749438890022442</v>
      </c>
      <c r="BM201" s="145">
        <f>IF(VACnom&gt;Vbat, (C_MOSFET_S_QGD_H_BU+C_MOSFET_S_QGS_H_BU)*10^-9/Table7[[#This Row],[Ioff (A) C]], (C_MOSFET_S_QGD_L_BO+C_MOSFET_S_QGS_L_BO)*10^-9/Table7[[#This Row],[Ioff (A) C]])/10^-9</f>
        <v>3.1927303984773134</v>
      </c>
      <c r="BN201" s="145" t="e">
        <f xml:space="preserve"> 0.5*VACnom*Table7[[#This Row],[Ivalley (A) C]]*Table7[[#This Row],[ton (ns) C]]*10^-9*Fsw*10^3+0.5*VACnom*Table7[[#This Row],[Ipeak (A) C]]*Table7[[#This Row],[toff (ns) C]]*10^-9*Fsw*10^3/10^-3</f>
        <v>#NAME?</v>
      </c>
      <c r="BO201" s="145">
        <f t="shared" si="35"/>
        <v>259.2</v>
      </c>
      <c r="BP201" s="145" t="e">
        <f t="shared" ca="1" si="36"/>
        <v>#REF!</v>
      </c>
      <c r="BQ201" s="145">
        <f t="shared" si="37"/>
        <v>475.2</v>
      </c>
      <c r="BR201" s="145" t="e">
        <f>IF(VACnom&gt;Vbat, C_MOSFET_S_VSD_L_BU*Table7[[#This Row],[Ivalley (A) C]]*Fsw*10^3*40*10^-9+C_MOSFET_S_VSD_L_BU*Table7[[#This Row],[Ipeak (A) C]]*Fsw*10^3*30*10^-9, C_MOSFET_S_VSD_H_BO*Table7[[#This Row],[Ivalley (A) C]]*Fsw*10^3*40*10^-9+C_MOSFET_S_VSD_H_BO*Table7[[#This Row],[Ipeak (A) C]]*Fsw*10^3*30*10^-9)/10^-3</f>
        <v>#NAME?</v>
      </c>
      <c r="BS201" s="145" t="e">
        <f t="shared" ca="1" si="38"/>
        <v>#REF!</v>
      </c>
      <c r="BT201" s="145" t="e">
        <f>IF(VACnom&lt;Vbat, Table7[[#This Row],[Duty Cycle]]*Table7[[#This Row],[I_L RMS]]^2*C_MOSFET_S_RDSON_H_BU*10^-3, (1-Table7[[#This Row],[Duty Cycle]])*Table7[[#This Row],[I_L RMS]]^2*C_MOSFET_S_RDSON_H_BO*10^-3)/10^-3</f>
        <v>#NAME?</v>
      </c>
      <c r="BU201" s="145" t="e">
        <f ca="1">IF(VACnom&gt;Vbat, Table7[[#This Row],[PIV (mW) C]]+Table7[[#This Row],[PQoss (mW) C]]+Table7[[#This Row],[Pgate_top (mW) C]], Table7[[#This Row],[PRR (mW) C]]+Table7[[#This Row],[Pdead (mW) C]]+Table7[[#This Row],[Pgate_top (mW) C]])</f>
        <v>#NAME?</v>
      </c>
      <c r="BV201" s="145" t="e">
        <f ca="1">Table7[[#This Row],[Pcon_top (mW) C]]+Table7[[#This Row],[Psw_top (mW) C]]</f>
        <v>#NAME?</v>
      </c>
      <c r="BW201" s="145" t="e">
        <f ca="1">IF(VACnom&gt;Vbat, (1-Table7[[#This Row],[Duty Cycle]])*Table7[[#This Row],[I_L RMS]]^2*C_MOSFET_S_RDSON_L_BU*10^-3, Table7[[#This Row],[Duty Cycle]]*Table7[[#This Row],[I_L RMS]]^2*C_MOSFET_S_RDSON_L_BO*10^-3)/10^-3</f>
        <v>#NAME?</v>
      </c>
      <c r="BX201" s="145" t="e">
        <f ca="1">IF(VACnom&gt;Vbat, Table7[[#This Row],[PRR (mW) C]]+Table7[[#This Row],[Pdead (mW) C]]+Table7[[#This Row],[Pgate_bottom (mW) C]], Table7[[#This Row],[PIV (mW) C]]+Table7[[#This Row],[PQoss (mW) C]]+Table7[[#This Row],[Pgate_bottom (mW) C]])</f>
        <v>#NAME?</v>
      </c>
      <c r="BY201" s="145" t="e">
        <f ca="1">Table7[[#This Row],[Pcon_bottom (mW) C]]+Table7[[#This Row],[Psw_bottom (mV) C]]</f>
        <v>#NAME?</v>
      </c>
      <c r="BZ201" s="145" t="e">
        <f ca="1">Table7[[#This Row],[Pbottom (mW) C]]+Table7[[#This Row],[Ptop (mW) C]]</f>
        <v>#NAME?</v>
      </c>
      <c r="CA201" s="148"/>
      <c r="CB201" s="144">
        <f>(RAC_SNS*10^-3*(Table7[[#This Row],[IOUT (A)]]*Vbat/VACnom)^2/10^-3)</f>
        <v>144.78925781250004</v>
      </c>
      <c r="CC201" s="144">
        <f>(RBAT_SNS*10^-3*Table7[[#This Row],[IOUT (A)]]^2)/10^-3</f>
        <v>101.25</v>
      </c>
      <c r="CD201" s="144">
        <f>IF(VACnom&gt;Vbat,(L_DRC*10^-3*(Table7[[#This Row],[IOUT (A)]])^2/10^-3),(L_DRC*10^-3*(Table7[[#This Row],[IOUT (A)]]*Vbat/VACnom)^2/10^-3))</f>
        <v>98.456695312500017</v>
      </c>
      <c r="CE201" s="152"/>
      <c r="CF201" s="145">
        <f>(Table7[[#This Row],[R_AC (mW)]]+Table7[[#This Row],[R_SR (mW)]]+Table7[[#This Row],[Inductor Loss (mW)]])/10^3</f>
        <v>0.34449595312500003</v>
      </c>
      <c r="CG201" s="145" t="e">
        <f ca="1">Table7[[#This Row],[Total TI (mW)]]/10^3</f>
        <v>#NAME?</v>
      </c>
      <c r="CH201" s="145" t="e">
        <f ca="1">Table7[[#This Row],[Total Sense Loss]]+Table7[[#This Row],[Total MOSFET Loss]]</f>
        <v>#NAME?</v>
      </c>
      <c r="CI201" s="149" t="e">
        <f ca="1">IF(Table7[[#This Row],[POUT (W)]]=0,0,(Table7[[#This Row],[POUT (W)]])/(Table7[[#This Row],[POUT (W)]]+Table7[[#This Row],[Total Power Loss (W)]]))*100</f>
        <v>#NAME?</v>
      </c>
      <c r="CJ201" s="153"/>
      <c r="CK201" s="145">
        <f>(Table7[[#This Row],[R_AC (mW)]]+Table7[[#This Row],[R_SR (mW)]]+Table7[[#This Row],[Inductor Loss (mW)]])/10^3</f>
        <v>0.34449595312500003</v>
      </c>
      <c r="CL201" s="145" t="e">
        <f ca="1">Table7[[#This Row],[Total (mW) C]]/10^3</f>
        <v>#NAME?</v>
      </c>
      <c r="CM201" s="145" t="e">
        <f ca="1">Table7[[#This Row],[Total Sense Loss C]]+Table7[[#This Row],[Total MOSFET Loss C]]</f>
        <v>#NAME?</v>
      </c>
      <c r="CN201" s="149" t="e">
        <f ca="1">IF(Table7[[#This Row],[POUT (W)]]=0,0,(Table7[[#This Row],[POUT (W)]])/(Table7[[#This Row],[POUT (W)]]+Table7[[#This Row],[Total Power Loss (W) C]]))*100</f>
        <v>#NAME?</v>
      </c>
      <c r="CO201" s="153"/>
      <c r="CP201" s="149">
        <f>IF(MOSFET_S=Custom_MOSFET,Table7[[#This Row],[Total Sense Loss C]],Table7[[#This Row],[Total Sense Loss]])</f>
        <v>0.34449595312500003</v>
      </c>
      <c r="CQ201" s="149" t="e">
        <f ca="1">IF(MOSFET_S=Custom_MOSFET,Table7[[#This Row],[Total MOSFET Loss C]],Table7[[#This Row],[Total MOSFET Loss]])</f>
        <v>#NAME?</v>
      </c>
      <c r="CR201" s="149" t="e">
        <f ca="1">IF(MOSFET_S=Custom_MOSFET,Table7[[#This Row],[Efficiency C]],Table7[[#This Row],[Efficiency]])</f>
        <v>#NAME?</v>
      </c>
      <c r="CS201" s="153"/>
      <c r="CT201" s="149">
        <f>IF(MOSFET_S=Compare_MOSFET, Table7[[#This Row],[Total Sense Loss C]], -100)</f>
        <v>-100</v>
      </c>
      <c r="CU201" s="149">
        <f>IF(MOSFET_S=Compare_MOSFET, Table7[[#This Row],[Total MOSFET Loss C]], -100)</f>
        <v>-100</v>
      </c>
      <c r="CV201" s="149">
        <f>IF(MOSFET_S=Compare_MOSFET, Table7[[#This Row],[Efficiency C]], -100)</f>
        <v>-100</v>
      </c>
      <c r="CW201" s="153"/>
      <c r="CX201" s="149">
        <f ca="1">IF(Save_Sel=CLR_Save,  Table7[[#This Row],[Total Sense Loss P1]], Table7[[#This Row],[Total Sense Loss P1 Saved]])</f>
        <v>0.28887890625000001</v>
      </c>
      <c r="CY201" s="149">
        <f ca="1">IF(Save_Sel=CLR_Save,  Table7[[#This Row],[Total MOSFET Loss P1]], Table7[[#This Row],[Total MOSFET Loss P1 Saved]] )</f>
        <v>1.8197060362488373</v>
      </c>
      <c r="CZ201" s="149">
        <f ca="1">IF(Save_Sel=CLR_Save, Table7[[#This Row],[Efficiency P1]], Table7[[#This Row],[Efficiency P1 Saved]])</f>
        <v>92.756140682674399</v>
      </c>
      <c r="DA201" s="153"/>
      <c r="DB201" s="149">
        <f ca="1">IF(Save_Sel=CLR_Save,  Table7[[#This Row],[Total Sense Loss P2]], Table7[[#This Row],[Total Sense Loss P2 Saved]])</f>
        <v>0.28887890625000001</v>
      </c>
      <c r="DC201" s="149">
        <f ca="1">IF(Save_Sel=CLR_Save,  Table7[[#This Row],[Total MOSFET Loss P2]], Table7[[#This Row],[Total MOSFET Loss P2 Saved]] )</f>
        <v>1.2122268263153293</v>
      </c>
      <c r="DD201" s="149">
        <f ca="1">IF(Save_Sel=CLR_Save, Table7[[#This Row],[Efficiency P2]], Table7[[#This Row],[Efficiency P2 Saved]])</f>
        <v>94.733166682546752</v>
      </c>
      <c r="DE201" s="153"/>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row>
    <row r="202" spans="1:165" x14ac:dyDescent="0.2">
      <c r="A202" s="32"/>
      <c r="B202" s="49"/>
      <c r="C202" s="49"/>
      <c r="D202" s="32"/>
      <c r="E202" s="66"/>
      <c r="F202" s="66"/>
      <c r="G202" s="49"/>
      <c r="H202" s="29"/>
      <c r="I202" s="29"/>
      <c r="J202" s="29"/>
      <c r="K202" s="29"/>
      <c r="L202" s="29"/>
      <c r="M202" s="29"/>
      <c r="N202" s="29"/>
      <c r="O202" s="29"/>
      <c r="P202" s="29"/>
      <c r="Q202" s="29"/>
      <c r="R202" s="29"/>
      <c r="S202" s="30"/>
      <c r="T202" s="18"/>
      <c r="U202" s="19"/>
      <c r="V202" s="19"/>
      <c r="W202" s="19"/>
      <c r="X202" s="19"/>
      <c r="Y202" s="19"/>
      <c r="Z202" s="19"/>
      <c r="AA202" s="19"/>
      <c r="AB202" s="19"/>
      <c r="AC202" s="19"/>
      <c r="AD202" s="19"/>
      <c r="AE202" s="19"/>
      <c r="AF202" s="143">
        <f t="shared" si="17"/>
        <v>46</v>
      </c>
      <c r="AG202" s="143">
        <f t="shared" si="39"/>
        <v>4.5999999999999996</v>
      </c>
      <c r="AH202" s="144">
        <f t="shared" si="28"/>
        <v>110.39999999999999</v>
      </c>
      <c r="AI202" s="145">
        <f t="shared" si="29"/>
        <v>0.16376306620209058</v>
      </c>
      <c r="AJ202" s="145">
        <f t="shared" si="30"/>
        <v>5.5008333333333326</v>
      </c>
      <c r="AK202" s="145" t="e">
        <f t="shared" si="26"/>
        <v>#NAME?</v>
      </c>
      <c r="AL202" s="145" t="e">
        <f t="shared" si="27"/>
        <v>#NAME?</v>
      </c>
      <c r="AM202" s="146"/>
      <c r="AN202" s="145" t="e">
        <f>MAX(0,Table7[[#This Row],[I_L]]-0.5*Table7[[#This Row],[I_L pkpk]])</f>
        <v>#NAME?</v>
      </c>
      <c r="AO202" s="145" t="e">
        <f>Table7[[#This Row],[I_L]]+0.5*Table7[[#This Row],[I_L pkpk]]</f>
        <v>#NAME?</v>
      </c>
      <c r="AP202" s="145" t="e">
        <f ca="1">IF(VACnom&gt;Vbat, (VGS_S-(TI_MOSFET_S_VTH_H_BU+Table7[[#This Row],[I_L]]/TI_MOSFET_S_gFS_H_BU))/3.4, (VGS_S-(TI_MOSFET_S_VTH_L_BO+Table7[[#This Row],[I_L]]/TI_MOSFET_S_gFS_L_BO))/3.4 )</f>
        <v>#REF!</v>
      </c>
      <c r="AQ202" s="145" t="e">
        <f ca="1">IF(VACnom&gt;Vbat, ((TI_MOSFET_S_VTH_H_BU+Table7[[#This Row],[I_L]]/TI_MOSFET_S_gFS_H_BU))/1, ((TI_MOSFET_S_VTH_L_BO+Table7[[#This Row],[I_L]]/TI_MOSFET_S_gFS_L_BO))/1 )</f>
        <v>#REF!</v>
      </c>
      <c r="AR202" s="145" t="e">
        <f ca="1">IF(VACnom&gt;Vbat, (TI_MOSFET_S_QGD_H_BU+TI_MOSFET_S_QGS_H_BU)*10^-9/Table7[[#This Row],[Ion (A)]], (TI_MOSFET_S_QGD_L_BO+TI_MOSFET_S_QGS_L_BO)*10^-9/Table7[[#This Row],[Ion (A)]])/10^-9</f>
        <v>#REF!</v>
      </c>
      <c r="AS202" s="145" t="e">
        <f ca="1">IF(VACnom&gt;Vbat, (TI_MOSFET_S_QGD_H_BU+TI_MOSFET_S_QGS_H_BU)*10^-9/Table7[[#This Row],[Ioff (A)]], (TI_MOSFET_S_QGD_L_BO+TI_MOSFET_S_QGS_L_BO)*10^-9/Table7[[#This Row],[Ioff (A)]])/10^-9</f>
        <v>#REF!</v>
      </c>
      <c r="AT202" s="145" t="e">
        <f ca="1" xml:space="preserve"> 0.5*VACnom*Table7[[#This Row],[Ivalley (A)]]*Table7[[#This Row],[ton (ns)]]*10^-9*Fsw*10^3+0.5*VACnom*Table7[[#This Row],[Ipeak (A)]]*Table7[[#This Row],[toff (ns)]]*10^-9*Fsw*10^3/10^-3</f>
        <v>#NAME?</v>
      </c>
      <c r="AU202" s="145" t="e">
        <f t="shared" ca="1" si="31"/>
        <v>#REF!</v>
      </c>
      <c r="AV202" s="145" t="e">
        <f t="shared" ca="1" si="32"/>
        <v>#REF!</v>
      </c>
      <c r="AW202" s="145" t="e">
        <f t="shared" ca="1" si="33"/>
        <v>#REF!</v>
      </c>
      <c r="AX202" s="145" t="e">
        <f ca="1">IF(VACnom&gt;Vbat, TI_MOSFET_S_VSD_L_BU*Table7[[#This Row],[Ivalley (A)]]*Fsw*10^3*40*10^-9+TI_MOSFET_S_VSD_L_BU*Table7[[#This Row],[Ipeak (A)]]*Fsw*10^3*30*10^-9, TI_MOSFET_S_VSD_H_BO*Table7[[#This Row],[Ivalley (A)]]*Fsw*10^3*40*10^-9+TI_MOSFET_S_VSD_H_BO*Table7[[#This Row],[Ipeak (A)]]*Fsw*10^3*30*10^-9)/10^-3</f>
        <v>#REF!</v>
      </c>
      <c r="AY202" s="145" t="e">
        <f t="shared" ca="1" si="34"/>
        <v>#REF!</v>
      </c>
      <c r="AZ202" s="145" t="e">
        <f ca="1">IF(VACnom&lt;Vbat, Table7[[#This Row],[Duty Cycle]]*Table7[[#This Row],[I_L RMS]]^2*TI_MOSFET_S_RDSON_H_BU*10^-3, (1-Table7[[#This Row],[Duty Cycle]])*Table7[[#This Row],[I_L RMS]]^2*TI_MOSFET_S_RDSON_H_BO*10^-3)/10^-3</f>
        <v>#NAME?</v>
      </c>
      <c r="BA202" s="145" t="e">
        <f ca="1">IF(VACnom&gt;Vbat, Table7[[#This Row],[PIV (mW)]]+Table7[[#This Row],[Pqoss (mW)]]+Table7[[#This Row],[Pgate_top (mW)]], Table7[[#This Row],[PRR (mW)]]+Table7[[#This Row],[Pdead (mW)]]+Table7[[#This Row],[Pgate_top (mW)]])</f>
        <v>#REF!</v>
      </c>
      <c r="BB202" s="145" t="e">
        <f ca="1">Table7[[#This Row],[Pcon_top (mW)]]+Table7[[#This Row],[Psw_top (mW)]]</f>
        <v>#NAME?</v>
      </c>
      <c r="BC202" s="145" t="e">
        <f ca="1">IF(VACnom&gt;Vbat, (1-Table7[[#This Row],[Duty Cycle]])*Table7[[#This Row],[I_L RMS]]^2*TI_MOSFET_S_RDSON_L_BU*10^-3, Table7[[#This Row],[Duty Cycle]]*Table7[[#This Row],[I_L RMS]]^2*TI_MOSFET_S_RDSON_L_BO*10^-3)/10^-3</f>
        <v>#NAME?</v>
      </c>
      <c r="BD202" s="145" t="e">
        <f ca="1">IF(VACnom&gt;Vbat, Table7[[#This Row],[PRR (mW)]]+Table7[[#This Row],[Pdead (mW)]]+Table7[[#This Row],[Pgate_bottom (mW)]], Table7[[#This Row],[PIV (mW)]]+Table7[[#This Row],[Pqoss (mW)]]+Table7[[#This Row],[Pgate_bottom (mW)]])</f>
        <v>#NAME?</v>
      </c>
      <c r="BE202" s="147" t="e">
        <f ca="1">Table7[[#This Row],[Pcon_bottom (mW)]]+Table7[[#This Row],[Psw_bottom (mW)]]</f>
        <v>#NAME?</v>
      </c>
      <c r="BF202" s="145" t="e">
        <f ca="1">Table7[[#This Row],[Pbottom (mW)]]+Table7[[#This Row],[Ptop (mW)]]</f>
        <v>#NAME?</v>
      </c>
      <c r="BG202" s="142"/>
      <c r="BH202" s="145" t="e">
        <f>MAX(0,Table7[[#This Row],[I_L]]-0.5*Table7[[#This Row],[I_L pkpk]])</f>
        <v>#NAME?</v>
      </c>
      <c r="BI202" s="145" t="e">
        <f>Table7[[#This Row],[I_L]]+0.5*Table7[[#This Row],[I_L pkpk]]</f>
        <v>#NAME?</v>
      </c>
      <c r="BJ202" s="145">
        <f>IF(VACnom&gt;Vbat, (VGS_S-(C_MOSFET_S_VTH_H_BU+Table7[[#This Row],[I_L]]/C_MOSFET_S_gFS_H_BU))/3.4, (VGS_S-(C_MOSFET_S_VTH_L_BO+Table7[[#This Row],[I_L]]/C_MOSFET_S_gFS_L_BO))/3.4 )</f>
        <v>2.3421552287581702</v>
      </c>
      <c r="BK202" s="145">
        <f>IF(VACnom&gt;Vbat, ((C_MOSFET_S_VTH_H_BU+Table7[[#This Row],[I_L]]/C_MOSFET_S_gFS_H_BU))/1, ((C_MOSFET_S_VTH_L_BO+Table7[[#This Row],[I_L]]/C_MOSFET_S_gFS_L_BO))/1 )</f>
        <v>2.0366722222222222</v>
      </c>
      <c r="BL202" s="145">
        <f>IF(VACnom&gt;Vbat, (C_MOSFET_S_QGD_H_BU+C_MOSFET_S_QGS_H_BU)*10^-9/Table7[[#This Row],[Ion (A) C]], (C_MOSFET_S_QGD_L_BO+C_MOSFET_S_QGS_L_BO)*10^-9/Table7[[#This Row],[Ion (A) C]])/10^-9</f>
        <v>2.7752216933317237</v>
      </c>
      <c r="BM202" s="145">
        <f>IF(VACnom&gt;Vbat, (C_MOSFET_S_QGD_H_BU+C_MOSFET_S_QGS_H_BU)*10^-9/Table7[[#This Row],[Ioff (A) C]], (C_MOSFET_S_QGD_L_BO+C_MOSFET_S_QGS_L_BO)*10^-9/Table7[[#This Row],[Ioff (A) C]])/10^-9</f>
        <v>3.1914806560811342</v>
      </c>
      <c r="BN202" s="145" t="e">
        <f xml:space="preserve"> 0.5*VACnom*Table7[[#This Row],[Ivalley (A) C]]*Table7[[#This Row],[ton (ns) C]]*10^-9*Fsw*10^3+0.5*VACnom*Table7[[#This Row],[Ipeak (A) C]]*Table7[[#This Row],[toff (ns) C]]*10^-9*Fsw*10^3/10^-3</f>
        <v>#NAME?</v>
      </c>
      <c r="BO202" s="145">
        <f t="shared" si="35"/>
        <v>259.2</v>
      </c>
      <c r="BP202" s="145" t="e">
        <f t="shared" ca="1" si="36"/>
        <v>#REF!</v>
      </c>
      <c r="BQ202" s="145">
        <f t="shared" si="37"/>
        <v>475.2</v>
      </c>
      <c r="BR202" s="145" t="e">
        <f>IF(VACnom&gt;Vbat, C_MOSFET_S_VSD_L_BU*Table7[[#This Row],[Ivalley (A) C]]*Fsw*10^3*40*10^-9+C_MOSFET_S_VSD_L_BU*Table7[[#This Row],[Ipeak (A) C]]*Fsw*10^3*30*10^-9, C_MOSFET_S_VSD_H_BO*Table7[[#This Row],[Ivalley (A) C]]*Fsw*10^3*40*10^-9+C_MOSFET_S_VSD_H_BO*Table7[[#This Row],[Ipeak (A) C]]*Fsw*10^3*30*10^-9)/10^-3</f>
        <v>#NAME?</v>
      </c>
      <c r="BS202" s="145" t="e">
        <f t="shared" ca="1" si="38"/>
        <v>#REF!</v>
      </c>
      <c r="BT202" s="145" t="e">
        <f>IF(VACnom&lt;Vbat, Table7[[#This Row],[Duty Cycle]]*Table7[[#This Row],[I_L RMS]]^2*C_MOSFET_S_RDSON_H_BU*10^-3, (1-Table7[[#This Row],[Duty Cycle]])*Table7[[#This Row],[I_L RMS]]^2*C_MOSFET_S_RDSON_H_BO*10^-3)/10^-3</f>
        <v>#NAME?</v>
      </c>
      <c r="BU202" s="145" t="e">
        <f ca="1">IF(VACnom&gt;Vbat, Table7[[#This Row],[PIV (mW) C]]+Table7[[#This Row],[PQoss (mW) C]]+Table7[[#This Row],[Pgate_top (mW) C]], Table7[[#This Row],[PRR (mW) C]]+Table7[[#This Row],[Pdead (mW) C]]+Table7[[#This Row],[Pgate_top (mW) C]])</f>
        <v>#NAME?</v>
      </c>
      <c r="BV202" s="145" t="e">
        <f ca="1">Table7[[#This Row],[Pcon_top (mW) C]]+Table7[[#This Row],[Psw_top (mW) C]]</f>
        <v>#NAME?</v>
      </c>
      <c r="BW202" s="145" t="e">
        <f ca="1">IF(VACnom&gt;Vbat, (1-Table7[[#This Row],[Duty Cycle]])*Table7[[#This Row],[I_L RMS]]^2*C_MOSFET_S_RDSON_L_BU*10^-3, Table7[[#This Row],[Duty Cycle]]*Table7[[#This Row],[I_L RMS]]^2*C_MOSFET_S_RDSON_L_BO*10^-3)/10^-3</f>
        <v>#NAME?</v>
      </c>
      <c r="BX202" s="145" t="e">
        <f ca="1">IF(VACnom&gt;Vbat, Table7[[#This Row],[PRR (mW) C]]+Table7[[#This Row],[Pdead (mW) C]]+Table7[[#This Row],[Pgate_bottom (mW) C]], Table7[[#This Row],[PIV (mW) C]]+Table7[[#This Row],[PQoss (mW) C]]+Table7[[#This Row],[Pgate_bottom (mW) C]])</f>
        <v>#NAME?</v>
      </c>
      <c r="BY202" s="145" t="e">
        <f ca="1">Table7[[#This Row],[Pcon_bottom (mW) C]]+Table7[[#This Row],[Psw_bottom (mV) C]]</f>
        <v>#NAME?</v>
      </c>
      <c r="BZ202" s="145" t="e">
        <f ca="1">Table7[[#This Row],[Pbottom (mW) C]]+Table7[[#This Row],[Ptop (mW) C]]</f>
        <v>#NAME?</v>
      </c>
      <c r="CA202" s="148"/>
      <c r="CB202" s="144">
        <f>(RAC_SNS*10^-3*(Table7[[#This Row],[IOUT (A)]]*Vbat/VACnom)^2/10^-3)</f>
        <v>151.29583680555552</v>
      </c>
      <c r="CC202" s="144">
        <f>(RBAT_SNS*10^-3*Table7[[#This Row],[IOUT (A)]]^2)/10^-3</f>
        <v>105.79999999999998</v>
      </c>
      <c r="CD202" s="144">
        <f>IF(VACnom&gt;Vbat,(L_DRC*10^-3*(Table7[[#This Row],[IOUT (A)]])^2/10^-3),(L_DRC*10^-3*(Table7[[#This Row],[IOUT (A)]]*Vbat/VACnom)^2/10^-3))</f>
        <v>102.88116902777774</v>
      </c>
      <c r="CE202" s="152"/>
      <c r="CF202" s="145">
        <f>(Table7[[#This Row],[R_AC (mW)]]+Table7[[#This Row],[R_SR (mW)]]+Table7[[#This Row],[Inductor Loss (mW)]])/10^3</f>
        <v>0.35997700583333325</v>
      </c>
      <c r="CG202" s="145" t="e">
        <f ca="1">Table7[[#This Row],[Total TI (mW)]]/10^3</f>
        <v>#NAME?</v>
      </c>
      <c r="CH202" s="145" t="e">
        <f ca="1">Table7[[#This Row],[Total Sense Loss]]+Table7[[#This Row],[Total MOSFET Loss]]</f>
        <v>#NAME?</v>
      </c>
      <c r="CI202" s="149" t="e">
        <f ca="1">IF(Table7[[#This Row],[POUT (W)]]=0,0,(Table7[[#This Row],[POUT (W)]])/(Table7[[#This Row],[POUT (W)]]+Table7[[#This Row],[Total Power Loss (W)]]))*100</f>
        <v>#NAME?</v>
      </c>
      <c r="CJ202" s="153"/>
      <c r="CK202" s="145">
        <f>(Table7[[#This Row],[R_AC (mW)]]+Table7[[#This Row],[R_SR (mW)]]+Table7[[#This Row],[Inductor Loss (mW)]])/10^3</f>
        <v>0.35997700583333325</v>
      </c>
      <c r="CL202" s="145" t="e">
        <f ca="1">Table7[[#This Row],[Total (mW) C]]/10^3</f>
        <v>#NAME?</v>
      </c>
      <c r="CM202" s="145" t="e">
        <f ca="1">Table7[[#This Row],[Total Sense Loss C]]+Table7[[#This Row],[Total MOSFET Loss C]]</f>
        <v>#NAME?</v>
      </c>
      <c r="CN202" s="149" t="e">
        <f ca="1">IF(Table7[[#This Row],[POUT (W)]]=0,0,(Table7[[#This Row],[POUT (W)]])/(Table7[[#This Row],[POUT (W)]]+Table7[[#This Row],[Total Power Loss (W) C]]))*100</f>
        <v>#NAME?</v>
      </c>
      <c r="CO202" s="153"/>
      <c r="CP202" s="149">
        <f>IF(MOSFET_S=Custom_MOSFET,Table7[[#This Row],[Total Sense Loss C]],Table7[[#This Row],[Total Sense Loss]])</f>
        <v>0.35997700583333325</v>
      </c>
      <c r="CQ202" s="149" t="e">
        <f ca="1">IF(MOSFET_S=Custom_MOSFET,Table7[[#This Row],[Total MOSFET Loss C]],Table7[[#This Row],[Total MOSFET Loss]])</f>
        <v>#NAME?</v>
      </c>
      <c r="CR202" s="149" t="e">
        <f ca="1">IF(MOSFET_S=Custom_MOSFET,Table7[[#This Row],[Efficiency C]],Table7[[#This Row],[Efficiency]])</f>
        <v>#NAME?</v>
      </c>
      <c r="CS202" s="153"/>
      <c r="CT202" s="149">
        <f>IF(MOSFET_S=Compare_MOSFET, Table7[[#This Row],[Total Sense Loss C]], -100)</f>
        <v>-100</v>
      </c>
      <c r="CU202" s="149">
        <f>IF(MOSFET_S=Compare_MOSFET, Table7[[#This Row],[Total MOSFET Loss C]], -100)</f>
        <v>-100</v>
      </c>
      <c r="CV202" s="149">
        <f>IF(MOSFET_S=Compare_MOSFET, Table7[[#This Row],[Efficiency C]], -100)</f>
        <v>-100</v>
      </c>
      <c r="CW202" s="153"/>
      <c r="CX202" s="149">
        <f ca="1">IF(Save_Sel=CLR_Save,  Table7[[#This Row],[Total Sense Loss P1]], Table7[[#This Row],[Total Sense Loss P1 Saved]])</f>
        <v>0.30186062499999994</v>
      </c>
      <c r="CY202" s="149">
        <f ca="1">IF(Save_Sel=CLR_Save,  Table7[[#This Row],[Total MOSFET Loss P1]], Table7[[#This Row],[Total MOSFET Loss P1 Saved]] )</f>
        <v>1.8294812899527604</v>
      </c>
      <c r="CZ202" s="149">
        <f ca="1">IF(Save_Sel=CLR_Save, Table7[[#This Row],[Efficiency P1]], Table7[[#This Row],[Efficiency P1 Saved]])</f>
        <v>92.831329574529406</v>
      </c>
      <c r="DA202" s="153"/>
      <c r="DB202" s="149">
        <f ca="1">IF(Save_Sel=CLR_Save,  Table7[[#This Row],[Total Sense Loss P2]], Table7[[#This Row],[Total Sense Loss P2 Saved]])</f>
        <v>0.30186062499999994</v>
      </c>
      <c r="DC202" s="149">
        <f ca="1">IF(Save_Sel=CLR_Save,  Table7[[#This Row],[Total MOSFET Loss P2]], Table7[[#This Row],[Total MOSFET Loss P2 Saved]] )</f>
        <v>1.2197932668342635</v>
      </c>
      <c r="DD202" s="149">
        <f ca="1">IF(Save_Sel=CLR_Save, Table7[[#This Row],[Efficiency P2]], Table7[[#This Row],[Efficiency P2 Saved]])</f>
        <v>94.774836973593267</v>
      </c>
      <c r="DE202" s="153"/>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row>
    <row r="203" spans="1:165" x14ac:dyDescent="0.2">
      <c r="A203" s="32"/>
      <c r="B203" s="49"/>
      <c r="C203" s="49"/>
      <c r="D203" s="32"/>
      <c r="E203" s="66"/>
      <c r="F203" s="66"/>
      <c r="G203" s="49"/>
      <c r="H203" s="29"/>
      <c r="I203" s="29"/>
      <c r="J203" s="29"/>
      <c r="K203" s="29"/>
      <c r="L203" s="29"/>
      <c r="M203" s="29"/>
      <c r="N203" s="29"/>
      <c r="O203" s="29"/>
      <c r="P203" s="29"/>
      <c r="Q203" s="29"/>
      <c r="R203" s="29"/>
      <c r="S203" s="30"/>
      <c r="T203" s="18"/>
      <c r="U203" s="19"/>
      <c r="V203" s="19"/>
      <c r="W203" s="19"/>
      <c r="X203" s="19"/>
      <c r="Y203" s="19"/>
      <c r="Z203" s="19"/>
      <c r="AA203" s="19"/>
      <c r="AB203" s="19"/>
      <c r="AC203" s="19"/>
      <c r="AD203" s="19"/>
      <c r="AE203" s="19"/>
      <c r="AF203" s="143">
        <f t="shared" si="17"/>
        <v>47</v>
      </c>
      <c r="AG203" s="143">
        <f t="shared" si="39"/>
        <v>4.7</v>
      </c>
      <c r="AH203" s="144">
        <f t="shared" si="28"/>
        <v>112.80000000000001</v>
      </c>
      <c r="AI203" s="145">
        <f t="shared" si="29"/>
        <v>0.16376306620209058</v>
      </c>
      <c r="AJ203" s="145">
        <f t="shared" si="30"/>
        <v>5.6204166666666664</v>
      </c>
      <c r="AK203" s="145" t="e">
        <f t="shared" si="26"/>
        <v>#NAME?</v>
      </c>
      <c r="AL203" s="145" t="e">
        <f t="shared" si="27"/>
        <v>#NAME?</v>
      </c>
      <c r="AM203" s="146"/>
      <c r="AN203" s="145" t="e">
        <f>MAX(0,Table7[[#This Row],[I_L]]-0.5*Table7[[#This Row],[I_L pkpk]])</f>
        <v>#NAME?</v>
      </c>
      <c r="AO203" s="145" t="e">
        <f>Table7[[#This Row],[I_L]]+0.5*Table7[[#This Row],[I_L pkpk]]</f>
        <v>#NAME?</v>
      </c>
      <c r="AP203" s="145" t="e">
        <f ca="1">IF(VACnom&gt;Vbat, (VGS_S-(TI_MOSFET_S_VTH_H_BU+Table7[[#This Row],[I_L]]/TI_MOSFET_S_gFS_H_BU))/3.4, (VGS_S-(TI_MOSFET_S_VTH_L_BO+Table7[[#This Row],[I_L]]/TI_MOSFET_S_gFS_L_BO))/3.4 )</f>
        <v>#REF!</v>
      </c>
      <c r="AQ203" s="145" t="e">
        <f ca="1">IF(VACnom&gt;Vbat, ((TI_MOSFET_S_VTH_H_BU+Table7[[#This Row],[I_L]]/TI_MOSFET_S_gFS_H_BU))/1, ((TI_MOSFET_S_VTH_L_BO+Table7[[#This Row],[I_L]]/TI_MOSFET_S_gFS_L_BO))/1 )</f>
        <v>#REF!</v>
      </c>
      <c r="AR203" s="145" t="e">
        <f ca="1">IF(VACnom&gt;Vbat, (TI_MOSFET_S_QGD_H_BU+TI_MOSFET_S_QGS_H_BU)*10^-9/Table7[[#This Row],[Ion (A)]], (TI_MOSFET_S_QGD_L_BO+TI_MOSFET_S_QGS_L_BO)*10^-9/Table7[[#This Row],[Ion (A)]])/10^-9</f>
        <v>#REF!</v>
      </c>
      <c r="AS203" s="145" t="e">
        <f ca="1">IF(VACnom&gt;Vbat, (TI_MOSFET_S_QGD_H_BU+TI_MOSFET_S_QGS_H_BU)*10^-9/Table7[[#This Row],[Ioff (A)]], (TI_MOSFET_S_QGD_L_BO+TI_MOSFET_S_QGS_L_BO)*10^-9/Table7[[#This Row],[Ioff (A)]])/10^-9</f>
        <v>#REF!</v>
      </c>
      <c r="AT203" s="145" t="e">
        <f ca="1" xml:space="preserve"> 0.5*VACnom*Table7[[#This Row],[Ivalley (A)]]*Table7[[#This Row],[ton (ns)]]*10^-9*Fsw*10^3+0.5*VACnom*Table7[[#This Row],[Ipeak (A)]]*Table7[[#This Row],[toff (ns)]]*10^-9*Fsw*10^3/10^-3</f>
        <v>#NAME?</v>
      </c>
      <c r="AU203" s="145" t="e">
        <f t="shared" ca="1" si="31"/>
        <v>#REF!</v>
      </c>
      <c r="AV203" s="145" t="e">
        <f t="shared" ca="1" si="32"/>
        <v>#REF!</v>
      </c>
      <c r="AW203" s="145" t="e">
        <f t="shared" ca="1" si="33"/>
        <v>#REF!</v>
      </c>
      <c r="AX203" s="145" t="e">
        <f ca="1">IF(VACnom&gt;Vbat, TI_MOSFET_S_VSD_L_BU*Table7[[#This Row],[Ivalley (A)]]*Fsw*10^3*40*10^-9+TI_MOSFET_S_VSD_L_BU*Table7[[#This Row],[Ipeak (A)]]*Fsw*10^3*30*10^-9, TI_MOSFET_S_VSD_H_BO*Table7[[#This Row],[Ivalley (A)]]*Fsw*10^3*40*10^-9+TI_MOSFET_S_VSD_H_BO*Table7[[#This Row],[Ipeak (A)]]*Fsw*10^3*30*10^-9)/10^-3</f>
        <v>#REF!</v>
      </c>
      <c r="AY203" s="145" t="e">
        <f t="shared" ca="1" si="34"/>
        <v>#REF!</v>
      </c>
      <c r="AZ203" s="145" t="e">
        <f ca="1">IF(VACnom&lt;Vbat, Table7[[#This Row],[Duty Cycle]]*Table7[[#This Row],[I_L RMS]]^2*TI_MOSFET_S_RDSON_H_BU*10^-3, (1-Table7[[#This Row],[Duty Cycle]])*Table7[[#This Row],[I_L RMS]]^2*TI_MOSFET_S_RDSON_H_BO*10^-3)/10^-3</f>
        <v>#NAME?</v>
      </c>
      <c r="BA203" s="145" t="e">
        <f ca="1">IF(VACnom&gt;Vbat, Table7[[#This Row],[PIV (mW)]]+Table7[[#This Row],[Pqoss (mW)]]+Table7[[#This Row],[Pgate_top (mW)]], Table7[[#This Row],[PRR (mW)]]+Table7[[#This Row],[Pdead (mW)]]+Table7[[#This Row],[Pgate_top (mW)]])</f>
        <v>#REF!</v>
      </c>
      <c r="BB203" s="145" t="e">
        <f ca="1">Table7[[#This Row],[Pcon_top (mW)]]+Table7[[#This Row],[Psw_top (mW)]]</f>
        <v>#NAME?</v>
      </c>
      <c r="BC203" s="145" t="e">
        <f ca="1">IF(VACnom&gt;Vbat, (1-Table7[[#This Row],[Duty Cycle]])*Table7[[#This Row],[I_L RMS]]^2*TI_MOSFET_S_RDSON_L_BU*10^-3, Table7[[#This Row],[Duty Cycle]]*Table7[[#This Row],[I_L RMS]]^2*TI_MOSFET_S_RDSON_L_BO*10^-3)/10^-3</f>
        <v>#NAME?</v>
      </c>
      <c r="BD203" s="145" t="e">
        <f ca="1">IF(VACnom&gt;Vbat, Table7[[#This Row],[PRR (mW)]]+Table7[[#This Row],[Pdead (mW)]]+Table7[[#This Row],[Pgate_bottom (mW)]], Table7[[#This Row],[PIV (mW)]]+Table7[[#This Row],[Pqoss (mW)]]+Table7[[#This Row],[Pgate_bottom (mW)]])</f>
        <v>#NAME?</v>
      </c>
      <c r="BE203" s="147" t="e">
        <f ca="1">Table7[[#This Row],[Pcon_bottom (mW)]]+Table7[[#This Row],[Psw_bottom (mW)]]</f>
        <v>#NAME?</v>
      </c>
      <c r="BF203" s="145" t="e">
        <f ca="1">Table7[[#This Row],[Pbottom (mW)]]+Table7[[#This Row],[Ptop (mW)]]</f>
        <v>#NAME?</v>
      </c>
      <c r="BG203" s="142"/>
      <c r="BH203" s="145" t="e">
        <f>MAX(0,Table7[[#This Row],[I_L]]-0.5*Table7[[#This Row],[I_L pkpk]])</f>
        <v>#NAME?</v>
      </c>
      <c r="BI203" s="145" t="e">
        <f>Table7[[#This Row],[I_L]]+0.5*Table7[[#This Row],[I_L pkpk]]</f>
        <v>#NAME?</v>
      </c>
      <c r="BJ203" s="145">
        <f>IF(VACnom&gt;Vbat, (VGS_S-(C_MOSFET_S_VTH_H_BU+Table7[[#This Row],[I_L]]/C_MOSFET_S_gFS_H_BU))/3.4, (VGS_S-(C_MOSFET_S_VTH_L_BO+Table7[[#This Row],[I_L]]/C_MOSFET_S_gFS_L_BO))/3.4 )</f>
        <v>2.3419207516339871</v>
      </c>
      <c r="BK203" s="145">
        <f>IF(VACnom&gt;Vbat, ((C_MOSFET_S_VTH_H_BU+Table7[[#This Row],[I_L]]/C_MOSFET_S_gFS_H_BU))/1, ((C_MOSFET_S_VTH_L_BO+Table7[[#This Row],[I_L]]/C_MOSFET_S_gFS_L_BO))/1 )</f>
        <v>2.0374694444444446</v>
      </c>
      <c r="BL203" s="145">
        <f>IF(VACnom&gt;Vbat, (C_MOSFET_S_QGD_H_BU+C_MOSFET_S_QGS_H_BU)*10^-9/Table7[[#This Row],[Ion (A) C]], (C_MOSFET_S_QGD_L_BO+C_MOSFET_S_QGS_L_BO)*10^-9/Table7[[#This Row],[Ion (A) C]])/10^-9</f>
        <v>2.7754995532896958</v>
      </c>
      <c r="BM203" s="145">
        <f>IF(VACnom&gt;Vbat, (C_MOSFET_S_QGD_H_BU+C_MOSFET_S_QGS_H_BU)*10^-9/Table7[[#This Row],[Ioff (A) C]], (C_MOSFET_S_QGD_L_BO+C_MOSFET_S_QGS_L_BO)*10^-9/Table7[[#This Row],[Ioff (A) C]])/10^-9</f>
        <v>3.1902318916848103</v>
      </c>
      <c r="BN203" s="145" t="e">
        <f xml:space="preserve"> 0.5*VACnom*Table7[[#This Row],[Ivalley (A) C]]*Table7[[#This Row],[ton (ns) C]]*10^-9*Fsw*10^3+0.5*VACnom*Table7[[#This Row],[Ipeak (A) C]]*Table7[[#This Row],[toff (ns) C]]*10^-9*Fsw*10^3/10^-3</f>
        <v>#NAME?</v>
      </c>
      <c r="BO203" s="145">
        <f t="shared" si="35"/>
        <v>259.2</v>
      </c>
      <c r="BP203" s="145" t="e">
        <f t="shared" ca="1" si="36"/>
        <v>#REF!</v>
      </c>
      <c r="BQ203" s="145">
        <f t="shared" si="37"/>
        <v>475.2</v>
      </c>
      <c r="BR203" s="145" t="e">
        <f>IF(VACnom&gt;Vbat, C_MOSFET_S_VSD_L_BU*Table7[[#This Row],[Ivalley (A) C]]*Fsw*10^3*40*10^-9+C_MOSFET_S_VSD_L_BU*Table7[[#This Row],[Ipeak (A) C]]*Fsw*10^3*30*10^-9, C_MOSFET_S_VSD_H_BO*Table7[[#This Row],[Ivalley (A) C]]*Fsw*10^3*40*10^-9+C_MOSFET_S_VSD_H_BO*Table7[[#This Row],[Ipeak (A) C]]*Fsw*10^3*30*10^-9)/10^-3</f>
        <v>#NAME?</v>
      </c>
      <c r="BS203" s="145" t="e">
        <f t="shared" ca="1" si="38"/>
        <v>#REF!</v>
      </c>
      <c r="BT203" s="145" t="e">
        <f>IF(VACnom&lt;Vbat, Table7[[#This Row],[Duty Cycle]]*Table7[[#This Row],[I_L RMS]]^2*C_MOSFET_S_RDSON_H_BU*10^-3, (1-Table7[[#This Row],[Duty Cycle]])*Table7[[#This Row],[I_L RMS]]^2*C_MOSFET_S_RDSON_H_BO*10^-3)/10^-3</f>
        <v>#NAME?</v>
      </c>
      <c r="BU203" s="145" t="e">
        <f ca="1">IF(VACnom&gt;Vbat, Table7[[#This Row],[PIV (mW) C]]+Table7[[#This Row],[PQoss (mW) C]]+Table7[[#This Row],[Pgate_top (mW) C]], Table7[[#This Row],[PRR (mW) C]]+Table7[[#This Row],[Pdead (mW) C]]+Table7[[#This Row],[Pgate_top (mW) C]])</f>
        <v>#NAME?</v>
      </c>
      <c r="BV203" s="145" t="e">
        <f ca="1">Table7[[#This Row],[Pcon_top (mW) C]]+Table7[[#This Row],[Psw_top (mW) C]]</f>
        <v>#NAME?</v>
      </c>
      <c r="BW203" s="145" t="e">
        <f ca="1">IF(VACnom&gt;Vbat, (1-Table7[[#This Row],[Duty Cycle]])*Table7[[#This Row],[I_L RMS]]^2*C_MOSFET_S_RDSON_L_BU*10^-3, Table7[[#This Row],[Duty Cycle]]*Table7[[#This Row],[I_L RMS]]^2*C_MOSFET_S_RDSON_L_BO*10^-3)/10^-3</f>
        <v>#NAME?</v>
      </c>
      <c r="BX203" s="145" t="e">
        <f ca="1">IF(VACnom&gt;Vbat, Table7[[#This Row],[PRR (mW) C]]+Table7[[#This Row],[Pdead (mW) C]]+Table7[[#This Row],[Pgate_bottom (mW) C]], Table7[[#This Row],[PIV (mW) C]]+Table7[[#This Row],[PQoss (mW) C]]+Table7[[#This Row],[Pgate_bottom (mW) C]])</f>
        <v>#NAME?</v>
      </c>
      <c r="BY203" s="145" t="e">
        <f ca="1">Table7[[#This Row],[Pcon_bottom (mW) C]]+Table7[[#This Row],[Psw_bottom (mV) C]]</f>
        <v>#NAME?</v>
      </c>
      <c r="BZ203" s="145" t="e">
        <f ca="1">Table7[[#This Row],[Pbottom (mW) C]]+Table7[[#This Row],[Ptop (mW) C]]</f>
        <v>#NAME?</v>
      </c>
      <c r="CA203" s="148"/>
      <c r="CB203" s="144">
        <f>(RAC_SNS*10^-3*(Table7[[#This Row],[IOUT (A)]]*Vbat/VACnom)^2/10^-3)</f>
        <v>157.94541753472228</v>
      </c>
      <c r="CC203" s="144">
        <f>(RBAT_SNS*10^-3*Table7[[#This Row],[IOUT (A)]]^2)/10^-3</f>
        <v>110.45000000000002</v>
      </c>
      <c r="CD203" s="144">
        <f>IF(VACnom&gt;Vbat,(L_DRC*10^-3*(Table7[[#This Row],[IOUT (A)]])^2/10^-3),(L_DRC*10^-3*(Table7[[#This Row],[IOUT (A)]]*Vbat/VACnom)^2/10^-3))</f>
        <v>107.40288392361111</v>
      </c>
      <c r="CE203" s="152"/>
      <c r="CF203" s="145">
        <f>(Table7[[#This Row],[R_AC (mW)]]+Table7[[#This Row],[R_SR (mW)]]+Table7[[#This Row],[Inductor Loss (mW)]])/10^3</f>
        <v>0.37579830145833343</v>
      </c>
      <c r="CG203" s="145" t="e">
        <f ca="1">Table7[[#This Row],[Total TI (mW)]]/10^3</f>
        <v>#NAME?</v>
      </c>
      <c r="CH203" s="145" t="e">
        <f ca="1">Table7[[#This Row],[Total Sense Loss]]+Table7[[#This Row],[Total MOSFET Loss]]</f>
        <v>#NAME?</v>
      </c>
      <c r="CI203" s="149" t="e">
        <f ca="1">IF(Table7[[#This Row],[POUT (W)]]=0,0,(Table7[[#This Row],[POUT (W)]])/(Table7[[#This Row],[POUT (W)]]+Table7[[#This Row],[Total Power Loss (W)]]))*100</f>
        <v>#NAME?</v>
      </c>
      <c r="CJ203" s="153"/>
      <c r="CK203" s="145">
        <f>(Table7[[#This Row],[R_AC (mW)]]+Table7[[#This Row],[R_SR (mW)]]+Table7[[#This Row],[Inductor Loss (mW)]])/10^3</f>
        <v>0.37579830145833343</v>
      </c>
      <c r="CL203" s="145" t="e">
        <f ca="1">Table7[[#This Row],[Total (mW) C]]/10^3</f>
        <v>#NAME?</v>
      </c>
      <c r="CM203" s="145" t="e">
        <f ca="1">Table7[[#This Row],[Total Sense Loss C]]+Table7[[#This Row],[Total MOSFET Loss C]]</f>
        <v>#NAME?</v>
      </c>
      <c r="CN203" s="149" t="e">
        <f ca="1">IF(Table7[[#This Row],[POUT (W)]]=0,0,(Table7[[#This Row],[POUT (W)]])/(Table7[[#This Row],[POUT (W)]]+Table7[[#This Row],[Total Power Loss (W) C]]))*100</f>
        <v>#NAME?</v>
      </c>
      <c r="CO203" s="153"/>
      <c r="CP203" s="149">
        <f>IF(MOSFET_S=Custom_MOSFET,Table7[[#This Row],[Total Sense Loss C]],Table7[[#This Row],[Total Sense Loss]])</f>
        <v>0.37579830145833343</v>
      </c>
      <c r="CQ203" s="149" t="e">
        <f ca="1">IF(MOSFET_S=Custom_MOSFET,Table7[[#This Row],[Total MOSFET Loss C]],Table7[[#This Row],[Total MOSFET Loss]])</f>
        <v>#NAME?</v>
      </c>
      <c r="CR203" s="149" t="e">
        <f ca="1">IF(MOSFET_S=Custom_MOSFET,Table7[[#This Row],[Efficiency C]],Table7[[#This Row],[Efficiency]])</f>
        <v>#NAME?</v>
      </c>
      <c r="CS203" s="153"/>
      <c r="CT203" s="149">
        <f>IF(MOSFET_S=Compare_MOSFET, Table7[[#This Row],[Total Sense Loss C]], -100)</f>
        <v>-100</v>
      </c>
      <c r="CU203" s="149">
        <f>IF(MOSFET_S=Compare_MOSFET, Table7[[#This Row],[Total MOSFET Loss C]], -100)</f>
        <v>-100</v>
      </c>
      <c r="CV203" s="149">
        <f>IF(MOSFET_S=Compare_MOSFET, Table7[[#This Row],[Efficiency C]], -100)</f>
        <v>-100</v>
      </c>
      <c r="CW203" s="153"/>
      <c r="CX203" s="149">
        <f ca="1">IF(Save_Sel=CLR_Save,  Table7[[#This Row],[Total Sense Loss P1]], Table7[[#This Row],[Total Sense Loss P1 Saved]])</f>
        <v>0.31512765625</v>
      </c>
      <c r="CY203" s="149">
        <f ca="1">IF(Save_Sel=CLR_Save,  Table7[[#This Row],[Total MOSFET Loss P1]], Table7[[#This Row],[Total MOSFET Loss P1 Saved]] )</f>
        <v>1.8392993668945874</v>
      </c>
      <c r="CZ203" s="149">
        <f ca="1">IF(Save_Sel=CLR_Save, Table7[[#This Row],[Efficiency P1]], Table7[[#This Row],[Efficiency P1 Saved]])</f>
        <v>92.902428955414365</v>
      </c>
      <c r="DA203" s="153"/>
      <c r="DB203" s="149">
        <f ca="1">IF(Save_Sel=CLR_Save,  Table7[[#This Row],[Total Sense Loss P2]], Table7[[#This Row],[Total Sense Loss P2 Saved]])</f>
        <v>0.31512765625</v>
      </c>
      <c r="DC203" s="149">
        <f ca="1">IF(Save_Sel=CLR_Save,  Table7[[#This Row],[Total MOSFET Loss P2]], Table7[[#This Row],[Total MOSFET Loss P2 Saved]] )</f>
        <v>1.2274388701069894</v>
      </c>
      <c r="DD203" s="149">
        <f ca="1">IF(Save_Sel=CLR_Save, Table7[[#This Row],[Efficiency P2]], Table7[[#This Row],[Efficiency P2 Saved]])</f>
        <v>94.813606535972568</v>
      </c>
      <c r="DE203" s="153"/>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row>
    <row r="204" spans="1:165" x14ac:dyDescent="0.2">
      <c r="A204" s="32"/>
      <c r="B204" s="49"/>
      <c r="C204" s="49"/>
      <c r="D204" s="32"/>
      <c r="E204" s="66"/>
      <c r="F204" s="66"/>
      <c r="G204" s="49"/>
      <c r="H204" s="29"/>
      <c r="I204" s="29"/>
      <c r="J204" s="29"/>
      <c r="K204" s="29"/>
      <c r="L204" s="29"/>
      <c r="M204" s="29"/>
      <c r="N204" s="29"/>
      <c r="O204" s="29"/>
      <c r="P204" s="29"/>
      <c r="Q204" s="29"/>
      <c r="R204" s="29"/>
      <c r="S204" s="30"/>
      <c r="T204" s="18"/>
      <c r="U204" s="19"/>
      <c r="V204" s="19"/>
      <c r="W204" s="19"/>
      <c r="X204" s="19"/>
      <c r="Y204" s="19"/>
      <c r="Z204" s="19"/>
      <c r="AA204" s="19"/>
      <c r="AB204" s="19"/>
      <c r="AC204" s="19"/>
      <c r="AD204" s="19"/>
      <c r="AE204" s="19"/>
      <c r="AF204" s="143">
        <f t="shared" si="17"/>
        <v>48</v>
      </c>
      <c r="AG204" s="143">
        <f t="shared" si="39"/>
        <v>4.8</v>
      </c>
      <c r="AH204" s="144">
        <f t="shared" si="28"/>
        <v>115.19999999999999</v>
      </c>
      <c r="AI204" s="145">
        <f t="shared" si="29"/>
        <v>0.16376306620209058</v>
      </c>
      <c r="AJ204" s="145">
        <f t="shared" si="30"/>
        <v>5.7399999999999993</v>
      </c>
      <c r="AK204" s="145" t="e">
        <f t="shared" si="26"/>
        <v>#NAME?</v>
      </c>
      <c r="AL204" s="145" t="e">
        <f t="shared" si="27"/>
        <v>#NAME?</v>
      </c>
      <c r="AM204" s="146"/>
      <c r="AN204" s="145" t="e">
        <f>MAX(0,Table7[[#This Row],[I_L]]-0.5*Table7[[#This Row],[I_L pkpk]])</f>
        <v>#NAME?</v>
      </c>
      <c r="AO204" s="145" t="e">
        <f>Table7[[#This Row],[I_L]]+0.5*Table7[[#This Row],[I_L pkpk]]</f>
        <v>#NAME?</v>
      </c>
      <c r="AP204" s="145" t="e">
        <f ca="1">IF(VACnom&gt;Vbat, (VGS_S-(TI_MOSFET_S_VTH_H_BU+Table7[[#This Row],[I_L]]/TI_MOSFET_S_gFS_H_BU))/3.4, (VGS_S-(TI_MOSFET_S_VTH_L_BO+Table7[[#This Row],[I_L]]/TI_MOSFET_S_gFS_L_BO))/3.4 )</f>
        <v>#REF!</v>
      </c>
      <c r="AQ204" s="145" t="e">
        <f ca="1">IF(VACnom&gt;Vbat, ((TI_MOSFET_S_VTH_H_BU+Table7[[#This Row],[I_L]]/TI_MOSFET_S_gFS_H_BU))/1, ((TI_MOSFET_S_VTH_L_BO+Table7[[#This Row],[I_L]]/TI_MOSFET_S_gFS_L_BO))/1 )</f>
        <v>#REF!</v>
      </c>
      <c r="AR204" s="145" t="e">
        <f ca="1">IF(VACnom&gt;Vbat, (TI_MOSFET_S_QGD_H_BU+TI_MOSFET_S_QGS_H_BU)*10^-9/Table7[[#This Row],[Ion (A)]], (TI_MOSFET_S_QGD_L_BO+TI_MOSFET_S_QGS_L_BO)*10^-9/Table7[[#This Row],[Ion (A)]])/10^-9</f>
        <v>#REF!</v>
      </c>
      <c r="AS204" s="145" t="e">
        <f ca="1">IF(VACnom&gt;Vbat, (TI_MOSFET_S_QGD_H_BU+TI_MOSFET_S_QGS_H_BU)*10^-9/Table7[[#This Row],[Ioff (A)]], (TI_MOSFET_S_QGD_L_BO+TI_MOSFET_S_QGS_L_BO)*10^-9/Table7[[#This Row],[Ioff (A)]])/10^-9</f>
        <v>#REF!</v>
      </c>
      <c r="AT204" s="145" t="e">
        <f ca="1" xml:space="preserve"> 0.5*VACnom*Table7[[#This Row],[Ivalley (A)]]*Table7[[#This Row],[ton (ns)]]*10^-9*Fsw*10^3+0.5*VACnom*Table7[[#This Row],[Ipeak (A)]]*Table7[[#This Row],[toff (ns)]]*10^-9*Fsw*10^3/10^-3</f>
        <v>#NAME?</v>
      </c>
      <c r="AU204" s="145" t="e">
        <f t="shared" ca="1" si="31"/>
        <v>#REF!</v>
      </c>
      <c r="AV204" s="145" t="e">
        <f t="shared" ca="1" si="32"/>
        <v>#REF!</v>
      </c>
      <c r="AW204" s="145" t="e">
        <f t="shared" ca="1" si="33"/>
        <v>#REF!</v>
      </c>
      <c r="AX204" s="145" t="e">
        <f ca="1">IF(VACnom&gt;Vbat, TI_MOSFET_S_VSD_L_BU*Table7[[#This Row],[Ivalley (A)]]*Fsw*10^3*40*10^-9+TI_MOSFET_S_VSD_L_BU*Table7[[#This Row],[Ipeak (A)]]*Fsw*10^3*30*10^-9, TI_MOSFET_S_VSD_H_BO*Table7[[#This Row],[Ivalley (A)]]*Fsw*10^3*40*10^-9+TI_MOSFET_S_VSD_H_BO*Table7[[#This Row],[Ipeak (A)]]*Fsw*10^3*30*10^-9)/10^-3</f>
        <v>#REF!</v>
      </c>
      <c r="AY204" s="145" t="e">
        <f t="shared" ca="1" si="34"/>
        <v>#REF!</v>
      </c>
      <c r="AZ204" s="145" t="e">
        <f ca="1">IF(VACnom&lt;Vbat, Table7[[#This Row],[Duty Cycle]]*Table7[[#This Row],[I_L RMS]]^2*TI_MOSFET_S_RDSON_H_BU*10^-3, (1-Table7[[#This Row],[Duty Cycle]])*Table7[[#This Row],[I_L RMS]]^2*TI_MOSFET_S_RDSON_H_BO*10^-3)/10^-3</f>
        <v>#NAME?</v>
      </c>
      <c r="BA204" s="145" t="e">
        <f ca="1">IF(VACnom&gt;Vbat, Table7[[#This Row],[PIV (mW)]]+Table7[[#This Row],[Pqoss (mW)]]+Table7[[#This Row],[Pgate_top (mW)]], Table7[[#This Row],[PRR (mW)]]+Table7[[#This Row],[Pdead (mW)]]+Table7[[#This Row],[Pgate_top (mW)]])</f>
        <v>#REF!</v>
      </c>
      <c r="BB204" s="145" t="e">
        <f ca="1">Table7[[#This Row],[Pcon_top (mW)]]+Table7[[#This Row],[Psw_top (mW)]]</f>
        <v>#NAME?</v>
      </c>
      <c r="BC204" s="145" t="e">
        <f ca="1">IF(VACnom&gt;Vbat, (1-Table7[[#This Row],[Duty Cycle]])*Table7[[#This Row],[I_L RMS]]^2*TI_MOSFET_S_RDSON_L_BU*10^-3, Table7[[#This Row],[Duty Cycle]]*Table7[[#This Row],[I_L RMS]]^2*TI_MOSFET_S_RDSON_L_BO*10^-3)/10^-3</f>
        <v>#NAME?</v>
      </c>
      <c r="BD204" s="145" t="e">
        <f ca="1">IF(VACnom&gt;Vbat, Table7[[#This Row],[PRR (mW)]]+Table7[[#This Row],[Pdead (mW)]]+Table7[[#This Row],[Pgate_bottom (mW)]], Table7[[#This Row],[PIV (mW)]]+Table7[[#This Row],[Pqoss (mW)]]+Table7[[#This Row],[Pgate_bottom (mW)]])</f>
        <v>#NAME?</v>
      </c>
      <c r="BE204" s="147" t="e">
        <f ca="1">Table7[[#This Row],[Pcon_bottom (mW)]]+Table7[[#This Row],[Psw_bottom (mW)]]</f>
        <v>#NAME?</v>
      </c>
      <c r="BF204" s="145" t="e">
        <f ca="1">Table7[[#This Row],[Pbottom (mW)]]+Table7[[#This Row],[Ptop (mW)]]</f>
        <v>#NAME?</v>
      </c>
      <c r="BG204" s="142"/>
      <c r="BH204" s="145" t="e">
        <f>MAX(0,Table7[[#This Row],[I_L]]-0.5*Table7[[#This Row],[I_L pkpk]])</f>
        <v>#NAME?</v>
      </c>
      <c r="BI204" s="145" t="e">
        <f>Table7[[#This Row],[I_L]]+0.5*Table7[[#This Row],[I_L pkpk]]</f>
        <v>#NAME?</v>
      </c>
      <c r="BJ204" s="145">
        <f>IF(VACnom&gt;Vbat, (VGS_S-(C_MOSFET_S_VTH_H_BU+Table7[[#This Row],[I_L]]/C_MOSFET_S_gFS_H_BU))/3.4, (VGS_S-(C_MOSFET_S_VTH_L_BO+Table7[[#This Row],[I_L]]/C_MOSFET_S_gFS_L_BO))/3.4 )</f>
        <v>2.3416862745098039</v>
      </c>
      <c r="BK204" s="145">
        <f>IF(VACnom&gt;Vbat, ((C_MOSFET_S_VTH_H_BU+Table7[[#This Row],[I_L]]/C_MOSFET_S_gFS_H_BU))/1, ((C_MOSFET_S_VTH_L_BO+Table7[[#This Row],[I_L]]/C_MOSFET_S_gFS_L_BO))/1 )</f>
        <v>2.0382666666666664</v>
      </c>
      <c r="BL204" s="145">
        <f>IF(VACnom&gt;Vbat, (C_MOSFET_S_QGD_H_BU+C_MOSFET_S_QGS_H_BU)*10^-9/Table7[[#This Row],[Ion (A) C]], (C_MOSFET_S_QGD_L_BO+C_MOSFET_S_QGS_L_BO)*10^-9/Table7[[#This Row],[Ion (A) C]])/10^-9</f>
        <v>2.7757774688928709</v>
      </c>
      <c r="BM204" s="145">
        <f>IF(VACnom&gt;Vbat, (C_MOSFET_S_QGD_H_BU+C_MOSFET_S_QGS_H_BU)*10^-9/Table7[[#This Row],[Ioff (A) C]], (C_MOSFET_S_QGD_L_BO+C_MOSFET_S_QGS_L_BO)*10^-9/Table7[[#This Row],[Ioff (A) C]])/10^-9</f>
        <v>3.1889841041407738</v>
      </c>
      <c r="BN204" s="145" t="e">
        <f xml:space="preserve"> 0.5*VACnom*Table7[[#This Row],[Ivalley (A) C]]*Table7[[#This Row],[ton (ns) C]]*10^-9*Fsw*10^3+0.5*VACnom*Table7[[#This Row],[Ipeak (A) C]]*Table7[[#This Row],[toff (ns) C]]*10^-9*Fsw*10^3/10^-3</f>
        <v>#NAME?</v>
      </c>
      <c r="BO204" s="145">
        <f t="shared" si="35"/>
        <v>259.2</v>
      </c>
      <c r="BP204" s="145" t="e">
        <f t="shared" ca="1" si="36"/>
        <v>#REF!</v>
      </c>
      <c r="BQ204" s="145">
        <f t="shared" si="37"/>
        <v>475.2</v>
      </c>
      <c r="BR204" s="145" t="e">
        <f>IF(VACnom&gt;Vbat, C_MOSFET_S_VSD_L_BU*Table7[[#This Row],[Ivalley (A) C]]*Fsw*10^3*40*10^-9+C_MOSFET_S_VSD_L_BU*Table7[[#This Row],[Ipeak (A) C]]*Fsw*10^3*30*10^-9, C_MOSFET_S_VSD_H_BO*Table7[[#This Row],[Ivalley (A) C]]*Fsw*10^3*40*10^-9+C_MOSFET_S_VSD_H_BO*Table7[[#This Row],[Ipeak (A) C]]*Fsw*10^3*30*10^-9)/10^-3</f>
        <v>#NAME?</v>
      </c>
      <c r="BS204" s="145" t="e">
        <f t="shared" ca="1" si="38"/>
        <v>#REF!</v>
      </c>
      <c r="BT204" s="145" t="e">
        <f>IF(VACnom&lt;Vbat, Table7[[#This Row],[Duty Cycle]]*Table7[[#This Row],[I_L RMS]]^2*C_MOSFET_S_RDSON_H_BU*10^-3, (1-Table7[[#This Row],[Duty Cycle]])*Table7[[#This Row],[I_L RMS]]^2*C_MOSFET_S_RDSON_H_BO*10^-3)/10^-3</f>
        <v>#NAME?</v>
      </c>
      <c r="BU204" s="145" t="e">
        <f ca="1">IF(VACnom&gt;Vbat, Table7[[#This Row],[PIV (mW) C]]+Table7[[#This Row],[PQoss (mW) C]]+Table7[[#This Row],[Pgate_top (mW) C]], Table7[[#This Row],[PRR (mW) C]]+Table7[[#This Row],[Pdead (mW) C]]+Table7[[#This Row],[Pgate_top (mW) C]])</f>
        <v>#NAME?</v>
      </c>
      <c r="BV204" s="145" t="e">
        <f ca="1">Table7[[#This Row],[Pcon_top (mW) C]]+Table7[[#This Row],[Psw_top (mW) C]]</f>
        <v>#NAME?</v>
      </c>
      <c r="BW204" s="145" t="e">
        <f ca="1">IF(VACnom&gt;Vbat, (1-Table7[[#This Row],[Duty Cycle]])*Table7[[#This Row],[I_L RMS]]^2*C_MOSFET_S_RDSON_L_BU*10^-3, Table7[[#This Row],[Duty Cycle]]*Table7[[#This Row],[I_L RMS]]^2*C_MOSFET_S_RDSON_L_BO*10^-3)/10^-3</f>
        <v>#NAME?</v>
      </c>
      <c r="BX204" s="145" t="e">
        <f ca="1">IF(VACnom&gt;Vbat, Table7[[#This Row],[PRR (mW) C]]+Table7[[#This Row],[Pdead (mW) C]]+Table7[[#This Row],[Pgate_bottom (mW) C]], Table7[[#This Row],[PIV (mW) C]]+Table7[[#This Row],[PQoss (mW) C]]+Table7[[#This Row],[Pgate_bottom (mW) C]])</f>
        <v>#NAME?</v>
      </c>
      <c r="BY204" s="145" t="e">
        <f ca="1">Table7[[#This Row],[Pcon_bottom (mW) C]]+Table7[[#This Row],[Psw_bottom (mV) C]]</f>
        <v>#NAME?</v>
      </c>
      <c r="BZ204" s="145" t="e">
        <f ca="1">Table7[[#This Row],[Pbottom (mW) C]]+Table7[[#This Row],[Ptop (mW) C]]</f>
        <v>#NAME?</v>
      </c>
      <c r="CA204" s="148"/>
      <c r="CB204" s="144">
        <f>(RAC_SNS*10^-3*(Table7[[#This Row],[IOUT (A)]]*Vbat/VACnom)^2/10^-3)</f>
        <v>164.73799999999997</v>
      </c>
      <c r="CC204" s="144">
        <f>(RBAT_SNS*10^-3*Table7[[#This Row],[IOUT (A)]]^2)/10^-3</f>
        <v>115.19999999999999</v>
      </c>
      <c r="CD204" s="144">
        <f>IF(VACnom&gt;Vbat,(L_DRC*10^-3*(Table7[[#This Row],[IOUT (A)]])^2/10^-3),(L_DRC*10^-3*(Table7[[#This Row],[IOUT (A)]]*Vbat/VACnom)^2/10^-3))</f>
        <v>112.02183999999997</v>
      </c>
      <c r="CE204" s="152"/>
      <c r="CF204" s="145">
        <f>(Table7[[#This Row],[R_AC (mW)]]+Table7[[#This Row],[R_SR (mW)]]+Table7[[#This Row],[Inductor Loss (mW)]])/10^3</f>
        <v>0.39195984</v>
      </c>
      <c r="CG204" s="145" t="e">
        <f ca="1">Table7[[#This Row],[Total TI (mW)]]/10^3</f>
        <v>#NAME?</v>
      </c>
      <c r="CH204" s="145" t="e">
        <f ca="1">Table7[[#This Row],[Total Sense Loss]]+Table7[[#This Row],[Total MOSFET Loss]]</f>
        <v>#NAME?</v>
      </c>
      <c r="CI204" s="149" t="e">
        <f ca="1">IF(Table7[[#This Row],[POUT (W)]]=0,0,(Table7[[#This Row],[POUT (W)]])/(Table7[[#This Row],[POUT (W)]]+Table7[[#This Row],[Total Power Loss (W)]]))*100</f>
        <v>#NAME?</v>
      </c>
      <c r="CJ204" s="153"/>
      <c r="CK204" s="145">
        <f>(Table7[[#This Row],[R_AC (mW)]]+Table7[[#This Row],[R_SR (mW)]]+Table7[[#This Row],[Inductor Loss (mW)]])/10^3</f>
        <v>0.39195984</v>
      </c>
      <c r="CL204" s="145" t="e">
        <f ca="1">Table7[[#This Row],[Total (mW) C]]/10^3</f>
        <v>#NAME?</v>
      </c>
      <c r="CM204" s="145" t="e">
        <f ca="1">Table7[[#This Row],[Total Sense Loss C]]+Table7[[#This Row],[Total MOSFET Loss C]]</f>
        <v>#NAME?</v>
      </c>
      <c r="CN204" s="149" t="e">
        <f ca="1">IF(Table7[[#This Row],[POUT (W)]]=0,0,(Table7[[#This Row],[POUT (W)]])/(Table7[[#This Row],[POUT (W)]]+Table7[[#This Row],[Total Power Loss (W) C]]))*100</f>
        <v>#NAME?</v>
      </c>
      <c r="CO204" s="153"/>
      <c r="CP204" s="149">
        <f>IF(MOSFET_S=Custom_MOSFET,Table7[[#This Row],[Total Sense Loss C]],Table7[[#This Row],[Total Sense Loss]])</f>
        <v>0.39195984</v>
      </c>
      <c r="CQ204" s="149" t="e">
        <f ca="1">IF(MOSFET_S=Custom_MOSFET,Table7[[#This Row],[Total MOSFET Loss C]],Table7[[#This Row],[Total MOSFET Loss]])</f>
        <v>#NAME?</v>
      </c>
      <c r="CR204" s="149" t="e">
        <f ca="1">IF(MOSFET_S=Custom_MOSFET,Table7[[#This Row],[Efficiency C]],Table7[[#This Row],[Efficiency]])</f>
        <v>#NAME?</v>
      </c>
      <c r="CS204" s="153"/>
      <c r="CT204" s="149">
        <f>IF(MOSFET_S=Compare_MOSFET, Table7[[#This Row],[Total Sense Loss C]], -100)</f>
        <v>-100</v>
      </c>
      <c r="CU204" s="149">
        <f>IF(MOSFET_S=Compare_MOSFET, Table7[[#This Row],[Total MOSFET Loss C]], -100)</f>
        <v>-100</v>
      </c>
      <c r="CV204" s="149">
        <f>IF(MOSFET_S=Compare_MOSFET, Table7[[#This Row],[Efficiency C]], -100)</f>
        <v>-100</v>
      </c>
      <c r="CW204" s="153"/>
      <c r="CX204" s="149">
        <f ca="1">IF(Save_Sel=CLR_Save,  Table7[[#This Row],[Total Sense Loss P1]], Table7[[#This Row],[Total Sense Loss P1 Saved]])</f>
        <v>0.32868000000000003</v>
      </c>
      <c r="CY204" s="149">
        <f ca="1">IF(Save_Sel=CLR_Save,  Table7[[#This Row],[Total MOSFET Loss P1]], Table7[[#This Row],[Total MOSFET Loss P1 Saved]] )</f>
        <v>1.8491602713566904</v>
      </c>
      <c r="CZ204" s="149">
        <f ca="1">IF(Save_Sel=CLR_Save, Table7[[#This Row],[Efficiency P1]], Table7[[#This Row],[Efficiency P1 Saved]])</f>
        <v>92.96968332111129</v>
      </c>
      <c r="DA204" s="153"/>
      <c r="DB204" s="149">
        <f ca="1">IF(Save_Sel=CLR_Save,  Table7[[#This Row],[Total Sense Loss P2]], Table7[[#This Row],[Total Sense Loss P2 Saved]])</f>
        <v>0.32868000000000003</v>
      </c>
      <c r="DC204" s="149">
        <f ca="1">IF(Save_Sel=CLR_Save,  Table7[[#This Row],[Total MOSFET Loss P2]], Table7[[#This Row],[Total MOSFET Loss P2 Saved]] )</f>
        <v>1.2351636366288754</v>
      </c>
      <c r="DD204" s="149">
        <f ca="1">IF(Save_Sel=CLR_Save, Table7[[#This Row],[Efficiency P2]], Table7[[#This Row],[Efficiency P2 Saved]])</f>
        <v>94.84965192370322</v>
      </c>
      <c r="DE204" s="153"/>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row>
    <row r="205" spans="1:165" x14ac:dyDescent="0.2">
      <c r="A205" s="32"/>
      <c r="B205" s="49"/>
      <c r="C205" s="49"/>
      <c r="D205" s="32"/>
      <c r="E205" s="66"/>
      <c r="F205" s="66"/>
      <c r="G205" s="49"/>
      <c r="H205" s="29"/>
      <c r="I205" s="29"/>
      <c r="J205" s="29"/>
      <c r="K205" s="29"/>
      <c r="L205" s="29"/>
      <c r="M205" s="29"/>
      <c r="N205" s="29"/>
      <c r="O205" s="29"/>
      <c r="P205" s="29"/>
      <c r="Q205" s="29"/>
      <c r="R205" s="29"/>
      <c r="S205" s="30"/>
      <c r="T205" s="18"/>
      <c r="U205" s="19"/>
      <c r="V205" s="19"/>
      <c r="W205" s="19"/>
      <c r="X205" s="19"/>
      <c r="Y205" s="19"/>
      <c r="Z205" s="19"/>
      <c r="AA205" s="19"/>
      <c r="AB205" s="19"/>
      <c r="AC205" s="19"/>
      <c r="AD205" s="19"/>
      <c r="AE205" s="19"/>
      <c r="AF205" s="143">
        <f t="shared" si="17"/>
        <v>49</v>
      </c>
      <c r="AG205" s="143">
        <f t="shared" si="39"/>
        <v>4.9000000000000004</v>
      </c>
      <c r="AH205" s="144">
        <f t="shared" si="28"/>
        <v>117.60000000000001</v>
      </c>
      <c r="AI205" s="145">
        <f t="shared" si="29"/>
        <v>0.16376306620209058</v>
      </c>
      <c r="AJ205" s="145">
        <f t="shared" si="30"/>
        <v>5.859583333333334</v>
      </c>
      <c r="AK205" s="145" t="e">
        <f t="shared" si="26"/>
        <v>#NAME?</v>
      </c>
      <c r="AL205" s="145" t="e">
        <f t="shared" si="27"/>
        <v>#NAME?</v>
      </c>
      <c r="AM205" s="146"/>
      <c r="AN205" s="145" t="e">
        <f>MAX(0,Table7[[#This Row],[I_L]]-0.5*Table7[[#This Row],[I_L pkpk]])</f>
        <v>#NAME?</v>
      </c>
      <c r="AO205" s="145" t="e">
        <f>Table7[[#This Row],[I_L]]+0.5*Table7[[#This Row],[I_L pkpk]]</f>
        <v>#NAME?</v>
      </c>
      <c r="AP205" s="145" t="e">
        <f ca="1">IF(VACnom&gt;Vbat, (VGS_S-(TI_MOSFET_S_VTH_H_BU+Table7[[#This Row],[I_L]]/TI_MOSFET_S_gFS_H_BU))/3.4, (VGS_S-(TI_MOSFET_S_VTH_L_BO+Table7[[#This Row],[I_L]]/TI_MOSFET_S_gFS_L_BO))/3.4 )</f>
        <v>#REF!</v>
      </c>
      <c r="AQ205" s="145" t="e">
        <f ca="1">IF(VACnom&gt;Vbat, ((TI_MOSFET_S_VTH_H_BU+Table7[[#This Row],[I_L]]/TI_MOSFET_S_gFS_H_BU))/1, ((TI_MOSFET_S_VTH_L_BO+Table7[[#This Row],[I_L]]/TI_MOSFET_S_gFS_L_BO))/1 )</f>
        <v>#REF!</v>
      </c>
      <c r="AR205" s="145" t="e">
        <f ca="1">IF(VACnom&gt;Vbat, (TI_MOSFET_S_QGD_H_BU+TI_MOSFET_S_QGS_H_BU)*10^-9/Table7[[#This Row],[Ion (A)]], (TI_MOSFET_S_QGD_L_BO+TI_MOSFET_S_QGS_L_BO)*10^-9/Table7[[#This Row],[Ion (A)]])/10^-9</f>
        <v>#REF!</v>
      </c>
      <c r="AS205" s="145" t="e">
        <f ca="1">IF(VACnom&gt;Vbat, (TI_MOSFET_S_QGD_H_BU+TI_MOSFET_S_QGS_H_BU)*10^-9/Table7[[#This Row],[Ioff (A)]], (TI_MOSFET_S_QGD_L_BO+TI_MOSFET_S_QGS_L_BO)*10^-9/Table7[[#This Row],[Ioff (A)]])/10^-9</f>
        <v>#REF!</v>
      </c>
      <c r="AT205" s="145" t="e">
        <f ca="1" xml:space="preserve"> 0.5*VACnom*Table7[[#This Row],[Ivalley (A)]]*Table7[[#This Row],[ton (ns)]]*10^-9*Fsw*10^3+0.5*VACnom*Table7[[#This Row],[Ipeak (A)]]*Table7[[#This Row],[toff (ns)]]*10^-9*Fsw*10^3/10^-3</f>
        <v>#NAME?</v>
      </c>
      <c r="AU205" s="145" t="e">
        <f t="shared" ca="1" si="31"/>
        <v>#REF!</v>
      </c>
      <c r="AV205" s="145" t="e">
        <f t="shared" ca="1" si="32"/>
        <v>#REF!</v>
      </c>
      <c r="AW205" s="145" t="e">
        <f t="shared" ca="1" si="33"/>
        <v>#REF!</v>
      </c>
      <c r="AX205" s="145" t="e">
        <f ca="1">IF(VACnom&gt;Vbat, TI_MOSFET_S_VSD_L_BU*Table7[[#This Row],[Ivalley (A)]]*Fsw*10^3*40*10^-9+TI_MOSFET_S_VSD_L_BU*Table7[[#This Row],[Ipeak (A)]]*Fsw*10^3*30*10^-9, TI_MOSFET_S_VSD_H_BO*Table7[[#This Row],[Ivalley (A)]]*Fsw*10^3*40*10^-9+TI_MOSFET_S_VSD_H_BO*Table7[[#This Row],[Ipeak (A)]]*Fsw*10^3*30*10^-9)/10^-3</f>
        <v>#REF!</v>
      </c>
      <c r="AY205" s="145" t="e">
        <f t="shared" ca="1" si="34"/>
        <v>#REF!</v>
      </c>
      <c r="AZ205" s="145" t="e">
        <f ca="1">IF(VACnom&lt;Vbat, Table7[[#This Row],[Duty Cycle]]*Table7[[#This Row],[I_L RMS]]^2*TI_MOSFET_S_RDSON_H_BU*10^-3, (1-Table7[[#This Row],[Duty Cycle]])*Table7[[#This Row],[I_L RMS]]^2*TI_MOSFET_S_RDSON_H_BO*10^-3)/10^-3</f>
        <v>#NAME?</v>
      </c>
      <c r="BA205" s="145" t="e">
        <f ca="1">IF(VACnom&gt;Vbat, Table7[[#This Row],[PIV (mW)]]+Table7[[#This Row],[Pqoss (mW)]]+Table7[[#This Row],[Pgate_top (mW)]], Table7[[#This Row],[PRR (mW)]]+Table7[[#This Row],[Pdead (mW)]]+Table7[[#This Row],[Pgate_top (mW)]])</f>
        <v>#REF!</v>
      </c>
      <c r="BB205" s="145" t="e">
        <f ca="1">Table7[[#This Row],[Pcon_top (mW)]]+Table7[[#This Row],[Psw_top (mW)]]</f>
        <v>#NAME?</v>
      </c>
      <c r="BC205" s="145" t="e">
        <f ca="1">IF(VACnom&gt;Vbat, (1-Table7[[#This Row],[Duty Cycle]])*Table7[[#This Row],[I_L RMS]]^2*TI_MOSFET_S_RDSON_L_BU*10^-3, Table7[[#This Row],[Duty Cycle]]*Table7[[#This Row],[I_L RMS]]^2*TI_MOSFET_S_RDSON_L_BO*10^-3)/10^-3</f>
        <v>#NAME?</v>
      </c>
      <c r="BD205" s="145" t="e">
        <f ca="1">IF(VACnom&gt;Vbat, Table7[[#This Row],[PRR (mW)]]+Table7[[#This Row],[Pdead (mW)]]+Table7[[#This Row],[Pgate_bottom (mW)]], Table7[[#This Row],[PIV (mW)]]+Table7[[#This Row],[Pqoss (mW)]]+Table7[[#This Row],[Pgate_bottom (mW)]])</f>
        <v>#NAME?</v>
      </c>
      <c r="BE205" s="147" t="e">
        <f ca="1">Table7[[#This Row],[Pcon_bottom (mW)]]+Table7[[#This Row],[Psw_bottom (mW)]]</f>
        <v>#NAME?</v>
      </c>
      <c r="BF205" s="145" t="e">
        <f ca="1">Table7[[#This Row],[Pbottom (mW)]]+Table7[[#This Row],[Ptop (mW)]]</f>
        <v>#NAME?</v>
      </c>
      <c r="BG205" s="142"/>
      <c r="BH205" s="145" t="e">
        <f>MAX(0,Table7[[#This Row],[I_L]]-0.5*Table7[[#This Row],[I_L pkpk]])</f>
        <v>#NAME?</v>
      </c>
      <c r="BI205" s="145" t="e">
        <f>Table7[[#This Row],[I_L]]+0.5*Table7[[#This Row],[I_L pkpk]]</f>
        <v>#NAME?</v>
      </c>
      <c r="BJ205" s="145">
        <f>IF(VACnom&gt;Vbat, (VGS_S-(C_MOSFET_S_VTH_H_BU+Table7[[#This Row],[I_L]]/C_MOSFET_S_gFS_H_BU))/3.4, (VGS_S-(C_MOSFET_S_VTH_L_BO+Table7[[#This Row],[I_L]]/C_MOSFET_S_gFS_L_BO))/3.4 )</f>
        <v>2.3414517973856213</v>
      </c>
      <c r="BK205" s="145">
        <f>IF(VACnom&gt;Vbat, ((C_MOSFET_S_VTH_H_BU+Table7[[#This Row],[I_L]]/C_MOSFET_S_gFS_H_BU))/1, ((C_MOSFET_S_VTH_L_BO+Table7[[#This Row],[I_L]]/C_MOSFET_S_gFS_L_BO))/1 )</f>
        <v>2.0390638888888888</v>
      </c>
      <c r="BL205" s="145">
        <f>IF(VACnom&gt;Vbat, (C_MOSFET_S_QGD_H_BU+C_MOSFET_S_QGS_H_BU)*10^-9/Table7[[#This Row],[Ion (A) C]], (C_MOSFET_S_QGD_L_BO+C_MOSFET_S_QGS_L_BO)*10^-9/Table7[[#This Row],[Ion (A) C]])/10^-9</f>
        <v>2.7760554401579651</v>
      </c>
      <c r="BM205" s="145">
        <f>IF(VACnom&gt;Vbat, (C_MOSFET_S_QGD_H_BU+C_MOSFET_S_QGS_H_BU)*10^-9/Table7[[#This Row],[Ioff (A) C]], (C_MOSFET_S_QGD_L_BO+C_MOSFET_S_QGS_L_BO)*10^-9/Table7[[#This Row],[Ioff (A) C]])/10^-9</f>
        <v>3.187737292303249</v>
      </c>
      <c r="BN205" s="145" t="e">
        <f xml:space="preserve"> 0.5*VACnom*Table7[[#This Row],[Ivalley (A) C]]*Table7[[#This Row],[ton (ns) C]]*10^-9*Fsw*10^3+0.5*VACnom*Table7[[#This Row],[Ipeak (A) C]]*Table7[[#This Row],[toff (ns) C]]*10^-9*Fsw*10^3/10^-3</f>
        <v>#NAME?</v>
      </c>
      <c r="BO205" s="145">
        <f t="shared" si="35"/>
        <v>259.2</v>
      </c>
      <c r="BP205" s="145" t="e">
        <f t="shared" ca="1" si="36"/>
        <v>#REF!</v>
      </c>
      <c r="BQ205" s="145">
        <f t="shared" si="37"/>
        <v>475.2</v>
      </c>
      <c r="BR205" s="145" t="e">
        <f>IF(VACnom&gt;Vbat, C_MOSFET_S_VSD_L_BU*Table7[[#This Row],[Ivalley (A) C]]*Fsw*10^3*40*10^-9+C_MOSFET_S_VSD_L_BU*Table7[[#This Row],[Ipeak (A) C]]*Fsw*10^3*30*10^-9, C_MOSFET_S_VSD_H_BO*Table7[[#This Row],[Ivalley (A) C]]*Fsw*10^3*40*10^-9+C_MOSFET_S_VSD_H_BO*Table7[[#This Row],[Ipeak (A) C]]*Fsw*10^3*30*10^-9)/10^-3</f>
        <v>#NAME?</v>
      </c>
      <c r="BS205" s="145" t="e">
        <f t="shared" ca="1" si="38"/>
        <v>#REF!</v>
      </c>
      <c r="BT205" s="145" t="e">
        <f>IF(VACnom&lt;Vbat, Table7[[#This Row],[Duty Cycle]]*Table7[[#This Row],[I_L RMS]]^2*C_MOSFET_S_RDSON_H_BU*10^-3, (1-Table7[[#This Row],[Duty Cycle]])*Table7[[#This Row],[I_L RMS]]^2*C_MOSFET_S_RDSON_H_BO*10^-3)/10^-3</f>
        <v>#NAME?</v>
      </c>
      <c r="BU205" s="145" t="e">
        <f ca="1">IF(VACnom&gt;Vbat, Table7[[#This Row],[PIV (mW) C]]+Table7[[#This Row],[PQoss (mW) C]]+Table7[[#This Row],[Pgate_top (mW) C]], Table7[[#This Row],[PRR (mW) C]]+Table7[[#This Row],[Pdead (mW) C]]+Table7[[#This Row],[Pgate_top (mW) C]])</f>
        <v>#NAME?</v>
      </c>
      <c r="BV205" s="145" t="e">
        <f ca="1">Table7[[#This Row],[Pcon_top (mW) C]]+Table7[[#This Row],[Psw_top (mW) C]]</f>
        <v>#NAME?</v>
      </c>
      <c r="BW205" s="145" t="e">
        <f ca="1">IF(VACnom&gt;Vbat, (1-Table7[[#This Row],[Duty Cycle]])*Table7[[#This Row],[I_L RMS]]^2*C_MOSFET_S_RDSON_L_BU*10^-3, Table7[[#This Row],[Duty Cycle]]*Table7[[#This Row],[I_L RMS]]^2*C_MOSFET_S_RDSON_L_BO*10^-3)/10^-3</f>
        <v>#NAME?</v>
      </c>
      <c r="BX205" s="145" t="e">
        <f ca="1">IF(VACnom&gt;Vbat, Table7[[#This Row],[PRR (mW) C]]+Table7[[#This Row],[Pdead (mW) C]]+Table7[[#This Row],[Pgate_bottom (mW) C]], Table7[[#This Row],[PIV (mW) C]]+Table7[[#This Row],[PQoss (mW) C]]+Table7[[#This Row],[Pgate_bottom (mW) C]])</f>
        <v>#NAME?</v>
      </c>
      <c r="BY205" s="145" t="e">
        <f ca="1">Table7[[#This Row],[Pcon_bottom (mW) C]]+Table7[[#This Row],[Psw_bottom (mV) C]]</f>
        <v>#NAME?</v>
      </c>
      <c r="BZ205" s="145" t="e">
        <f ca="1">Table7[[#This Row],[Pbottom (mW) C]]+Table7[[#This Row],[Ptop (mW) C]]</f>
        <v>#NAME?</v>
      </c>
      <c r="CA205" s="148"/>
      <c r="CB205" s="144">
        <f>(RAC_SNS*10^-3*(Table7[[#This Row],[IOUT (A)]]*Vbat/VACnom)^2/10^-3)</f>
        <v>171.67358420138891</v>
      </c>
      <c r="CC205" s="144">
        <f>(RBAT_SNS*10^-3*Table7[[#This Row],[IOUT (A)]]^2)/10^-3</f>
        <v>120.05000000000003</v>
      </c>
      <c r="CD205" s="144">
        <f>IF(VACnom&gt;Vbat,(L_DRC*10^-3*(Table7[[#This Row],[IOUT (A)]])^2/10^-3),(L_DRC*10^-3*(Table7[[#This Row],[IOUT (A)]]*Vbat/VACnom)^2/10^-3))</f>
        <v>116.73803725694444</v>
      </c>
      <c r="CE205" s="152"/>
      <c r="CF205" s="145">
        <f>(Table7[[#This Row],[R_AC (mW)]]+Table7[[#This Row],[R_SR (mW)]]+Table7[[#This Row],[Inductor Loss (mW)]])/10^3</f>
        <v>0.40846162145833337</v>
      </c>
      <c r="CG205" s="145" t="e">
        <f ca="1">Table7[[#This Row],[Total TI (mW)]]/10^3</f>
        <v>#NAME?</v>
      </c>
      <c r="CH205" s="145" t="e">
        <f ca="1">Table7[[#This Row],[Total Sense Loss]]+Table7[[#This Row],[Total MOSFET Loss]]</f>
        <v>#NAME?</v>
      </c>
      <c r="CI205" s="149" t="e">
        <f ca="1">IF(Table7[[#This Row],[POUT (W)]]=0,0,(Table7[[#This Row],[POUT (W)]])/(Table7[[#This Row],[POUT (W)]]+Table7[[#This Row],[Total Power Loss (W)]]))*100</f>
        <v>#NAME?</v>
      </c>
      <c r="CJ205" s="153"/>
      <c r="CK205" s="145">
        <f>(Table7[[#This Row],[R_AC (mW)]]+Table7[[#This Row],[R_SR (mW)]]+Table7[[#This Row],[Inductor Loss (mW)]])/10^3</f>
        <v>0.40846162145833337</v>
      </c>
      <c r="CL205" s="145" t="e">
        <f ca="1">Table7[[#This Row],[Total (mW) C]]/10^3</f>
        <v>#NAME?</v>
      </c>
      <c r="CM205" s="145" t="e">
        <f ca="1">Table7[[#This Row],[Total Sense Loss C]]+Table7[[#This Row],[Total MOSFET Loss C]]</f>
        <v>#NAME?</v>
      </c>
      <c r="CN205" s="149" t="e">
        <f ca="1">IF(Table7[[#This Row],[POUT (W)]]=0,0,(Table7[[#This Row],[POUT (W)]])/(Table7[[#This Row],[POUT (W)]]+Table7[[#This Row],[Total Power Loss (W) C]]))*100</f>
        <v>#NAME?</v>
      </c>
      <c r="CO205" s="153"/>
      <c r="CP205" s="149">
        <f>IF(MOSFET_S=Custom_MOSFET,Table7[[#This Row],[Total Sense Loss C]],Table7[[#This Row],[Total Sense Loss]])</f>
        <v>0.40846162145833337</v>
      </c>
      <c r="CQ205" s="149" t="e">
        <f ca="1">IF(MOSFET_S=Custom_MOSFET,Table7[[#This Row],[Total MOSFET Loss C]],Table7[[#This Row],[Total MOSFET Loss]])</f>
        <v>#NAME?</v>
      </c>
      <c r="CR205" s="149" t="e">
        <f ca="1">IF(MOSFET_S=Custom_MOSFET,Table7[[#This Row],[Efficiency C]],Table7[[#This Row],[Efficiency]])</f>
        <v>#NAME?</v>
      </c>
      <c r="CS205" s="153"/>
      <c r="CT205" s="149">
        <f>IF(MOSFET_S=Compare_MOSFET, Table7[[#This Row],[Total Sense Loss C]], -100)</f>
        <v>-100</v>
      </c>
      <c r="CU205" s="149">
        <f>IF(MOSFET_S=Compare_MOSFET, Table7[[#This Row],[Total MOSFET Loss C]], -100)</f>
        <v>-100</v>
      </c>
      <c r="CV205" s="149">
        <f>IF(MOSFET_S=Compare_MOSFET, Table7[[#This Row],[Efficiency C]], -100)</f>
        <v>-100</v>
      </c>
      <c r="CW205" s="153"/>
      <c r="CX205" s="149">
        <f ca="1">IF(Save_Sel=CLR_Save,  Table7[[#This Row],[Total Sense Loss P1]], Table7[[#This Row],[Total Sense Loss P1 Saved]])</f>
        <v>0.34251765625000008</v>
      </c>
      <c r="CY205" s="149">
        <f ca="1">IF(Save_Sel=CLR_Save,  Table7[[#This Row],[Total MOSFET Loss P1]], Table7[[#This Row],[Total MOSFET Loss P1 Saved]] )</f>
        <v>1.8590640076149842</v>
      </c>
      <c r="CZ205" s="149">
        <f ca="1">IF(Save_Sel=CLR_Save, Table7[[#This Row],[Efficiency P1]], Table7[[#This Row],[Efficiency P1 Saved]])</f>
        <v>93.033318119066195</v>
      </c>
      <c r="DA205" s="153"/>
      <c r="DB205" s="149">
        <f ca="1">IF(Save_Sel=CLR_Save,  Table7[[#This Row],[Total Sense Loss P2]], Table7[[#This Row],[Total Sense Loss P2 Saved]])</f>
        <v>0.34251765625000008</v>
      </c>
      <c r="DC205" s="149">
        <f ca="1">IF(Save_Sel=CLR_Save,  Table7[[#This Row],[Total MOSFET Loss P2]], Table7[[#This Row],[Total MOSFET Loss P2 Saved]] )</f>
        <v>1.2429675668947233</v>
      </c>
      <c r="DD205" s="149">
        <f ca="1">IF(Save_Sel=CLR_Save, Table7[[#This Row],[Efficiency P2]], Table7[[#This Row],[Efficiency P2 Saved]])</f>
        <v>94.883135727174476</v>
      </c>
      <c r="DE205" s="153"/>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row>
    <row r="206" spans="1:165" x14ac:dyDescent="0.2">
      <c r="A206" s="32"/>
      <c r="B206" s="49"/>
      <c r="C206" s="49"/>
      <c r="D206" s="32"/>
      <c r="E206" s="66"/>
      <c r="F206" s="66"/>
      <c r="G206" s="49"/>
      <c r="H206" s="29"/>
      <c r="I206" s="29"/>
      <c r="J206" s="29"/>
      <c r="K206" s="29"/>
      <c r="L206" s="29"/>
      <c r="M206" s="29"/>
      <c r="N206" s="29"/>
      <c r="O206" s="29"/>
      <c r="P206" s="29"/>
      <c r="Q206" s="29"/>
      <c r="R206" s="29"/>
      <c r="S206" s="30"/>
      <c r="T206" s="18"/>
      <c r="U206" s="19"/>
      <c r="V206" s="19"/>
      <c r="W206" s="19"/>
      <c r="X206" s="19"/>
      <c r="Y206" s="19"/>
      <c r="Z206" s="19"/>
      <c r="AA206" s="19"/>
      <c r="AB206" s="19"/>
      <c r="AC206" s="19"/>
      <c r="AD206" s="19"/>
      <c r="AE206" s="19"/>
      <c r="AF206" s="143">
        <f t="shared" si="17"/>
        <v>50</v>
      </c>
      <c r="AG206" s="143">
        <f t="shared" si="39"/>
        <v>5</v>
      </c>
      <c r="AH206" s="144">
        <f t="shared" si="28"/>
        <v>120</v>
      </c>
      <c r="AI206" s="145">
        <f t="shared" si="29"/>
        <v>0.16376306620209058</v>
      </c>
      <c r="AJ206" s="145">
        <f t="shared" si="30"/>
        <v>5.979166666666667</v>
      </c>
      <c r="AK206" s="145" t="e">
        <f t="shared" si="26"/>
        <v>#NAME?</v>
      </c>
      <c r="AL206" s="145" t="e">
        <f t="shared" si="27"/>
        <v>#NAME?</v>
      </c>
      <c r="AM206" s="146"/>
      <c r="AN206" s="145" t="e">
        <f>MAX(0,Table7[[#This Row],[I_L]]-0.5*Table7[[#This Row],[I_L pkpk]])</f>
        <v>#NAME?</v>
      </c>
      <c r="AO206" s="145" t="e">
        <f>Table7[[#This Row],[I_L]]+0.5*Table7[[#This Row],[I_L pkpk]]</f>
        <v>#NAME?</v>
      </c>
      <c r="AP206" s="145" t="e">
        <f ca="1">IF(VACnom&gt;Vbat, (VGS_S-(TI_MOSFET_S_VTH_H_BU+Table7[[#This Row],[I_L]]/TI_MOSFET_S_gFS_H_BU))/3.4, (VGS_S-(TI_MOSFET_S_VTH_L_BO+Table7[[#This Row],[I_L]]/TI_MOSFET_S_gFS_L_BO))/3.4 )</f>
        <v>#REF!</v>
      </c>
      <c r="AQ206" s="145" t="e">
        <f ca="1">IF(VACnom&gt;Vbat, ((TI_MOSFET_S_VTH_H_BU+Table7[[#This Row],[I_L]]/TI_MOSFET_S_gFS_H_BU))/1, ((TI_MOSFET_S_VTH_L_BO+Table7[[#This Row],[I_L]]/TI_MOSFET_S_gFS_L_BO))/1 )</f>
        <v>#REF!</v>
      </c>
      <c r="AR206" s="145" t="e">
        <f ca="1">IF(VACnom&gt;Vbat, (TI_MOSFET_S_QGD_H_BU+TI_MOSFET_S_QGS_H_BU)*10^-9/Table7[[#This Row],[Ion (A)]], (TI_MOSFET_S_QGD_L_BO+TI_MOSFET_S_QGS_L_BO)*10^-9/Table7[[#This Row],[Ion (A)]])/10^-9</f>
        <v>#REF!</v>
      </c>
      <c r="AS206" s="145" t="e">
        <f ca="1">IF(VACnom&gt;Vbat, (TI_MOSFET_S_QGD_H_BU+TI_MOSFET_S_QGS_H_BU)*10^-9/Table7[[#This Row],[Ioff (A)]], (TI_MOSFET_S_QGD_L_BO+TI_MOSFET_S_QGS_L_BO)*10^-9/Table7[[#This Row],[Ioff (A)]])/10^-9</f>
        <v>#REF!</v>
      </c>
      <c r="AT206" s="145" t="e">
        <f ca="1" xml:space="preserve"> 0.5*VACnom*Table7[[#This Row],[Ivalley (A)]]*Table7[[#This Row],[ton (ns)]]*10^-9*Fsw*10^3+0.5*VACnom*Table7[[#This Row],[Ipeak (A)]]*Table7[[#This Row],[toff (ns)]]*10^-9*Fsw*10^3/10^-3</f>
        <v>#NAME?</v>
      </c>
      <c r="AU206" s="145" t="e">
        <f t="shared" ca="1" si="31"/>
        <v>#REF!</v>
      </c>
      <c r="AV206" s="145" t="e">
        <f t="shared" ca="1" si="32"/>
        <v>#REF!</v>
      </c>
      <c r="AW206" s="145" t="e">
        <f t="shared" ca="1" si="33"/>
        <v>#REF!</v>
      </c>
      <c r="AX206" s="145" t="e">
        <f ca="1">IF(VACnom&gt;Vbat, TI_MOSFET_S_VSD_L_BU*Table7[[#This Row],[Ivalley (A)]]*Fsw*10^3*40*10^-9+TI_MOSFET_S_VSD_L_BU*Table7[[#This Row],[Ipeak (A)]]*Fsw*10^3*30*10^-9, TI_MOSFET_S_VSD_H_BO*Table7[[#This Row],[Ivalley (A)]]*Fsw*10^3*40*10^-9+TI_MOSFET_S_VSD_H_BO*Table7[[#This Row],[Ipeak (A)]]*Fsw*10^3*30*10^-9)/10^-3</f>
        <v>#REF!</v>
      </c>
      <c r="AY206" s="145" t="e">
        <f t="shared" ca="1" si="34"/>
        <v>#REF!</v>
      </c>
      <c r="AZ206" s="145" t="e">
        <f ca="1">IF(VACnom&lt;Vbat, Table7[[#This Row],[Duty Cycle]]*Table7[[#This Row],[I_L RMS]]^2*TI_MOSFET_S_RDSON_H_BU*10^-3, (1-Table7[[#This Row],[Duty Cycle]])*Table7[[#This Row],[I_L RMS]]^2*TI_MOSFET_S_RDSON_H_BO*10^-3)/10^-3</f>
        <v>#NAME?</v>
      </c>
      <c r="BA206" s="145" t="e">
        <f ca="1">IF(VACnom&gt;Vbat, Table7[[#This Row],[PIV (mW)]]+Table7[[#This Row],[Pqoss (mW)]]+Table7[[#This Row],[Pgate_top (mW)]], Table7[[#This Row],[PRR (mW)]]+Table7[[#This Row],[Pdead (mW)]]+Table7[[#This Row],[Pgate_top (mW)]])</f>
        <v>#REF!</v>
      </c>
      <c r="BB206" s="145" t="e">
        <f ca="1">Table7[[#This Row],[Pcon_top (mW)]]+Table7[[#This Row],[Psw_top (mW)]]</f>
        <v>#NAME?</v>
      </c>
      <c r="BC206" s="145" t="e">
        <f ca="1">IF(VACnom&gt;Vbat, (1-Table7[[#This Row],[Duty Cycle]])*Table7[[#This Row],[I_L RMS]]^2*TI_MOSFET_S_RDSON_L_BU*10^-3, Table7[[#This Row],[Duty Cycle]]*Table7[[#This Row],[I_L RMS]]^2*TI_MOSFET_S_RDSON_L_BO*10^-3)/10^-3</f>
        <v>#NAME?</v>
      </c>
      <c r="BD206" s="145" t="e">
        <f ca="1">IF(VACnom&gt;Vbat, Table7[[#This Row],[PRR (mW)]]+Table7[[#This Row],[Pdead (mW)]]+Table7[[#This Row],[Pgate_bottom (mW)]], Table7[[#This Row],[PIV (mW)]]+Table7[[#This Row],[Pqoss (mW)]]+Table7[[#This Row],[Pgate_bottom (mW)]])</f>
        <v>#NAME?</v>
      </c>
      <c r="BE206" s="147" t="e">
        <f ca="1">Table7[[#This Row],[Pcon_bottom (mW)]]+Table7[[#This Row],[Psw_bottom (mW)]]</f>
        <v>#NAME?</v>
      </c>
      <c r="BF206" s="145" t="e">
        <f ca="1">Table7[[#This Row],[Pbottom (mW)]]+Table7[[#This Row],[Ptop (mW)]]</f>
        <v>#NAME?</v>
      </c>
      <c r="BG206" s="142"/>
      <c r="BH206" s="145" t="e">
        <f>MAX(0,Table7[[#This Row],[I_L]]-0.5*Table7[[#This Row],[I_L pkpk]])</f>
        <v>#NAME?</v>
      </c>
      <c r="BI206" s="145" t="e">
        <f>Table7[[#This Row],[I_L]]+0.5*Table7[[#This Row],[I_L pkpk]]</f>
        <v>#NAME?</v>
      </c>
      <c r="BJ206" s="145">
        <f>IF(VACnom&gt;Vbat, (VGS_S-(C_MOSFET_S_VTH_H_BU+Table7[[#This Row],[I_L]]/C_MOSFET_S_gFS_H_BU))/3.4, (VGS_S-(C_MOSFET_S_VTH_L_BO+Table7[[#This Row],[I_L]]/C_MOSFET_S_gFS_L_BO))/3.4 )</f>
        <v>2.3412173202614377</v>
      </c>
      <c r="BK206" s="145">
        <f>IF(VACnom&gt;Vbat, ((C_MOSFET_S_VTH_H_BU+Table7[[#This Row],[I_L]]/C_MOSFET_S_gFS_H_BU))/1, ((C_MOSFET_S_VTH_L_BO+Table7[[#This Row],[I_L]]/C_MOSFET_S_gFS_L_BO))/1 )</f>
        <v>2.0398611111111111</v>
      </c>
      <c r="BL206" s="145">
        <f>IF(VACnom&gt;Vbat, (C_MOSFET_S_QGD_H_BU+C_MOSFET_S_QGS_H_BU)*10^-9/Table7[[#This Row],[Ion (A) C]], (C_MOSFET_S_QGD_L_BO+C_MOSFET_S_QGS_L_BO)*10^-9/Table7[[#This Row],[Ion (A) C]])/10^-9</f>
        <v>2.776333467101705</v>
      </c>
      <c r="BM206" s="145">
        <f>IF(VACnom&gt;Vbat, (C_MOSFET_S_QGD_H_BU+C_MOSFET_S_QGS_H_BU)*10^-9/Table7[[#This Row],[Ioff (A) C]], (C_MOSFET_S_QGD_L_BO+C_MOSFET_S_QGS_L_BO)*10^-9/Table7[[#This Row],[Ioff (A) C]])/10^-9</f>
        <v>3.1864914550282561</v>
      </c>
      <c r="BN206" s="145" t="e">
        <f xml:space="preserve"> 0.5*VACnom*Table7[[#This Row],[Ivalley (A) C]]*Table7[[#This Row],[ton (ns) C]]*10^-9*Fsw*10^3+0.5*VACnom*Table7[[#This Row],[Ipeak (A) C]]*Table7[[#This Row],[toff (ns) C]]*10^-9*Fsw*10^3/10^-3</f>
        <v>#NAME?</v>
      </c>
      <c r="BO206" s="145">
        <f t="shared" si="35"/>
        <v>259.2</v>
      </c>
      <c r="BP206" s="145" t="e">
        <f t="shared" ca="1" si="36"/>
        <v>#REF!</v>
      </c>
      <c r="BQ206" s="145">
        <f t="shared" si="37"/>
        <v>475.2</v>
      </c>
      <c r="BR206" s="145" t="e">
        <f>IF(VACnom&gt;Vbat, C_MOSFET_S_VSD_L_BU*Table7[[#This Row],[Ivalley (A) C]]*Fsw*10^3*40*10^-9+C_MOSFET_S_VSD_L_BU*Table7[[#This Row],[Ipeak (A) C]]*Fsw*10^3*30*10^-9, C_MOSFET_S_VSD_H_BO*Table7[[#This Row],[Ivalley (A) C]]*Fsw*10^3*40*10^-9+C_MOSFET_S_VSD_H_BO*Table7[[#This Row],[Ipeak (A) C]]*Fsw*10^3*30*10^-9)/10^-3</f>
        <v>#NAME?</v>
      </c>
      <c r="BS206" s="145" t="e">
        <f t="shared" ca="1" si="38"/>
        <v>#REF!</v>
      </c>
      <c r="BT206" s="145" t="e">
        <f>IF(VACnom&lt;Vbat, Table7[[#This Row],[Duty Cycle]]*Table7[[#This Row],[I_L RMS]]^2*C_MOSFET_S_RDSON_H_BU*10^-3, (1-Table7[[#This Row],[Duty Cycle]])*Table7[[#This Row],[I_L RMS]]^2*C_MOSFET_S_RDSON_H_BO*10^-3)/10^-3</f>
        <v>#NAME?</v>
      </c>
      <c r="BU206" s="145" t="e">
        <f ca="1">IF(VACnom&gt;Vbat, Table7[[#This Row],[PIV (mW) C]]+Table7[[#This Row],[PQoss (mW) C]]+Table7[[#This Row],[Pgate_top (mW) C]], Table7[[#This Row],[PRR (mW) C]]+Table7[[#This Row],[Pdead (mW) C]]+Table7[[#This Row],[Pgate_top (mW) C]])</f>
        <v>#NAME?</v>
      </c>
      <c r="BV206" s="145" t="e">
        <f ca="1">Table7[[#This Row],[Pcon_top (mW) C]]+Table7[[#This Row],[Psw_top (mW) C]]</f>
        <v>#NAME?</v>
      </c>
      <c r="BW206" s="145" t="e">
        <f ca="1">IF(VACnom&gt;Vbat, (1-Table7[[#This Row],[Duty Cycle]])*Table7[[#This Row],[I_L RMS]]^2*C_MOSFET_S_RDSON_L_BU*10^-3, Table7[[#This Row],[Duty Cycle]]*Table7[[#This Row],[I_L RMS]]^2*C_MOSFET_S_RDSON_L_BO*10^-3)/10^-3</f>
        <v>#NAME?</v>
      </c>
      <c r="BX206" s="145" t="e">
        <f ca="1">IF(VACnom&gt;Vbat, Table7[[#This Row],[PRR (mW) C]]+Table7[[#This Row],[Pdead (mW) C]]+Table7[[#This Row],[Pgate_bottom (mW) C]], Table7[[#This Row],[PIV (mW) C]]+Table7[[#This Row],[PQoss (mW) C]]+Table7[[#This Row],[Pgate_bottom (mW) C]])</f>
        <v>#NAME?</v>
      </c>
      <c r="BY206" s="145" t="e">
        <f ca="1">Table7[[#This Row],[Pcon_bottom (mW) C]]+Table7[[#This Row],[Psw_bottom (mV) C]]</f>
        <v>#NAME?</v>
      </c>
      <c r="BZ206" s="145" t="e">
        <f ca="1">Table7[[#This Row],[Pbottom (mW) C]]+Table7[[#This Row],[Ptop (mW) C]]</f>
        <v>#NAME?</v>
      </c>
      <c r="CA206" s="148"/>
      <c r="CB206" s="144">
        <f>(RAC_SNS*10^-3*(Table7[[#This Row],[IOUT (A)]]*Vbat/VACnom)^2/10^-3)</f>
        <v>178.75217013888889</v>
      </c>
      <c r="CC206" s="144">
        <f>(RBAT_SNS*10^-3*Table7[[#This Row],[IOUT (A)]]^2)/10^-3</f>
        <v>125</v>
      </c>
      <c r="CD206" s="144">
        <f>IF(VACnom&gt;Vbat,(L_DRC*10^-3*(Table7[[#This Row],[IOUT (A)]])^2/10^-3),(L_DRC*10^-3*(Table7[[#This Row],[IOUT (A)]]*Vbat/VACnom)^2/10^-3))</f>
        <v>121.55147569444443</v>
      </c>
      <c r="CE206" s="152"/>
      <c r="CF206" s="145">
        <f>(Table7[[#This Row],[R_AC (mW)]]+Table7[[#This Row],[R_SR (mW)]]+Table7[[#This Row],[Inductor Loss (mW)]])/10^3</f>
        <v>0.42530364583333335</v>
      </c>
      <c r="CG206" s="145" t="e">
        <f ca="1">Table7[[#This Row],[Total TI (mW)]]/10^3</f>
        <v>#NAME?</v>
      </c>
      <c r="CH206" s="145" t="e">
        <f ca="1">Table7[[#This Row],[Total Sense Loss]]+Table7[[#This Row],[Total MOSFET Loss]]</f>
        <v>#NAME?</v>
      </c>
      <c r="CI206" s="149" t="e">
        <f ca="1">IF(Table7[[#This Row],[POUT (W)]]=0,0,(Table7[[#This Row],[POUT (W)]])/(Table7[[#This Row],[POUT (W)]]+Table7[[#This Row],[Total Power Loss (W)]]))*100</f>
        <v>#NAME?</v>
      </c>
      <c r="CJ206" s="153"/>
      <c r="CK206" s="145">
        <f>(Table7[[#This Row],[R_AC (mW)]]+Table7[[#This Row],[R_SR (mW)]]+Table7[[#This Row],[Inductor Loss (mW)]])/10^3</f>
        <v>0.42530364583333335</v>
      </c>
      <c r="CL206" s="145" t="e">
        <f ca="1">Table7[[#This Row],[Total (mW) C]]/10^3</f>
        <v>#NAME?</v>
      </c>
      <c r="CM206" s="145" t="e">
        <f ca="1">Table7[[#This Row],[Total Sense Loss C]]+Table7[[#This Row],[Total MOSFET Loss C]]</f>
        <v>#NAME?</v>
      </c>
      <c r="CN206" s="149" t="e">
        <f ca="1">IF(Table7[[#This Row],[POUT (W)]]=0,0,(Table7[[#This Row],[POUT (W)]])/(Table7[[#This Row],[POUT (W)]]+Table7[[#This Row],[Total Power Loss (W) C]]))*100</f>
        <v>#NAME?</v>
      </c>
      <c r="CO206" s="153"/>
      <c r="CP206" s="149">
        <f>IF(MOSFET_S=Custom_MOSFET,Table7[[#This Row],[Total Sense Loss C]],Table7[[#This Row],[Total Sense Loss]])</f>
        <v>0.42530364583333335</v>
      </c>
      <c r="CQ206" s="149" t="e">
        <f ca="1">IF(MOSFET_S=Custom_MOSFET,Table7[[#This Row],[Total MOSFET Loss C]],Table7[[#This Row],[Total MOSFET Loss]])</f>
        <v>#NAME?</v>
      </c>
      <c r="CR206" s="149" t="e">
        <f ca="1">IF(MOSFET_S=Custom_MOSFET,Table7[[#This Row],[Efficiency C]],Table7[[#This Row],[Efficiency]])</f>
        <v>#NAME?</v>
      </c>
      <c r="CS206" s="153"/>
      <c r="CT206" s="149">
        <f>IF(MOSFET_S=Compare_MOSFET, Table7[[#This Row],[Total Sense Loss C]], -100)</f>
        <v>-100</v>
      </c>
      <c r="CU206" s="149">
        <f>IF(MOSFET_S=Compare_MOSFET, Table7[[#This Row],[Total MOSFET Loss C]], -100)</f>
        <v>-100</v>
      </c>
      <c r="CV206" s="149">
        <f>IF(MOSFET_S=Compare_MOSFET, Table7[[#This Row],[Efficiency C]], -100)</f>
        <v>-100</v>
      </c>
      <c r="CW206" s="153"/>
      <c r="CX206" s="149">
        <f ca="1">IF(Save_Sel=CLR_Save,  Table7[[#This Row],[Total Sense Loss P1]], Table7[[#This Row],[Total Sense Loss P1 Saved]])</f>
        <v>0.35664062499999999</v>
      </c>
      <c r="CY206" s="149">
        <f ca="1">IF(Save_Sel=CLR_Save,  Table7[[#This Row],[Total MOSFET Loss P1]], Table7[[#This Row],[Total MOSFET Loss P1 Saved]] )</f>
        <v>1.8690105799389409</v>
      </c>
      <c r="CZ206" s="149">
        <f ca="1">IF(Save_Sel=CLR_Save, Table7[[#This Row],[Efficiency P1]], Table7[[#This Row],[Efficiency P1 Saved]])</f>
        <v>93.093541567911473</v>
      </c>
      <c r="DA206" s="153"/>
      <c r="DB206" s="149">
        <f ca="1">IF(Save_Sel=CLR_Save,  Table7[[#This Row],[Total Sense Loss P2]], Table7[[#This Row],[Total Sense Loss P2 Saved]])</f>
        <v>0.35664062499999999</v>
      </c>
      <c r="DC206" s="149">
        <f ca="1">IF(Save_Sel=CLR_Save,  Table7[[#This Row],[Total MOSFET Loss P2]], Table7[[#This Row],[Total MOSFET Loss P2 Saved]] )</f>
        <v>1.2508506613987667</v>
      </c>
      <c r="DD206" s="149">
        <f ca="1">IF(Save_Sel=CLR_Save, Table7[[#This Row],[Efficiency P2]], Table7[[#This Row],[Efficiency P2 Saved]])</f>
        <v>94.914207926743941</v>
      </c>
      <c r="DE206" s="153"/>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row>
    <row r="207" spans="1:165" x14ac:dyDescent="0.2">
      <c r="A207" s="32"/>
      <c r="B207" s="49"/>
      <c r="C207" s="49"/>
      <c r="D207" s="32"/>
      <c r="E207" s="66"/>
      <c r="F207" s="66"/>
      <c r="G207" s="49"/>
      <c r="H207" s="29"/>
      <c r="I207" s="29"/>
      <c r="J207" s="29"/>
      <c r="K207" s="29"/>
      <c r="L207" s="29"/>
      <c r="M207" s="29"/>
      <c r="N207" s="29"/>
      <c r="O207" s="29"/>
      <c r="P207" s="29"/>
      <c r="Q207" s="29"/>
      <c r="R207" s="29"/>
      <c r="S207" s="30"/>
      <c r="T207" s="18"/>
      <c r="U207" s="19"/>
      <c r="V207" s="19"/>
      <c r="W207" s="19"/>
      <c r="X207" s="19"/>
      <c r="Y207" s="19"/>
      <c r="Z207" s="19"/>
      <c r="AA207" s="19"/>
      <c r="AB207" s="19"/>
      <c r="AC207" s="19"/>
      <c r="AD207" s="19"/>
      <c r="AE207" s="19"/>
      <c r="AF207" s="143">
        <f t="shared" si="17"/>
        <v>51</v>
      </c>
      <c r="AG207" s="143">
        <f t="shared" si="39"/>
        <v>5.0999999999999996</v>
      </c>
      <c r="AH207" s="144">
        <f t="shared" si="28"/>
        <v>122.39999999999999</v>
      </c>
      <c r="AI207" s="145">
        <f t="shared" si="29"/>
        <v>0.16376306620209058</v>
      </c>
      <c r="AJ207" s="145">
        <f t="shared" si="30"/>
        <v>6.0987499999999999</v>
      </c>
      <c r="AK207" s="145" t="e">
        <f t="shared" si="26"/>
        <v>#NAME?</v>
      </c>
      <c r="AL207" s="145" t="e">
        <f t="shared" si="27"/>
        <v>#NAME?</v>
      </c>
      <c r="AM207" s="146"/>
      <c r="AN207" s="145" t="e">
        <f>MAX(0,Table7[[#This Row],[I_L]]-0.5*Table7[[#This Row],[I_L pkpk]])</f>
        <v>#NAME?</v>
      </c>
      <c r="AO207" s="145" t="e">
        <f>Table7[[#This Row],[I_L]]+0.5*Table7[[#This Row],[I_L pkpk]]</f>
        <v>#NAME?</v>
      </c>
      <c r="AP207" s="145" t="e">
        <f ca="1">IF(VACnom&gt;Vbat, (VGS_S-(TI_MOSFET_S_VTH_H_BU+Table7[[#This Row],[I_L]]/TI_MOSFET_S_gFS_H_BU))/3.4, (VGS_S-(TI_MOSFET_S_VTH_L_BO+Table7[[#This Row],[I_L]]/TI_MOSFET_S_gFS_L_BO))/3.4 )</f>
        <v>#REF!</v>
      </c>
      <c r="AQ207" s="145" t="e">
        <f ca="1">IF(VACnom&gt;Vbat, ((TI_MOSFET_S_VTH_H_BU+Table7[[#This Row],[I_L]]/TI_MOSFET_S_gFS_H_BU))/1, ((TI_MOSFET_S_VTH_L_BO+Table7[[#This Row],[I_L]]/TI_MOSFET_S_gFS_L_BO))/1 )</f>
        <v>#REF!</v>
      </c>
      <c r="AR207" s="145" t="e">
        <f ca="1">IF(VACnom&gt;Vbat, (TI_MOSFET_S_QGD_H_BU+TI_MOSFET_S_QGS_H_BU)*10^-9/Table7[[#This Row],[Ion (A)]], (TI_MOSFET_S_QGD_L_BO+TI_MOSFET_S_QGS_L_BO)*10^-9/Table7[[#This Row],[Ion (A)]])/10^-9</f>
        <v>#REF!</v>
      </c>
      <c r="AS207" s="145" t="e">
        <f ca="1">IF(VACnom&gt;Vbat, (TI_MOSFET_S_QGD_H_BU+TI_MOSFET_S_QGS_H_BU)*10^-9/Table7[[#This Row],[Ioff (A)]], (TI_MOSFET_S_QGD_L_BO+TI_MOSFET_S_QGS_L_BO)*10^-9/Table7[[#This Row],[Ioff (A)]])/10^-9</f>
        <v>#REF!</v>
      </c>
      <c r="AT207" s="145" t="e">
        <f ca="1" xml:space="preserve"> 0.5*VACnom*Table7[[#This Row],[Ivalley (A)]]*Table7[[#This Row],[ton (ns)]]*10^-9*Fsw*10^3+0.5*VACnom*Table7[[#This Row],[Ipeak (A)]]*Table7[[#This Row],[toff (ns)]]*10^-9*Fsw*10^3/10^-3</f>
        <v>#NAME?</v>
      </c>
      <c r="AU207" s="145" t="e">
        <f t="shared" ca="1" si="31"/>
        <v>#REF!</v>
      </c>
      <c r="AV207" s="145" t="e">
        <f t="shared" ca="1" si="32"/>
        <v>#REF!</v>
      </c>
      <c r="AW207" s="145" t="e">
        <f t="shared" ca="1" si="33"/>
        <v>#REF!</v>
      </c>
      <c r="AX207" s="145" t="e">
        <f ca="1">IF(VACnom&gt;Vbat, TI_MOSFET_S_VSD_L_BU*Table7[[#This Row],[Ivalley (A)]]*Fsw*10^3*40*10^-9+TI_MOSFET_S_VSD_L_BU*Table7[[#This Row],[Ipeak (A)]]*Fsw*10^3*30*10^-9, TI_MOSFET_S_VSD_H_BO*Table7[[#This Row],[Ivalley (A)]]*Fsw*10^3*40*10^-9+TI_MOSFET_S_VSD_H_BO*Table7[[#This Row],[Ipeak (A)]]*Fsw*10^3*30*10^-9)/10^-3</f>
        <v>#REF!</v>
      </c>
      <c r="AY207" s="145" t="e">
        <f t="shared" ca="1" si="34"/>
        <v>#REF!</v>
      </c>
      <c r="AZ207" s="145" t="e">
        <f ca="1">IF(VACnom&lt;Vbat, Table7[[#This Row],[Duty Cycle]]*Table7[[#This Row],[I_L RMS]]^2*TI_MOSFET_S_RDSON_H_BU*10^-3, (1-Table7[[#This Row],[Duty Cycle]])*Table7[[#This Row],[I_L RMS]]^2*TI_MOSFET_S_RDSON_H_BO*10^-3)/10^-3</f>
        <v>#NAME?</v>
      </c>
      <c r="BA207" s="145" t="e">
        <f ca="1">IF(VACnom&gt;Vbat, Table7[[#This Row],[PIV (mW)]]+Table7[[#This Row],[Pqoss (mW)]]+Table7[[#This Row],[Pgate_top (mW)]], Table7[[#This Row],[PRR (mW)]]+Table7[[#This Row],[Pdead (mW)]]+Table7[[#This Row],[Pgate_top (mW)]])</f>
        <v>#REF!</v>
      </c>
      <c r="BB207" s="145" t="e">
        <f ca="1">Table7[[#This Row],[Pcon_top (mW)]]+Table7[[#This Row],[Psw_top (mW)]]</f>
        <v>#NAME?</v>
      </c>
      <c r="BC207" s="145" t="e">
        <f ca="1">IF(VACnom&gt;Vbat, (1-Table7[[#This Row],[Duty Cycle]])*Table7[[#This Row],[I_L RMS]]^2*TI_MOSFET_S_RDSON_L_BU*10^-3, Table7[[#This Row],[Duty Cycle]]*Table7[[#This Row],[I_L RMS]]^2*TI_MOSFET_S_RDSON_L_BO*10^-3)/10^-3</f>
        <v>#NAME?</v>
      </c>
      <c r="BD207" s="145" t="e">
        <f ca="1">IF(VACnom&gt;Vbat, Table7[[#This Row],[PRR (mW)]]+Table7[[#This Row],[Pdead (mW)]]+Table7[[#This Row],[Pgate_bottom (mW)]], Table7[[#This Row],[PIV (mW)]]+Table7[[#This Row],[Pqoss (mW)]]+Table7[[#This Row],[Pgate_bottom (mW)]])</f>
        <v>#NAME?</v>
      </c>
      <c r="BE207" s="147" t="e">
        <f ca="1">Table7[[#This Row],[Pcon_bottom (mW)]]+Table7[[#This Row],[Psw_bottom (mW)]]</f>
        <v>#NAME?</v>
      </c>
      <c r="BF207" s="145" t="e">
        <f ca="1">Table7[[#This Row],[Pbottom (mW)]]+Table7[[#This Row],[Ptop (mW)]]</f>
        <v>#NAME?</v>
      </c>
      <c r="BG207" s="142"/>
      <c r="BH207" s="145" t="e">
        <f>MAX(0,Table7[[#This Row],[I_L]]-0.5*Table7[[#This Row],[I_L pkpk]])</f>
        <v>#NAME?</v>
      </c>
      <c r="BI207" s="145" t="e">
        <f>Table7[[#This Row],[I_L]]+0.5*Table7[[#This Row],[I_L pkpk]]</f>
        <v>#NAME?</v>
      </c>
      <c r="BJ207" s="145">
        <f>IF(VACnom&gt;Vbat, (VGS_S-(C_MOSFET_S_VTH_H_BU+Table7[[#This Row],[I_L]]/C_MOSFET_S_gFS_H_BU))/3.4, (VGS_S-(C_MOSFET_S_VTH_L_BO+Table7[[#This Row],[I_L]]/C_MOSFET_S_gFS_L_BO))/3.4 )</f>
        <v>2.340982843137255</v>
      </c>
      <c r="BK207" s="145">
        <f>IF(VACnom&gt;Vbat, ((C_MOSFET_S_VTH_H_BU+Table7[[#This Row],[I_L]]/C_MOSFET_S_gFS_H_BU))/1, ((C_MOSFET_S_VTH_L_BO+Table7[[#This Row],[I_L]]/C_MOSFET_S_gFS_L_BO))/1 )</f>
        <v>2.0406583333333335</v>
      </c>
      <c r="BL207" s="145">
        <f>IF(VACnom&gt;Vbat, (C_MOSFET_S_QGD_H_BU+C_MOSFET_S_QGS_H_BU)*10^-9/Table7[[#This Row],[Ion (A) C]], (C_MOSFET_S_QGD_L_BO+C_MOSFET_S_QGS_L_BO)*10^-9/Table7[[#This Row],[Ion (A) C]])/10^-9</f>
        <v>2.7766115497408181</v>
      </c>
      <c r="BM207" s="145">
        <f>IF(VACnom&gt;Vbat, (C_MOSFET_S_QGD_H_BU+C_MOSFET_S_QGS_H_BU)*10^-9/Table7[[#This Row],[Ioff (A) C]], (C_MOSFET_S_QGD_L_BO+C_MOSFET_S_QGS_L_BO)*10^-9/Table7[[#This Row],[Ioff (A) C]])/10^-9</f>
        <v>3.1852465911735997</v>
      </c>
      <c r="BN207" s="145" t="e">
        <f xml:space="preserve"> 0.5*VACnom*Table7[[#This Row],[Ivalley (A) C]]*Table7[[#This Row],[ton (ns) C]]*10^-9*Fsw*10^3+0.5*VACnom*Table7[[#This Row],[Ipeak (A) C]]*Table7[[#This Row],[toff (ns) C]]*10^-9*Fsw*10^3/10^-3</f>
        <v>#NAME?</v>
      </c>
      <c r="BO207" s="145">
        <f t="shared" si="35"/>
        <v>259.2</v>
      </c>
      <c r="BP207" s="145" t="e">
        <f t="shared" ca="1" si="36"/>
        <v>#REF!</v>
      </c>
      <c r="BQ207" s="145">
        <f t="shared" si="37"/>
        <v>475.2</v>
      </c>
      <c r="BR207" s="145" t="e">
        <f>IF(VACnom&gt;Vbat, C_MOSFET_S_VSD_L_BU*Table7[[#This Row],[Ivalley (A) C]]*Fsw*10^3*40*10^-9+C_MOSFET_S_VSD_L_BU*Table7[[#This Row],[Ipeak (A) C]]*Fsw*10^3*30*10^-9, C_MOSFET_S_VSD_H_BO*Table7[[#This Row],[Ivalley (A) C]]*Fsw*10^3*40*10^-9+C_MOSFET_S_VSD_H_BO*Table7[[#This Row],[Ipeak (A) C]]*Fsw*10^3*30*10^-9)/10^-3</f>
        <v>#NAME?</v>
      </c>
      <c r="BS207" s="145" t="e">
        <f t="shared" ca="1" si="38"/>
        <v>#REF!</v>
      </c>
      <c r="BT207" s="145" t="e">
        <f>IF(VACnom&lt;Vbat, Table7[[#This Row],[Duty Cycle]]*Table7[[#This Row],[I_L RMS]]^2*C_MOSFET_S_RDSON_H_BU*10^-3, (1-Table7[[#This Row],[Duty Cycle]])*Table7[[#This Row],[I_L RMS]]^2*C_MOSFET_S_RDSON_H_BO*10^-3)/10^-3</f>
        <v>#NAME?</v>
      </c>
      <c r="BU207" s="145" t="e">
        <f ca="1">IF(VACnom&gt;Vbat, Table7[[#This Row],[PIV (mW) C]]+Table7[[#This Row],[PQoss (mW) C]]+Table7[[#This Row],[Pgate_top (mW) C]], Table7[[#This Row],[PRR (mW) C]]+Table7[[#This Row],[Pdead (mW) C]]+Table7[[#This Row],[Pgate_top (mW) C]])</f>
        <v>#NAME?</v>
      </c>
      <c r="BV207" s="145" t="e">
        <f ca="1">Table7[[#This Row],[Pcon_top (mW) C]]+Table7[[#This Row],[Psw_top (mW) C]]</f>
        <v>#NAME?</v>
      </c>
      <c r="BW207" s="145" t="e">
        <f ca="1">IF(VACnom&gt;Vbat, (1-Table7[[#This Row],[Duty Cycle]])*Table7[[#This Row],[I_L RMS]]^2*C_MOSFET_S_RDSON_L_BU*10^-3, Table7[[#This Row],[Duty Cycle]]*Table7[[#This Row],[I_L RMS]]^2*C_MOSFET_S_RDSON_L_BO*10^-3)/10^-3</f>
        <v>#NAME?</v>
      </c>
      <c r="BX207" s="145" t="e">
        <f ca="1">IF(VACnom&gt;Vbat, Table7[[#This Row],[PRR (mW) C]]+Table7[[#This Row],[Pdead (mW) C]]+Table7[[#This Row],[Pgate_bottom (mW) C]], Table7[[#This Row],[PIV (mW) C]]+Table7[[#This Row],[PQoss (mW) C]]+Table7[[#This Row],[Pgate_bottom (mW) C]])</f>
        <v>#NAME?</v>
      </c>
      <c r="BY207" s="145" t="e">
        <f ca="1">Table7[[#This Row],[Pcon_bottom (mW) C]]+Table7[[#This Row],[Psw_bottom (mV) C]]</f>
        <v>#NAME?</v>
      </c>
      <c r="BZ207" s="145" t="e">
        <f ca="1">Table7[[#This Row],[Pbottom (mW) C]]+Table7[[#This Row],[Ptop (mW) C]]</f>
        <v>#NAME?</v>
      </c>
      <c r="CA207" s="148"/>
      <c r="CB207" s="144">
        <f>(RAC_SNS*10^-3*(Table7[[#This Row],[IOUT (A)]]*Vbat/VACnom)^2/10^-3)</f>
        <v>185.97375781249994</v>
      </c>
      <c r="CC207" s="144">
        <f>(RBAT_SNS*10^-3*Table7[[#This Row],[IOUT (A)]]^2)/10^-3</f>
        <v>130.04999999999998</v>
      </c>
      <c r="CD207" s="144">
        <f>IF(VACnom&gt;Vbat,(L_DRC*10^-3*(Table7[[#This Row],[IOUT (A)]])^2/10^-3),(L_DRC*10^-3*(Table7[[#This Row],[IOUT (A)]]*Vbat/VACnom)^2/10^-3))</f>
        <v>126.46215531249996</v>
      </c>
      <c r="CE207" s="152"/>
      <c r="CF207" s="145">
        <f>(Table7[[#This Row],[R_AC (mW)]]+Table7[[#This Row],[R_SR (mW)]]+Table7[[#This Row],[Inductor Loss (mW)]])/10^3</f>
        <v>0.44248591312499991</v>
      </c>
      <c r="CG207" s="145" t="e">
        <f ca="1">Table7[[#This Row],[Total TI (mW)]]/10^3</f>
        <v>#NAME?</v>
      </c>
      <c r="CH207" s="145" t="e">
        <f ca="1">Table7[[#This Row],[Total Sense Loss]]+Table7[[#This Row],[Total MOSFET Loss]]</f>
        <v>#NAME?</v>
      </c>
      <c r="CI207" s="149" t="e">
        <f ca="1">IF(Table7[[#This Row],[POUT (W)]]=0,0,(Table7[[#This Row],[POUT (W)]])/(Table7[[#This Row],[POUT (W)]]+Table7[[#This Row],[Total Power Loss (W)]]))*100</f>
        <v>#NAME?</v>
      </c>
      <c r="CJ207" s="153"/>
      <c r="CK207" s="145">
        <f>(Table7[[#This Row],[R_AC (mW)]]+Table7[[#This Row],[R_SR (mW)]]+Table7[[#This Row],[Inductor Loss (mW)]])/10^3</f>
        <v>0.44248591312499991</v>
      </c>
      <c r="CL207" s="145" t="e">
        <f ca="1">Table7[[#This Row],[Total (mW) C]]/10^3</f>
        <v>#NAME?</v>
      </c>
      <c r="CM207" s="145" t="e">
        <f ca="1">Table7[[#This Row],[Total Sense Loss C]]+Table7[[#This Row],[Total MOSFET Loss C]]</f>
        <v>#NAME?</v>
      </c>
      <c r="CN207" s="149" t="e">
        <f ca="1">IF(Table7[[#This Row],[POUT (W)]]=0,0,(Table7[[#This Row],[POUT (W)]])/(Table7[[#This Row],[POUT (W)]]+Table7[[#This Row],[Total Power Loss (W) C]]))*100</f>
        <v>#NAME?</v>
      </c>
      <c r="CO207" s="153"/>
      <c r="CP207" s="149">
        <f>IF(MOSFET_S=Custom_MOSFET,Table7[[#This Row],[Total Sense Loss C]],Table7[[#This Row],[Total Sense Loss]])</f>
        <v>0.44248591312499991</v>
      </c>
      <c r="CQ207" s="149" t="e">
        <f ca="1">IF(MOSFET_S=Custom_MOSFET,Table7[[#This Row],[Total MOSFET Loss C]],Table7[[#This Row],[Total MOSFET Loss]])</f>
        <v>#NAME?</v>
      </c>
      <c r="CR207" s="149" t="e">
        <f ca="1">IF(MOSFET_S=Custom_MOSFET,Table7[[#This Row],[Efficiency C]],Table7[[#This Row],[Efficiency]])</f>
        <v>#NAME?</v>
      </c>
      <c r="CS207" s="153"/>
      <c r="CT207" s="149">
        <f>IF(MOSFET_S=Compare_MOSFET, Table7[[#This Row],[Total Sense Loss C]], -100)</f>
        <v>-100</v>
      </c>
      <c r="CU207" s="149">
        <f>IF(MOSFET_S=Compare_MOSFET, Table7[[#This Row],[Total MOSFET Loss C]], -100)</f>
        <v>-100</v>
      </c>
      <c r="CV207" s="149">
        <f>IF(MOSFET_S=Compare_MOSFET, Table7[[#This Row],[Efficiency C]], -100)</f>
        <v>-100</v>
      </c>
      <c r="CW207" s="153"/>
      <c r="CX207" s="149">
        <f ca="1">IF(Save_Sel=CLR_Save,  Table7[[#This Row],[Total Sense Loss P1]], Table7[[#This Row],[Total Sense Loss P1 Saved]])</f>
        <v>0.37104890624999998</v>
      </c>
      <c r="CY207" s="149">
        <f ca="1">IF(Save_Sel=CLR_Save,  Table7[[#This Row],[Total MOSFET Loss P1]], Table7[[#This Row],[Total MOSFET Loss P1 Saved]] )</f>
        <v>1.8789999925916003</v>
      </c>
      <c r="CZ207" s="149">
        <f ca="1">IF(Save_Sel=CLR_Save, Table7[[#This Row],[Efficiency P1]], Table7[[#This Row],[Efficiency P1 Saved]])</f>
        <v>93.150546272334637</v>
      </c>
      <c r="DA207" s="153"/>
      <c r="DB207" s="149">
        <f ca="1">IF(Save_Sel=CLR_Save,  Table7[[#This Row],[Total Sense Loss P2]], Table7[[#This Row],[Total Sense Loss P2 Saved]])</f>
        <v>0.37104890624999998</v>
      </c>
      <c r="DC207" s="149">
        <f ca="1">IF(Save_Sel=CLR_Save,  Table7[[#This Row],[Total MOSFET Loss P2]], Table7[[#This Row],[Total MOSFET Loss P2 Saved]] )</f>
        <v>1.2588129206346743</v>
      </c>
      <c r="DD207" s="149">
        <f ca="1">IF(Save_Sel=CLR_Save, Table7[[#This Row],[Efficiency P2]], Table7[[#This Row],[Efficiency P2 Saved]])</f>
        <v>94.943007091873042</v>
      </c>
      <c r="DE207" s="153"/>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row>
    <row r="208" spans="1:165" x14ac:dyDescent="0.2">
      <c r="A208" s="32"/>
      <c r="B208" s="49"/>
      <c r="C208" s="49"/>
      <c r="D208" s="32"/>
      <c r="E208" s="66"/>
      <c r="F208" s="66"/>
      <c r="G208" s="49"/>
      <c r="H208" s="29"/>
      <c r="I208" s="29"/>
      <c r="J208" s="29"/>
      <c r="K208" s="29"/>
      <c r="L208" s="29"/>
      <c r="M208" s="29"/>
      <c r="N208" s="29"/>
      <c r="O208" s="29"/>
      <c r="P208" s="29"/>
      <c r="Q208" s="29"/>
      <c r="R208" s="29"/>
      <c r="S208" s="30"/>
      <c r="T208" s="18"/>
      <c r="U208" s="19"/>
      <c r="V208" s="19"/>
      <c r="W208" s="19"/>
      <c r="X208" s="19"/>
      <c r="Y208" s="19"/>
      <c r="Z208" s="19"/>
      <c r="AA208" s="19"/>
      <c r="AB208" s="19"/>
      <c r="AC208" s="19"/>
      <c r="AD208" s="19"/>
      <c r="AE208" s="19"/>
      <c r="AF208" s="143">
        <f t="shared" si="17"/>
        <v>52</v>
      </c>
      <c r="AG208" s="143">
        <f t="shared" si="39"/>
        <v>5.2</v>
      </c>
      <c r="AH208" s="144">
        <f t="shared" si="28"/>
        <v>124.80000000000001</v>
      </c>
      <c r="AI208" s="145">
        <f t="shared" si="29"/>
        <v>0.16376306620209058</v>
      </c>
      <c r="AJ208" s="145">
        <f t="shared" si="30"/>
        <v>6.2183333333333337</v>
      </c>
      <c r="AK208" s="145" t="e">
        <f t="shared" si="26"/>
        <v>#NAME?</v>
      </c>
      <c r="AL208" s="145" t="e">
        <f t="shared" si="27"/>
        <v>#NAME?</v>
      </c>
      <c r="AM208" s="146"/>
      <c r="AN208" s="145" t="e">
        <f>MAX(0,Table7[[#This Row],[I_L]]-0.5*Table7[[#This Row],[I_L pkpk]])</f>
        <v>#NAME?</v>
      </c>
      <c r="AO208" s="145" t="e">
        <f>Table7[[#This Row],[I_L]]+0.5*Table7[[#This Row],[I_L pkpk]]</f>
        <v>#NAME?</v>
      </c>
      <c r="AP208" s="145" t="e">
        <f ca="1">IF(VACnom&gt;Vbat, (VGS_S-(TI_MOSFET_S_VTH_H_BU+Table7[[#This Row],[I_L]]/TI_MOSFET_S_gFS_H_BU))/3.4, (VGS_S-(TI_MOSFET_S_VTH_L_BO+Table7[[#This Row],[I_L]]/TI_MOSFET_S_gFS_L_BO))/3.4 )</f>
        <v>#REF!</v>
      </c>
      <c r="AQ208" s="145" t="e">
        <f ca="1">IF(VACnom&gt;Vbat, ((TI_MOSFET_S_VTH_H_BU+Table7[[#This Row],[I_L]]/TI_MOSFET_S_gFS_H_BU))/1, ((TI_MOSFET_S_VTH_L_BO+Table7[[#This Row],[I_L]]/TI_MOSFET_S_gFS_L_BO))/1 )</f>
        <v>#REF!</v>
      </c>
      <c r="AR208" s="145" t="e">
        <f ca="1">IF(VACnom&gt;Vbat, (TI_MOSFET_S_QGD_H_BU+TI_MOSFET_S_QGS_H_BU)*10^-9/Table7[[#This Row],[Ion (A)]], (TI_MOSFET_S_QGD_L_BO+TI_MOSFET_S_QGS_L_BO)*10^-9/Table7[[#This Row],[Ion (A)]])/10^-9</f>
        <v>#REF!</v>
      </c>
      <c r="AS208" s="145" t="e">
        <f ca="1">IF(VACnom&gt;Vbat, (TI_MOSFET_S_QGD_H_BU+TI_MOSFET_S_QGS_H_BU)*10^-9/Table7[[#This Row],[Ioff (A)]], (TI_MOSFET_S_QGD_L_BO+TI_MOSFET_S_QGS_L_BO)*10^-9/Table7[[#This Row],[Ioff (A)]])/10^-9</f>
        <v>#REF!</v>
      </c>
      <c r="AT208" s="145" t="e">
        <f ca="1" xml:space="preserve"> 0.5*VACnom*Table7[[#This Row],[Ivalley (A)]]*Table7[[#This Row],[ton (ns)]]*10^-9*Fsw*10^3+0.5*VACnom*Table7[[#This Row],[Ipeak (A)]]*Table7[[#This Row],[toff (ns)]]*10^-9*Fsw*10^3/10^-3</f>
        <v>#NAME?</v>
      </c>
      <c r="AU208" s="145" t="e">
        <f t="shared" ca="1" si="31"/>
        <v>#REF!</v>
      </c>
      <c r="AV208" s="145" t="e">
        <f t="shared" ca="1" si="32"/>
        <v>#REF!</v>
      </c>
      <c r="AW208" s="145" t="e">
        <f t="shared" ca="1" si="33"/>
        <v>#REF!</v>
      </c>
      <c r="AX208" s="145" t="e">
        <f ca="1">IF(VACnom&gt;Vbat, TI_MOSFET_S_VSD_L_BU*Table7[[#This Row],[Ivalley (A)]]*Fsw*10^3*40*10^-9+TI_MOSFET_S_VSD_L_BU*Table7[[#This Row],[Ipeak (A)]]*Fsw*10^3*30*10^-9, TI_MOSFET_S_VSD_H_BO*Table7[[#This Row],[Ivalley (A)]]*Fsw*10^3*40*10^-9+TI_MOSFET_S_VSD_H_BO*Table7[[#This Row],[Ipeak (A)]]*Fsw*10^3*30*10^-9)/10^-3</f>
        <v>#REF!</v>
      </c>
      <c r="AY208" s="145" t="e">
        <f t="shared" ca="1" si="34"/>
        <v>#REF!</v>
      </c>
      <c r="AZ208" s="145" t="e">
        <f ca="1">IF(VACnom&lt;Vbat, Table7[[#This Row],[Duty Cycle]]*Table7[[#This Row],[I_L RMS]]^2*TI_MOSFET_S_RDSON_H_BU*10^-3, (1-Table7[[#This Row],[Duty Cycle]])*Table7[[#This Row],[I_L RMS]]^2*TI_MOSFET_S_RDSON_H_BO*10^-3)/10^-3</f>
        <v>#NAME?</v>
      </c>
      <c r="BA208" s="145" t="e">
        <f ca="1">IF(VACnom&gt;Vbat, Table7[[#This Row],[PIV (mW)]]+Table7[[#This Row],[Pqoss (mW)]]+Table7[[#This Row],[Pgate_top (mW)]], Table7[[#This Row],[PRR (mW)]]+Table7[[#This Row],[Pdead (mW)]]+Table7[[#This Row],[Pgate_top (mW)]])</f>
        <v>#REF!</v>
      </c>
      <c r="BB208" s="145" t="e">
        <f ca="1">Table7[[#This Row],[Pcon_top (mW)]]+Table7[[#This Row],[Psw_top (mW)]]</f>
        <v>#NAME?</v>
      </c>
      <c r="BC208" s="145" t="e">
        <f ca="1">IF(VACnom&gt;Vbat, (1-Table7[[#This Row],[Duty Cycle]])*Table7[[#This Row],[I_L RMS]]^2*TI_MOSFET_S_RDSON_L_BU*10^-3, Table7[[#This Row],[Duty Cycle]]*Table7[[#This Row],[I_L RMS]]^2*TI_MOSFET_S_RDSON_L_BO*10^-3)/10^-3</f>
        <v>#NAME?</v>
      </c>
      <c r="BD208" s="145" t="e">
        <f ca="1">IF(VACnom&gt;Vbat, Table7[[#This Row],[PRR (mW)]]+Table7[[#This Row],[Pdead (mW)]]+Table7[[#This Row],[Pgate_bottom (mW)]], Table7[[#This Row],[PIV (mW)]]+Table7[[#This Row],[Pqoss (mW)]]+Table7[[#This Row],[Pgate_bottom (mW)]])</f>
        <v>#NAME?</v>
      </c>
      <c r="BE208" s="147" t="e">
        <f ca="1">Table7[[#This Row],[Pcon_bottom (mW)]]+Table7[[#This Row],[Psw_bottom (mW)]]</f>
        <v>#NAME?</v>
      </c>
      <c r="BF208" s="145" t="e">
        <f ca="1">Table7[[#This Row],[Pbottom (mW)]]+Table7[[#This Row],[Ptop (mW)]]</f>
        <v>#NAME?</v>
      </c>
      <c r="BG208" s="142"/>
      <c r="BH208" s="145" t="e">
        <f>MAX(0,Table7[[#This Row],[I_L]]-0.5*Table7[[#This Row],[I_L pkpk]])</f>
        <v>#NAME?</v>
      </c>
      <c r="BI208" s="145" t="e">
        <f>Table7[[#This Row],[I_L]]+0.5*Table7[[#This Row],[I_L pkpk]]</f>
        <v>#NAME?</v>
      </c>
      <c r="BJ208" s="145">
        <f>IF(VACnom&gt;Vbat, (VGS_S-(C_MOSFET_S_VTH_H_BU+Table7[[#This Row],[I_L]]/C_MOSFET_S_gFS_H_BU))/3.4, (VGS_S-(C_MOSFET_S_VTH_L_BO+Table7[[#This Row],[I_L]]/C_MOSFET_S_gFS_L_BO))/3.4 )</f>
        <v>2.3407483660130719</v>
      </c>
      <c r="BK208" s="145">
        <f>IF(VACnom&gt;Vbat, ((C_MOSFET_S_VTH_H_BU+Table7[[#This Row],[I_L]]/C_MOSFET_S_gFS_H_BU))/1, ((C_MOSFET_S_VTH_L_BO+Table7[[#This Row],[I_L]]/C_MOSFET_S_gFS_L_BO))/1 )</f>
        <v>2.0414555555555554</v>
      </c>
      <c r="BL208" s="145">
        <f>IF(VACnom&gt;Vbat, (C_MOSFET_S_QGD_H_BU+C_MOSFET_S_QGS_H_BU)*10^-9/Table7[[#This Row],[Ion (A) C]], (C_MOSFET_S_QGD_L_BO+C_MOSFET_S_QGS_L_BO)*10^-9/Table7[[#This Row],[Ion (A) C]])/10^-9</f>
        <v>2.7768896880920435</v>
      </c>
      <c r="BM208" s="145">
        <f>IF(VACnom&gt;Vbat, (C_MOSFET_S_QGD_H_BU+C_MOSFET_S_QGS_H_BU)*10^-9/Table7[[#This Row],[Ioff (A) C]], (C_MOSFET_S_QGD_L_BO+C_MOSFET_S_QGS_L_BO)*10^-9/Table7[[#This Row],[Ioff (A) C]])/10^-9</f>
        <v>3.1840026995988704</v>
      </c>
      <c r="BN208" s="145" t="e">
        <f xml:space="preserve"> 0.5*VACnom*Table7[[#This Row],[Ivalley (A) C]]*Table7[[#This Row],[ton (ns) C]]*10^-9*Fsw*10^3+0.5*VACnom*Table7[[#This Row],[Ipeak (A) C]]*Table7[[#This Row],[toff (ns) C]]*10^-9*Fsw*10^3/10^-3</f>
        <v>#NAME?</v>
      </c>
      <c r="BO208" s="145">
        <f t="shared" si="35"/>
        <v>259.2</v>
      </c>
      <c r="BP208" s="145" t="e">
        <f t="shared" ca="1" si="36"/>
        <v>#REF!</v>
      </c>
      <c r="BQ208" s="145">
        <f t="shared" si="37"/>
        <v>475.2</v>
      </c>
      <c r="BR208" s="145" t="e">
        <f>IF(VACnom&gt;Vbat, C_MOSFET_S_VSD_L_BU*Table7[[#This Row],[Ivalley (A) C]]*Fsw*10^3*40*10^-9+C_MOSFET_S_VSD_L_BU*Table7[[#This Row],[Ipeak (A) C]]*Fsw*10^3*30*10^-9, C_MOSFET_S_VSD_H_BO*Table7[[#This Row],[Ivalley (A) C]]*Fsw*10^3*40*10^-9+C_MOSFET_S_VSD_H_BO*Table7[[#This Row],[Ipeak (A) C]]*Fsw*10^3*30*10^-9)/10^-3</f>
        <v>#NAME?</v>
      </c>
      <c r="BS208" s="145" t="e">
        <f t="shared" ca="1" si="38"/>
        <v>#REF!</v>
      </c>
      <c r="BT208" s="145" t="e">
        <f>IF(VACnom&lt;Vbat, Table7[[#This Row],[Duty Cycle]]*Table7[[#This Row],[I_L RMS]]^2*C_MOSFET_S_RDSON_H_BU*10^-3, (1-Table7[[#This Row],[Duty Cycle]])*Table7[[#This Row],[I_L RMS]]^2*C_MOSFET_S_RDSON_H_BO*10^-3)/10^-3</f>
        <v>#NAME?</v>
      </c>
      <c r="BU208" s="145" t="e">
        <f ca="1">IF(VACnom&gt;Vbat, Table7[[#This Row],[PIV (mW) C]]+Table7[[#This Row],[PQoss (mW) C]]+Table7[[#This Row],[Pgate_top (mW) C]], Table7[[#This Row],[PRR (mW) C]]+Table7[[#This Row],[Pdead (mW) C]]+Table7[[#This Row],[Pgate_top (mW) C]])</f>
        <v>#NAME?</v>
      </c>
      <c r="BV208" s="145" t="e">
        <f ca="1">Table7[[#This Row],[Pcon_top (mW) C]]+Table7[[#This Row],[Psw_top (mW) C]]</f>
        <v>#NAME?</v>
      </c>
      <c r="BW208" s="145" t="e">
        <f ca="1">IF(VACnom&gt;Vbat, (1-Table7[[#This Row],[Duty Cycle]])*Table7[[#This Row],[I_L RMS]]^2*C_MOSFET_S_RDSON_L_BU*10^-3, Table7[[#This Row],[Duty Cycle]]*Table7[[#This Row],[I_L RMS]]^2*C_MOSFET_S_RDSON_L_BO*10^-3)/10^-3</f>
        <v>#NAME?</v>
      </c>
      <c r="BX208" s="145" t="e">
        <f ca="1">IF(VACnom&gt;Vbat, Table7[[#This Row],[PRR (mW) C]]+Table7[[#This Row],[Pdead (mW) C]]+Table7[[#This Row],[Pgate_bottom (mW) C]], Table7[[#This Row],[PIV (mW) C]]+Table7[[#This Row],[PQoss (mW) C]]+Table7[[#This Row],[Pgate_bottom (mW) C]])</f>
        <v>#NAME?</v>
      </c>
      <c r="BY208" s="145" t="e">
        <f ca="1">Table7[[#This Row],[Pcon_bottom (mW) C]]+Table7[[#This Row],[Psw_bottom (mV) C]]</f>
        <v>#NAME?</v>
      </c>
      <c r="BZ208" s="145" t="e">
        <f ca="1">Table7[[#This Row],[Pbottom (mW) C]]+Table7[[#This Row],[Ptop (mW) C]]</f>
        <v>#NAME?</v>
      </c>
      <c r="CA208" s="148"/>
      <c r="CB208" s="144">
        <f>(RAC_SNS*10^-3*(Table7[[#This Row],[IOUT (A)]]*Vbat/VACnom)^2/10^-3)</f>
        <v>193.33834722222227</v>
      </c>
      <c r="CC208" s="144">
        <f>(RBAT_SNS*10^-3*Table7[[#This Row],[IOUT (A)]]^2)/10^-3</f>
        <v>135.20000000000002</v>
      </c>
      <c r="CD208" s="144">
        <f>IF(VACnom&gt;Vbat,(L_DRC*10^-3*(Table7[[#This Row],[IOUT (A)]])^2/10^-3),(L_DRC*10^-3*(Table7[[#This Row],[IOUT (A)]]*Vbat/VACnom)^2/10^-3))</f>
        <v>131.4700761111111</v>
      </c>
      <c r="CE208" s="152"/>
      <c r="CF208" s="145">
        <f>(Table7[[#This Row],[R_AC (mW)]]+Table7[[#This Row],[R_SR (mW)]]+Table7[[#This Row],[Inductor Loss (mW)]])/10^3</f>
        <v>0.46000842333333336</v>
      </c>
      <c r="CG208" s="145" t="e">
        <f ca="1">Table7[[#This Row],[Total TI (mW)]]/10^3</f>
        <v>#NAME?</v>
      </c>
      <c r="CH208" s="145" t="e">
        <f ca="1">Table7[[#This Row],[Total Sense Loss]]+Table7[[#This Row],[Total MOSFET Loss]]</f>
        <v>#NAME?</v>
      </c>
      <c r="CI208" s="149" t="e">
        <f ca="1">IF(Table7[[#This Row],[POUT (W)]]=0,0,(Table7[[#This Row],[POUT (W)]])/(Table7[[#This Row],[POUT (W)]]+Table7[[#This Row],[Total Power Loss (W)]]))*100</f>
        <v>#NAME?</v>
      </c>
      <c r="CJ208" s="153"/>
      <c r="CK208" s="145">
        <f>(Table7[[#This Row],[R_AC (mW)]]+Table7[[#This Row],[R_SR (mW)]]+Table7[[#This Row],[Inductor Loss (mW)]])/10^3</f>
        <v>0.46000842333333336</v>
      </c>
      <c r="CL208" s="145" t="e">
        <f ca="1">Table7[[#This Row],[Total (mW) C]]/10^3</f>
        <v>#NAME?</v>
      </c>
      <c r="CM208" s="145" t="e">
        <f ca="1">Table7[[#This Row],[Total Sense Loss C]]+Table7[[#This Row],[Total MOSFET Loss C]]</f>
        <v>#NAME?</v>
      </c>
      <c r="CN208" s="149" t="e">
        <f ca="1">IF(Table7[[#This Row],[POUT (W)]]=0,0,(Table7[[#This Row],[POUT (W)]])/(Table7[[#This Row],[POUT (W)]]+Table7[[#This Row],[Total Power Loss (W) C]]))*100</f>
        <v>#NAME?</v>
      </c>
      <c r="CO208" s="153"/>
      <c r="CP208" s="149">
        <f>IF(MOSFET_S=Custom_MOSFET,Table7[[#This Row],[Total Sense Loss C]],Table7[[#This Row],[Total Sense Loss]])</f>
        <v>0.46000842333333336</v>
      </c>
      <c r="CQ208" s="149" t="e">
        <f ca="1">IF(MOSFET_S=Custom_MOSFET,Table7[[#This Row],[Total MOSFET Loss C]],Table7[[#This Row],[Total MOSFET Loss]])</f>
        <v>#NAME?</v>
      </c>
      <c r="CR208" s="149" t="e">
        <f ca="1">IF(MOSFET_S=Custom_MOSFET,Table7[[#This Row],[Efficiency C]],Table7[[#This Row],[Efficiency]])</f>
        <v>#NAME?</v>
      </c>
      <c r="CS208" s="153"/>
      <c r="CT208" s="149">
        <f>IF(MOSFET_S=Compare_MOSFET, Table7[[#This Row],[Total Sense Loss C]], -100)</f>
        <v>-100</v>
      </c>
      <c r="CU208" s="149">
        <f>IF(MOSFET_S=Compare_MOSFET, Table7[[#This Row],[Total MOSFET Loss C]], -100)</f>
        <v>-100</v>
      </c>
      <c r="CV208" s="149">
        <f>IF(MOSFET_S=Compare_MOSFET, Table7[[#This Row],[Efficiency C]], -100)</f>
        <v>-100</v>
      </c>
      <c r="CW208" s="153"/>
      <c r="CX208" s="149">
        <f ca="1">IF(Save_Sel=CLR_Save,  Table7[[#This Row],[Total Sense Loss P1]], Table7[[#This Row],[Total Sense Loss P1 Saved]])</f>
        <v>0.38574249999999993</v>
      </c>
      <c r="CY208" s="149">
        <f ca="1">IF(Save_Sel=CLR_Save,  Table7[[#This Row],[Total MOSFET Loss P1]], Table7[[#This Row],[Total MOSFET Loss P1 Saved]] )</f>
        <v>1.8890322498295833</v>
      </c>
      <c r="CZ208" s="149">
        <f ca="1">IF(Save_Sel=CLR_Save, Table7[[#This Row],[Efficiency P1]], Table7[[#This Row],[Efficiency P1 Saved]])</f>
        <v>93.204510659653764</v>
      </c>
      <c r="DA208" s="153"/>
      <c r="DB208" s="149">
        <f ca="1">IF(Save_Sel=CLR_Save,  Table7[[#This Row],[Total Sense Loss P2]], Table7[[#This Row],[Total Sense Loss P2 Saved]])</f>
        <v>0.38574249999999993</v>
      </c>
      <c r="DC208" s="149">
        <f ca="1">IF(Save_Sel=CLR_Save,  Table7[[#This Row],[Total MOSFET Loss P2]], Table7[[#This Row],[Total MOSFET Loss P2 Saved]] )</f>
        <v>1.2668543450955481</v>
      </c>
      <c r="DD208" s="149">
        <f ca="1">IF(Save_Sel=CLR_Save, Table7[[#This Row],[Efficiency P2]], Table7[[#This Row],[Efficiency P2 Saved]])</f>
        <v>94.969661445980165</v>
      </c>
      <c r="DE208" s="153"/>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row>
    <row r="209" spans="1:165" x14ac:dyDescent="0.2">
      <c r="A209" s="32"/>
      <c r="B209" s="49"/>
      <c r="C209" s="49"/>
      <c r="D209" s="32"/>
      <c r="E209" s="66"/>
      <c r="F209" s="66"/>
      <c r="G209" s="49"/>
      <c r="H209" s="29"/>
      <c r="I209" s="29"/>
      <c r="J209" s="29"/>
      <c r="K209" s="29"/>
      <c r="L209" s="29"/>
      <c r="M209" s="29"/>
      <c r="N209" s="29"/>
      <c r="O209" s="29"/>
      <c r="P209" s="29"/>
      <c r="Q209" s="29"/>
      <c r="R209" s="29"/>
      <c r="S209" s="30"/>
      <c r="T209" s="18"/>
      <c r="U209" s="19"/>
      <c r="V209" s="19"/>
      <c r="W209" s="19"/>
      <c r="X209" s="19"/>
      <c r="Y209" s="19"/>
      <c r="Z209" s="19"/>
      <c r="AA209" s="19"/>
      <c r="AB209" s="19"/>
      <c r="AC209" s="19"/>
      <c r="AD209" s="19"/>
      <c r="AE209" s="19"/>
      <c r="AF209" s="143">
        <f t="shared" si="17"/>
        <v>53</v>
      </c>
      <c r="AG209" s="143">
        <f t="shared" si="39"/>
        <v>5.3</v>
      </c>
      <c r="AH209" s="144">
        <f t="shared" si="28"/>
        <v>127.19999999999999</v>
      </c>
      <c r="AI209" s="145">
        <f t="shared" si="29"/>
        <v>0.16376306620209058</v>
      </c>
      <c r="AJ209" s="145">
        <f t="shared" si="30"/>
        <v>6.3379166666666666</v>
      </c>
      <c r="AK209" s="145" t="e">
        <f t="shared" si="26"/>
        <v>#NAME?</v>
      </c>
      <c r="AL209" s="145" t="e">
        <f t="shared" si="27"/>
        <v>#NAME?</v>
      </c>
      <c r="AM209" s="146"/>
      <c r="AN209" s="145" t="e">
        <f>MAX(0,Table7[[#This Row],[I_L]]-0.5*Table7[[#This Row],[I_L pkpk]])</f>
        <v>#NAME?</v>
      </c>
      <c r="AO209" s="145" t="e">
        <f>Table7[[#This Row],[I_L]]+0.5*Table7[[#This Row],[I_L pkpk]]</f>
        <v>#NAME?</v>
      </c>
      <c r="AP209" s="145" t="e">
        <f ca="1">IF(VACnom&gt;Vbat, (VGS_S-(TI_MOSFET_S_VTH_H_BU+Table7[[#This Row],[I_L]]/TI_MOSFET_S_gFS_H_BU))/3.4, (VGS_S-(TI_MOSFET_S_VTH_L_BO+Table7[[#This Row],[I_L]]/TI_MOSFET_S_gFS_L_BO))/3.4 )</f>
        <v>#REF!</v>
      </c>
      <c r="AQ209" s="145" t="e">
        <f ca="1">IF(VACnom&gt;Vbat, ((TI_MOSFET_S_VTH_H_BU+Table7[[#This Row],[I_L]]/TI_MOSFET_S_gFS_H_BU))/1, ((TI_MOSFET_S_VTH_L_BO+Table7[[#This Row],[I_L]]/TI_MOSFET_S_gFS_L_BO))/1 )</f>
        <v>#REF!</v>
      </c>
      <c r="AR209" s="145" t="e">
        <f ca="1">IF(VACnom&gt;Vbat, (TI_MOSFET_S_QGD_H_BU+TI_MOSFET_S_QGS_H_BU)*10^-9/Table7[[#This Row],[Ion (A)]], (TI_MOSFET_S_QGD_L_BO+TI_MOSFET_S_QGS_L_BO)*10^-9/Table7[[#This Row],[Ion (A)]])/10^-9</f>
        <v>#REF!</v>
      </c>
      <c r="AS209" s="145" t="e">
        <f ca="1">IF(VACnom&gt;Vbat, (TI_MOSFET_S_QGD_H_BU+TI_MOSFET_S_QGS_H_BU)*10^-9/Table7[[#This Row],[Ioff (A)]], (TI_MOSFET_S_QGD_L_BO+TI_MOSFET_S_QGS_L_BO)*10^-9/Table7[[#This Row],[Ioff (A)]])/10^-9</f>
        <v>#REF!</v>
      </c>
      <c r="AT209" s="145" t="e">
        <f ca="1" xml:space="preserve"> 0.5*VACnom*Table7[[#This Row],[Ivalley (A)]]*Table7[[#This Row],[ton (ns)]]*10^-9*Fsw*10^3+0.5*VACnom*Table7[[#This Row],[Ipeak (A)]]*Table7[[#This Row],[toff (ns)]]*10^-9*Fsw*10^3/10^-3</f>
        <v>#NAME?</v>
      </c>
      <c r="AU209" s="145" t="e">
        <f t="shared" ca="1" si="31"/>
        <v>#REF!</v>
      </c>
      <c r="AV209" s="145" t="e">
        <f t="shared" ca="1" si="32"/>
        <v>#REF!</v>
      </c>
      <c r="AW209" s="145" t="e">
        <f t="shared" ca="1" si="33"/>
        <v>#REF!</v>
      </c>
      <c r="AX209" s="145" t="e">
        <f ca="1">IF(VACnom&gt;Vbat, TI_MOSFET_S_VSD_L_BU*Table7[[#This Row],[Ivalley (A)]]*Fsw*10^3*40*10^-9+TI_MOSFET_S_VSD_L_BU*Table7[[#This Row],[Ipeak (A)]]*Fsw*10^3*30*10^-9, TI_MOSFET_S_VSD_H_BO*Table7[[#This Row],[Ivalley (A)]]*Fsw*10^3*40*10^-9+TI_MOSFET_S_VSD_H_BO*Table7[[#This Row],[Ipeak (A)]]*Fsw*10^3*30*10^-9)/10^-3</f>
        <v>#REF!</v>
      </c>
      <c r="AY209" s="145" t="e">
        <f t="shared" ca="1" si="34"/>
        <v>#REF!</v>
      </c>
      <c r="AZ209" s="145" t="e">
        <f ca="1">IF(VACnom&lt;Vbat, Table7[[#This Row],[Duty Cycle]]*Table7[[#This Row],[I_L RMS]]^2*TI_MOSFET_S_RDSON_H_BU*10^-3, (1-Table7[[#This Row],[Duty Cycle]])*Table7[[#This Row],[I_L RMS]]^2*TI_MOSFET_S_RDSON_H_BO*10^-3)/10^-3</f>
        <v>#NAME?</v>
      </c>
      <c r="BA209" s="145" t="e">
        <f ca="1">IF(VACnom&gt;Vbat, Table7[[#This Row],[PIV (mW)]]+Table7[[#This Row],[Pqoss (mW)]]+Table7[[#This Row],[Pgate_top (mW)]], Table7[[#This Row],[PRR (mW)]]+Table7[[#This Row],[Pdead (mW)]]+Table7[[#This Row],[Pgate_top (mW)]])</f>
        <v>#REF!</v>
      </c>
      <c r="BB209" s="145" t="e">
        <f ca="1">Table7[[#This Row],[Pcon_top (mW)]]+Table7[[#This Row],[Psw_top (mW)]]</f>
        <v>#NAME?</v>
      </c>
      <c r="BC209" s="145" t="e">
        <f ca="1">IF(VACnom&gt;Vbat, (1-Table7[[#This Row],[Duty Cycle]])*Table7[[#This Row],[I_L RMS]]^2*TI_MOSFET_S_RDSON_L_BU*10^-3, Table7[[#This Row],[Duty Cycle]]*Table7[[#This Row],[I_L RMS]]^2*TI_MOSFET_S_RDSON_L_BO*10^-3)/10^-3</f>
        <v>#NAME?</v>
      </c>
      <c r="BD209" s="145" t="e">
        <f ca="1">IF(VACnom&gt;Vbat, Table7[[#This Row],[PRR (mW)]]+Table7[[#This Row],[Pdead (mW)]]+Table7[[#This Row],[Pgate_bottom (mW)]], Table7[[#This Row],[PIV (mW)]]+Table7[[#This Row],[Pqoss (mW)]]+Table7[[#This Row],[Pgate_bottom (mW)]])</f>
        <v>#NAME?</v>
      </c>
      <c r="BE209" s="147" t="e">
        <f ca="1">Table7[[#This Row],[Pcon_bottom (mW)]]+Table7[[#This Row],[Psw_bottom (mW)]]</f>
        <v>#NAME?</v>
      </c>
      <c r="BF209" s="145" t="e">
        <f ca="1">Table7[[#This Row],[Pbottom (mW)]]+Table7[[#This Row],[Ptop (mW)]]</f>
        <v>#NAME?</v>
      </c>
      <c r="BG209" s="142"/>
      <c r="BH209" s="145" t="e">
        <f>MAX(0,Table7[[#This Row],[I_L]]-0.5*Table7[[#This Row],[I_L pkpk]])</f>
        <v>#NAME?</v>
      </c>
      <c r="BI209" s="145" t="e">
        <f>Table7[[#This Row],[I_L]]+0.5*Table7[[#This Row],[I_L pkpk]]</f>
        <v>#NAME?</v>
      </c>
      <c r="BJ209" s="145">
        <f>IF(VACnom&gt;Vbat, (VGS_S-(C_MOSFET_S_VTH_H_BU+Table7[[#This Row],[I_L]]/C_MOSFET_S_gFS_H_BU))/3.4, (VGS_S-(C_MOSFET_S_VTH_L_BO+Table7[[#This Row],[I_L]]/C_MOSFET_S_gFS_L_BO))/3.4 )</f>
        <v>2.3405138888888888</v>
      </c>
      <c r="BK209" s="145">
        <f>IF(VACnom&gt;Vbat, ((C_MOSFET_S_VTH_H_BU+Table7[[#This Row],[I_L]]/C_MOSFET_S_gFS_H_BU))/1, ((C_MOSFET_S_VTH_L_BO+Table7[[#This Row],[I_L]]/C_MOSFET_S_gFS_L_BO))/1 )</f>
        <v>2.0422527777777777</v>
      </c>
      <c r="BL209" s="145">
        <f>IF(VACnom&gt;Vbat, (C_MOSFET_S_QGD_H_BU+C_MOSFET_S_QGS_H_BU)*10^-9/Table7[[#This Row],[Ion (A) C]], (C_MOSFET_S_QGD_L_BO+C_MOSFET_S_QGS_L_BO)*10^-9/Table7[[#This Row],[Ion (A) C]])/10^-9</f>
        <v>2.7771678821721251</v>
      </c>
      <c r="BM209" s="145">
        <f>IF(VACnom&gt;Vbat, (C_MOSFET_S_QGD_H_BU+C_MOSFET_S_QGS_H_BU)*10^-9/Table7[[#This Row],[Ioff (A) C]], (C_MOSFET_S_QGD_L_BO+C_MOSFET_S_QGS_L_BO)*10^-9/Table7[[#This Row],[Ioff (A) C]])/10^-9</f>
        <v>3.182759779165437</v>
      </c>
      <c r="BN209" s="145" t="e">
        <f xml:space="preserve"> 0.5*VACnom*Table7[[#This Row],[Ivalley (A) C]]*Table7[[#This Row],[ton (ns) C]]*10^-9*Fsw*10^3+0.5*VACnom*Table7[[#This Row],[Ipeak (A) C]]*Table7[[#This Row],[toff (ns) C]]*10^-9*Fsw*10^3/10^-3</f>
        <v>#NAME?</v>
      </c>
      <c r="BO209" s="145">
        <f t="shared" si="35"/>
        <v>259.2</v>
      </c>
      <c r="BP209" s="145" t="e">
        <f t="shared" ca="1" si="36"/>
        <v>#REF!</v>
      </c>
      <c r="BQ209" s="145">
        <f t="shared" si="37"/>
        <v>475.2</v>
      </c>
      <c r="BR209" s="145" t="e">
        <f>IF(VACnom&gt;Vbat, C_MOSFET_S_VSD_L_BU*Table7[[#This Row],[Ivalley (A) C]]*Fsw*10^3*40*10^-9+C_MOSFET_S_VSD_L_BU*Table7[[#This Row],[Ipeak (A) C]]*Fsw*10^3*30*10^-9, C_MOSFET_S_VSD_H_BO*Table7[[#This Row],[Ivalley (A) C]]*Fsw*10^3*40*10^-9+C_MOSFET_S_VSD_H_BO*Table7[[#This Row],[Ipeak (A) C]]*Fsw*10^3*30*10^-9)/10^-3</f>
        <v>#NAME?</v>
      </c>
      <c r="BS209" s="145" t="e">
        <f t="shared" ca="1" si="38"/>
        <v>#REF!</v>
      </c>
      <c r="BT209" s="145" t="e">
        <f>IF(VACnom&lt;Vbat, Table7[[#This Row],[Duty Cycle]]*Table7[[#This Row],[I_L RMS]]^2*C_MOSFET_S_RDSON_H_BU*10^-3, (1-Table7[[#This Row],[Duty Cycle]])*Table7[[#This Row],[I_L RMS]]^2*C_MOSFET_S_RDSON_H_BO*10^-3)/10^-3</f>
        <v>#NAME?</v>
      </c>
      <c r="BU209" s="145" t="e">
        <f ca="1">IF(VACnom&gt;Vbat, Table7[[#This Row],[PIV (mW) C]]+Table7[[#This Row],[PQoss (mW) C]]+Table7[[#This Row],[Pgate_top (mW) C]], Table7[[#This Row],[PRR (mW) C]]+Table7[[#This Row],[Pdead (mW) C]]+Table7[[#This Row],[Pgate_top (mW) C]])</f>
        <v>#NAME?</v>
      </c>
      <c r="BV209" s="145" t="e">
        <f ca="1">Table7[[#This Row],[Pcon_top (mW) C]]+Table7[[#This Row],[Psw_top (mW) C]]</f>
        <v>#NAME?</v>
      </c>
      <c r="BW209" s="145" t="e">
        <f ca="1">IF(VACnom&gt;Vbat, (1-Table7[[#This Row],[Duty Cycle]])*Table7[[#This Row],[I_L RMS]]^2*C_MOSFET_S_RDSON_L_BU*10^-3, Table7[[#This Row],[Duty Cycle]]*Table7[[#This Row],[I_L RMS]]^2*C_MOSFET_S_RDSON_L_BO*10^-3)/10^-3</f>
        <v>#NAME?</v>
      </c>
      <c r="BX209" s="145" t="e">
        <f ca="1">IF(VACnom&gt;Vbat, Table7[[#This Row],[PRR (mW) C]]+Table7[[#This Row],[Pdead (mW) C]]+Table7[[#This Row],[Pgate_bottom (mW) C]], Table7[[#This Row],[PIV (mW) C]]+Table7[[#This Row],[PQoss (mW) C]]+Table7[[#This Row],[Pgate_bottom (mW) C]])</f>
        <v>#NAME?</v>
      </c>
      <c r="BY209" s="145" t="e">
        <f ca="1">Table7[[#This Row],[Pcon_bottom (mW) C]]+Table7[[#This Row],[Psw_bottom (mV) C]]</f>
        <v>#NAME?</v>
      </c>
      <c r="BZ209" s="145" t="e">
        <f ca="1">Table7[[#This Row],[Pbottom (mW) C]]+Table7[[#This Row],[Ptop (mW) C]]</f>
        <v>#NAME?</v>
      </c>
      <c r="CA209" s="148"/>
      <c r="CB209" s="144">
        <f>(RAC_SNS*10^-3*(Table7[[#This Row],[IOUT (A)]]*Vbat/VACnom)^2/10^-3)</f>
        <v>200.8459383680555</v>
      </c>
      <c r="CC209" s="144">
        <f>(RBAT_SNS*10^-3*Table7[[#This Row],[IOUT (A)]]^2)/10^-3</f>
        <v>140.44999999999999</v>
      </c>
      <c r="CD209" s="144">
        <f>IF(VACnom&gt;Vbat,(L_DRC*10^-3*(Table7[[#This Row],[IOUT (A)]])^2/10^-3),(L_DRC*10^-3*(Table7[[#This Row],[IOUT (A)]]*Vbat/VACnom)^2/10^-3))</f>
        <v>136.57523809027771</v>
      </c>
      <c r="CE209" s="152"/>
      <c r="CF209" s="145">
        <f>(Table7[[#This Row],[R_AC (mW)]]+Table7[[#This Row],[R_SR (mW)]]+Table7[[#This Row],[Inductor Loss (mW)]])/10^3</f>
        <v>0.47787117645833321</v>
      </c>
      <c r="CG209" s="145" t="e">
        <f ca="1">Table7[[#This Row],[Total TI (mW)]]/10^3</f>
        <v>#NAME?</v>
      </c>
      <c r="CH209" s="145" t="e">
        <f ca="1">Table7[[#This Row],[Total Sense Loss]]+Table7[[#This Row],[Total MOSFET Loss]]</f>
        <v>#NAME?</v>
      </c>
      <c r="CI209" s="149" t="e">
        <f ca="1">IF(Table7[[#This Row],[POUT (W)]]=0,0,(Table7[[#This Row],[POUT (W)]])/(Table7[[#This Row],[POUT (W)]]+Table7[[#This Row],[Total Power Loss (W)]]))*100</f>
        <v>#NAME?</v>
      </c>
      <c r="CJ209" s="153"/>
      <c r="CK209" s="145">
        <f>(Table7[[#This Row],[R_AC (mW)]]+Table7[[#This Row],[R_SR (mW)]]+Table7[[#This Row],[Inductor Loss (mW)]])/10^3</f>
        <v>0.47787117645833321</v>
      </c>
      <c r="CL209" s="145" t="e">
        <f ca="1">Table7[[#This Row],[Total (mW) C]]/10^3</f>
        <v>#NAME?</v>
      </c>
      <c r="CM209" s="145" t="e">
        <f ca="1">Table7[[#This Row],[Total Sense Loss C]]+Table7[[#This Row],[Total MOSFET Loss C]]</f>
        <v>#NAME?</v>
      </c>
      <c r="CN209" s="149" t="e">
        <f ca="1">IF(Table7[[#This Row],[POUT (W)]]=0,0,(Table7[[#This Row],[POUT (W)]])/(Table7[[#This Row],[POUT (W)]]+Table7[[#This Row],[Total Power Loss (W) C]]))*100</f>
        <v>#NAME?</v>
      </c>
      <c r="CO209" s="153"/>
      <c r="CP209" s="149">
        <f>IF(MOSFET_S=Custom_MOSFET,Table7[[#This Row],[Total Sense Loss C]],Table7[[#This Row],[Total Sense Loss]])</f>
        <v>0.47787117645833321</v>
      </c>
      <c r="CQ209" s="149" t="e">
        <f ca="1">IF(MOSFET_S=Custom_MOSFET,Table7[[#This Row],[Total MOSFET Loss C]],Table7[[#This Row],[Total MOSFET Loss]])</f>
        <v>#NAME?</v>
      </c>
      <c r="CR209" s="149" t="e">
        <f ca="1">IF(MOSFET_S=Custom_MOSFET,Table7[[#This Row],[Efficiency C]],Table7[[#This Row],[Efficiency]])</f>
        <v>#NAME?</v>
      </c>
      <c r="CS209" s="153"/>
      <c r="CT209" s="149">
        <f>IF(MOSFET_S=Compare_MOSFET, Table7[[#This Row],[Total Sense Loss C]], -100)</f>
        <v>-100</v>
      </c>
      <c r="CU209" s="149">
        <f>IF(MOSFET_S=Compare_MOSFET, Table7[[#This Row],[Total MOSFET Loss C]], -100)</f>
        <v>-100</v>
      </c>
      <c r="CV209" s="149">
        <f>IF(MOSFET_S=Compare_MOSFET, Table7[[#This Row],[Efficiency C]], -100)</f>
        <v>-100</v>
      </c>
      <c r="CW209" s="153"/>
      <c r="CX209" s="149">
        <f ca="1">IF(Save_Sel=CLR_Save,  Table7[[#This Row],[Total Sense Loss P1]], Table7[[#This Row],[Total Sense Loss P1 Saved]])</f>
        <v>0.40072140625000002</v>
      </c>
      <c r="CY209" s="149">
        <f ca="1">IF(Save_Sel=CLR_Save,  Table7[[#This Row],[Total MOSFET Loss P1]], Table7[[#This Row],[Total MOSFET Loss P1 Saved]] )</f>
        <v>1.8991073559031022</v>
      </c>
      <c r="CZ209" s="149">
        <f ca="1">IF(Save_Sel=CLR_Save, Table7[[#This Row],[Efficiency P1]], Table7[[#This Row],[Efficiency P1 Saved]])</f>
        <v>93.255600260651022</v>
      </c>
      <c r="DA209" s="153"/>
      <c r="DB209" s="149">
        <f ca="1">IF(Save_Sel=CLR_Save,  Table7[[#This Row],[Total Sense Loss P2]], Table7[[#This Row],[Total Sense Loss P2 Saved]])</f>
        <v>0.40072140625000002</v>
      </c>
      <c r="DC209" s="149">
        <f ca="1">IF(Save_Sel=CLR_Save,  Table7[[#This Row],[Total MOSFET Loss P2]], Table7[[#This Row],[Total MOSFET Loss P2 Saved]] )</f>
        <v>1.2749749352739264</v>
      </c>
      <c r="DD209" s="149">
        <f ca="1">IF(Save_Sel=CLR_Save, Table7[[#This Row],[Efficiency P2]], Table7[[#This Row],[Efficiency P2 Saved]])</f>
        <v>94.994289814233511</v>
      </c>
      <c r="DE209" s="153"/>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row>
    <row r="210" spans="1:165" x14ac:dyDescent="0.2">
      <c r="A210" s="32"/>
      <c r="B210" s="49"/>
      <c r="C210" s="49"/>
      <c r="D210" s="32"/>
      <c r="E210" s="66"/>
      <c r="F210" s="66"/>
      <c r="G210" s="49"/>
      <c r="H210" s="29"/>
      <c r="I210" s="29"/>
      <c r="J210" s="29"/>
      <c r="K210" s="29"/>
      <c r="L210" s="29"/>
      <c r="M210" s="29"/>
      <c r="N210" s="29"/>
      <c r="O210" s="29"/>
      <c r="P210" s="29"/>
      <c r="Q210" s="29"/>
      <c r="R210" s="29"/>
      <c r="S210" s="30"/>
      <c r="T210" s="18"/>
      <c r="U210" s="19"/>
      <c r="V210" s="19"/>
      <c r="W210" s="19"/>
      <c r="X210" s="19"/>
      <c r="Y210" s="19"/>
      <c r="Z210" s="19"/>
      <c r="AA210" s="19"/>
      <c r="AB210" s="19"/>
      <c r="AC210" s="19"/>
      <c r="AD210" s="19"/>
      <c r="AE210" s="19"/>
      <c r="AF210" s="143">
        <f t="shared" si="17"/>
        <v>54</v>
      </c>
      <c r="AG210" s="143">
        <f t="shared" si="39"/>
        <v>5.4</v>
      </c>
      <c r="AH210" s="144">
        <f t="shared" si="28"/>
        <v>129.60000000000002</v>
      </c>
      <c r="AI210" s="145">
        <f t="shared" si="29"/>
        <v>0.16376306620209058</v>
      </c>
      <c r="AJ210" s="145">
        <f t="shared" si="30"/>
        <v>6.4575000000000005</v>
      </c>
      <c r="AK210" s="145" t="e">
        <f t="shared" si="26"/>
        <v>#NAME?</v>
      </c>
      <c r="AL210" s="145" t="e">
        <f t="shared" si="27"/>
        <v>#NAME?</v>
      </c>
      <c r="AM210" s="146"/>
      <c r="AN210" s="145" t="e">
        <f>MAX(0,Table7[[#This Row],[I_L]]-0.5*Table7[[#This Row],[I_L pkpk]])</f>
        <v>#NAME?</v>
      </c>
      <c r="AO210" s="145" t="e">
        <f>Table7[[#This Row],[I_L]]+0.5*Table7[[#This Row],[I_L pkpk]]</f>
        <v>#NAME?</v>
      </c>
      <c r="AP210" s="145" t="e">
        <f ca="1">IF(VACnom&gt;Vbat, (VGS_S-(TI_MOSFET_S_VTH_H_BU+Table7[[#This Row],[I_L]]/TI_MOSFET_S_gFS_H_BU))/3.4, (VGS_S-(TI_MOSFET_S_VTH_L_BO+Table7[[#This Row],[I_L]]/TI_MOSFET_S_gFS_L_BO))/3.4 )</f>
        <v>#REF!</v>
      </c>
      <c r="AQ210" s="145" t="e">
        <f ca="1">IF(VACnom&gt;Vbat, ((TI_MOSFET_S_VTH_H_BU+Table7[[#This Row],[I_L]]/TI_MOSFET_S_gFS_H_BU))/1, ((TI_MOSFET_S_VTH_L_BO+Table7[[#This Row],[I_L]]/TI_MOSFET_S_gFS_L_BO))/1 )</f>
        <v>#REF!</v>
      </c>
      <c r="AR210" s="145" t="e">
        <f ca="1">IF(VACnom&gt;Vbat, (TI_MOSFET_S_QGD_H_BU+TI_MOSFET_S_QGS_H_BU)*10^-9/Table7[[#This Row],[Ion (A)]], (TI_MOSFET_S_QGD_L_BO+TI_MOSFET_S_QGS_L_BO)*10^-9/Table7[[#This Row],[Ion (A)]])/10^-9</f>
        <v>#REF!</v>
      </c>
      <c r="AS210" s="145" t="e">
        <f ca="1">IF(VACnom&gt;Vbat, (TI_MOSFET_S_QGD_H_BU+TI_MOSFET_S_QGS_H_BU)*10^-9/Table7[[#This Row],[Ioff (A)]], (TI_MOSFET_S_QGD_L_BO+TI_MOSFET_S_QGS_L_BO)*10^-9/Table7[[#This Row],[Ioff (A)]])/10^-9</f>
        <v>#REF!</v>
      </c>
      <c r="AT210" s="145" t="e">
        <f ca="1" xml:space="preserve"> 0.5*VACnom*Table7[[#This Row],[Ivalley (A)]]*Table7[[#This Row],[ton (ns)]]*10^-9*Fsw*10^3+0.5*VACnom*Table7[[#This Row],[Ipeak (A)]]*Table7[[#This Row],[toff (ns)]]*10^-9*Fsw*10^3/10^-3</f>
        <v>#NAME?</v>
      </c>
      <c r="AU210" s="145" t="e">
        <f t="shared" ca="1" si="31"/>
        <v>#REF!</v>
      </c>
      <c r="AV210" s="145" t="e">
        <f t="shared" ca="1" si="32"/>
        <v>#REF!</v>
      </c>
      <c r="AW210" s="145" t="e">
        <f t="shared" ca="1" si="33"/>
        <v>#REF!</v>
      </c>
      <c r="AX210" s="145" t="e">
        <f ca="1">IF(VACnom&gt;Vbat, TI_MOSFET_S_VSD_L_BU*Table7[[#This Row],[Ivalley (A)]]*Fsw*10^3*40*10^-9+TI_MOSFET_S_VSD_L_BU*Table7[[#This Row],[Ipeak (A)]]*Fsw*10^3*30*10^-9, TI_MOSFET_S_VSD_H_BO*Table7[[#This Row],[Ivalley (A)]]*Fsw*10^3*40*10^-9+TI_MOSFET_S_VSD_H_BO*Table7[[#This Row],[Ipeak (A)]]*Fsw*10^3*30*10^-9)/10^-3</f>
        <v>#REF!</v>
      </c>
      <c r="AY210" s="145" t="e">
        <f t="shared" ca="1" si="34"/>
        <v>#REF!</v>
      </c>
      <c r="AZ210" s="145" t="e">
        <f ca="1">IF(VACnom&lt;Vbat, Table7[[#This Row],[Duty Cycle]]*Table7[[#This Row],[I_L RMS]]^2*TI_MOSFET_S_RDSON_H_BU*10^-3, (1-Table7[[#This Row],[Duty Cycle]])*Table7[[#This Row],[I_L RMS]]^2*TI_MOSFET_S_RDSON_H_BO*10^-3)/10^-3</f>
        <v>#NAME?</v>
      </c>
      <c r="BA210" s="145" t="e">
        <f ca="1">IF(VACnom&gt;Vbat, Table7[[#This Row],[PIV (mW)]]+Table7[[#This Row],[Pqoss (mW)]]+Table7[[#This Row],[Pgate_top (mW)]], Table7[[#This Row],[PRR (mW)]]+Table7[[#This Row],[Pdead (mW)]]+Table7[[#This Row],[Pgate_top (mW)]])</f>
        <v>#REF!</v>
      </c>
      <c r="BB210" s="145" t="e">
        <f ca="1">Table7[[#This Row],[Pcon_top (mW)]]+Table7[[#This Row],[Psw_top (mW)]]</f>
        <v>#NAME?</v>
      </c>
      <c r="BC210" s="145" t="e">
        <f ca="1">IF(VACnom&gt;Vbat, (1-Table7[[#This Row],[Duty Cycle]])*Table7[[#This Row],[I_L RMS]]^2*TI_MOSFET_S_RDSON_L_BU*10^-3, Table7[[#This Row],[Duty Cycle]]*Table7[[#This Row],[I_L RMS]]^2*TI_MOSFET_S_RDSON_L_BO*10^-3)/10^-3</f>
        <v>#NAME?</v>
      </c>
      <c r="BD210" s="145" t="e">
        <f ca="1">IF(VACnom&gt;Vbat, Table7[[#This Row],[PRR (mW)]]+Table7[[#This Row],[Pdead (mW)]]+Table7[[#This Row],[Pgate_bottom (mW)]], Table7[[#This Row],[PIV (mW)]]+Table7[[#This Row],[Pqoss (mW)]]+Table7[[#This Row],[Pgate_bottom (mW)]])</f>
        <v>#NAME?</v>
      </c>
      <c r="BE210" s="147" t="e">
        <f ca="1">Table7[[#This Row],[Pcon_bottom (mW)]]+Table7[[#This Row],[Psw_bottom (mW)]]</f>
        <v>#NAME?</v>
      </c>
      <c r="BF210" s="145" t="e">
        <f ca="1">Table7[[#This Row],[Pbottom (mW)]]+Table7[[#This Row],[Ptop (mW)]]</f>
        <v>#NAME?</v>
      </c>
      <c r="BG210" s="142"/>
      <c r="BH210" s="145" t="e">
        <f>MAX(0,Table7[[#This Row],[I_L]]-0.5*Table7[[#This Row],[I_L pkpk]])</f>
        <v>#NAME?</v>
      </c>
      <c r="BI210" s="145" t="e">
        <f>Table7[[#This Row],[I_L]]+0.5*Table7[[#This Row],[I_L pkpk]]</f>
        <v>#NAME?</v>
      </c>
      <c r="BJ210" s="145">
        <f>IF(VACnom&gt;Vbat, (VGS_S-(C_MOSFET_S_VTH_H_BU+Table7[[#This Row],[I_L]]/C_MOSFET_S_gFS_H_BU))/3.4, (VGS_S-(C_MOSFET_S_VTH_L_BO+Table7[[#This Row],[I_L]]/C_MOSFET_S_gFS_L_BO))/3.4 )</f>
        <v>2.3402794117647061</v>
      </c>
      <c r="BK210" s="145">
        <f>IF(VACnom&gt;Vbat, ((C_MOSFET_S_VTH_H_BU+Table7[[#This Row],[I_L]]/C_MOSFET_S_gFS_H_BU))/1, ((C_MOSFET_S_VTH_L_BO+Table7[[#This Row],[I_L]]/C_MOSFET_S_gFS_L_BO))/1 )</f>
        <v>2.04305</v>
      </c>
      <c r="BL210" s="145">
        <f>IF(VACnom&gt;Vbat, (C_MOSFET_S_QGD_H_BU+C_MOSFET_S_QGS_H_BU)*10^-9/Table7[[#This Row],[Ion (A) C]], (C_MOSFET_S_QGD_L_BO+C_MOSFET_S_QGS_L_BO)*10^-9/Table7[[#This Row],[Ion (A) C]])/10^-9</f>
        <v>2.7774461319978125</v>
      </c>
      <c r="BM210" s="145">
        <f>IF(VACnom&gt;Vbat, (C_MOSFET_S_QGD_H_BU+C_MOSFET_S_QGS_H_BU)*10^-9/Table7[[#This Row],[Ioff (A) C]], (C_MOSFET_S_QGD_L_BO+C_MOSFET_S_QGS_L_BO)*10^-9/Table7[[#This Row],[Ioff (A) C]])/10^-9</f>
        <v>3.1815178287364478</v>
      </c>
      <c r="BN210" s="145" t="e">
        <f xml:space="preserve"> 0.5*VACnom*Table7[[#This Row],[Ivalley (A) C]]*Table7[[#This Row],[ton (ns) C]]*10^-9*Fsw*10^3+0.5*VACnom*Table7[[#This Row],[Ipeak (A) C]]*Table7[[#This Row],[toff (ns) C]]*10^-9*Fsw*10^3/10^-3</f>
        <v>#NAME?</v>
      </c>
      <c r="BO210" s="145">
        <f t="shared" si="35"/>
        <v>259.2</v>
      </c>
      <c r="BP210" s="145" t="e">
        <f t="shared" ca="1" si="36"/>
        <v>#REF!</v>
      </c>
      <c r="BQ210" s="145">
        <f t="shared" si="37"/>
        <v>475.2</v>
      </c>
      <c r="BR210" s="145" t="e">
        <f>IF(VACnom&gt;Vbat, C_MOSFET_S_VSD_L_BU*Table7[[#This Row],[Ivalley (A) C]]*Fsw*10^3*40*10^-9+C_MOSFET_S_VSD_L_BU*Table7[[#This Row],[Ipeak (A) C]]*Fsw*10^3*30*10^-9, C_MOSFET_S_VSD_H_BO*Table7[[#This Row],[Ivalley (A) C]]*Fsw*10^3*40*10^-9+C_MOSFET_S_VSD_H_BO*Table7[[#This Row],[Ipeak (A) C]]*Fsw*10^3*30*10^-9)/10^-3</f>
        <v>#NAME?</v>
      </c>
      <c r="BS210" s="145" t="e">
        <f t="shared" ca="1" si="38"/>
        <v>#REF!</v>
      </c>
      <c r="BT210" s="145" t="e">
        <f>IF(VACnom&lt;Vbat, Table7[[#This Row],[Duty Cycle]]*Table7[[#This Row],[I_L RMS]]^2*C_MOSFET_S_RDSON_H_BU*10^-3, (1-Table7[[#This Row],[Duty Cycle]])*Table7[[#This Row],[I_L RMS]]^2*C_MOSFET_S_RDSON_H_BO*10^-3)/10^-3</f>
        <v>#NAME?</v>
      </c>
      <c r="BU210" s="145" t="e">
        <f ca="1">IF(VACnom&gt;Vbat, Table7[[#This Row],[PIV (mW) C]]+Table7[[#This Row],[PQoss (mW) C]]+Table7[[#This Row],[Pgate_top (mW) C]], Table7[[#This Row],[PRR (mW) C]]+Table7[[#This Row],[Pdead (mW) C]]+Table7[[#This Row],[Pgate_top (mW) C]])</f>
        <v>#NAME?</v>
      </c>
      <c r="BV210" s="145" t="e">
        <f ca="1">Table7[[#This Row],[Pcon_top (mW) C]]+Table7[[#This Row],[Psw_top (mW) C]]</f>
        <v>#NAME?</v>
      </c>
      <c r="BW210" s="145" t="e">
        <f ca="1">IF(VACnom&gt;Vbat, (1-Table7[[#This Row],[Duty Cycle]])*Table7[[#This Row],[I_L RMS]]^2*C_MOSFET_S_RDSON_L_BU*10^-3, Table7[[#This Row],[Duty Cycle]]*Table7[[#This Row],[I_L RMS]]^2*C_MOSFET_S_RDSON_L_BO*10^-3)/10^-3</f>
        <v>#NAME?</v>
      </c>
      <c r="BX210" s="145" t="e">
        <f ca="1">IF(VACnom&gt;Vbat, Table7[[#This Row],[PRR (mW) C]]+Table7[[#This Row],[Pdead (mW) C]]+Table7[[#This Row],[Pgate_bottom (mW) C]], Table7[[#This Row],[PIV (mW) C]]+Table7[[#This Row],[PQoss (mW) C]]+Table7[[#This Row],[Pgate_bottom (mW) C]])</f>
        <v>#NAME?</v>
      </c>
      <c r="BY210" s="145" t="e">
        <f ca="1">Table7[[#This Row],[Pcon_bottom (mW) C]]+Table7[[#This Row],[Psw_bottom (mV) C]]</f>
        <v>#NAME?</v>
      </c>
      <c r="BZ210" s="145" t="e">
        <f ca="1">Table7[[#This Row],[Pbottom (mW) C]]+Table7[[#This Row],[Ptop (mW) C]]</f>
        <v>#NAME?</v>
      </c>
      <c r="CA210" s="148"/>
      <c r="CB210" s="144">
        <f>(RAC_SNS*10^-3*(Table7[[#This Row],[IOUT (A)]]*Vbat/VACnom)^2/10^-3)</f>
        <v>208.49653125000003</v>
      </c>
      <c r="CC210" s="144">
        <f>(RBAT_SNS*10^-3*Table7[[#This Row],[IOUT (A)]]^2)/10^-3</f>
        <v>145.80000000000001</v>
      </c>
      <c r="CD210" s="144">
        <f>IF(VACnom&gt;Vbat,(L_DRC*10^-3*(Table7[[#This Row],[IOUT (A)]])^2/10^-3),(L_DRC*10^-3*(Table7[[#This Row],[IOUT (A)]]*Vbat/VACnom)^2/10^-3))</f>
        <v>141.77764124999999</v>
      </c>
      <c r="CE210" s="152"/>
      <c r="CF210" s="145">
        <f>(Table7[[#This Row],[R_AC (mW)]]+Table7[[#This Row],[R_SR (mW)]]+Table7[[#This Row],[Inductor Loss (mW)]])/10^3</f>
        <v>0.49607417250000002</v>
      </c>
      <c r="CG210" s="145" t="e">
        <f ca="1">Table7[[#This Row],[Total TI (mW)]]/10^3</f>
        <v>#NAME?</v>
      </c>
      <c r="CH210" s="145" t="e">
        <f ca="1">Table7[[#This Row],[Total Sense Loss]]+Table7[[#This Row],[Total MOSFET Loss]]</f>
        <v>#NAME?</v>
      </c>
      <c r="CI210" s="149" t="e">
        <f ca="1">IF(Table7[[#This Row],[POUT (W)]]=0,0,(Table7[[#This Row],[POUT (W)]])/(Table7[[#This Row],[POUT (W)]]+Table7[[#This Row],[Total Power Loss (W)]]))*100</f>
        <v>#NAME?</v>
      </c>
      <c r="CJ210" s="153"/>
      <c r="CK210" s="145">
        <f>(Table7[[#This Row],[R_AC (mW)]]+Table7[[#This Row],[R_SR (mW)]]+Table7[[#This Row],[Inductor Loss (mW)]])/10^3</f>
        <v>0.49607417250000002</v>
      </c>
      <c r="CL210" s="145" t="e">
        <f ca="1">Table7[[#This Row],[Total (mW) C]]/10^3</f>
        <v>#NAME?</v>
      </c>
      <c r="CM210" s="145" t="e">
        <f ca="1">Table7[[#This Row],[Total Sense Loss C]]+Table7[[#This Row],[Total MOSFET Loss C]]</f>
        <v>#NAME?</v>
      </c>
      <c r="CN210" s="149" t="e">
        <f ca="1">IF(Table7[[#This Row],[POUT (W)]]=0,0,(Table7[[#This Row],[POUT (W)]])/(Table7[[#This Row],[POUT (W)]]+Table7[[#This Row],[Total Power Loss (W) C]]))*100</f>
        <v>#NAME?</v>
      </c>
      <c r="CO210" s="153"/>
      <c r="CP210" s="149">
        <f>IF(MOSFET_S=Custom_MOSFET,Table7[[#This Row],[Total Sense Loss C]],Table7[[#This Row],[Total Sense Loss]])</f>
        <v>0.49607417250000002</v>
      </c>
      <c r="CQ210" s="149" t="e">
        <f ca="1">IF(MOSFET_S=Custom_MOSFET,Table7[[#This Row],[Total MOSFET Loss C]],Table7[[#This Row],[Total MOSFET Loss]])</f>
        <v>#NAME?</v>
      </c>
      <c r="CR210" s="149" t="e">
        <f ca="1">IF(MOSFET_S=Custom_MOSFET,Table7[[#This Row],[Efficiency C]],Table7[[#This Row],[Efficiency]])</f>
        <v>#NAME?</v>
      </c>
      <c r="CS210" s="153"/>
      <c r="CT210" s="149">
        <f>IF(MOSFET_S=Compare_MOSFET, Table7[[#This Row],[Total Sense Loss C]], -100)</f>
        <v>-100</v>
      </c>
      <c r="CU210" s="149">
        <f>IF(MOSFET_S=Compare_MOSFET, Table7[[#This Row],[Total MOSFET Loss C]], -100)</f>
        <v>-100</v>
      </c>
      <c r="CV210" s="149">
        <f>IF(MOSFET_S=Compare_MOSFET, Table7[[#This Row],[Efficiency C]], -100)</f>
        <v>-100</v>
      </c>
      <c r="CW210" s="153"/>
      <c r="CX210" s="149">
        <f ca="1">IF(Save_Sel=CLR_Save,  Table7[[#This Row],[Total Sense Loss P1]], Table7[[#This Row],[Total Sense Loss P1 Saved]])</f>
        <v>0.41598562500000014</v>
      </c>
      <c r="CY210" s="149">
        <f ca="1">IF(Save_Sel=CLR_Save,  Table7[[#This Row],[Total MOSFET Loss P1]], Table7[[#This Row],[Total MOSFET Loss P1 Saved]] )</f>
        <v>1.9092253150559766</v>
      </c>
      <c r="CZ210" s="149">
        <f ca="1">IF(Save_Sel=CLR_Save, Table7[[#This Row],[Efficiency P1]], Table7[[#This Row],[Efficiency P1 Saved]])</f>
        <v>93.303968854012595</v>
      </c>
      <c r="DA210" s="153"/>
      <c r="DB210" s="149">
        <f ca="1">IF(Save_Sel=CLR_Save,  Table7[[#This Row],[Total Sense Loss P2]], Table7[[#This Row],[Total Sense Loss P2 Saved]])</f>
        <v>0.41598562500000014</v>
      </c>
      <c r="DC210" s="149">
        <f ca="1">IF(Save_Sel=CLR_Save,  Table7[[#This Row],[Total MOSFET Loss P2]], Table7[[#This Row],[Total MOSFET Loss P2 Saved]] )</f>
        <v>1.2831746916617834</v>
      </c>
      <c r="DD210" s="149">
        <f ca="1">IF(Save_Sel=CLR_Save, Table7[[#This Row],[Efficiency P2]], Table7[[#This Row],[Efficiency P2 Saved]])</f>
        <v>95.017002469027005</v>
      </c>
      <c r="DE210" s="153"/>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row>
    <row r="211" spans="1:165" x14ac:dyDescent="0.2">
      <c r="A211" s="32"/>
      <c r="B211" s="49"/>
      <c r="C211" s="49"/>
      <c r="D211" s="32"/>
      <c r="E211" s="66"/>
      <c r="F211" s="66"/>
      <c r="G211" s="49"/>
      <c r="H211" s="29"/>
      <c r="I211" s="29"/>
      <c r="J211" s="29"/>
      <c r="K211" s="29"/>
      <c r="L211" s="29"/>
      <c r="M211" s="29"/>
      <c r="N211" s="29"/>
      <c r="O211" s="29"/>
      <c r="P211" s="29"/>
      <c r="Q211" s="29"/>
      <c r="R211" s="29"/>
      <c r="S211" s="30"/>
      <c r="T211" s="18"/>
      <c r="U211" s="19"/>
      <c r="V211" s="19"/>
      <c r="W211" s="19"/>
      <c r="X211" s="19"/>
      <c r="Y211" s="19"/>
      <c r="Z211" s="19"/>
      <c r="AA211" s="19"/>
      <c r="AB211" s="19"/>
      <c r="AC211" s="19"/>
      <c r="AD211" s="19"/>
      <c r="AE211" s="19"/>
      <c r="AF211" s="143">
        <f t="shared" si="17"/>
        <v>55</v>
      </c>
      <c r="AG211" s="143">
        <f t="shared" si="39"/>
        <v>5.5</v>
      </c>
      <c r="AH211" s="144">
        <f t="shared" si="28"/>
        <v>132</v>
      </c>
      <c r="AI211" s="145">
        <f t="shared" si="29"/>
        <v>0.16376306620209058</v>
      </c>
      <c r="AJ211" s="145">
        <f t="shared" si="30"/>
        <v>6.5770833333333334</v>
      </c>
      <c r="AK211" s="145" t="e">
        <f t="shared" si="26"/>
        <v>#NAME?</v>
      </c>
      <c r="AL211" s="145" t="e">
        <f t="shared" si="27"/>
        <v>#NAME?</v>
      </c>
      <c r="AM211" s="146"/>
      <c r="AN211" s="145" t="e">
        <f>MAX(0,Table7[[#This Row],[I_L]]-0.5*Table7[[#This Row],[I_L pkpk]])</f>
        <v>#NAME?</v>
      </c>
      <c r="AO211" s="145" t="e">
        <f>Table7[[#This Row],[I_L]]+0.5*Table7[[#This Row],[I_L pkpk]]</f>
        <v>#NAME?</v>
      </c>
      <c r="AP211" s="145" t="e">
        <f ca="1">IF(VACnom&gt;Vbat, (VGS_S-(TI_MOSFET_S_VTH_H_BU+Table7[[#This Row],[I_L]]/TI_MOSFET_S_gFS_H_BU))/3.4, (VGS_S-(TI_MOSFET_S_VTH_L_BO+Table7[[#This Row],[I_L]]/TI_MOSFET_S_gFS_L_BO))/3.4 )</f>
        <v>#REF!</v>
      </c>
      <c r="AQ211" s="145" t="e">
        <f ca="1">IF(VACnom&gt;Vbat, ((TI_MOSFET_S_VTH_H_BU+Table7[[#This Row],[I_L]]/TI_MOSFET_S_gFS_H_BU))/1, ((TI_MOSFET_S_VTH_L_BO+Table7[[#This Row],[I_L]]/TI_MOSFET_S_gFS_L_BO))/1 )</f>
        <v>#REF!</v>
      </c>
      <c r="AR211" s="145" t="e">
        <f ca="1">IF(VACnom&gt;Vbat, (TI_MOSFET_S_QGD_H_BU+TI_MOSFET_S_QGS_H_BU)*10^-9/Table7[[#This Row],[Ion (A)]], (TI_MOSFET_S_QGD_L_BO+TI_MOSFET_S_QGS_L_BO)*10^-9/Table7[[#This Row],[Ion (A)]])/10^-9</f>
        <v>#REF!</v>
      </c>
      <c r="AS211" s="145" t="e">
        <f ca="1">IF(VACnom&gt;Vbat, (TI_MOSFET_S_QGD_H_BU+TI_MOSFET_S_QGS_H_BU)*10^-9/Table7[[#This Row],[Ioff (A)]], (TI_MOSFET_S_QGD_L_BO+TI_MOSFET_S_QGS_L_BO)*10^-9/Table7[[#This Row],[Ioff (A)]])/10^-9</f>
        <v>#REF!</v>
      </c>
      <c r="AT211" s="145" t="e">
        <f ca="1" xml:space="preserve"> 0.5*VACnom*Table7[[#This Row],[Ivalley (A)]]*Table7[[#This Row],[ton (ns)]]*10^-9*Fsw*10^3+0.5*VACnom*Table7[[#This Row],[Ipeak (A)]]*Table7[[#This Row],[toff (ns)]]*10^-9*Fsw*10^3/10^-3</f>
        <v>#NAME?</v>
      </c>
      <c r="AU211" s="145" t="e">
        <f t="shared" ca="1" si="31"/>
        <v>#REF!</v>
      </c>
      <c r="AV211" s="145" t="e">
        <f t="shared" ca="1" si="32"/>
        <v>#REF!</v>
      </c>
      <c r="AW211" s="145" t="e">
        <f t="shared" ca="1" si="33"/>
        <v>#REF!</v>
      </c>
      <c r="AX211" s="145" t="e">
        <f ca="1">IF(VACnom&gt;Vbat, TI_MOSFET_S_VSD_L_BU*Table7[[#This Row],[Ivalley (A)]]*Fsw*10^3*40*10^-9+TI_MOSFET_S_VSD_L_BU*Table7[[#This Row],[Ipeak (A)]]*Fsw*10^3*30*10^-9, TI_MOSFET_S_VSD_H_BO*Table7[[#This Row],[Ivalley (A)]]*Fsw*10^3*40*10^-9+TI_MOSFET_S_VSD_H_BO*Table7[[#This Row],[Ipeak (A)]]*Fsw*10^3*30*10^-9)/10^-3</f>
        <v>#REF!</v>
      </c>
      <c r="AY211" s="145" t="e">
        <f t="shared" ca="1" si="34"/>
        <v>#REF!</v>
      </c>
      <c r="AZ211" s="145" t="e">
        <f ca="1">IF(VACnom&lt;Vbat, Table7[[#This Row],[Duty Cycle]]*Table7[[#This Row],[I_L RMS]]^2*TI_MOSFET_S_RDSON_H_BU*10^-3, (1-Table7[[#This Row],[Duty Cycle]])*Table7[[#This Row],[I_L RMS]]^2*TI_MOSFET_S_RDSON_H_BO*10^-3)/10^-3</f>
        <v>#NAME?</v>
      </c>
      <c r="BA211" s="145" t="e">
        <f ca="1">IF(VACnom&gt;Vbat, Table7[[#This Row],[PIV (mW)]]+Table7[[#This Row],[Pqoss (mW)]]+Table7[[#This Row],[Pgate_top (mW)]], Table7[[#This Row],[PRR (mW)]]+Table7[[#This Row],[Pdead (mW)]]+Table7[[#This Row],[Pgate_top (mW)]])</f>
        <v>#REF!</v>
      </c>
      <c r="BB211" s="145" t="e">
        <f ca="1">Table7[[#This Row],[Pcon_top (mW)]]+Table7[[#This Row],[Psw_top (mW)]]</f>
        <v>#NAME?</v>
      </c>
      <c r="BC211" s="145" t="e">
        <f ca="1">IF(VACnom&gt;Vbat, (1-Table7[[#This Row],[Duty Cycle]])*Table7[[#This Row],[I_L RMS]]^2*TI_MOSFET_S_RDSON_L_BU*10^-3, Table7[[#This Row],[Duty Cycle]]*Table7[[#This Row],[I_L RMS]]^2*TI_MOSFET_S_RDSON_L_BO*10^-3)/10^-3</f>
        <v>#NAME?</v>
      </c>
      <c r="BD211" s="145" t="e">
        <f ca="1">IF(VACnom&gt;Vbat, Table7[[#This Row],[PRR (mW)]]+Table7[[#This Row],[Pdead (mW)]]+Table7[[#This Row],[Pgate_bottom (mW)]], Table7[[#This Row],[PIV (mW)]]+Table7[[#This Row],[Pqoss (mW)]]+Table7[[#This Row],[Pgate_bottom (mW)]])</f>
        <v>#NAME?</v>
      </c>
      <c r="BE211" s="147" t="e">
        <f ca="1">Table7[[#This Row],[Pcon_bottom (mW)]]+Table7[[#This Row],[Psw_bottom (mW)]]</f>
        <v>#NAME?</v>
      </c>
      <c r="BF211" s="145" t="e">
        <f ca="1">Table7[[#This Row],[Pbottom (mW)]]+Table7[[#This Row],[Ptop (mW)]]</f>
        <v>#NAME?</v>
      </c>
      <c r="BG211" s="142"/>
      <c r="BH211" s="145" t="e">
        <f>MAX(0,Table7[[#This Row],[I_L]]-0.5*Table7[[#This Row],[I_L pkpk]])</f>
        <v>#NAME?</v>
      </c>
      <c r="BI211" s="145" t="e">
        <f>Table7[[#This Row],[I_L]]+0.5*Table7[[#This Row],[I_L pkpk]]</f>
        <v>#NAME?</v>
      </c>
      <c r="BJ211" s="145">
        <f>IF(VACnom&gt;Vbat, (VGS_S-(C_MOSFET_S_VTH_H_BU+Table7[[#This Row],[I_L]]/C_MOSFET_S_gFS_H_BU))/3.4, (VGS_S-(C_MOSFET_S_VTH_L_BO+Table7[[#This Row],[I_L]]/C_MOSFET_S_gFS_L_BO))/3.4 )</f>
        <v>2.340044934640523</v>
      </c>
      <c r="BK211" s="145">
        <f>IF(VACnom&gt;Vbat, ((C_MOSFET_S_VTH_H_BU+Table7[[#This Row],[I_L]]/C_MOSFET_S_gFS_H_BU))/1, ((C_MOSFET_S_VTH_L_BO+Table7[[#This Row],[I_L]]/C_MOSFET_S_gFS_L_BO))/1 )</f>
        <v>2.0438472222222224</v>
      </c>
      <c r="BL211" s="145">
        <f>IF(VACnom&gt;Vbat, (C_MOSFET_S_QGD_H_BU+C_MOSFET_S_QGS_H_BU)*10^-9/Table7[[#This Row],[Ion (A) C]], (C_MOSFET_S_QGD_L_BO+C_MOSFET_S_QGS_L_BO)*10^-9/Table7[[#This Row],[Ion (A) C]])/10^-9</f>
        <v>2.7777244375858654</v>
      </c>
      <c r="BM211" s="145">
        <f>IF(VACnom&gt;Vbat, (C_MOSFET_S_QGD_H_BU+C_MOSFET_S_QGS_H_BU)*10^-9/Table7[[#This Row],[Ioff (A) C]], (C_MOSFET_S_QGD_L_BO+C_MOSFET_S_QGS_L_BO)*10^-9/Table7[[#This Row],[Ioff (A) C]])/10^-9</f>
        <v>3.1802768471768244</v>
      </c>
      <c r="BN211" s="145" t="e">
        <f xml:space="preserve"> 0.5*VACnom*Table7[[#This Row],[Ivalley (A) C]]*Table7[[#This Row],[ton (ns) C]]*10^-9*Fsw*10^3+0.5*VACnom*Table7[[#This Row],[Ipeak (A) C]]*Table7[[#This Row],[toff (ns) C]]*10^-9*Fsw*10^3/10^-3</f>
        <v>#NAME?</v>
      </c>
      <c r="BO211" s="145">
        <f t="shared" si="35"/>
        <v>259.2</v>
      </c>
      <c r="BP211" s="145" t="e">
        <f t="shared" ca="1" si="36"/>
        <v>#REF!</v>
      </c>
      <c r="BQ211" s="145">
        <f t="shared" si="37"/>
        <v>475.2</v>
      </c>
      <c r="BR211" s="145" t="e">
        <f>IF(VACnom&gt;Vbat, C_MOSFET_S_VSD_L_BU*Table7[[#This Row],[Ivalley (A) C]]*Fsw*10^3*40*10^-9+C_MOSFET_S_VSD_L_BU*Table7[[#This Row],[Ipeak (A) C]]*Fsw*10^3*30*10^-9, C_MOSFET_S_VSD_H_BO*Table7[[#This Row],[Ivalley (A) C]]*Fsw*10^3*40*10^-9+C_MOSFET_S_VSD_H_BO*Table7[[#This Row],[Ipeak (A) C]]*Fsw*10^3*30*10^-9)/10^-3</f>
        <v>#NAME?</v>
      </c>
      <c r="BS211" s="145" t="e">
        <f t="shared" ca="1" si="38"/>
        <v>#REF!</v>
      </c>
      <c r="BT211" s="145" t="e">
        <f>IF(VACnom&lt;Vbat, Table7[[#This Row],[Duty Cycle]]*Table7[[#This Row],[I_L RMS]]^2*C_MOSFET_S_RDSON_H_BU*10^-3, (1-Table7[[#This Row],[Duty Cycle]])*Table7[[#This Row],[I_L RMS]]^2*C_MOSFET_S_RDSON_H_BO*10^-3)/10^-3</f>
        <v>#NAME?</v>
      </c>
      <c r="BU211" s="145" t="e">
        <f ca="1">IF(VACnom&gt;Vbat, Table7[[#This Row],[PIV (mW) C]]+Table7[[#This Row],[PQoss (mW) C]]+Table7[[#This Row],[Pgate_top (mW) C]], Table7[[#This Row],[PRR (mW) C]]+Table7[[#This Row],[Pdead (mW) C]]+Table7[[#This Row],[Pgate_top (mW) C]])</f>
        <v>#NAME?</v>
      </c>
      <c r="BV211" s="145" t="e">
        <f ca="1">Table7[[#This Row],[Pcon_top (mW) C]]+Table7[[#This Row],[Psw_top (mW) C]]</f>
        <v>#NAME?</v>
      </c>
      <c r="BW211" s="145" t="e">
        <f ca="1">IF(VACnom&gt;Vbat, (1-Table7[[#This Row],[Duty Cycle]])*Table7[[#This Row],[I_L RMS]]^2*C_MOSFET_S_RDSON_L_BU*10^-3, Table7[[#This Row],[Duty Cycle]]*Table7[[#This Row],[I_L RMS]]^2*C_MOSFET_S_RDSON_L_BO*10^-3)/10^-3</f>
        <v>#NAME?</v>
      </c>
      <c r="BX211" s="145" t="e">
        <f ca="1">IF(VACnom&gt;Vbat, Table7[[#This Row],[PRR (mW) C]]+Table7[[#This Row],[Pdead (mW) C]]+Table7[[#This Row],[Pgate_bottom (mW) C]], Table7[[#This Row],[PIV (mW) C]]+Table7[[#This Row],[PQoss (mW) C]]+Table7[[#This Row],[Pgate_bottom (mW) C]])</f>
        <v>#NAME?</v>
      </c>
      <c r="BY211" s="145" t="e">
        <f ca="1">Table7[[#This Row],[Pcon_bottom (mW) C]]+Table7[[#This Row],[Psw_bottom (mV) C]]</f>
        <v>#NAME?</v>
      </c>
      <c r="BZ211" s="145" t="e">
        <f ca="1">Table7[[#This Row],[Pbottom (mW) C]]+Table7[[#This Row],[Ptop (mW) C]]</f>
        <v>#NAME?</v>
      </c>
      <c r="CA211" s="148"/>
      <c r="CB211" s="144">
        <f>(RAC_SNS*10^-3*(Table7[[#This Row],[IOUT (A)]]*Vbat/VACnom)^2/10^-3)</f>
        <v>216.29012586805553</v>
      </c>
      <c r="CC211" s="144">
        <f>(RBAT_SNS*10^-3*Table7[[#This Row],[IOUT (A)]]^2)/10^-3</f>
        <v>151.25</v>
      </c>
      <c r="CD211" s="144">
        <f>IF(VACnom&gt;Vbat,(L_DRC*10^-3*(Table7[[#This Row],[IOUT (A)]])^2/10^-3),(L_DRC*10^-3*(Table7[[#This Row],[IOUT (A)]]*Vbat/VACnom)^2/10^-3))</f>
        <v>147.07728559027777</v>
      </c>
      <c r="CE211" s="152"/>
      <c r="CF211" s="145">
        <f>(Table7[[#This Row],[R_AC (mW)]]+Table7[[#This Row],[R_SR (mW)]]+Table7[[#This Row],[Inductor Loss (mW)]])/10^3</f>
        <v>0.51461741145833317</v>
      </c>
      <c r="CG211" s="145" t="e">
        <f ca="1">Table7[[#This Row],[Total TI (mW)]]/10^3</f>
        <v>#NAME?</v>
      </c>
      <c r="CH211" s="145" t="e">
        <f ca="1">Table7[[#This Row],[Total Sense Loss]]+Table7[[#This Row],[Total MOSFET Loss]]</f>
        <v>#NAME?</v>
      </c>
      <c r="CI211" s="149" t="e">
        <f ca="1">IF(Table7[[#This Row],[POUT (W)]]=0,0,(Table7[[#This Row],[POUT (W)]])/(Table7[[#This Row],[POUT (W)]]+Table7[[#This Row],[Total Power Loss (W)]]))*100</f>
        <v>#NAME?</v>
      </c>
      <c r="CJ211" s="153"/>
      <c r="CK211" s="145">
        <f>(Table7[[#This Row],[R_AC (mW)]]+Table7[[#This Row],[R_SR (mW)]]+Table7[[#This Row],[Inductor Loss (mW)]])/10^3</f>
        <v>0.51461741145833317</v>
      </c>
      <c r="CL211" s="145" t="e">
        <f ca="1">Table7[[#This Row],[Total (mW) C]]/10^3</f>
        <v>#NAME?</v>
      </c>
      <c r="CM211" s="145" t="e">
        <f ca="1">Table7[[#This Row],[Total Sense Loss C]]+Table7[[#This Row],[Total MOSFET Loss C]]</f>
        <v>#NAME?</v>
      </c>
      <c r="CN211" s="149" t="e">
        <f ca="1">IF(Table7[[#This Row],[POUT (W)]]=0,0,(Table7[[#This Row],[POUT (W)]])/(Table7[[#This Row],[POUT (W)]]+Table7[[#This Row],[Total Power Loss (W) C]]))*100</f>
        <v>#NAME?</v>
      </c>
      <c r="CO211" s="153"/>
      <c r="CP211" s="149">
        <f>IF(MOSFET_S=Custom_MOSFET,Table7[[#This Row],[Total Sense Loss C]],Table7[[#This Row],[Total Sense Loss]])</f>
        <v>0.51461741145833317</v>
      </c>
      <c r="CQ211" s="149" t="e">
        <f ca="1">IF(MOSFET_S=Custom_MOSFET,Table7[[#This Row],[Total MOSFET Loss C]],Table7[[#This Row],[Total MOSFET Loss]])</f>
        <v>#NAME?</v>
      </c>
      <c r="CR211" s="149" t="e">
        <f ca="1">IF(MOSFET_S=Custom_MOSFET,Table7[[#This Row],[Efficiency C]],Table7[[#This Row],[Efficiency]])</f>
        <v>#NAME?</v>
      </c>
      <c r="CS211" s="153"/>
      <c r="CT211" s="149">
        <f>IF(MOSFET_S=Compare_MOSFET, Table7[[#This Row],[Total Sense Loss C]], -100)</f>
        <v>-100</v>
      </c>
      <c r="CU211" s="149">
        <f>IF(MOSFET_S=Compare_MOSFET, Table7[[#This Row],[Total MOSFET Loss C]], -100)</f>
        <v>-100</v>
      </c>
      <c r="CV211" s="149">
        <f>IF(MOSFET_S=Compare_MOSFET, Table7[[#This Row],[Efficiency C]], -100)</f>
        <v>-100</v>
      </c>
      <c r="CW211" s="153"/>
      <c r="CX211" s="149">
        <f ca="1">IF(Save_Sel=CLR_Save,  Table7[[#This Row],[Total Sense Loss P1]], Table7[[#This Row],[Total Sense Loss P1 Saved]])</f>
        <v>0.43153515625</v>
      </c>
      <c r="CY211" s="149">
        <f ca="1">IF(Save_Sel=CLR_Save,  Table7[[#This Row],[Total MOSFET Loss P1]], Table7[[#This Row],[Total MOSFET Loss P1 Saved]] )</f>
        <v>1.9193861315256413</v>
      </c>
      <c r="CZ211" s="149">
        <f ca="1">IF(Save_Sel=CLR_Save, Table7[[#This Row],[Efficiency P1]], Table7[[#This Row],[Efficiency P1 Saved]])</f>
        <v>93.34975949102467</v>
      </c>
      <c r="DA211" s="153"/>
      <c r="DB211" s="149">
        <f ca="1">IF(Save_Sel=CLR_Save,  Table7[[#This Row],[Total Sense Loss P2]], Table7[[#This Row],[Total Sense Loss P2 Saved]])</f>
        <v>0.43153515625</v>
      </c>
      <c r="DC211" s="149">
        <f ca="1">IF(Save_Sel=CLR_Save,  Table7[[#This Row],[Total MOSFET Loss P2]], Table7[[#This Row],[Total MOSFET Loss P2 Saved]] )</f>
        <v>1.2914536147505307</v>
      </c>
      <c r="DD211" s="149">
        <f ca="1">IF(Save_Sel=CLR_Save, Table7[[#This Row],[Efficiency P2]], Table7[[#This Row],[Efficiency P2 Saved]])</f>
        <v>95.037901885797595</v>
      </c>
      <c r="DE211" s="153"/>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row>
    <row r="212" spans="1:165" x14ac:dyDescent="0.2">
      <c r="A212" s="32"/>
      <c r="B212" s="49"/>
      <c r="C212" s="49"/>
      <c r="D212" s="32"/>
      <c r="E212" s="66"/>
      <c r="F212" s="66"/>
      <c r="G212" s="49"/>
      <c r="H212" s="29"/>
      <c r="I212" s="29"/>
      <c r="J212" s="29"/>
      <c r="K212" s="29"/>
      <c r="L212" s="29"/>
      <c r="M212" s="29"/>
      <c r="N212" s="29"/>
      <c r="O212" s="29"/>
      <c r="P212" s="29"/>
      <c r="Q212" s="29"/>
      <c r="R212" s="29"/>
      <c r="S212" s="30"/>
      <c r="T212" s="18"/>
      <c r="U212" s="19"/>
      <c r="V212" s="19"/>
      <c r="W212" s="19"/>
      <c r="X212" s="19"/>
      <c r="Y212" s="19"/>
      <c r="Z212" s="19"/>
      <c r="AA212" s="19"/>
      <c r="AB212" s="19"/>
      <c r="AC212" s="19"/>
      <c r="AD212" s="19"/>
      <c r="AE212" s="19"/>
      <c r="AF212" s="143">
        <f t="shared" si="17"/>
        <v>56</v>
      </c>
      <c r="AG212" s="143">
        <f t="shared" si="39"/>
        <v>5.6</v>
      </c>
      <c r="AH212" s="144">
        <f t="shared" si="28"/>
        <v>134.39999999999998</v>
      </c>
      <c r="AI212" s="145">
        <f t="shared" si="29"/>
        <v>0.16376306620209058</v>
      </c>
      <c r="AJ212" s="145">
        <f t="shared" si="30"/>
        <v>6.6966666666666663</v>
      </c>
      <c r="AK212" s="145" t="e">
        <f t="shared" si="26"/>
        <v>#NAME?</v>
      </c>
      <c r="AL212" s="145" t="e">
        <f t="shared" si="27"/>
        <v>#NAME?</v>
      </c>
      <c r="AM212" s="146"/>
      <c r="AN212" s="145" t="e">
        <f>MAX(0,Table7[[#This Row],[I_L]]-0.5*Table7[[#This Row],[I_L pkpk]])</f>
        <v>#NAME?</v>
      </c>
      <c r="AO212" s="145" t="e">
        <f>Table7[[#This Row],[I_L]]+0.5*Table7[[#This Row],[I_L pkpk]]</f>
        <v>#NAME?</v>
      </c>
      <c r="AP212" s="145" t="e">
        <f ca="1">IF(VACnom&gt;Vbat, (VGS_S-(TI_MOSFET_S_VTH_H_BU+Table7[[#This Row],[I_L]]/TI_MOSFET_S_gFS_H_BU))/3.4, (VGS_S-(TI_MOSFET_S_VTH_L_BO+Table7[[#This Row],[I_L]]/TI_MOSFET_S_gFS_L_BO))/3.4 )</f>
        <v>#REF!</v>
      </c>
      <c r="AQ212" s="145" t="e">
        <f ca="1">IF(VACnom&gt;Vbat, ((TI_MOSFET_S_VTH_H_BU+Table7[[#This Row],[I_L]]/TI_MOSFET_S_gFS_H_BU))/1, ((TI_MOSFET_S_VTH_L_BO+Table7[[#This Row],[I_L]]/TI_MOSFET_S_gFS_L_BO))/1 )</f>
        <v>#REF!</v>
      </c>
      <c r="AR212" s="145" t="e">
        <f ca="1">IF(VACnom&gt;Vbat, (TI_MOSFET_S_QGD_H_BU+TI_MOSFET_S_QGS_H_BU)*10^-9/Table7[[#This Row],[Ion (A)]], (TI_MOSFET_S_QGD_L_BO+TI_MOSFET_S_QGS_L_BO)*10^-9/Table7[[#This Row],[Ion (A)]])/10^-9</f>
        <v>#REF!</v>
      </c>
      <c r="AS212" s="145" t="e">
        <f ca="1">IF(VACnom&gt;Vbat, (TI_MOSFET_S_QGD_H_BU+TI_MOSFET_S_QGS_H_BU)*10^-9/Table7[[#This Row],[Ioff (A)]], (TI_MOSFET_S_QGD_L_BO+TI_MOSFET_S_QGS_L_BO)*10^-9/Table7[[#This Row],[Ioff (A)]])/10^-9</f>
        <v>#REF!</v>
      </c>
      <c r="AT212" s="145" t="e">
        <f ca="1" xml:space="preserve"> 0.5*VACnom*Table7[[#This Row],[Ivalley (A)]]*Table7[[#This Row],[ton (ns)]]*10^-9*Fsw*10^3+0.5*VACnom*Table7[[#This Row],[Ipeak (A)]]*Table7[[#This Row],[toff (ns)]]*10^-9*Fsw*10^3/10^-3</f>
        <v>#NAME?</v>
      </c>
      <c r="AU212" s="145" t="e">
        <f t="shared" ca="1" si="31"/>
        <v>#REF!</v>
      </c>
      <c r="AV212" s="145" t="e">
        <f t="shared" ca="1" si="32"/>
        <v>#REF!</v>
      </c>
      <c r="AW212" s="145" t="e">
        <f t="shared" ca="1" si="33"/>
        <v>#REF!</v>
      </c>
      <c r="AX212" s="145" t="e">
        <f ca="1">IF(VACnom&gt;Vbat, TI_MOSFET_S_VSD_L_BU*Table7[[#This Row],[Ivalley (A)]]*Fsw*10^3*40*10^-9+TI_MOSFET_S_VSD_L_BU*Table7[[#This Row],[Ipeak (A)]]*Fsw*10^3*30*10^-9, TI_MOSFET_S_VSD_H_BO*Table7[[#This Row],[Ivalley (A)]]*Fsw*10^3*40*10^-9+TI_MOSFET_S_VSD_H_BO*Table7[[#This Row],[Ipeak (A)]]*Fsw*10^3*30*10^-9)/10^-3</f>
        <v>#REF!</v>
      </c>
      <c r="AY212" s="145" t="e">
        <f t="shared" ca="1" si="34"/>
        <v>#REF!</v>
      </c>
      <c r="AZ212" s="145" t="e">
        <f ca="1">IF(VACnom&lt;Vbat, Table7[[#This Row],[Duty Cycle]]*Table7[[#This Row],[I_L RMS]]^2*TI_MOSFET_S_RDSON_H_BU*10^-3, (1-Table7[[#This Row],[Duty Cycle]])*Table7[[#This Row],[I_L RMS]]^2*TI_MOSFET_S_RDSON_H_BO*10^-3)/10^-3</f>
        <v>#NAME?</v>
      </c>
      <c r="BA212" s="145" t="e">
        <f ca="1">IF(VACnom&gt;Vbat, Table7[[#This Row],[PIV (mW)]]+Table7[[#This Row],[Pqoss (mW)]]+Table7[[#This Row],[Pgate_top (mW)]], Table7[[#This Row],[PRR (mW)]]+Table7[[#This Row],[Pdead (mW)]]+Table7[[#This Row],[Pgate_top (mW)]])</f>
        <v>#REF!</v>
      </c>
      <c r="BB212" s="145" t="e">
        <f ca="1">Table7[[#This Row],[Pcon_top (mW)]]+Table7[[#This Row],[Psw_top (mW)]]</f>
        <v>#NAME?</v>
      </c>
      <c r="BC212" s="145" t="e">
        <f ca="1">IF(VACnom&gt;Vbat, (1-Table7[[#This Row],[Duty Cycle]])*Table7[[#This Row],[I_L RMS]]^2*TI_MOSFET_S_RDSON_L_BU*10^-3, Table7[[#This Row],[Duty Cycle]]*Table7[[#This Row],[I_L RMS]]^2*TI_MOSFET_S_RDSON_L_BO*10^-3)/10^-3</f>
        <v>#NAME?</v>
      </c>
      <c r="BD212" s="145" t="e">
        <f ca="1">IF(VACnom&gt;Vbat, Table7[[#This Row],[PRR (mW)]]+Table7[[#This Row],[Pdead (mW)]]+Table7[[#This Row],[Pgate_bottom (mW)]], Table7[[#This Row],[PIV (mW)]]+Table7[[#This Row],[Pqoss (mW)]]+Table7[[#This Row],[Pgate_bottom (mW)]])</f>
        <v>#NAME?</v>
      </c>
      <c r="BE212" s="147" t="e">
        <f ca="1">Table7[[#This Row],[Pcon_bottom (mW)]]+Table7[[#This Row],[Psw_bottom (mW)]]</f>
        <v>#NAME?</v>
      </c>
      <c r="BF212" s="145" t="e">
        <f ca="1">Table7[[#This Row],[Pbottom (mW)]]+Table7[[#This Row],[Ptop (mW)]]</f>
        <v>#NAME?</v>
      </c>
      <c r="BG212" s="142"/>
      <c r="BH212" s="145" t="e">
        <f>MAX(0,Table7[[#This Row],[I_L]]-0.5*Table7[[#This Row],[I_L pkpk]])</f>
        <v>#NAME?</v>
      </c>
      <c r="BI212" s="145" t="e">
        <f>Table7[[#This Row],[I_L]]+0.5*Table7[[#This Row],[I_L pkpk]]</f>
        <v>#NAME?</v>
      </c>
      <c r="BJ212" s="145">
        <f>IF(VACnom&gt;Vbat, (VGS_S-(C_MOSFET_S_VTH_H_BU+Table7[[#This Row],[I_L]]/C_MOSFET_S_gFS_H_BU))/3.4, (VGS_S-(C_MOSFET_S_VTH_L_BO+Table7[[#This Row],[I_L]]/C_MOSFET_S_gFS_L_BO))/3.4 )</f>
        <v>2.3398104575163403</v>
      </c>
      <c r="BK212" s="145">
        <f>IF(VACnom&gt;Vbat, ((C_MOSFET_S_VTH_H_BU+Table7[[#This Row],[I_L]]/C_MOSFET_S_gFS_H_BU))/1, ((C_MOSFET_S_VTH_L_BO+Table7[[#This Row],[I_L]]/C_MOSFET_S_gFS_L_BO))/1 )</f>
        <v>2.0446444444444443</v>
      </c>
      <c r="BL212" s="145">
        <f>IF(VACnom&gt;Vbat, (C_MOSFET_S_QGD_H_BU+C_MOSFET_S_QGS_H_BU)*10^-9/Table7[[#This Row],[Ion (A) C]], (C_MOSFET_S_QGD_L_BO+C_MOSFET_S_QGS_L_BO)*10^-9/Table7[[#This Row],[Ion (A) C]])/10^-9</f>
        <v>2.7780027989530458</v>
      </c>
      <c r="BM212" s="145">
        <f>IF(VACnom&gt;Vbat, (C_MOSFET_S_QGD_H_BU+C_MOSFET_S_QGS_H_BU)*10^-9/Table7[[#This Row],[Ioff (A) C]], (C_MOSFET_S_QGD_L_BO+C_MOSFET_S_QGS_L_BO)*10^-9/Table7[[#This Row],[Ioff (A) C]])/10^-9</f>
        <v>3.1790368333532593</v>
      </c>
      <c r="BN212" s="145" t="e">
        <f xml:space="preserve"> 0.5*VACnom*Table7[[#This Row],[Ivalley (A) C]]*Table7[[#This Row],[ton (ns) C]]*10^-9*Fsw*10^3+0.5*VACnom*Table7[[#This Row],[Ipeak (A) C]]*Table7[[#This Row],[toff (ns) C]]*10^-9*Fsw*10^3/10^-3</f>
        <v>#NAME?</v>
      </c>
      <c r="BO212" s="145">
        <f t="shared" si="35"/>
        <v>259.2</v>
      </c>
      <c r="BP212" s="145" t="e">
        <f t="shared" ca="1" si="36"/>
        <v>#REF!</v>
      </c>
      <c r="BQ212" s="145">
        <f t="shared" si="37"/>
        <v>475.2</v>
      </c>
      <c r="BR212" s="145" t="e">
        <f>IF(VACnom&gt;Vbat, C_MOSFET_S_VSD_L_BU*Table7[[#This Row],[Ivalley (A) C]]*Fsw*10^3*40*10^-9+C_MOSFET_S_VSD_L_BU*Table7[[#This Row],[Ipeak (A) C]]*Fsw*10^3*30*10^-9, C_MOSFET_S_VSD_H_BO*Table7[[#This Row],[Ivalley (A) C]]*Fsw*10^3*40*10^-9+C_MOSFET_S_VSD_H_BO*Table7[[#This Row],[Ipeak (A) C]]*Fsw*10^3*30*10^-9)/10^-3</f>
        <v>#NAME?</v>
      </c>
      <c r="BS212" s="145" t="e">
        <f t="shared" ca="1" si="38"/>
        <v>#REF!</v>
      </c>
      <c r="BT212" s="145" t="e">
        <f>IF(VACnom&lt;Vbat, Table7[[#This Row],[Duty Cycle]]*Table7[[#This Row],[I_L RMS]]^2*C_MOSFET_S_RDSON_H_BU*10^-3, (1-Table7[[#This Row],[Duty Cycle]])*Table7[[#This Row],[I_L RMS]]^2*C_MOSFET_S_RDSON_H_BO*10^-3)/10^-3</f>
        <v>#NAME?</v>
      </c>
      <c r="BU212" s="145" t="e">
        <f ca="1">IF(VACnom&gt;Vbat, Table7[[#This Row],[PIV (mW) C]]+Table7[[#This Row],[PQoss (mW) C]]+Table7[[#This Row],[Pgate_top (mW) C]], Table7[[#This Row],[PRR (mW) C]]+Table7[[#This Row],[Pdead (mW) C]]+Table7[[#This Row],[Pgate_top (mW) C]])</f>
        <v>#NAME?</v>
      </c>
      <c r="BV212" s="145" t="e">
        <f ca="1">Table7[[#This Row],[Pcon_top (mW) C]]+Table7[[#This Row],[Psw_top (mW) C]]</f>
        <v>#NAME?</v>
      </c>
      <c r="BW212" s="145" t="e">
        <f ca="1">IF(VACnom&gt;Vbat, (1-Table7[[#This Row],[Duty Cycle]])*Table7[[#This Row],[I_L RMS]]^2*C_MOSFET_S_RDSON_L_BU*10^-3, Table7[[#This Row],[Duty Cycle]]*Table7[[#This Row],[I_L RMS]]^2*C_MOSFET_S_RDSON_L_BO*10^-3)/10^-3</f>
        <v>#NAME?</v>
      </c>
      <c r="BX212" s="145" t="e">
        <f ca="1">IF(VACnom&gt;Vbat, Table7[[#This Row],[PRR (mW) C]]+Table7[[#This Row],[Pdead (mW) C]]+Table7[[#This Row],[Pgate_bottom (mW) C]], Table7[[#This Row],[PIV (mW) C]]+Table7[[#This Row],[PQoss (mW) C]]+Table7[[#This Row],[Pgate_bottom (mW) C]])</f>
        <v>#NAME?</v>
      </c>
      <c r="BY212" s="145" t="e">
        <f ca="1">Table7[[#This Row],[Pcon_bottom (mW) C]]+Table7[[#This Row],[Psw_bottom (mV) C]]</f>
        <v>#NAME?</v>
      </c>
      <c r="BZ212" s="145" t="e">
        <f ca="1">Table7[[#This Row],[Pbottom (mW) C]]+Table7[[#This Row],[Ptop (mW) C]]</f>
        <v>#NAME?</v>
      </c>
      <c r="CA212" s="148"/>
      <c r="CB212" s="144">
        <f>(RAC_SNS*10^-3*(Table7[[#This Row],[IOUT (A)]]*Vbat/VACnom)^2/10^-3)</f>
        <v>224.22672222222224</v>
      </c>
      <c r="CC212" s="144">
        <f>(RBAT_SNS*10^-3*Table7[[#This Row],[IOUT (A)]]^2)/10^-3</f>
        <v>156.79999999999998</v>
      </c>
      <c r="CD212" s="144">
        <f>IF(VACnom&gt;Vbat,(L_DRC*10^-3*(Table7[[#This Row],[IOUT (A)]])^2/10^-3),(L_DRC*10^-3*(Table7[[#This Row],[IOUT (A)]]*Vbat/VACnom)^2/10^-3))</f>
        <v>152.47417111111108</v>
      </c>
      <c r="CE212" s="152"/>
      <c r="CF212" s="145">
        <f>(Table7[[#This Row],[R_AC (mW)]]+Table7[[#This Row],[R_SR (mW)]]+Table7[[#This Row],[Inductor Loss (mW)]])/10^3</f>
        <v>0.53350089333333339</v>
      </c>
      <c r="CG212" s="145" t="e">
        <f ca="1">Table7[[#This Row],[Total TI (mW)]]/10^3</f>
        <v>#NAME?</v>
      </c>
      <c r="CH212" s="145" t="e">
        <f ca="1">Table7[[#This Row],[Total Sense Loss]]+Table7[[#This Row],[Total MOSFET Loss]]</f>
        <v>#NAME?</v>
      </c>
      <c r="CI212" s="149" t="e">
        <f ca="1">IF(Table7[[#This Row],[POUT (W)]]=0,0,(Table7[[#This Row],[POUT (W)]])/(Table7[[#This Row],[POUT (W)]]+Table7[[#This Row],[Total Power Loss (W)]]))*100</f>
        <v>#NAME?</v>
      </c>
      <c r="CJ212" s="153"/>
      <c r="CK212" s="145">
        <f>(Table7[[#This Row],[R_AC (mW)]]+Table7[[#This Row],[R_SR (mW)]]+Table7[[#This Row],[Inductor Loss (mW)]])/10^3</f>
        <v>0.53350089333333339</v>
      </c>
      <c r="CL212" s="145" t="e">
        <f ca="1">Table7[[#This Row],[Total (mW) C]]/10^3</f>
        <v>#NAME?</v>
      </c>
      <c r="CM212" s="145" t="e">
        <f ca="1">Table7[[#This Row],[Total Sense Loss C]]+Table7[[#This Row],[Total MOSFET Loss C]]</f>
        <v>#NAME?</v>
      </c>
      <c r="CN212" s="149" t="e">
        <f ca="1">IF(Table7[[#This Row],[POUT (W)]]=0,0,(Table7[[#This Row],[POUT (W)]])/(Table7[[#This Row],[POUT (W)]]+Table7[[#This Row],[Total Power Loss (W) C]]))*100</f>
        <v>#NAME?</v>
      </c>
      <c r="CO212" s="153"/>
      <c r="CP212" s="149">
        <f>IF(MOSFET_S=Custom_MOSFET,Table7[[#This Row],[Total Sense Loss C]],Table7[[#This Row],[Total Sense Loss]])</f>
        <v>0.53350089333333339</v>
      </c>
      <c r="CQ212" s="149" t="e">
        <f ca="1">IF(MOSFET_S=Custom_MOSFET,Table7[[#This Row],[Total MOSFET Loss C]],Table7[[#This Row],[Total MOSFET Loss]])</f>
        <v>#NAME?</v>
      </c>
      <c r="CR212" s="149" t="e">
        <f ca="1">IF(MOSFET_S=Custom_MOSFET,Table7[[#This Row],[Efficiency C]],Table7[[#This Row],[Efficiency]])</f>
        <v>#NAME?</v>
      </c>
      <c r="CS212" s="153"/>
      <c r="CT212" s="149">
        <f>IF(MOSFET_S=Compare_MOSFET, Table7[[#This Row],[Total Sense Loss C]], -100)</f>
        <v>-100</v>
      </c>
      <c r="CU212" s="149">
        <f>IF(MOSFET_S=Compare_MOSFET, Table7[[#This Row],[Total MOSFET Loss C]], -100)</f>
        <v>-100</v>
      </c>
      <c r="CV212" s="149">
        <f>IF(MOSFET_S=Compare_MOSFET, Table7[[#This Row],[Efficiency C]], -100)</f>
        <v>-100</v>
      </c>
      <c r="CW212" s="153"/>
      <c r="CX212" s="149">
        <f ca="1">IF(Save_Sel=CLR_Save,  Table7[[#This Row],[Total Sense Loss P1]], Table7[[#This Row],[Total Sense Loss P1 Saved]])</f>
        <v>0.44736999999999988</v>
      </c>
      <c r="CY212" s="149">
        <f ca="1">IF(Save_Sel=CLR_Save,  Table7[[#This Row],[Total MOSFET Loss P1]], Table7[[#This Row],[Total MOSFET Loss P1 Saved]] )</f>
        <v>1.9295898095431598</v>
      </c>
      <c r="CZ212" s="149">
        <f ca="1">IF(Save_Sel=CLR_Save, Table7[[#This Row],[Efficiency P1]], Table7[[#This Row],[Efficiency P1 Saved]])</f>
        <v>93.393105414892091</v>
      </c>
      <c r="DA212" s="153"/>
      <c r="DB212" s="149">
        <f ca="1">IF(Save_Sel=CLR_Save,  Table7[[#This Row],[Total Sense Loss P2]], Table7[[#This Row],[Total Sense Loss P2 Saved]])</f>
        <v>0.44736999999999988</v>
      </c>
      <c r="DC212" s="149">
        <f ca="1">IF(Save_Sel=CLR_Save,  Table7[[#This Row],[Total MOSFET Loss P2]], Table7[[#This Row],[Total MOSFET Loss P2 Saved]] )</f>
        <v>1.2998117050310178</v>
      </c>
      <c r="DD212" s="149">
        <f ca="1">IF(Save_Sel=CLR_Save, Table7[[#This Row],[Efficiency P2]], Table7[[#This Row],[Efficiency P2 Saved]])</f>
        <v>95.057083420083984</v>
      </c>
      <c r="DE212" s="153"/>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row>
    <row r="213" spans="1:165" x14ac:dyDescent="0.2">
      <c r="A213" s="32"/>
      <c r="B213" s="49"/>
      <c r="C213" s="49"/>
      <c r="D213" s="32"/>
      <c r="E213" s="66"/>
      <c r="F213" s="66"/>
      <c r="G213" s="49"/>
      <c r="H213" s="29"/>
      <c r="I213" s="29"/>
      <c r="J213" s="29"/>
      <c r="K213" s="29"/>
      <c r="L213" s="29"/>
      <c r="M213" s="29"/>
      <c r="N213" s="29"/>
      <c r="O213" s="29"/>
      <c r="P213" s="29"/>
      <c r="Q213" s="29"/>
      <c r="R213" s="29"/>
      <c r="S213" s="30"/>
      <c r="T213" s="18"/>
      <c r="U213" s="19"/>
      <c r="V213" s="19"/>
      <c r="W213" s="19"/>
      <c r="X213" s="19"/>
      <c r="Y213" s="19"/>
      <c r="Z213" s="19"/>
      <c r="AA213" s="19"/>
      <c r="AB213" s="19"/>
      <c r="AC213" s="19"/>
      <c r="AD213" s="19"/>
      <c r="AE213" s="19"/>
      <c r="AF213" s="143">
        <f t="shared" si="17"/>
        <v>57</v>
      </c>
      <c r="AG213" s="143">
        <f t="shared" si="39"/>
        <v>5.7</v>
      </c>
      <c r="AH213" s="144">
        <f t="shared" si="28"/>
        <v>136.80000000000001</v>
      </c>
      <c r="AI213" s="145">
        <f t="shared" si="29"/>
        <v>0.16376306620209058</v>
      </c>
      <c r="AJ213" s="145">
        <f t="shared" si="30"/>
        <v>6.8162500000000001</v>
      </c>
      <c r="AK213" s="145" t="e">
        <f t="shared" si="26"/>
        <v>#NAME?</v>
      </c>
      <c r="AL213" s="145" t="e">
        <f t="shared" si="27"/>
        <v>#NAME?</v>
      </c>
      <c r="AM213" s="146"/>
      <c r="AN213" s="145" t="e">
        <f>MAX(0,Table7[[#This Row],[I_L]]-0.5*Table7[[#This Row],[I_L pkpk]])</f>
        <v>#NAME?</v>
      </c>
      <c r="AO213" s="145" t="e">
        <f>Table7[[#This Row],[I_L]]+0.5*Table7[[#This Row],[I_L pkpk]]</f>
        <v>#NAME?</v>
      </c>
      <c r="AP213" s="145" t="e">
        <f ca="1">IF(VACnom&gt;Vbat, (VGS_S-(TI_MOSFET_S_VTH_H_BU+Table7[[#This Row],[I_L]]/TI_MOSFET_S_gFS_H_BU))/3.4, (VGS_S-(TI_MOSFET_S_VTH_L_BO+Table7[[#This Row],[I_L]]/TI_MOSFET_S_gFS_L_BO))/3.4 )</f>
        <v>#REF!</v>
      </c>
      <c r="AQ213" s="145" t="e">
        <f ca="1">IF(VACnom&gt;Vbat, ((TI_MOSFET_S_VTH_H_BU+Table7[[#This Row],[I_L]]/TI_MOSFET_S_gFS_H_BU))/1, ((TI_MOSFET_S_VTH_L_BO+Table7[[#This Row],[I_L]]/TI_MOSFET_S_gFS_L_BO))/1 )</f>
        <v>#REF!</v>
      </c>
      <c r="AR213" s="145" t="e">
        <f ca="1">IF(VACnom&gt;Vbat, (TI_MOSFET_S_QGD_H_BU+TI_MOSFET_S_QGS_H_BU)*10^-9/Table7[[#This Row],[Ion (A)]], (TI_MOSFET_S_QGD_L_BO+TI_MOSFET_S_QGS_L_BO)*10^-9/Table7[[#This Row],[Ion (A)]])/10^-9</f>
        <v>#REF!</v>
      </c>
      <c r="AS213" s="145" t="e">
        <f ca="1">IF(VACnom&gt;Vbat, (TI_MOSFET_S_QGD_H_BU+TI_MOSFET_S_QGS_H_BU)*10^-9/Table7[[#This Row],[Ioff (A)]], (TI_MOSFET_S_QGD_L_BO+TI_MOSFET_S_QGS_L_BO)*10^-9/Table7[[#This Row],[Ioff (A)]])/10^-9</f>
        <v>#REF!</v>
      </c>
      <c r="AT213" s="145" t="e">
        <f ca="1" xml:space="preserve"> 0.5*VACnom*Table7[[#This Row],[Ivalley (A)]]*Table7[[#This Row],[ton (ns)]]*10^-9*Fsw*10^3+0.5*VACnom*Table7[[#This Row],[Ipeak (A)]]*Table7[[#This Row],[toff (ns)]]*10^-9*Fsw*10^3/10^-3</f>
        <v>#NAME?</v>
      </c>
      <c r="AU213" s="145" t="e">
        <f t="shared" ca="1" si="31"/>
        <v>#REF!</v>
      </c>
      <c r="AV213" s="145" t="e">
        <f t="shared" ca="1" si="32"/>
        <v>#REF!</v>
      </c>
      <c r="AW213" s="145" t="e">
        <f t="shared" ca="1" si="33"/>
        <v>#REF!</v>
      </c>
      <c r="AX213" s="145" t="e">
        <f ca="1">IF(VACnom&gt;Vbat, TI_MOSFET_S_VSD_L_BU*Table7[[#This Row],[Ivalley (A)]]*Fsw*10^3*40*10^-9+TI_MOSFET_S_VSD_L_BU*Table7[[#This Row],[Ipeak (A)]]*Fsw*10^3*30*10^-9, TI_MOSFET_S_VSD_H_BO*Table7[[#This Row],[Ivalley (A)]]*Fsw*10^3*40*10^-9+TI_MOSFET_S_VSD_H_BO*Table7[[#This Row],[Ipeak (A)]]*Fsw*10^3*30*10^-9)/10^-3</f>
        <v>#REF!</v>
      </c>
      <c r="AY213" s="145" t="e">
        <f t="shared" ca="1" si="34"/>
        <v>#REF!</v>
      </c>
      <c r="AZ213" s="145" t="e">
        <f ca="1">IF(VACnom&lt;Vbat, Table7[[#This Row],[Duty Cycle]]*Table7[[#This Row],[I_L RMS]]^2*TI_MOSFET_S_RDSON_H_BU*10^-3, (1-Table7[[#This Row],[Duty Cycle]])*Table7[[#This Row],[I_L RMS]]^2*TI_MOSFET_S_RDSON_H_BO*10^-3)/10^-3</f>
        <v>#NAME?</v>
      </c>
      <c r="BA213" s="145" t="e">
        <f ca="1">IF(VACnom&gt;Vbat, Table7[[#This Row],[PIV (mW)]]+Table7[[#This Row],[Pqoss (mW)]]+Table7[[#This Row],[Pgate_top (mW)]], Table7[[#This Row],[PRR (mW)]]+Table7[[#This Row],[Pdead (mW)]]+Table7[[#This Row],[Pgate_top (mW)]])</f>
        <v>#REF!</v>
      </c>
      <c r="BB213" s="145" t="e">
        <f ca="1">Table7[[#This Row],[Pcon_top (mW)]]+Table7[[#This Row],[Psw_top (mW)]]</f>
        <v>#NAME?</v>
      </c>
      <c r="BC213" s="145" t="e">
        <f ca="1">IF(VACnom&gt;Vbat, (1-Table7[[#This Row],[Duty Cycle]])*Table7[[#This Row],[I_L RMS]]^2*TI_MOSFET_S_RDSON_L_BU*10^-3, Table7[[#This Row],[Duty Cycle]]*Table7[[#This Row],[I_L RMS]]^2*TI_MOSFET_S_RDSON_L_BO*10^-3)/10^-3</f>
        <v>#NAME?</v>
      </c>
      <c r="BD213" s="145" t="e">
        <f ca="1">IF(VACnom&gt;Vbat, Table7[[#This Row],[PRR (mW)]]+Table7[[#This Row],[Pdead (mW)]]+Table7[[#This Row],[Pgate_bottom (mW)]], Table7[[#This Row],[PIV (mW)]]+Table7[[#This Row],[Pqoss (mW)]]+Table7[[#This Row],[Pgate_bottom (mW)]])</f>
        <v>#NAME?</v>
      </c>
      <c r="BE213" s="147" t="e">
        <f ca="1">Table7[[#This Row],[Pcon_bottom (mW)]]+Table7[[#This Row],[Psw_bottom (mW)]]</f>
        <v>#NAME?</v>
      </c>
      <c r="BF213" s="145" t="e">
        <f ca="1">Table7[[#This Row],[Pbottom (mW)]]+Table7[[#This Row],[Ptop (mW)]]</f>
        <v>#NAME?</v>
      </c>
      <c r="BG213" s="142"/>
      <c r="BH213" s="145" t="e">
        <f>MAX(0,Table7[[#This Row],[I_L]]-0.5*Table7[[#This Row],[I_L pkpk]])</f>
        <v>#NAME?</v>
      </c>
      <c r="BI213" s="145" t="e">
        <f>Table7[[#This Row],[I_L]]+0.5*Table7[[#This Row],[I_L pkpk]]</f>
        <v>#NAME?</v>
      </c>
      <c r="BJ213" s="145">
        <f>IF(VACnom&gt;Vbat, (VGS_S-(C_MOSFET_S_VTH_H_BU+Table7[[#This Row],[I_L]]/C_MOSFET_S_gFS_H_BU))/3.4, (VGS_S-(C_MOSFET_S_VTH_L_BO+Table7[[#This Row],[I_L]]/C_MOSFET_S_gFS_L_BO))/3.4 )</f>
        <v>2.3395759803921568</v>
      </c>
      <c r="BK213" s="145">
        <f>IF(VACnom&gt;Vbat, ((C_MOSFET_S_VTH_H_BU+Table7[[#This Row],[I_L]]/C_MOSFET_S_gFS_H_BU))/1, ((C_MOSFET_S_VTH_L_BO+Table7[[#This Row],[I_L]]/C_MOSFET_S_gFS_L_BO))/1 )</f>
        <v>2.0454416666666666</v>
      </c>
      <c r="BL213" s="145">
        <f>IF(VACnom&gt;Vbat, (C_MOSFET_S_QGD_H_BU+C_MOSFET_S_QGS_H_BU)*10^-9/Table7[[#This Row],[Ion (A) C]], (C_MOSFET_S_QGD_L_BO+C_MOSFET_S_QGS_L_BO)*10^-9/Table7[[#This Row],[Ion (A) C]])/10^-9</f>
        <v>2.7782812161161266</v>
      </c>
      <c r="BM213" s="145">
        <f>IF(VACnom&gt;Vbat, (C_MOSFET_S_QGD_H_BU+C_MOSFET_S_QGS_H_BU)*10^-9/Table7[[#This Row],[Ioff (A) C]], (C_MOSFET_S_QGD_L_BO+C_MOSFET_S_QGS_L_BO)*10^-9/Table7[[#This Row],[Ioff (A) C]])/10^-9</f>
        <v>3.1777977861342093</v>
      </c>
      <c r="BN213" s="145" t="e">
        <f xml:space="preserve"> 0.5*VACnom*Table7[[#This Row],[Ivalley (A) C]]*Table7[[#This Row],[ton (ns) C]]*10^-9*Fsw*10^3+0.5*VACnom*Table7[[#This Row],[Ipeak (A) C]]*Table7[[#This Row],[toff (ns) C]]*10^-9*Fsw*10^3/10^-3</f>
        <v>#NAME?</v>
      </c>
      <c r="BO213" s="145">
        <f t="shared" si="35"/>
        <v>259.2</v>
      </c>
      <c r="BP213" s="145" t="e">
        <f t="shared" ca="1" si="36"/>
        <v>#REF!</v>
      </c>
      <c r="BQ213" s="145">
        <f t="shared" si="37"/>
        <v>475.2</v>
      </c>
      <c r="BR213" s="145" t="e">
        <f>IF(VACnom&gt;Vbat, C_MOSFET_S_VSD_L_BU*Table7[[#This Row],[Ivalley (A) C]]*Fsw*10^3*40*10^-9+C_MOSFET_S_VSD_L_BU*Table7[[#This Row],[Ipeak (A) C]]*Fsw*10^3*30*10^-9, C_MOSFET_S_VSD_H_BO*Table7[[#This Row],[Ivalley (A) C]]*Fsw*10^3*40*10^-9+C_MOSFET_S_VSD_H_BO*Table7[[#This Row],[Ipeak (A) C]]*Fsw*10^3*30*10^-9)/10^-3</f>
        <v>#NAME?</v>
      </c>
      <c r="BS213" s="145" t="e">
        <f t="shared" ca="1" si="38"/>
        <v>#REF!</v>
      </c>
      <c r="BT213" s="145" t="e">
        <f>IF(VACnom&lt;Vbat, Table7[[#This Row],[Duty Cycle]]*Table7[[#This Row],[I_L RMS]]^2*C_MOSFET_S_RDSON_H_BU*10^-3, (1-Table7[[#This Row],[Duty Cycle]])*Table7[[#This Row],[I_L RMS]]^2*C_MOSFET_S_RDSON_H_BO*10^-3)/10^-3</f>
        <v>#NAME?</v>
      </c>
      <c r="BU213" s="145" t="e">
        <f ca="1">IF(VACnom&gt;Vbat, Table7[[#This Row],[PIV (mW) C]]+Table7[[#This Row],[PQoss (mW) C]]+Table7[[#This Row],[Pgate_top (mW) C]], Table7[[#This Row],[PRR (mW) C]]+Table7[[#This Row],[Pdead (mW) C]]+Table7[[#This Row],[Pgate_top (mW) C]])</f>
        <v>#NAME?</v>
      </c>
      <c r="BV213" s="145" t="e">
        <f ca="1">Table7[[#This Row],[Pcon_top (mW) C]]+Table7[[#This Row],[Psw_top (mW) C]]</f>
        <v>#NAME?</v>
      </c>
      <c r="BW213" s="145" t="e">
        <f ca="1">IF(VACnom&gt;Vbat, (1-Table7[[#This Row],[Duty Cycle]])*Table7[[#This Row],[I_L RMS]]^2*C_MOSFET_S_RDSON_L_BU*10^-3, Table7[[#This Row],[Duty Cycle]]*Table7[[#This Row],[I_L RMS]]^2*C_MOSFET_S_RDSON_L_BO*10^-3)/10^-3</f>
        <v>#NAME?</v>
      </c>
      <c r="BX213" s="145" t="e">
        <f ca="1">IF(VACnom&gt;Vbat, Table7[[#This Row],[PRR (mW) C]]+Table7[[#This Row],[Pdead (mW) C]]+Table7[[#This Row],[Pgate_bottom (mW) C]], Table7[[#This Row],[PIV (mW) C]]+Table7[[#This Row],[PQoss (mW) C]]+Table7[[#This Row],[Pgate_bottom (mW) C]])</f>
        <v>#NAME?</v>
      </c>
      <c r="BY213" s="145" t="e">
        <f ca="1">Table7[[#This Row],[Pcon_bottom (mW) C]]+Table7[[#This Row],[Psw_bottom (mV) C]]</f>
        <v>#NAME?</v>
      </c>
      <c r="BZ213" s="145" t="e">
        <f ca="1">Table7[[#This Row],[Pbottom (mW) C]]+Table7[[#This Row],[Ptop (mW) C]]</f>
        <v>#NAME?</v>
      </c>
      <c r="CA213" s="148"/>
      <c r="CB213" s="144">
        <f>(RAC_SNS*10^-3*(Table7[[#This Row],[IOUT (A)]]*Vbat/VACnom)^2/10^-3)</f>
        <v>232.30632031249999</v>
      </c>
      <c r="CC213" s="144">
        <f>(RBAT_SNS*10^-3*Table7[[#This Row],[IOUT (A)]]^2)/10^-3</f>
        <v>162.45000000000002</v>
      </c>
      <c r="CD213" s="144">
        <f>IF(VACnom&gt;Vbat,(L_DRC*10^-3*(Table7[[#This Row],[IOUT (A)]])^2/10^-3),(L_DRC*10^-3*(Table7[[#This Row],[IOUT (A)]]*Vbat/VACnom)^2/10^-3))</f>
        <v>157.9682978125</v>
      </c>
      <c r="CE213" s="152"/>
      <c r="CF213" s="145">
        <f>(Table7[[#This Row],[R_AC (mW)]]+Table7[[#This Row],[R_SR (mW)]]+Table7[[#This Row],[Inductor Loss (mW)]])/10^3</f>
        <v>0.55272461812499996</v>
      </c>
      <c r="CG213" s="145" t="e">
        <f ca="1">Table7[[#This Row],[Total TI (mW)]]/10^3</f>
        <v>#NAME?</v>
      </c>
      <c r="CH213" s="145" t="e">
        <f ca="1">Table7[[#This Row],[Total Sense Loss]]+Table7[[#This Row],[Total MOSFET Loss]]</f>
        <v>#NAME?</v>
      </c>
      <c r="CI213" s="149" t="e">
        <f ca="1">IF(Table7[[#This Row],[POUT (W)]]=0,0,(Table7[[#This Row],[POUT (W)]])/(Table7[[#This Row],[POUT (W)]]+Table7[[#This Row],[Total Power Loss (W)]]))*100</f>
        <v>#NAME?</v>
      </c>
      <c r="CJ213" s="153"/>
      <c r="CK213" s="145">
        <f>(Table7[[#This Row],[R_AC (mW)]]+Table7[[#This Row],[R_SR (mW)]]+Table7[[#This Row],[Inductor Loss (mW)]])/10^3</f>
        <v>0.55272461812499996</v>
      </c>
      <c r="CL213" s="145" t="e">
        <f ca="1">Table7[[#This Row],[Total (mW) C]]/10^3</f>
        <v>#NAME?</v>
      </c>
      <c r="CM213" s="145" t="e">
        <f ca="1">Table7[[#This Row],[Total Sense Loss C]]+Table7[[#This Row],[Total MOSFET Loss C]]</f>
        <v>#NAME?</v>
      </c>
      <c r="CN213" s="149" t="e">
        <f ca="1">IF(Table7[[#This Row],[POUT (W)]]=0,0,(Table7[[#This Row],[POUT (W)]])/(Table7[[#This Row],[POUT (W)]]+Table7[[#This Row],[Total Power Loss (W) C]]))*100</f>
        <v>#NAME?</v>
      </c>
      <c r="CO213" s="153"/>
      <c r="CP213" s="149">
        <f>IF(MOSFET_S=Custom_MOSFET,Table7[[#This Row],[Total Sense Loss C]],Table7[[#This Row],[Total Sense Loss]])</f>
        <v>0.55272461812499996</v>
      </c>
      <c r="CQ213" s="149" t="e">
        <f ca="1">IF(MOSFET_S=Custom_MOSFET,Table7[[#This Row],[Total MOSFET Loss C]],Table7[[#This Row],[Total MOSFET Loss]])</f>
        <v>#NAME?</v>
      </c>
      <c r="CR213" s="149" t="e">
        <f ca="1">IF(MOSFET_S=Custom_MOSFET,Table7[[#This Row],[Efficiency C]],Table7[[#This Row],[Efficiency]])</f>
        <v>#NAME?</v>
      </c>
      <c r="CS213" s="153"/>
      <c r="CT213" s="149">
        <f>IF(MOSFET_S=Compare_MOSFET, Table7[[#This Row],[Total Sense Loss C]], -100)</f>
        <v>-100</v>
      </c>
      <c r="CU213" s="149">
        <f>IF(MOSFET_S=Compare_MOSFET, Table7[[#This Row],[Total MOSFET Loss C]], -100)</f>
        <v>-100</v>
      </c>
      <c r="CV213" s="149">
        <f>IF(MOSFET_S=Compare_MOSFET, Table7[[#This Row],[Efficiency C]], -100)</f>
        <v>-100</v>
      </c>
      <c r="CW213" s="153"/>
      <c r="CX213" s="149">
        <f ca="1">IF(Save_Sel=CLR_Save,  Table7[[#This Row],[Total Sense Loss P1]], Table7[[#This Row],[Total Sense Loss P1 Saved]])</f>
        <v>0.46349015625000006</v>
      </c>
      <c r="CY213" s="149">
        <f ca="1">IF(Save_Sel=CLR_Save,  Table7[[#This Row],[Total MOSFET Loss P1]], Table7[[#This Row],[Total MOSFET Loss P1 Saved]] )</f>
        <v>1.9398363533332381</v>
      </c>
      <c r="CZ213" s="149">
        <f ca="1">IF(Save_Sel=CLR_Save, Table7[[#This Row],[Efficiency P1]], Table7[[#This Row],[Efficiency P1 Saved]])</f>
        <v>93.434130887109362</v>
      </c>
      <c r="DA213" s="153"/>
      <c r="DB213" s="149">
        <f ca="1">IF(Save_Sel=CLR_Save,  Table7[[#This Row],[Total Sense Loss P2]], Table7[[#This Row],[Total Sense Loss P2 Saved]])</f>
        <v>0.46349015625000006</v>
      </c>
      <c r="DC213" s="149">
        <f ca="1">IF(Save_Sel=CLR_Save,  Table7[[#This Row],[Total MOSFET Loss P2]], Table7[[#This Row],[Total MOSFET Loss P2 Saved]] )</f>
        <v>1.3082489629935328</v>
      </c>
      <c r="DD213" s="149">
        <f ca="1">IF(Save_Sel=CLR_Save, Table7[[#This Row],[Efficiency P2]], Table7[[#This Row],[Efficiency P2 Saved]])</f>
        <v>95.07463591523792</v>
      </c>
      <c r="DE213" s="153"/>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row>
    <row r="214" spans="1:165" x14ac:dyDescent="0.2">
      <c r="A214" s="32"/>
      <c r="B214" s="49"/>
      <c r="C214" s="49"/>
      <c r="D214" s="32"/>
      <c r="E214" s="66"/>
      <c r="F214" s="66"/>
      <c r="G214" s="49"/>
      <c r="H214" s="29"/>
      <c r="I214" s="29"/>
      <c r="J214" s="29"/>
      <c r="K214" s="29"/>
      <c r="L214" s="29"/>
      <c r="M214" s="29"/>
      <c r="N214" s="29"/>
      <c r="O214" s="29"/>
      <c r="P214" s="29"/>
      <c r="Q214" s="29"/>
      <c r="R214" s="29"/>
      <c r="S214" s="30"/>
      <c r="T214" s="18"/>
      <c r="U214" s="19"/>
      <c r="V214" s="19"/>
      <c r="W214" s="19"/>
      <c r="X214" s="19"/>
      <c r="Y214" s="19"/>
      <c r="Z214" s="19"/>
      <c r="AA214" s="19"/>
      <c r="AB214" s="19"/>
      <c r="AC214" s="19"/>
      <c r="AD214" s="19"/>
      <c r="AE214" s="19"/>
      <c r="AF214" s="143">
        <f t="shared" si="17"/>
        <v>58</v>
      </c>
      <c r="AG214" s="143">
        <f t="shared" si="39"/>
        <v>5.8</v>
      </c>
      <c r="AH214" s="144">
        <f t="shared" si="28"/>
        <v>139.19999999999999</v>
      </c>
      <c r="AI214" s="145">
        <f t="shared" si="29"/>
        <v>0.16376306620209058</v>
      </c>
      <c r="AJ214" s="145">
        <f t="shared" si="30"/>
        <v>6.9358333333333331</v>
      </c>
      <c r="AK214" s="145" t="e">
        <f t="shared" si="26"/>
        <v>#NAME?</v>
      </c>
      <c r="AL214" s="145" t="e">
        <f t="shared" si="27"/>
        <v>#NAME?</v>
      </c>
      <c r="AM214" s="146"/>
      <c r="AN214" s="145" t="e">
        <f>MAX(0,Table7[[#This Row],[I_L]]-0.5*Table7[[#This Row],[I_L pkpk]])</f>
        <v>#NAME?</v>
      </c>
      <c r="AO214" s="145" t="e">
        <f>Table7[[#This Row],[I_L]]+0.5*Table7[[#This Row],[I_L pkpk]]</f>
        <v>#NAME?</v>
      </c>
      <c r="AP214" s="145" t="e">
        <f ca="1">IF(VACnom&gt;Vbat, (VGS_S-(TI_MOSFET_S_VTH_H_BU+Table7[[#This Row],[I_L]]/TI_MOSFET_S_gFS_H_BU))/3.4, (VGS_S-(TI_MOSFET_S_VTH_L_BO+Table7[[#This Row],[I_L]]/TI_MOSFET_S_gFS_L_BO))/3.4 )</f>
        <v>#REF!</v>
      </c>
      <c r="AQ214" s="145" t="e">
        <f ca="1">IF(VACnom&gt;Vbat, ((TI_MOSFET_S_VTH_H_BU+Table7[[#This Row],[I_L]]/TI_MOSFET_S_gFS_H_BU))/1, ((TI_MOSFET_S_VTH_L_BO+Table7[[#This Row],[I_L]]/TI_MOSFET_S_gFS_L_BO))/1 )</f>
        <v>#REF!</v>
      </c>
      <c r="AR214" s="145" t="e">
        <f ca="1">IF(VACnom&gt;Vbat, (TI_MOSFET_S_QGD_H_BU+TI_MOSFET_S_QGS_H_BU)*10^-9/Table7[[#This Row],[Ion (A)]], (TI_MOSFET_S_QGD_L_BO+TI_MOSFET_S_QGS_L_BO)*10^-9/Table7[[#This Row],[Ion (A)]])/10^-9</f>
        <v>#REF!</v>
      </c>
      <c r="AS214" s="145" t="e">
        <f ca="1">IF(VACnom&gt;Vbat, (TI_MOSFET_S_QGD_H_BU+TI_MOSFET_S_QGS_H_BU)*10^-9/Table7[[#This Row],[Ioff (A)]], (TI_MOSFET_S_QGD_L_BO+TI_MOSFET_S_QGS_L_BO)*10^-9/Table7[[#This Row],[Ioff (A)]])/10^-9</f>
        <v>#REF!</v>
      </c>
      <c r="AT214" s="145" t="e">
        <f ca="1" xml:space="preserve"> 0.5*VACnom*Table7[[#This Row],[Ivalley (A)]]*Table7[[#This Row],[ton (ns)]]*10^-9*Fsw*10^3+0.5*VACnom*Table7[[#This Row],[Ipeak (A)]]*Table7[[#This Row],[toff (ns)]]*10^-9*Fsw*10^3/10^-3</f>
        <v>#NAME?</v>
      </c>
      <c r="AU214" s="145" t="e">
        <f t="shared" ca="1" si="31"/>
        <v>#REF!</v>
      </c>
      <c r="AV214" s="145" t="e">
        <f t="shared" ca="1" si="32"/>
        <v>#REF!</v>
      </c>
      <c r="AW214" s="145" t="e">
        <f t="shared" ca="1" si="33"/>
        <v>#REF!</v>
      </c>
      <c r="AX214" s="145" t="e">
        <f ca="1">IF(VACnom&gt;Vbat, TI_MOSFET_S_VSD_L_BU*Table7[[#This Row],[Ivalley (A)]]*Fsw*10^3*40*10^-9+TI_MOSFET_S_VSD_L_BU*Table7[[#This Row],[Ipeak (A)]]*Fsw*10^3*30*10^-9, TI_MOSFET_S_VSD_H_BO*Table7[[#This Row],[Ivalley (A)]]*Fsw*10^3*40*10^-9+TI_MOSFET_S_VSD_H_BO*Table7[[#This Row],[Ipeak (A)]]*Fsw*10^3*30*10^-9)/10^-3</f>
        <v>#REF!</v>
      </c>
      <c r="AY214" s="145" t="e">
        <f t="shared" ca="1" si="34"/>
        <v>#REF!</v>
      </c>
      <c r="AZ214" s="145" t="e">
        <f ca="1">IF(VACnom&lt;Vbat, Table7[[#This Row],[Duty Cycle]]*Table7[[#This Row],[I_L RMS]]^2*TI_MOSFET_S_RDSON_H_BU*10^-3, (1-Table7[[#This Row],[Duty Cycle]])*Table7[[#This Row],[I_L RMS]]^2*TI_MOSFET_S_RDSON_H_BO*10^-3)/10^-3</f>
        <v>#NAME?</v>
      </c>
      <c r="BA214" s="145" t="e">
        <f ca="1">IF(VACnom&gt;Vbat, Table7[[#This Row],[PIV (mW)]]+Table7[[#This Row],[Pqoss (mW)]]+Table7[[#This Row],[Pgate_top (mW)]], Table7[[#This Row],[PRR (mW)]]+Table7[[#This Row],[Pdead (mW)]]+Table7[[#This Row],[Pgate_top (mW)]])</f>
        <v>#REF!</v>
      </c>
      <c r="BB214" s="145" t="e">
        <f ca="1">Table7[[#This Row],[Pcon_top (mW)]]+Table7[[#This Row],[Psw_top (mW)]]</f>
        <v>#NAME?</v>
      </c>
      <c r="BC214" s="145" t="e">
        <f ca="1">IF(VACnom&gt;Vbat, (1-Table7[[#This Row],[Duty Cycle]])*Table7[[#This Row],[I_L RMS]]^2*TI_MOSFET_S_RDSON_L_BU*10^-3, Table7[[#This Row],[Duty Cycle]]*Table7[[#This Row],[I_L RMS]]^2*TI_MOSFET_S_RDSON_L_BO*10^-3)/10^-3</f>
        <v>#NAME?</v>
      </c>
      <c r="BD214" s="145" t="e">
        <f ca="1">IF(VACnom&gt;Vbat, Table7[[#This Row],[PRR (mW)]]+Table7[[#This Row],[Pdead (mW)]]+Table7[[#This Row],[Pgate_bottom (mW)]], Table7[[#This Row],[PIV (mW)]]+Table7[[#This Row],[Pqoss (mW)]]+Table7[[#This Row],[Pgate_bottom (mW)]])</f>
        <v>#NAME?</v>
      </c>
      <c r="BE214" s="147" t="e">
        <f ca="1">Table7[[#This Row],[Pcon_bottom (mW)]]+Table7[[#This Row],[Psw_bottom (mW)]]</f>
        <v>#NAME?</v>
      </c>
      <c r="BF214" s="145" t="e">
        <f ca="1">Table7[[#This Row],[Pbottom (mW)]]+Table7[[#This Row],[Ptop (mW)]]</f>
        <v>#NAME?</v>
      </c>
      <c r="BG214" s="142"/>
      <c r="BH214" s="145" t="e">
        <f>MAX(0,Table7[[#This Row],[I_L]]-0.5*Table7[[#This Row],[I_L pkpk]])</f>
        <v>#NAME?</v>
      </c>
      <c r="BI214" s="145" t="e">
        <f>Table7[[#This Row],[I_L]]+0.5*Table7[[#This Row],[I_L pkpk]]</f>
        <v>#NAME?</v>
      </c>
      <c r="BJ214" s="145">
        <f>IF(VACnom&gt;Vbat, (VGS_S-(C_MOSFET_S_VTH_H_BU+Table7[[#This Row],[I_L]]/C_MOSFET_S_gFS_H_BU))/3.4, (VGS_S-(C_MOSFET_S_VTH_L_BO+Table7[[#This Row],[I_L]]/C_MOSFET_S_gFS_L_BO))/3.4 )</f>
        <v>2.3393415032679741</v>
      </c>
      <c r="BK214" s="145">
        <f>IF(VACnom&gt;Vbat, ((C_MOSFET_S_VTH_H_BU+Table7[[#This Row],[I_L]]/C_MOSFET_S_gFS_H_BU))/1, ((C_MOSFET_S_VTH_L_BO+Table7[[#This Row],[I_L]]/C_MOSFET_S_gFS_L_BO))/1 )</f>
        <v>2.0462388888888889</v>
      </c>
      <c r="BL214" s="145">
        <f>IF(VACnom&gt;Vbat, (C_MOSFET_S_QGD_H_BU+C_MOSFET_S_QGS_H_BU)*10^-9/Table7[[#This Row],[Ion (A) C]], (C_MOSFET_S_QGD_L_BO+C_MOSFET_S_QGS_L_BO)*10^-9/Table7[[#This Row],[Ion (A) C]])/10^-9</f>
        <v>2.7785596890918831</v>
      </c>
      <c r="BM214" s="145">
        <f>IF(VACnom&gt;Vbat, (C_MOSFET_S_QGD_H_BU+C_MOSFET_S_QGS_H_BU)*10^-9/Table7[[#This Row],[Ioff (A) C]], (C_MOSFET_S_QGD_L_BO+C_MOSFET_S_QGS_L_BO)*10^-9/Table7[[#This Row],[Ioff (A) C]])/10^-9</f>
        <v>3.1765597043898968</v>
      </c>
      <c r="BN214" s="145" t="e">
        <f xml:space="preserve"> 0.5*VACnom*Table7[[#This Row],[Ivalley (A) C]]*Table7[[#This Row],[ton (ns) C]]*10^-9*Fsw*10^3+0.5*VACnom*Table7[[#This Row],[Ipeak (A) C]]*Table7[[#This Row],[toff (ns) C]]*10^-9*Fsw*10^3/10^-3</f>
        <v>#NAME?</v>
      </c>
      <c r="BO214" s="145">
        <f t="shared" si="35"/>
        <v>259.2</v>
      </c>
      <c r="BP214" s="145" t="e">
        <f t="shared" ca="1" si="36"/>
        <v>#REF!</v>
      </c>
      <c r="BQ214" s="145">
        <f t="shared" si="37"/>
        <v>475.2</v>
      </c>
      <c r="BR214" s="145" t="e">
        <f>IF(VACnom&gt;Vbat, C_MOSFET_S_VSD_L_BU*Table7[[#This Row],[Ivalley (A) C]]*Fsw*10^3*40*10^-9+C_MOSFET_S_VSD_L_BU*Table7[[#This Row],[Ipeak (A) C]]*Fsw*10^3*30*10^-9, C_MOSFET_S_VSD_H_BO*Table7[[#This Row],[Ivalley (A) C]]*Fsw*10^3*40*10^-9+C_MOSFET_S_VSD_H_BO*Table7[[#This Row],[Ipeak (A) C]]*Fsw*10^3*30*10^-9)/10^-3</f>
        <v>#NAME?</v>
      </c>
      <c r="BS214" s="145" t="e">
        <f t="shared" ca="1" si="38"/>
        <v>#REF!</v>
      </c>
      <c r="BT214" s="145" t="e">
        <f>IF(VACnom&lt;Vbat, Table7[[#This Row],[Duty Cycle]]*Table7[[#This Row],[I_L RMS]]^2*C_MOSFET_S_RDSON_H_BU*10^-3, (1-Table7[[#This Row],[Duty Cycle]])*Table7[[#This Row],[I_L RMS]]^2*C_MOSFET_S_RDSON_H_BO*10^-3)/10^-3</f>
        <v>#NAME?</v>
      </c>
      <c r="BU214" s="145" t="e">
        <f ca="1">IF(VACnom&gt;Vbat, Table7[[#This Row],[PIV (mW) C]]+Table7[[#This Row],[PQoss (mW) C]]+Table7[[#This Row],[Pgate_top (mW) C]], Table7[[#This Row],[PRR (mW) C]]+Table7[[#This Row],[Pdead (mW) C]]+Table7[[#This Row],[Pgate_top (mW) C]])</f>
        <v>#NAME?</v>
      </c>
      <c r="BV214" s="145" t="e">
        <f ca="1">Table7[[#This Row],[Pcon_top (mW) C]]+Table7[[#This Row],[Psw_top (mW) C]]</f>
        <v>#NAME?</v>
      </c>
      <c r="BW214" s="145" t="e">
        <f ca="1">IF(VACnom&gt;Vbat, (1-Table7[[#This Row],[Duty Cycle]])*Table7[[#This Row],[I_L RMS]]^2*C_MOSFET_S_RDSON_L_BU*10^-3, Table7[[#This Row],[Duty Cycle]]*Table7[[#This Row],[I_L RMS]]^2*C_MOSFET_S_RDSON_L_BO*10^-3)/10^-3</f>
        <v>#NAME?</v>
      </c>
      <c r="BX214" s="145" t="e">
        <f ca="1">IF(VACnom&gt;Vbat, Table7[[#This Row],[PRR (mW) C]]+Table7[[#This Row],[Pdead (mW) C]]+Table7[[#This Row],[Pgate_bottom (mW) C]], Table7[[#This Row],[PIV (mW) C]]+Table7[[#This Row],[PQoss (mW) C]]+Table7[[#This Row],[Pgate_bottom (mW) C]])</f>
        <v>#NAME?</v>
      </c>
      <c r="BY214" s="145" t="e">
        <f ca="1">Table7[[#This Row],[Pcon_bottom (mW) C]]+Table7[[#This Row],[Psw_bottom (mV) C]]</f>
        <v>#NAME?</v>
      </c>
      <c r="BZ214" s="145" t="e">
        <f ca="1">Table7[[#This Row],[Pbottom (mW) C]]+Table7[[#This Row],[Ptop (mW) C]]</f>
        <v>#NAME?</v>
      </c>
      <c r="CA214" s="148"/>
      <c r="CB214" s="144">
        <f>(RAC_SNS*10^-3*(Table7[[#This Row],[IOUT (A)]]*Vbat/VACnom)^2/10^-3)</f>
        <v>240.52892013888879</v>
      </c>
      <c r="CC214" s="144">
        <f>(RBAT_SNS*10^-3*Table7[[#This Row],[IOUT (A)]]^2)/10^-3</f>
        <v>168.20000000000002</v>
      </c>
      <c r="CD214" s="144">
        <f>IF(VACnom&gt;Vbat,(L_DRC*10^-3*(Table7[[#This Row],[IOUT (A)]])^2/10^-3),(L_DRC*10^-3*(Table7[[#This Row],[IOUT (A)]]*Vbat/VACnom)^2/10^-3))</f>
        <v>163.55966569444439</v>
      </c>
      <c r="CE214" s="152"/>
      <c r="CF214" s="145">
        <f>(Table7[[#This Row],[R_AC (mW)]]+Table7[[#This Row],[R_SR (mW)]]+Table7[[#This Row],[Inductor Loss (mW)]])/10^3</f>
        <v>0.5722885858333332</v>
      </c>
      <c r="CG214" s="145" t="e">
        <f ca="1">Table7[[#This Row],[Total TI (mW)]]/10^3</f>
        <v>#NAME?</v>
      </c>
      <c r="CH214" s="145" t="e">
        <f ca="1">Table7[[#This Row],[Total Sense Loss]]+Table7[[#This Row],[Total MOSFET Loss]]</f>
        <v>#NAME?</v>
      </c>
      <c r="CI214" s="149" t="e">
        <f ca="1">IF(Table7[[#This Row],[POUT (W)]]=0,0,(Table7[[#This Row],[POUT (W)]])/(Table7[[#This Row],[POUT (W)]]+Table7[[#This Row],[Total Power Loss (W)]]))*100</f>
        <v>#NAME?</v>
      </c>
      <c r="CJ214" s="153"/>
      <c r="CK214" s="145">
        <f>(Table7[[#This Row],[R_AC (mW)]]+Table7[[#This Row],[R_SR (mW)]]+Table7[[#This Row],[Inductor Loss (mW)]])/10^3</f>
        <v>0.5722885858333332</v>
      </c>
      <c r="CL214" s="145" t="e">
        <f ca="1">Table7[[#This Row],[Total (mW) C]]/10^3</f>
        <v>#NAME?</v>
      </c>
      <c r="CM214" s="145" t="e">
        <f ca="1">Table7[[#This Row],[Total Sense Loss C]]+Table7[[#This Row],[Total MOSFET Loss C]]</f>
        <v>#NAME?</v>
      </c>
      <c r="CN214" s="149" t="e">
        <f ca="1">IF(Table7[[#This Row],[POUT (W)]]=0,0,(Table7[[#This Row],[POUT (W)]])/(Table7[[#This Row],[POUT (W)]]+Table7[[#This Row],[Total Power Loss (W) C]]))*100</f>
        <v>#NAME?</v>
      </c>
      <c r="CO214" s="153"/>
      <c r="CP214" s="149">
        <f>IF(MOSFET_S=Custom_MOSFET,Table7[[#This Row],[Total Sense Loss C]],Table7[[#This Row],[Total Sense Loss]])</f>
        <v>0.5722885858333332</v>
      </c>
      <c r="CQ214" s="149" t="e">
        <f ca="1">IF(MOSFET_S=Custom_MOSFET,Table7[[#This Row],[Total MOSFET Loss C]],Table7[[#This Row],[Total MOSFET Loss]])</f>
        <v>#NAME?</v>
      </c>
      <c r="CR214" s="149" t="e">
        <f ca="1">IF(MOSFET_S=Custom_MOSFET,Table7[[#This Row],[Efficiency C]],Table7[[#This Row],[Efficiency]])</f>
        <v>#NAME?</v>
      </c>
      <c r="CS214" s="153"/>
      <c r="CT214" s="149">
        <f>IF(MOSFET_S=Compare_MOSFET, Table7[[#This Row],[Total Sense Loss C]], -100)</f>
        <v>-100</v>
      </c>
      <c r="CU214" s="149">
        <f>IF(MOSFET_S=Compare_MOSFET, Table7[[#This Row],[Total MOSFET Loss C]], -100)</f>
        <v>-100</v>
      </c>
      <c r="CV214" s="149">
        <f>IF(MOSFET_S=Compare_MOSFET, Table7[[#This Row],[Efficiency C]], -100)</f>
        <v>-100</v>
      </c>
      <c r="CW214" s="153"/>
      <c r="CX214" s="149">
        <f ca="1">IF(Save_Sel=CLR_Save,  Table7[[#This Row],[Total Sense Loss P1]], Table7[[#This Row],[Total Sense Loss P1 Saved]])</f>
        <v>0.4798956250000001</v>
      </c>
      <c r="CY214" s="149">
        <f ca="1">IF(Save_Sel=CLR_Save,  Table7[[#This Row],[Total MOSFET Loss P1]], Table7[[#This Row],[Total MOSFET Loss P1 Saved]] )</f>
        <v>1.9501257671142336</v>
      </c>
      <c r="CZ214" s="149">
        <f ca="1">IF(Save_Sel=CLR_Save, Table7[[#This Row],[Efficiency P1]], Table7[[#This Row],[Efficiency P1 Saved]])</f>
        <v>93.472951931666245</v>
      </c>
      <c r="DA214" s="153"/>
      <c r="DB214" s="149">
        <f ca="1">IF(Save_Sel=CLR_Save,  Table7[[#This Row],[Total Sense Loss P2]], Table7[[#This Row],[Total Sense Loss P2 Saved]])</f>
        <v>0.4798956250000001</v>
      </c>
      <c r="DC214" s="149">
        <f ca="1">IF(Save_Sel=CLR_Save,  Table7[[#This Row],[Total MOSFET Loss P2]], Table7[[#This Row],[Total MOSFET Loss P2 Saved]] )</f>
        <v>1.3167653891278031</v>
      </c>
      <c r="DD214" s="149">
        <f ca="1">IF(Save_Sel=CLR_Save, Table7[[#This Row],[Efficiency P2]], Table7[[#This Row],[Efficiency P2 Saved]])</f>
        <v>95.090642248935708</v>
      </c>
      <c r="DE214" s="153"/>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row>
    <row r="215" spans="1:165" x14ac:dyDescent="0.2">
      <c r="A215" s="32"/>
      <c r="B215" s="49"/>
      <c r="C215" s="49"/>
      <c r="D215" s="32"/>
      <c r="E215" s="66"/>
      <c r="F215" s="66"/>
      <c r="G215" s="49"/>
      <c r="H215" s="29"/>
      <c r="I215" s="29"/>
      <c r="J215" s="29"/>
      <c r="K215" s="29"/>
      <c r="L215" s="29"/>
      <c r="M215" s="29"/>
      <c r="N215" s="29"/>
      <c r="O215" s="29"/>
      <c r="P215" s="29"/>
      <c r="Q215" s="29"/>
      <c r="R215" s="29"/>
      <c r="S215" s="30"/>
      <c r="T215" s="18"/>
      <c r="U215" s="19"/>
      <c r="V215" s="19"/>
      <c r="W215" s="19"/>
      <c r="X215" s="19"/>
      <c r="Y215" s="19"/>
      <c r="Z215" s="19"/>
      <c r="AA215" s="19"/>
      <c r="AB215" s="19"/>
      <c r="AC215" s="19"/>
      <c r="AD215" s="19"/>
      <c r="AE215" s="19"/>
      <c r="AF215" s="143">
        <f t="shared" si="17"/>
        <v>59</v>
      </c>
      <c r="AG215" s="143">
        <f t="shared" si="39"/>
        <v>5.9</v>
      </c>
      <c r="AH215" s="144">
        <f t="shared" si="28"/>
        <v>141.60000000000002</v>
      </c>
      <c r="AI215" s="145">
        <f t="shared" si="29"/>
        <v>0.16376306620209058</v>
      </c>
      <c r="AJ215" s="145">
        <f t="shared" si="30"/>
        <v>7.0554166666666669</v>
      </c>
      <c r="AK215" s="145" t="e">
        <f t="shared" si="26"/>
        <v>#NAME?</v>
      </c>
      <c r="AL215" s="145" t="e">
        <f t="shared" si="27"/>
        <v>#NAME?</v>
      </c>
      <c r="AM215" s="146"/>
      <c r="AN215" s="145" t="e">
        <f>MAX(0,Table7[[#This Row],[I_L]]-0.5*Table7[[#This Row],[I_L pkpk]])</f>
        <v>#NAME?</v>
      </c>
      <c r="AO215" s="145" t="e">
        <f>Table7[[#This Row],[I_L]]+0.5*Table7[[#This Row],[I_L pkpk]]</f>
        <v>#NAME?</v>
      </c>
      <c r="AP215" s="145" t="e">
        <f ca="1">IF(VACnom&gt;Vbat, (VGS_S-(TI_MOSFET_S_VTH_H_BU+Table7[[#This Row],[I_L]]/TI_MOSFET_S_gFS_H_BU))/3.4, (VGS_S-(TI_MOSFET_S_VTH_L_BO+Table7[[#This Row],[I_L]]/TI_MOSFET_S_gFS_L_BO))/3.4 )</f>
        <v>#REF!</v>
      </c>
      <c r="AQ215" s="145" t="e">
        <f ca="1">IF(VACnom&gt;Vbat, ((TI_MOSFET_S_VTH_H_BU+Table7[[#This Row],[I_L]]/TI_MOSFET_S_gFS_H_BU))/1, ((TI_MOSFET_S_VTH_L_BO+Table7[[#This Row],[I_L]]/TI_MOSFET_S_gFS_L_BO))/1 )</f>
        <v>#REF!</v>
      </c>
      <c r="AR215" s="145" t="e">
        <f ca="1">IF(VACnom&gt;Vbat, (TI_MOSFET_S_QGD_H_BU+TI_MOSFET_S_QGS_H_BU)*10^-9/Table7[[#This Row],[Ion (A)]], (TI_MOSFET_S_QGD_L_BO+TI_MOSFET_S_QGS_L_BO)*10^-9/Table7[[#This Row],[Ion (A)]])/10^-9</f>
        <v>#REF!</v>
      </c>
      <c r="AS215" s="145" t="e">
        <f ca="1">IF(VACnom&gt;Vbat, (TI_MOSFET_S_QGD_H_BU+TI_MOSFET_S_QGS_H_BU)*10^-9/Table7[[#This Row],[Ioff (A)]], (TI_MOSFET_S_QGD_L_BO+TI_MOSFET_S_QGS_L_BO)*10^-9/Table7[[#This Row],[Ioff (A)]])/10^-9</f>
        <v>#REF!</v>
      </c>
      <c r="AT215" s="145" t="e">
        <f ca="1" xml:space="preserve"> 0.5*VACnom*Table7[[#This Row],[Ivalley (A)]]*Table7[[#This Row],[ton (ns)]]*10^-9*Fsw*10^3+0.5*VACnom*Table7[[#This Row],[Ipeak (A)]]*Table7[[#This Row],[toff (ns)]]*10^-9*Fsw*10^3/10^-3</f>
        <v>#NAME?</v>
      </c>
      <c r="AU215" s="145" t="e">
        <f t="shared" ca="1" si="31"/>
        <v>#REF!</v>
      </c>
      <c r="AV215" s="145" t="e">
        <f t="shared" ca="1" si="32"/>
        <v>#REF!</v>
      </c>
      <c r="AW215" s="145" t="e">
        <f t="shared" ca="1" si="33"/>
        <v>#REF!</v>
      </c>
      <c r="AX215" s="145" t="e">
        <f ca="1">IF(VACnom&gt;Vbat, TI_MOSFET_S_VSD_L_BU*Table7[[#This Row],[Ivalley (A)]]*Fsw*10^3*40*10^-9+TI_MOSFET_S_VSD_L_BU*Table7[[#This Row],[Ipeak (A)]]*Fsw*10^3*30*10^-9, TI_MOSFET_S_VSD_H_BO*Table7[[#This Row],[Ivalley (A)]]*Fsw*10^3*40*10^-9+TI_MOSFET_S_VSD_H_BO*Table7[[#This Row],[Ipeak (A)]]*Fsw*10^3*30*10^-9)/10^-3</f>
        <v>#REF!</v>
      </c>
      <c r="AY215" s="145" t="e">
        <f t="shared" ca="1" si="34"/>
        <v>#REF!</v>
      </c>
      <c r="AZ215" s="145" t="e">
        <f ca="1">IF(VACnom&lt;Vbat, Table7[[#This Row],[Duty Cycle]]*Table7[[#This Row],[I_L RMS]]^2*TI_MOSFET_S_RDSON_H_BU*10^-3, (1-Table7[[#This Row],[Duty Cycle]])*Table7[[#This Row],[I_L RMS]]^2*TI_MOSFET_S_RDSON_H_BO*10^-3)/10^-3</f>
        <v>#NAME?</v>
      </c>
      <c r="BA215" s="145" t="e">
        <f ca="1">IF(VACnom&gt;Vbat, Table7[[#This Row],[PIV (mW)]]+Table7[[#This Row],[Pqoss (mW)]]+Table7[[#This Row],[Pgate_top (mW)]], Table7[[#This Row],[PRR (mW)]]+Table7[[#This Row],[Pdead (mW)]]+Table7[[#This Row],[Pgate_top (mW)]])</f>
        <v>#REF!</v>
      </c>
      <c r="BB215" s="145" t="e">
        <f ca="1">Table7[[#This Row],[Pcon_top (mW)]]+Table7[[#This Row],[Psw_top (mW)]]</f>
        <v>#NAME?</v>
      </c>
      <c r="BC215" s="145" t="e">
        <f ca="1">IF(VACnom&gt;Vbat, (1-Table7[[#This Row],[Duty Cycle]])*Table7[[#This Row],[I_L RMS]]^2*TI_MOSFET_S_RDSON_L_BU*10^-3, Table7[[#This Row],[Duty Cycle]]*Table7[[#This Row],[I_L RMS]]^2*TI_MOSFET_S_RDSON_L_BO*10^-3)/10^-3</f>
        <v>#NAME?</v>
      </c>
      <c r="BD215" s="145" t="e">
        <f ca="1">IF(VACnom&gt;Vbat, Table7[[#This Row],[PRR (mW)]]+Table7[[#This Row],[Pdead (mW)]]+Table7[[#This Row],[Pgate_bottom (mW)]], Table7[[#This Row],[PIV (mW)]]+Table7[[#This Row],[Pqoss (mW)]]+Table7[[#This Row],[Pgate_bottom (mW)]])</f>
        <v>#NAME?</v>
      </c>
      <c r="BE215" s="147" t="e">
        <f ca="1">Table7[[#This Row],[Pcon_bottom (mW)]]+Table7[[#This Row],[Psw_bottom (mW)]]</f>
        <v>#NAME?</v>
      </c>
      <c r="BF215" s="145" t="e">
        <f ca="1">Table7[[#This Row],[Pbottom (mW)]]+Table7[[#This Row],[Ptop (mW)]]</f>
        <v>#NAME?</v>
      </c>
      <c r="BG215" s="142"/>
      <c r="BH215" s="145" t="e">
        <f>MAX(0,Table7[[#This Row],[I_L]]-0.5*Table7[[#This Row],[I_L pkpk]])</f>
        <v>#NAME?</v>
      </c>
      <c r="BI215" s="145" t="e">
        <f>Table7[[#This Row],[I_L]]+0.5*Table7[[#This Row],[I_L pkpk]]</f>
        <v>#NAME?</v>
      </c>
      <c r="BJ215" s="145">
        <f>IF(VACnom&gt;Vbat, (VGS_S-(C_MOSFET_S_VTH_H_BU+Table7[[#This Row],[I_L]]/C_MOSFET_S_gFS_H_BU))/3.4, (VGS_S-(C_MOSFET_S_VTH_L_BO+Table7[[#This Row],[I_L]]/C_MOSFET_S_gFS_L_BO))/3.4 )</f>
        <v>2.3391070261437905</v>
      </c>
      <c r="BK215" s="145">
        <f>IF(VACnom&gt;Vbat, ((C_MOSFET_S_VTH_H_BU+Table7[[#This Row],[I_L]]/C_MOSFET_S_gFS_H_BU))/1, ((C_MOSFET_S_VTH_L_BO+Table7[[#This Row],[I_L]]/C_MOSFET_S_gFS_L_BO))/1 )</f>
        <v>2.0470361111111113</v>
      </c>
      <c r="BL215" s="145">
        <f>IF(VACnom&gt;Vbat, (C_MOSFET_S_QGD_H_BU+C_MOSFET_S_QGS_H_BU)*10^-9/Table7[[#This Row],[Ion (A) C]], (C_MOSFET_S_QGD_L_BO+C_MOSFET_S_QGS_L_BO)*10^-9/Table7[[#This Row],[Ion (A) C]])/10^-9</f>
        <v>2.7788382178971016</v>
      </c>
      <c r="BM215" s="145">
        <f>IF(VACnom&gt;Vbat, (C_MOSFET_S_QGD_H_BU+C_MOSFET_S_QGS_H_BU)*10^-9/Table7[[#This Row],[Ioff (A) C]], (C_MOSFET_S_QGD_L_BO+C_MOSFET_S_QGS_L_BO)*10^-9/Table7[[#This Row],[Ioff (A) C]])/10^-9</f>
        <v>3.1753225869923045</v>
      </c>
      <c r="BN215" s="145" t="e">
        <f xml:space="preserve"> 0.5*VACnom*Table7[[#This Row],[Ivalley (A) C]]*Table7[[#This Row],[ton (ns) C]]*10^-9*Fsw*10^3+0.5*VACnom*Table7[[#This Row],[Ipeak (A) C]]*Table7[[#This Row],[toff (ns) C]]*10^-9*Fsw*10^3/10^-3</f>
        <v>#NAME?</v>
      </c>
      <c r="BO215" s="145">
        <f t="shared" si="35"/>
        <v>259.2</v>
      </c>
      <c r="BP215" s="145" t="e">
        <f t="shared" ca="1" si="36"/>
        <v>#REF!</v>
      </c>
      <c r="BQ215" s="145">
        <f t="shared" si="37"/>
        <v>475.2</v>
      </c>
      <c r="BR215" s="145" t="e">
        <f>IF(VACnom&gt;Vbat, C_MOSFET_S_VSD_L_BU*Table7[[#This Row],[Ivalley (A) C]]*Fsw*10^3*40*10^-9+C_MOSFET_S_VSD_L_BU*Table7[[#This Row],[Ipeak (A) C]]*Fsw*10^3*30*10^-9, C_MOSFET_S_VSD_H_BO*Table7[[#This Row],[Ivalley (A) C]]*Fsw*10^3*40*10^-9+C_MOSFET_S_VSD_H_BO*Table7[[#This Row],[Ipeak (A) C]]*Fsw*10^3*30*10^-9)/10^-3</f>
        <v>#NAME?</v>
      </c>
      <c r="BS215" s="145" t="e">
        <f t="shared" ca="1" si="38"/>
        <v>#REF!</v>
      </c>
      <c r="BT215" s="145" t="e">
        <f>IF(VACnom&lt;Vbat, Table7[[#This Row],[Duty Cycle]]*Table7[[#This Row],[I_L RMS]]^2*C_MOSFET_S_RDSON_H_BU*10^-3, (1-Table7[[#This Row],[Duty Cycle]])*Table7[[#This Row],[I_L RMS]]^2*C_MOSFET_S_RDSON_H_BO*10^-3)/10^-3</f>
        <v>#NAME?</v>
      </c>
      <c r="BU215" s="145" t="e">
        <f ca="1">IF(VACnom&gt;Vbat, Table7[[#This Row],[PIV (mW) C]]+Table7[[#This Row],[PQoss (mW) C]]+Table7[[#This Row],[Pgate_top (mW) C]], Table7[[#This Row],[PRR (mW) C]]+Table7[[#This Row],[Pdead (mW) C]]+Table7[[#This Row],[Pgate_top (mW) C]])</f>
        <v>#NAME?</v>
      </c>
      <c r="BV215" s="145" t="e">
        <f ca="1">Table7[[#This Row],[Pcon_top (mW) C]]+Table7[[#This Row],[Psw_top (mW) C]]</f>
        <v>#NAME?</v>
      </c>
      <c r="BW215" s="145" t="e">
        <f ca="1">IF(VACnom&gt;Vbat, (1-Table7[[#This Row],[Duty Cycle]])*Table7[[#This Row],[I_L RMS]]^2*C_MOSFET_S_RDSON_L_BU*10^-3, Table7[[#This Row],[Duty Cycle]]*Table7[[#This Row],[I_L RMS]]^2*C_MOSFET_S_RDSON_L_BO*10^-3)/10^-3</f>
        <v>#NAME?</v>
      </c>
      <c r="BX215" s="145" t="e">
        <f ca="1">IF(VACnom&gt;Vbat, Table7[[#This Row],[PRR (mW) C]]+Table7[[#This Row],[Pdead (mW) C]]+Table7[[#This Row],[Pgate_bottom (mW) C]], Table7[[#This Row],[PIV (mW) C]]+Table7[[#This Row],[PQoss (mW) C]]+Table7[[#This Row],[Pgate_bottom (mW) C]])</f>
        <v>#NAME?</v>
      </c>
      <c r="BY215" s="145" t="e">
        <f ca="1">Table7[[#This Row],[Pcon_bottom (mW) C]]+Table7[[#This Row],[Psw_bottom (mV) C]]</f>
        <v>#NAME?</v>
      </c>
      <c r="BZ215" s="145" t="e">
        <f ca="1">Table7[[#This Row],[Pbottom (mW) C]]+Table7[[#This Row],[Ptop (mW) C]]</f>
        <v>#NAME?</v>
      </c>
      <c r="CA215" s="148"/>
      <c r="CB215" s="144">
        <f>(RAC_SNS*10^-3*(Table7[[#This Row],[IOUT (A)]]*Vbat/VACnom)^2/10^-3)</f>
        <v>248.89452170138892</v>
      </c>
      <c r="CC215" s="144">
        <f>(RBAT_SNS*10^-3*Table7[[#This Row],[IOUT (A)]]^2)/10^-3</f>
        <v>174.05</v>
      </c>
      <c r="CD215" s="144">
        <f>IF(VACnom&gt;Vbat,(L_DRC*10^-3*(Table7[[#This Row],[IOUT (A)]])^2/10^-3),(L_DRC*10^-3*(Table7[[#This Row],[IOUT (A)]]*Vbat/VACnom)^2/10^-3))</f>
        <v>169.24827475694445</v>
      </c>
      <c r="CE215" s="152"/>
      <c r="CF215" s="145">
        <f>(Table7[[#This Row],[R_AC (mW)]]+Table7[[#This Row],[R_SR (mW)]]+Table7[[#This Row],[Inductor Loss (mW)]])/10^3</f>
        <v>0.59219279645833334</v>
      </c>
      <c r="CG215" s="145" t="e">
        <f ca="1">Table7[[#This Row],[Total TI (mW)]]/10^3</f>
        <v>#NAME?</v>
      </c>
      <c r="CH215" s="145" t="e">
        <f ca="1">Table7[[#This Row],[Total Sense Loss]]+Table7[[#This Row],[Total MOSFET Loss]]</f>
        <v>#NAME?</v>
      </c>
      <c r="CI215" s="149" t="e">
        <f ca="1">IF(Table7[[#This Row],[POUT (W)]]=0,0,(Table7[[#This Row],[POUT (W)]])/(Table7[[#This Row],[POUT (W)]]+Table7[[#This Row],[Total Power Loss (W)]]))*100</f>
        <v>#NAME?</v>
      </c>
      <c r="CJ215" s="153"/>
      <c r="CK215" s="145">
        <f>(Table7[[#This Row],[R_AC (mW)]]+Table7[[#This Row],[R_SR (mW)]]+Table7[[#This Row],[Inductor Loss (mW)]])/10^3</f>
        <v>0.59219279645833334</v>
      </c>
      <c r="CL215" s="145" t="e">
        <f ca="1">Table7[[#This Row],[Total (mW) C]]/10^3</f>
        <v>#NAME?</v>
      </c>
      <c r="CM215" s="145" t="e">
        <f ca="1">Table7[[#This Row],[Total Sense Loss C]]+Table7[[#This Row],[Total MOSFET Loss C]]</f>
        <v>#NAME?</v>
      </c>
      <c r="CN215" s="149" t="e">
        <f ca="1">IF(Table7[[#This Row],[POUT (W)]]=0,0,(Table7[[#This Row],[POUT (W)]])/(Table7[[#This Row],[POUT (W)]]+Table7[[#This Row],[Total Power Loss (W) C]]))*100</f>
        <v>#NAME?</v>
      </c>
      <c r="CO215" s="153"/>
      <c r="CP215" s="149">
        <f>IF(MOSFET_S=Custom_MOSFET,Table7[[#This Row],[Total Sense Loss C]],Table7[[#This Row],[Total Sense Loss]])</f>
        <v>0.59219279645833334</v>
      </c>
      <c r="CQ215" s="149" t="e">
        <f ca="1">IF(MOSFET_S=Custom_MOSFET,Table7[[#This Row],[Total MOSFET Loss C]],Table7[[#This Row],[Total MOSFET Loss]])</f>
        <v>#NAME?</v>
      </c>
      <c r="CR215" s="149" t="e">
        <f ca="1">IF(MOSFET_S=Custom_MOSFET,Table7[[#This Row],[Efficiency C]],Table7[[#This Row],[Efficiency]])</f>
        <v>#NAME?</v>
      </c>
      <c r="CS215" s="153"/>
      <c r="CT215" s="149">
        <f>IF(MOSFET_S=Compare_MOSFET, Table7[[#This Row],[Total Sense Loss C]], -100)</f>
        <v>-100</v>
      </c>
      <c r="CU215" s="149">
        <f>IF(MOSFET_S=Compare_MOSFET, Table7[[#This Row],[Total MOSFET Loss C]], -100)</f>
        <v>-100</v>
      </c>
      <c r="CV215" s="149">
        <f>IF(MOSFET_S=Compare_MOSFET, Table7[[#This Row],[Efficiency C]], -100)</f>
        <v>-100</v>
      </c>
      <c r="CW215" s="153"/>
      <c r="CX215" s="149">
        <f ca="1">IF(Save_Sel=CLR_Save,  Table7[[#This Row],[Total Sense Loss P1]], Table7[[#This Row],[Total Sense Loss P1 Saved]])</f>
        <v>0.49658640625000006</v>
      </c>
      <c r="CY215" s="149">
        <f ca="1">IF(Save_Sel=CLR_Save,  Table7[[#This Row],[Total MOSFET Loss P1]], Table7[[#This Row],[Total MOSFET Loss P1 Saved]] )</f>
        <v>1.9604580550981692</v>
      </c>
      <c r="CZ215" s="149">
        <f ca="1">IF(Save_Sel=CLR_Save, Table7[[#This Row],[Efficiency P1]], Table7[[#This Row],[Efficiency P1 Saved]])</f>
        <v>93.509677006463633</v>
      </c>
      <c r="DA215" s="153"/>
      <c r="DB215" s="149">
        <f ca="1">IF(Save_Sel=CLR_Save,  Table7[[#This Row],[Total Sense Loss P2]], Table7[[#This Row],[Total Sense Loss P2 Saved]])</f>
        <v>0.49658640625000006</v>
      </c>
      <c r="DC215" s="149">
        <f ca="1">IF(Save_Sel=CLR_Save,  Table7[[#This Row],[Total MOSFET Loss P2]], Table7[[#This Row],[Total MOSFET Loss P2 Saved]] )</f>
        <v>1.3253609839229965</v>
      </c>
      <c r="DD215" s="149">
        <f ca="1">IF(Save_Sel=CLR_Save, Table7[[#This Row],[Efficiency P2]], Table7[[#This Row],[Efficiency P2 Saved]])</f>
        <v>95.10517982556172</v>
      </c>
      <c r="DE215" s="153"/>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row>
    <row r="216" spans="1:165" x14ac:dyDescent="0.2">
      <c r="A216" s="32"/>
      <c r="B216" s="49"/>
      <c r="C216" s="49"/>
      <c r="D216" s="32"/>
      <c r="E216" s="66"/>
      <c r="F216" s="66"/>
      <c r="G216" s="49"/>
      <c r="H216" s="29"/>
      <c r="I216" s="29"/>
      <c r="J216" s="29"/>
      <c r="K216" s="29"/>
      <c r="L216" s="29"/>
      <c r="M216" s="29"/>
      <c r="N216" s="29"/>
      <c r="O216" s="29"/>
      <c r="P216" s="29"/>
      <c r="Q216" s="29"/>
      <c r="R216" s="29"/>
      <c r="S216" s="30"/>
      <c r="T216" s="18"/>
      <c r="U216" s="19"/>
      <c r="V216" s="19"/>
      <c r="W216" s="19"/>
      <c r="X216" s="19"/>
      <c r="Y216" s="19"/>
      <c r="Z216" s="19"/>
      <c r="AA216" s="19"/>
      <c r="AB216" s="19"/>
      <c r="AC216" s="19"/>
      <c r="AD216" s="19"/>
      <c r="AE216" s="19"/>
      <c r="AF216" s="143">
        <f t="shared" si="17"/>
        <v>60</v>
      </c>
      <c r="AG216" s="143">
        <f t="shared" si="39"/>
        <v>6</v>
      </c>
      <c r="AH216" s="144">
        <f t="shared" si="28"/>
        <v>144</v>
      </c>
      <c r="AI216" s="145">
        <f t="shared" si="29"/>
        <v>0.16376306620209058</v>
      </c>
      <c r="AJ216" s="145">
        <f t="shared" si="30"/>
        <v>7.1749999999999998</v>
      </c>
      <c r="AK216" s="145" t="e">
        <f t="shared" si="26"/>
        <v>#NAME?</v>
      </c>
      <c r="AL216" s="145" t="e">
        <f t="shared" si="27"/>
        <v>#NAME?</v>
      </c>
      <c r="AM216" s="146"/>
      <c r="AN216" s="145" t="e">
        <f>MAX(0,Table7[[#This Row],[I_L]]-0.5*Table7[[#This Row],[I_L pkpk]])</f>
        <v>#NAME?</v>
      </c>
      <c r="AO216" s="145" t="e">
        <f>Table7[[#This Row],[I_L]]+0.5*Table7[[#This Row],[I_L pkpk]]</f>
        <v>#NAME?</v>
      </c>
      <c r="AP216" s="145" t="e">
        <f ca="1">IF(VACnom&gt;Vbat, (VGS_S-(TI_MOSFET_S_VTH_H_BU+Table7[[#This Row],[I_L]]/TI_MOSFET_S_gFS_H_BU))/3.4, (VGS_S-(TI_MOSFET_S_VTH_L_BO+Table7[[#This Row],[I_L]]/TI_MOSFET_S_gFS_L_BO))/3.4 )</f>
        <v>#REF!</v>
      </c>
      <c r="AQ216" s="145" t="e">
        <f ca="1">IF(VACnom&gt;Vbat, ((TI_MOSFET_S_VTH_H_BU+Table7[[#This Row],[I_L]]/TI_MOSFET_S_gFS_H_BU))/1, ((TI_MOSFET_S_VTH_L_BO+Table7[[#This Row],[I_L]]/TI_MOSFET_S_gFS_L_BO))/1 )</f>
        <v>#REF!</v>
      </c>
      <c r="AR216" s="145" t="e">
        <f ca="1">IF(VACnom&gt;Vbat, (TI_MOSFET_S_QGD_H_BU+TI_MOSFET_S_QGS_H_BU)*10^-9/Table7[[#This Row],[Ion (A)]], (TI_MOSFET_S_QGD_L_BO+TI_MOSFET_S_QGS_L_BO)*10^-9/Table7[[#This Row],[Ion (A)]])/10^-9</f>
        <v>#REF!</v>
      </c>
      <c r="AS216" s="145" t="e">
        <f ca="1">IF(VACnom&gt;Vbat, (TI_MOSFET_S_QGD_H_BU+TI_MOSFET_S_QGS_H_BU)*10^-9/Table7[[#This Row],[Ioff (A)]], (TI_MOSFET_S_QGD_L_BO+TI_MOSFET_S_QGS_L_BO)*10^-9/Table7[[#This Row],[Ioff (A)]])/10^-9</f>
        <v>#REF!</v>
      </c>
      <c r="AT216" s="145" t="e">
        <f ca="1" xml:space="preserve"> 0.5*VACnom*Table7[[#This Row],[Ivalley (A)]]*Table7[[#This Row],[ton (ns)]]*10^-9*Fsw*10^3+0.5*VACnom*Table7[[#This Row],[Ipeak (A)]]*Table7[[#This Row],[toff (ns)]]*10^-9*Fsw*10^3/10^-3</f>
        <v>#NAME?</v>
      </c>
      <c r="AU216" s="145" t="e">
        <f t="shared" ca="1" si="31"/>
        <v>#REF!</v>
      </c>
      <c r="AV216" s="145" t="e">
        <f t="shared" ca="1" si="32"/>
        <v>#REF!</v>
      </c>
      <c r="AW216" s="145" t="e">
        <f t="shared" ca="1" si="33"/>
        <v>#REF!</v>
      </c>
      <c r="AX216" s="145" t="e">
        <f ca="1">IF(VACnom&gt;Vbat, TI_MOSFET_S_VSD_L_BU*Table7[[#This Row],[Ivalley (A)]]*Fsw*10^3*40*10^-9+TI_MOSFET_S_VSD_L_BU*Table7[[#This Row],[Ipeak (A)]]*Fsw*10^3*30*10^-9, TI_MOSFET_S_VSD_H_BO*Table7[[#This Row],[Ivalley (A)]]*Fsw*10^3*40*10^-9+TI_MOSFET_S_VSD_H_BO*Table7[[#This Row],[Ipeak (A)]]*Fsw*10^3*30*10^-9)/10^-3</f>
        <v>#REF!</v>
      </c>
      <c r="AY216" s="145" t="e">
        <f t="shared" ca="1" si="34"/>
        <v>#REF!</v>
      </c>
      <c r="AZ216" s="145" t="e">
        <f ca="1">IF(VACnom&lt;Vbat, Table7[[#This Row],[Duty Cycle]]*Table7[[#This Row],[I_L RMS]]^2*TI_MOSFET_S_RDSON_H_BU*10^-3, (1-Table7[[#This Row],[Duty Cycle]])*Table7[[#This Row],[I_L RMS]]^2*TI_MOSFET_S_RDSON_H_BO*10^-3)/10^-3</f>
        <v>#NAME?</v>
      </c>
      <c r="BA216" s="145" t="e">
        <f ca="1">IF(VACnom&gt;Vbat, Table7[[#This Row],[PIV (mW)]]+Table7[[#This Row],[Pqoss (mW)]]+Table7[[#This Row],[Pgate_top (mW)]], Table7[[#This Row],[PRR (mW)]]+Table7[[#This Row],[Pdead (mW)]]+Table7[[#This Row],[Pgate_top (mW)]])</f>
        <v>#REF!</v>
      </c>
      <c r="BB216" s="145" t="e">
        <f ca="1">Table7[[#This Row],[Pcon_top (mW)]]+Table7[[#This Row],[Psw_top (mW)]]</f>
        <v>#NAME?</v>
      </c>
      <c r="BC216" s="145" t="e">
        <f ca="1">IF(VACnom&gt;Vbat, (1-Table7[[#This Row],[Duty Cycle]])*Table7[[#This Row],[I_L RMS]]^2*TI_MOSFET_S_RDSON_L_BU*10^-3, Table7[[#This Row],[Duty Cycle]]*Table7[[#This Row],[I_L RMS]]^2*TI_MOSFET_S_RDSON_L_BO*10^-3)/10^-3</f>
        <v>#NAME?</v>
      </c>
      <c r="BD216" s="145" t="e">
        <f ca="1">IF(VACnom&gt;Vbat, Table7[[#This Row],[PRR (mW)]]+Table7[[#This Row],[Pdead (mW)]]+Table7[[#This Row],[Pgate_bottom (mW)]], Table7[[#This Row],[PIV (mW)]]+Table7[[#This Row],[Pqoss (mW)]]+Table7[[#This Row],[Pgate_bottom (mW)]])</f>
        <v>#NAME?</v>
      </c>
      <c r="BE216" s="147" t="e">
        <f ca="1">Table7[[#This Row],[Pcon_bottom (mW)]]+Table7[[#This Row],[Psw_bottom (mW)]]</f>
        <v>#NAME?</v>
      </c>
      <c r="BF216" s="145" t="e">
        <f ca="1">Table7[[#This Row],[Pbottom (mW)]]+Table7[[#This Row],[Ptop (mW)]]</f>
        <v>#NAME?</v>
      </c>
      <c r="BG216" s="142"/>
      <c r="BH216" s="145" t="e">
        <f>MAX(0,Table7[[#This Row],[I_L]]-0.5*Table7[[#This Row],[I_L pkpk]])</f>
        <v>#NAME?</v>
      </c>
      <c r="BI216" s="145" t="e">
        <f>Table7[[#This Row],[I_L]]+0.5*Table7[[#This Row],[I_L pkpk]]</f>
        <v>#NAME?</v>
      </c>
      <c r="BJ216" s="145">
        <f>IF(VACnom&gt;Vbat, (VGS_S-(C_MOSFET_S_VTH_H_BU+Table7[[#This Row],[I_L]]/C_MOSFET_S_gFS_H_BU))/3.4, (VGS_S-(C_MOSFET_S_VTH_L_BO+Table7[[#This Row],[I_L]]/C_MOSFET_S_gFS_L_BO))/3.4 )</f>
        <v>2.3388725490196078</v>
      </c>
      <c r="BK216" s="145">
        <f>IF(VACnom&gt;Vbat, ((C_MOSFET_S_VTH_H_BU+Table7[[#This Row],[I_L]]/C_MOSFET_S_gFS_H_BU))/1, ((C_MOSFET_S_VTH_L_BO+Table7[[#This Row],[I_L]]/C_MOSFET_S_gFS_L_BO))/1 )</f>
        <v>2.0478333333333332</v>
      </c>
      <c r="BL216" s="145">
        <f>IF(VACnom&gt;Vbat, (C_MOSFET_S_QGD_H_BU+C_MOSFET_S_QGS_H_BU)*10^-9/Table7[[#This Row],[Ion (A) C]], (C_MOSFET_S_QGD_L_BO+C_MOSFET_S_QGS_L_BO)*10^-9/Table7[[#This Row],[Ion (A) C]])/10^-9</f>
        <v>2.7791168025485713</v>
      </c>
      <c r="BM216" s="145">
        <f>IF(VACnom&gt;Vbat, (C_MOSFET_S_QGD_H_BU+C_MOSFET_S_QGS_H_BU)*10^-9/Table7[[#This Row],[Ioff (A) C]], (C_MOSFET_S_QGD_L_BO+C_MOSFET_S_QGS_L_BO)*10^-9/Table7[[#This Row],[Ioff (A) C]])/10^-9</f>
        <v>3.1740864328151708</v>
      </c>
      <c r="BN216" s="145" t="e">
        <f xml:space="preserve"> 0.5*VACnom*Table7[[#This Row],[Ivalley (A) C]]*Table7[[#This Row],[ton (ns) C]]*10^-9*Fsw*10^3+0.5*VACnom*Table7[[#This Row],[Ipeak (A) C]]*Table7[[#This Row],[toff (ns) C]]*10^-9*Fsw*10^3/10^-3</f>
        <v>#NAME?</v>
      </c>
      <c r="BO216" s="145">
        <f t="shared" si="35"/>
        <v>259.2</v>
      </c>
      <c r="BP216" s="145" t="e">
        <f t="shared" ca="1" si="36"/>
        <v>#REF!</v>
      </c>
      <c r="BQ216" s="145">
        <f t="shared" si="37"/>
        <v>475.2</v>
      </c>
      <c r="BR216" s="145" t="e">
        <f>IF(VACnom&gt;Vbat, C_MOSFET_S_VSD_L_BU*Table7[[#This Row],[Ivalley (A) C]]*Fsw*10^3*40*10^-9+C_MOSFET_S_VSD_L_BU*Table7[[#This Row],[Ipeak (A) C]]*Fsw*10^3*30*10^-9, C_MOSFET_S_VSD_H_BO*Table7[[#This Row],[Ivalley (A) C]]*Fsw*10^3*40*10^-9+C_MOSFET_S_VSD_H_BO*Table7[[#This Row],[Ipeak (A) C]]*Fsw*10^3*30*10^-9)/10^-3</f>
        <v>#NAME?</v>
      </c>
      <c r="BS216" s="145" t="e">
        <f t="shared" ca="1" si="38"/>
        <v>#REF!</v>
      </c>
      <c r="BT216" s="145" t="e">
        <f>IF(VACnom&lt;Vbat, Table7[[#This Row],[Duty Cycle]]*Table7[[#This Row],[I_L RMS]]^2*C_MOSFET_S_RDSON_H_BU*10^-3, (1-Table7[[#This Row],[Duty Cycle]])*Table7[[#This Row],[I_L RMS]]^2*C_MOSFET_S_RDSON_H_BO*10^-3)/10^-3</f>
        <v>#NAME?</v>
      </c>
      <c r="BU216" s="145" t="e">
        <f ca="1">IF(VACnom&gt;Vbat, Table7[[#This Row],[PIV (mW) C]]+Table7[[#This Row],[PQoss (mW) C]]+Table7[[#This Row],[Pgate_top (mW) C]], Table7[[#This Row],[PRR (mW) C]]+Table7[[#This Row],[Pdead (mW) C]]+Table7[[#This Row],[Pgate_top (mW) C]])</f>
        <v>#NAME?</v>
      </c>
      <c r="BV216" s="145" t="e">
        <f ca="1">Table7[[#This Row],[Pcon_top (mW) C]]+Table7[[#This Row],[Psw_top (mW) C]]</f>
        <v>#NAME?</v>
      </c>
      <c r="BW216" s="145" t="e">
        <f ca="1">IF(VACnom&gt;Vbat, (1-Table7[[#This Row],[Duty Cycle]])*Table7[[#This Row],[I_L RMS]]^2*C_MOSFET_S_RDSON_L_BU*10^-3, Table7[[#This Row],[Duty Cycle]]*Table7[[#This Row],[I_L RMS]]^2*C_MOSFET_S_RDSON_L_BO*10^-3)/10^-3</f>
        <v>#NAME?</v>
      </c>
      <c r="BX216" s="145" t="e">
        <f ca="1">IF(VACnom&gt;Vbat, Table7[[#This Row],[PRR (mW) C]]+Table7[[#This Row],[Pdead (mW) C]]+Table7[[#This Row],[Pgate_bottom (mW) C]], Table7[[#This Row],[PIV (mW) C]]+Table7[[#This Row],[PQoss (mW) C]]+Table7[[#This Row],[Pgate_bottom (mW) C]])</f>
        <v>#NAME?</v>
      </c>
      <c r="BY216" s="145" t="e">
        <f ca="1">Table7[[#This Row],[Pcon_bottom (mW) C]]+Table7[[#This Row],[Psw_bottom (mV) C]]</f>
        <v>#NAME?</v>
      </c>
      <c r="BZ216" s="145" t="e">
        <f ca="1">Table7[[#This Row],[Pbottom (mW) C]]+Table7[[#This Row],[Ptop (mW) C]]</f>
        <v>#NAME?</v>
      </c>
      <c r="CA216" s="148"/>
      <c r="CB216" s="144">
        <f>(RAC_SNS*10^-3*(Table7[[#This Row],[IOUT (A)]]*Vbat/VACnom)^2/10^-3)</f>
        <v>257.40312499999999</v>
      </c>
      <c r="CC216" s="144">
        <f>(RBAT_SNS*10^-3*Table7[[#This Row],[IOUT (A)]]^2)/10^-3</f>
        <v>180</v>
      </c>
      <c r="CD216" s="144">
        <f>IF(VACnom&gt;Vbat,(L_DRC*10^-3*(Table7[[#This Row],[IOUT (A)]])^2/10^-3),(L_DRC*10^-3*(Table7[[#This Row],[IOUT (A)]]*Vbat/VACnom)^2/10^-3))</f>
        <v>175.03412499999999</v>
      </c>
      <c r="CE216" s="152"/>
      <c r="CF216" s="145">
        <f>(Table7[[#This Row],[R_AC (mW)]]+Table7[[#This Row],[R_SR (mW)]]+Table7[[#This Row],[Inductor Loss (mW)]])/10^3</f>
        <v>0.61243724999999993</v>
      </c>
      <c r="CG216" s="145" t="e">
        <f ca="1">Table7[[#This Row],[Total TI (mW)]]/10^3</f>
        <v>#NAME?</v>
      </c>
      <c r="CH216" s="145" t="e">
        <f ca="1">Table7[[#This Row],[Total Sense Loss]]+Table7[[#This Row],[Total MOSFET Loss]]</f>
        <v>#NAME?</v>
      </c>
      <c r="CI216" s="149" t="e">
        <f ca="1">IF(Table7[[#This Row],[POUT (W)]]=0,0,(Table7[[#This Row],[POUT (W)]])/(Table7[[#This Row],[POUT (W)]]+Table7[[#This Row],[Total Power Loss (W)]]))*100</f>
        <v>#NAME?</v>
      </c>
      <c r="CJ216" s="153"/>
      <c r="CK216" s="145">
        <f>(Table7[[#This Row],[R_AC (mW)]]+Table7[[#This Row],[R_SR (mW)]]+Table7[[#This Row],[Inductor Loss (mW)]])/10^3</f>
        <v>0.61243724999999993</v>
      </c>
      <c r="CL216" s="145" t="e">
        <f ca="1">Table7[[#This Row],[Total (mW) C]]/10^3</f>
        <v>#NAME?</v>
      </c>
      <c r="CM216" s="145" t="e">
        <f ca="1">Table7[[#This Row],[Total Sense Loss C]]+Table7[[#This Row],[Total MOSFET Loss C]]</f>
        <v>#NAME?</v>
      </c>
      <c r="CN216" s="149" t="e">
        <f ca="1">IF(Table7[[#This Row],[POUT (W)]]=0,0,(Table7[[#This Row],[POUT (W)]])/(Table7[[#This Row],[POUT (W)]]+Table7[[#This Row],[Total Power Loss (W) C]]))*100</f>
        <v>#NAME?</v>
      </c>
      <c r="CO216" s="153"/>
      <c r="CP216" s="149">
        <f>IF(MOSFET_S=Custom_MOSFET,Table7[[#This Row],[Total Sense Loss C]],Table7[[#This Row],[Total Sense Loss]])</f>
        <v>0.61243724999999993</v>
      </c>
      <c r="CQ216" s="149" t="e">
        <f ca="1">IF(MOSFET_S=Custom_MOSFET,Table7[[#This Row],[Total MOSFET Loss C]],Table7[[#This Row],[Total MOSFET Loss]])</f>
        <v>#NAME?</v>
      </c>
      <c r="CR216" s="149" t="e">
        <f ca="1">IF(MOSFET_S=Custom_MOSFET,Table7[[#This Row],[Efficiency C]],Table7[[#This Row],[Efficiency]])</f>
        <v>#NAME?</v>
      </c>
      <c r="CS216" s="153"/>
      <c r="CT216" s="149">
        <f>IF(MOSFET_S=Compare_MOSFET, Table7[[#This Row],[Total Sense Loss C]], -100)</f>
        <v>-100</v>
      </c>
      <c r="CU216" s="149">
        <f>IF(MOSFET_S=Compare_MOSFET, Table7[[#This Row],[Total MOSFET Loss C]], -100)</f>
        <v>-100</v>
      </c>
      <c r="CV216" s="149">
        <f>IF(MOSFET_S=Compare_MOSFET, Table7[[#This Row],[Efficiency C]], -100)</f>
        <v>-100</v>
      </c>
      <c r="CW216" s="153"/>
      <c r="CX216" s="149">
        <f ca="1">IF(Save_Sel=CLR_Save,  Table7[[#This Row],[Total Sense Loss P1]], Table7[[#This Row],[Total Sense Loss P1 Saved]])</f>
        <v>0.51356250000000003</v>
      </c>
      <c r="CY216" s="149">
        <f ca="1">IF(Save_Sel=CLR_Save,  Table7[[#This Row],[Total MOSFET Loss P1]], Table7[[#This Row],[Total MOSFET Loss P1 Saved]] )</f>
        <v>1.9708332214907442</v>
      </c>
      <c r="CZ216" s="149">
        <f ca="1">IF(Save_Sel=CLR_Save, Table7[[#This Row],[Efficiency P1]], Table7[[#This Row],[Efficiency P1 Saved]])</f>
        <v>93.544407610112515</v>
      </c>
      <c r="DA216" s="153"/>
      <c r="DB216" s="149">
        <f ca="1">IF(Save_Sel=CLR_Save,  Table7[[#This Row],[Total Sense Loss P2]], Table7[[#This Row],[Total Sense Loss P2 Saved]])</f>
        <v>0.51356250000000003</v>
      </c>
      <c r="DC216" s="149">
        <f ca="1">IF(Save_Sel=CLR_Save,  Table7[[#This Row],[Total MOSFET Loss P2]], Table7[[#This Row],[Total MOSFET Loss P2 Saved]] )</f>
        <v>1.3340357478677223</v>
      </c>
      <c r="DD216" s="149">
        <f ca="1">IF(Save_Sel=CLR_Save, Table7[[#This Row],[Efficiency P2]], Table7[[#This Row],[Efficiency P2 Saved]])</f>
        <v>95.118321020616378</v>
      </c>
      <c r="DE216" s="153"/>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row>
    <row r="217" spans="1:165" x14ac:dyDescent="0.2">
      <c r="A217" s="32"/>
      <c r="B217" s="49"/>
      <c r="C217" s="49"/>
      <c r="D217" s="32"/>
      <c r="E217" s="66"/>
      <c r="F217" s="66"/>
      <c r="G217" s="49"/>
      <c r="H217" s="29"/>
      <c r="I217" s="29"/>
      <c r="J217" s="29"/>
      <c r="K217" s="29"/>
      <c r="L217" s="29"/>
      <c r="M217" s="29"/>
      <c r="N217" s="29"/>
      <c r="O217" s="29"/>
      <c r="P217" s="29"/>
      <c r="Q217" s="29"/>
      <c r="R217" s="29"/>
      <c r="S217" s="30"/>
      <c r="T217" s="18"/>
      <c r="U217" s="19"/>
      <c r="V217" s="19"/>
      <c r="W217" s="19"/>
      <c r="X217" s="19"/>
      <c r="Y217" s="19"/>
      <c r="Z217" s="19"/>
      <c r="AA217" s="19"/>
      <c r="AB217" s="19"/>
      <c r="AC217" s="19"/>
      <c r="AD217" s="19"/>
      <c r="AE217" s="19"/>
      <c r="AF217" s="143">
        <f t="shared" si="17"/>
        <v>61</v>
      </c>
      <c r="AG217" s="143">
        <f t="shared" si="39"/>
        <v>6.1</v>
      </c>
      <c r="AH217" s="144">
        <f t="shared" si="28"/>
        <v>146.39999999999998</v>
      </c>
      <c r="AI217" s="145">
        <f t="shared" si="29"/>
        <v>0.16376306620209058</v>
      </c>
      <c r="AJ217" s="145">
        <f t="shared" si="30"/>
        <v>7.2945833333333328</v>
      </c>
      <c r="AK217" s="145" t="e">
        <f t="shared" ref="AK217:AK248" si="40">Ipkpk_VACnom</f>
        <v>#NAME?</v>
      </c>
      <c r="AL217" s="145" t="e">
        <f t="shared" ref="AL217:AL248" si="41">SQRT(AJ217^2+AK217^2/12)</f>
        <v>#NAME?</v>
      </c>
      <c r="AM217" s="146"/>
      <c r="AN217" s="145" t="e">
        <f>MAX(0,Table7[[#This Row],[I_L]]-0.5*Table7[[#This Row],[I_L pkpk]])</f>
        <v>#NAME?</v>
      </c>
      <c r="AO217" s="145" t="e">
        <f>Table7[[#This Row],[I_L]]+0.5*Table7[[#This Row],[I_L pkpk]]</f>
        <v>#NAME?</v>
      </c>
      <c r="AP217" s="145" t="e">
        <f ca="1">IF(VACnom&gt;Vbat, (VGS_S-(TI_MOSFET_S_VTH_H_BU+Table7[[#This Row],[I_L]]/TI_MOSFET_S_gFS_H_BU))/3.4, (VGS_S-(TI_MOSFET_S_VTH_L_BO+Table7[[#This Row],[I_L]]/TI_MOSFET_S_gFS_L_BO))/3.4 )</f>
        <v>#REF!</v>
      </c>
      <c r="AQ217" s="145" t="e">
        <f ca="1">IF(VACnom&gt;Vbat, ((TI_MOSFET_S_VTH_H_BU+Table7[[#This Row],[I_L]]/TI_MOSFET_S_gFS_H_BU))/1, ((TI_MOSFET_S_VTH_L_BO+Table7[[#This Row],[I_L]]/TI_MOSFET_S_gFS_L_BO))/1 )</f>
        <v>#REF!</v>
      </c>
      <c r="AR217" s="145" t="e">
        <f ca="1">IF(VACnom&gt;Vbat, (TI_MOSFET_S_QGD_H_BU+TI_MOSFET_S_QGS_H_BU)*10^-9/Table7[[#This Row],[Ion (A)]], (TI_MOSFET_S_QGD_L_BO+TI_MOSFET_S_QGS_L_BO)*10^-9/Table7[[#This Row],[Ion (A)]])/10^-9</f>
        <v>#REF!</v>
      </c>
      <c r="AS217" s="145" t="e">
        <f ca="1">IF(VACnom&gt;Vbat, (TI_MOSFET_S_QGD_H_BU+TI_MOSFET_S_QGS_H_BU)*10^-9/Table7[[#This Row],[Ioff (A)]], (TI_MOSFET_S_QGD_L_BO+TI_MOSFET_S_QGS_L_BO)*10^-9/Table7[[#This Row],[Ioff (A)]])/10^-9</f>
        <v>#REF!</v>
      </c>
      <c r="AT217" s="145" t="e">
        <f ca="1" xml:space="preserve"> 0.5*VACnom*Table7[[#This Row],[Ivalley (A)]]*Table7[[#This Row],[ton (ns)]]*10^-9*Fsw*10^3+0.5*VACnom*Table7[[#This Row],[Ipeak (A)]]*Table7[[#This Row],[toff (ns)]]*10^-9*Fsw*10^3/10^-3</f>
        <v>#NAME?</v>
      </c>
      <c r="AU217" s="145" t="e">
        <f t="shared" ca="1" si="31"/>
        <v>#REF!</v>
      </c>
      <c r="AV217" s="145" t="e">
        <f t="shared" ca="1" si="32"/>
        <v>#REF!</v>
      </c>
      <c r="AW217" s="145" t="e">
        <f t="shared" ca="1" si="33"/>
        <v>#REF!</v>
      </c>
      <c r="AX217" s="145" t="e">
        <f ca="1">IF(VACnom&gt;Vbat, TI_MOSFET_S_VSD_L_BU*Table7[[#This Row],[Ivalley (A)]]*Fsw*10^3*40*10^-9+TI_MOSFET_S_VSD_L_BU*Table7[[#This Row],[Ipeak (A)]]*Fsw*10^3*30*10^-9, TI_MOSFET_S_VSD_H_BO*Table7[[#This Row],[Ivalley (A)]]*Fsw*10^3*40*10^-9+TI_MOSFET_S_VSD_H_BO*Table7[[#This Row],[Ipeak (A)]]*Fsw*10^3*30*10^-9)/10^-3</f>
        <v>#REF!</v>
      </c>
      <c r="AY217" s="145" t="e">
        <f t="shared" ca="1" si="34"/>
        <v>#REF!</v>
      </c>
      <c r="AZ217" s="145" t="e">
        <f ca="1">IF(VACnom&lt;Vbat, Table7[[#This Row],[Duty Cycle]]*Table7[[#This Row],[I_L RMS]]^2*TI_MOSFET_S_RDSON_H_BU*10^-3, (1-Table7[[#This Row],[Duty Cycle]])*Table7[[#This Row],[I_L RMS]]^2*TI_MOSFET_S_RDSON_H_BO*10^-3)/10^-3</f>
        <v>#NAME?</v>
      </c>
      <c r="BA217" s="145" t="e">
        <f ca="1">IF(VACnom&gt;Vbat, Table7[[#This Row],[PIV (mW)]]+Table7[[#This Row],[Pqoss (mW)]]+Table7[[#This Row],[Pgate_top (mW)]], Table7[[#This Row],[PRR (mW)]]+Table7[[#This Row],[Pdead (mW)]]+Table7[[#This Row],[Pgate_top (mW)]])</f>
        <v>#REF!</v>
      </c>
      <c r="BB217" s="145" t="e">
        <f ca="1">Table7[[#This Row],[Pcon_top (mW)]]+Table7[[#This Row],[Psw_top (mW)]]</f>
        <v>#NAME?</v>
      </c>
      <c r="BC217" s="145" t="e">
        <f ca="1">IF(VACnom&gt;Vbat, (1-Table7[[#This Row],[Duty Cycle]])*Table7[[#This Row],[I_L RMS]]^2*TI_MOSFET_S_RDSON_L_BU*10^-3, Table7[[#This Row],[Duty Cycle]]*Table7[[#This Row],[I_L RMS]]^2*TI_MOSFET_S_RDSON_L_BO*10^-3)/10^-3</f>
        <v>#NAME?</v>
      </c>
      <c r="BD217" s="145" t="e">
        <f ca="1">IF(VACnom&gt;Vbat, Table7[[#This Row],[PRR (mW)]]+Table7[[#This Row],[Pdead (mW)]]+Table7[[#This Row],[Pgate_bottom (mW)]], Table7[[#This Row],[PIV (mW)]]+Table7[[#This Row],[Pqoss (mW)]]+Table7[[#This Row],[Pgate_bottom (mW)]])</f>
        <v>#NAME?</v>
      </c>
      <c r="BE217" s="147" t="e">
        <f ca="1">Table7[[#This Row],[Pcon_bottom (mW)]]+Table7[[#This Row],[Psw_bottom (mW)]]</f>
        <v>#NAME?</v>
      </c>
      <c r="BF217" s="145" t="e">
        <f ca="1">Table7[[#This Row],[Pbottom (mW)]]+Table7[[#This Row],[Ptop (mW)]]</f>
        <v>#NAME?</v>
      </c>
      <c r="BG217" s="142"/>
      <c r="BH217" s="145" t="e">
        <f>MAX(0,Table7[[#This Row],[I_L]]-0.5*Table7[[#This Row],[I_L pkpk]])</f>
        <v>#NAME?</v>
      </c>
      <c r="BI217" s="145" t="e">
        <f>Table7[[#This Row],[I_L]]+0.5*Table7[[#This Row],[I_L pkpk]]</f>
        <v>#NAME?</v>
      </c>
      <c r="BJ217" s="145">
        <f>IF(VACnom&gt;Vbat, (VGS_S-(C_MOSFET_S_VTH_H_BU+Table7[[#This Row],[I_L]]/C_MOSFET_S_gFS_H_BU))/3.4, (VGS_S-(C_MOSFET_S_VTH_L_BO+Table7[[#This Row],[I_L]]/C_MOSFET_S_gFS_L_BO))/3.4 )</f>
        <v>2.3386380718954247</v>
      </c>
      <c r="BK217" s="145">
        <f>IF(VACnom&gt;Vbat, ((C_MOSFET_S_VTH_H_BU+Table7[[#This Row],[I_L]]/C_MOSFET_S_gFS_H_BU))/1, ((C_MOSFET_S_VTH_L_BO+Table7[[#This Row],[I_L]]/C_MOSFET_S_gFS_L_BO))/1 )</f>
        <v>2.0486305555555555</v>
      </c>
      <c r="BL217" s="145">
        <f>IF(VACnom&gt;Vbat, (C_MOSFET_S_QGD_H_BU+C_MOSFET_S_QGS_H_BU)*10^-9/Table7[[#This Row],[Ion (A) C]], (C_MOSFET_S_QGD_L_BO+C_MOSFET_S_QGS_L_BO)*10^-9/Table7[[#This Row],[Ion (A) C]])/10^-9</f>
        <v>2.7793954430630925</v>
      </c>
      <c r="BM217" s="145">
        <f>IF(VACnom&gt;Vbat, (C_MOSFET_S_QGD_H_BU+C_MOSFET_S_QGS_H_BU)*10^-9/Table7[[#This Row],[Ioff (A) C]], (C_MOSFET_S_QGD_L_BO+C_MOSFET_S_QGS_L_BO)*10^-9/Table7[[#This Row],[Ioff (A) C]])/10^-9</f>
        <v>3.1728512407339862</v>
      </c>
      <c r="BN217" s="145" t="e">
        <f xml:space="preserve"> 0.5*VACnom*Table7[[#This Row],[Ivalley (A) C]]*Table7[[#This Row],[ton (ns) C]]*10^-9*Fsw*10^3+0.5*VACnom*Table7[[#This Row],[Ipeak (A) C]]*Table7[[#This Row],[toff (ns) C]]*10^-9*Fsw*10^3/10^-3</f>
        <v>#NAME?</v>
      </c>
      <c r="BO217" s="145">
        <f t="shared" si="35"/>
        <v>259.2</v>
      </c>
      <c r="BP217" s="145" t="e">
        <f t="shared" ca="1" si="36"/>
        <v>#REF!</v>
      </c>
      <c r="BQ217" s="145">
        <f t="shared" si="37"/>
        <v>475.2</v>
      </c>
      <c r="BR217" s="145" t="e">
        <f>IF(VACnom&gt;Vbat, C_MOSFET_S_VSD_L_BU*Table7[[#This Row],[Ivalley (A) C]]*Fsw*10^3*40*10^-9+C_MOSFET_S_VSD_L_BU*Table7[[#This Row],[Ipeak (A) C]]*Fsw*10^3*30*10^-9, C_MOSFET_S_VSD_H_BO*Table7[[#This Row],[Ivalley (A) C]]*Fsw*10^3*40*10^-9+C_MOSFET_S_VSD_H_BO*Table7[[#This Row],[Ipeak (A) C]]*Fsw*10^3*30*10^-9)/10^-3</f>
        <v>#NAME?</v>
      </c>
      <c r="BS217" s="145" t="e">
        <f t="shared" ca="1" si="38"/>
        <v>#REF!</v>
      </c>
      <c r="BT217" s="145" t="e">
        <f>IF(VACnom&lt;Vbat, Table7[[#This Row],[Duty Cycle]]*Table7[[#This Row],[I_L RMS]]^2*C_MOSFET_S_RDSON_H_BU*10^-3, (1-Table7[[#This Row],[Duty Cycle]])*Table7[[#This Row],[I_L RMS]]^2*C_MOSFET_S_RDSON_H_BO*10^-3)/10^-3</f>
        <v>#NAME?</v>
      </c>
      <c r="BU217" s="145" t="e">
        <f ca="1">IF(VACnom&gt;Vbat, Table7[[#This Row],[PIV (mW) C]]+Table7[[#This Row],[PQoss (mW) C]]+Table7[[#This Row],[Pgate_top (mW) C]], Table7[[#This Row],[PRR (mW) C]]+Table7[[#This Row],[Pdead (mW) C]]+Table7[[#This Row],[Pgate_top (mW) C]])</f>
        <v>#NAME?</v>
      </c>
      <c r="BV217" s="145" t="e">
        <f ca="1">Table7[[#This Row],[Pcon_top (mW) C]]+Table7[[#This Row],[Psw_top (mW) C]]</f>
        <v>#NAME?</v>
      </c>
      <c r="BW217" s="145" t="e">
        <f ca="1">IF(VACnom&gt;Vbat, (1-Table7[[#This Row],[Duty Cycle]])*Table7[[#This Row],[I_L RMS]]^2*C_MOSFET_S_RDSON_L_BU*10^-3, Table7[[#This Row],[Duty Cycle]]*Table7[[#This Row],[I_L RMS]]^2*C_MOSFET_S_RDSON_L_BO*10^-3)/10^-3</f>
        <v>#NAME?</v>
      </c>
      <c r="BX217" s="145" t="e">
        <f ca="1">IF(VACnom&gt;Vbat, Table7[[#This Row],[PRR (mW) C]]+Table7[[#This Row],[Pdead (mW) C]]+Table7[[#This Row],[Pgate_bottom (mW) C]], Table7[[#This Row],[PIV (mW) C]]+Table7[[#This Row],[PQoss (mW) C]]+Table7[[#This Row],[Pgate_bottom (mW) C]])</f>
        <v>#NAME?</v>
      </c>
      <c r="BY217" s="145" t="e">
        <f ca="1">Table7[[#This Row],[Pcon_bottom (mW) C]]+Table7[[#This Row],[Psw_bottom (mV) C]]</f>
        <v>#NAME?</v>
      </c>
      <c r="BZ217" s="145" t="e">
        <f ca="1">Table7[[#This Row],[Pbottom (mW) C]]+Table7[[#This Row],[Ptop (mW) C]]</f>
        <v>#NAME?</v>
      </c>
      <c r="CA217" s="148"/>
      <c r="CB217" s="144">
        <f>(RAC_SNS*10^-3*(Table7[[#This Row],[IOUT (A)]]*Vbat/VACnom)^2/10^-3)</f>
        <v>266.05473003472218</v>
      </c>
      <c r="CC217" s="144">
        <f>(RBAT_SNS*10^-3*Table7[[#This Row],[IOUT (A)]]^2)/10^-3</f>
        <v>186.04999999999995</v>
      </c>
      <c r="CD217" s="144">
        <f>IF(VACnom&gt;Vbat,(L_DRC*10^-3*(Table7[[#This Row],[IOUT (A)]])^2/10^-3),(L_DRC*10^-3*(Table7[[#This Row],[IOUT (A)]]*Vbat/VACnom)^2/10^-3))</f>
        <v>180.91721642361105</v>
      </c>
      <c r="CE217" s="152"/>
      <c r="CF217" s="145">
        <f>(Table7[[#This Row],[R_AC (mW)]]+Table7[[#This Row],[R_SR (mW)]]+Table7[[#This Row],[Inductor Loss (mW)]])/10^3</f>
        <v>0.63302194645833321</v>
      </c>
      <c r="CG217" s="145" t="e">
        <f ca="1">Table7[[#This Row],[Total TI (mW)]]/10^3</f>
        <v>#NAME?</v>
      </c>
      <c r="CH217" s="145" t="e">
        <f ca="1">Table7[[#This Row],[Total Sense Loss]]+Table7[[#This Row],[Total MOSFET Loss]]</f>
        <v>#NAME?</v>
      </c>
      <c r="CI217" s="149" t="e">
        <f ca="1">IF(Table7[[#This Row],[POUT (W)]]=0,0,(Table7[[#This Row],[POUT (W)]])/(Table7[[#This Row],[POUT (W)]]+Table7[[#This Row],[Total Power Loss (W)]]))*100</f>
        <v>#NAME?</v>
      </c>
      <c r="CJ217" s="153"/>
      <c r="CK217" s="145">
        <f>(Table7[[#This Row],[R_AC (mW)]]+Table7[[#This Row],[R_SR (mW)]]+Table7[[#This Row],[Inductor Loss (mW)]])/10^3</f>
        <v>0.63302194645833321</v>
      </c>
      <c r="CL217" s="145" t="e">
        <f ca="1">Table7[[#This Row],[Total (mW) C]]/10^3</f>
        <v>#NAME?</v>
      </c>
      <c r="CM217" s="145" t="e">
        <f ca="1">Table7[[#This Row],[Total Sense Loss C]]+Table7[[#This Row],[Total MOSFET Loss C]]</f>
        <v>#NAME?</v>
      </c>
      <c r="CN217" s="149" t="e">
        <f ca="1">IF(Table7[[#This Row],[POUT (W)]]=0,0,(Table7[[#This Row],[POUT (W)]])/(Table7[[#This Row],[POUT (W)]]+Table7[[#This Row],[Total Power Loss (W) C]]))*100</f>
        <v>#NAME?</v>
      </c>
      <c r="CO217" s="153"/>
      <c r="CP217" s="149">
        <f>IF(MOSFET_S=Custom_MOSFET,Table7[[#This Row],[Total Sense Loss C]],Table7[[#This Row],[Total Sense Loss]])</f>
        <v>0.63302194645833321</v>
      </c>
      <c r="CQ217" s="149" t="e">
        <f ca="1">IF(MOSFET_S=Custom_MOSFET,Table7[[#This Row],[Total MOSFET Loss C]],Table7[[#This Row],[Total MOSFET Loss]])</f>
        <v>#NAME?</v>
      </c>
      <c r="CR217" s="149" t="e">
        <f ca="1">IF(MOSFET_S=Custom_MOSFET,Table7[[#This Row],[Efficiency C]],Table7[[#This Row],[Efficiency]])</f>
        <v>#NAME?</v>
      </c>
      <c r="CS217" s="153"/>
      <c r="CT217" s="149">
        <f>IF(MOSFET_S=Compare_MOSFET, Table7[[#This Row],[Total Sense Loss C]], -100)</f>
        <v>-100</v>
      </c>
      <c r="CU217" s="149">
        <f>IF(MOSFET_S=Compare_MOSFET, Table7[[#This Row],[Total MOSFET Loss C]], -100)</f>
        <v>-100</v>
      </c>
      <c r="CV217" s="149">
        <f>IF(MOSFET_S=Compare_MOSFET, Table7[[#This Row],[Efficiency C]], -100)</f>
        <v>-100</v>
      </c>
      <c r="CW217" s="153"/>
      <c r="CX217" s="149">
        <f ca="1">IF(Save_Sel=CLR_Save,  Table7[[#This Row],[Total Sense Loss P1]], Table7[[#This Row],[Total Sense Loss P1 Saved]])</f>
        <v>0.53082390624999998</v>
      </c>
      <c r="CY217" s="149">
        <f ca="1">IF(Save_Sel=CLR_Save,  Table7[[#This Row],[Total MOSFET Loss P1]], Table7[[#This Row],[Total MOSFET Loss P1 Saved]] )</f>
        <v>1.9812512704913474</v>
      </c>
      <c r="CZ217" s="149">
        <f ca="1">IF(Save_Sel=CLR_Save, Table7[[#This Row],[Efficiency P1]], Table7[[#This Row],[Efficiency P1 Saved]])</f>
        <v>93.577238831256921</v>
      </c>
      <c r="DA217" s="153"/>
      <c r="DB217" s="149">
        <f ca="1">IF(Save_Sel=CLR_Save,  Table7[[#This Row],[Total Sense Loss P2]], Table7[[#This Row],[Total Sense Loss P2 Saved]])</f>
        <v>0.53082390624999998</v>
      </c>
      <c r="DC217" s="149">
        <f ca="1">IF(Save_Sel=CLR_Save,  Table7[[#This Row],[Total MOSFET Loss P2]], Table7[[#This Row],[Total MOSFET Loss P2 Saved]] )</f>
        <v>1.3427896814500313</v>
      </c>
      <c r="DD217" s="149">
        <f ca="1">IF(Save_Sel=CLR_Save, Table7[[#This Row],[Efficiency P2]], Table7[[#This Row],[Efficiency P2 Saved]])</f>
        <v>95.130133582515825</v>
      </c>
      <c r="DE217" s="153"/>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row>
    <row r="218" spans="1:165" x14ac:dyDescent="0.2">
      <c r="A218" s="32"/>
      <c r="B218" s="49"/>
      <c r="C218" s="49"/>
      <c r="D218" s="32"/>
      <c r="E218" s="66"/>
      <c r="F218" s="66"/>
      <c r="G218" s="49"/>
      <c r="H218" s="29"/>
      <c r="I218" s="29"/>
      <c r="J218" s="29"/>
      <c r="K218" s="29"/>
      <c r="L218" s="29"/>
      <c r="M218" s="29"/>
      <c r="N218" s="29"/>
      <c r="O218" s="29"/>
      <c r="P218" s="29"/>
      <c r="Q218" s="29"/>
      <c r="R218" s="29"/>
      <c r="S218" s="30"/>
      <c r="T218" s="18"/>
      <c r="U218" s="19"/>
      <c r="V218" s="19"/>
      <c r="W218" s="19"/>
      <c r="X218" s="19"/>
      <c r="Y218" s="19"/>
      <c r="Z218" s="19"/>
      <c r="AA218" s="19"/>
      <c r="AB218" s="19"/>
      <c r="AC218" s="19"/>
      <c r="AD218" s="19"/>
      <c r="AE218" s="19"/>
      <c r="AF218" s="143">
        <f t="shared" si="17"/>
        <v>62</v>
      </c>
      <c r="AG218" s="143">
        <f t="shared" si="39"/>
        <v>6.2</v>
      </c>
      <c r="AH218" s="144">
        <f t="shared" si="28"/>
        <v>148.80000000000001</v>
      </c>
      <c r="AI218" s="145">
        <f t="shared" si="29"/>
        <v>0.16376306620209058</v>
      </c>
      <c r="AJ218" s="145">
        <f t="shared" si="30"/>
        <v>7.4141666666666666</v>
      </c>
      <c r="AK218" s="145" t="e">
        <f t="shared" si="40"/>
        <v>#NAME?</v>
      </c>
      <c r="AL218" s="145" t="e">
        <f t="shared" si="41"/>
        <v>#NAME?</v>
      </c>
      <c r="AM218" s="146"/>
      <c r="AN218" s="145" t="e">
        <f>MAX(0,Table7[[#This Row],[I_L]]-0.5*Table7[[#This Row],[I_L pkpk]])</f>
        <v>#NAME?</v>
      </c>
      <c r="AO218" s="145" t="e">
        <f>Table7[[#This Row],[I_L]]+0.5*Table7[[#This Row],[I_L pkpk]]</f>
        <v>#NAME?</v>
      </c>
      <c r="AP218" s="145" t="e">
        <f ca="1">IF(VACnom&gt;Vbat, (VGS_S-(TI_MOSFET_S_VTH_H_BU+Table7[[#This Row],[I_L]]/TI_MOSFET_S_gFS_H_BU))/3.4, (VGS_S-(TI_MOSFET_S_VTH_L_BO+Table7[[#This Row],[I_L]]/TI_MOSFET_S_gFS_L_BO))/3.4 )</f>
        <v>#REF!</v>
      </c>
      <c r="AQ218" s="145" t="e">
        <f ca="1">IF(VACnom&gt;Vbat, ((TI_MOSFET_S_VTH_H_BU+Table7[[#This Row],[I_L]]/TI_MOSFET_S_gFS_H_BU))/1, ((TI_MOSFET_S_VTH_L_BO+Table7[[#This Row],[I_L]]/TI_MOSFET_S_gFS_L_BO))/1 )</f>
        <v>#REF!</v>
      </c>
      <c r="AR218" s="145" t="e">
        <f ca="1">IF(VACnom&gt;Vbat, (TI_MOSFET_S_QGD_H_BU+TI_MOSFET_S_QGS_H_BU)*10^-9/Table7[[#This Row],[Ion (A)]], (TI_MOSFET_S_QGD_L_BO+TI_MOSFET_S_QGS_L_BO)*10^-9/Table7[[#This Row],[Ion (A)]])/10^-9</f>
        <v>#REF!</v>
      </c>
      <c r="AS218" s="145" t="e">
        <f ca="1">IF(VACnom&gt;Vbat, (TI_MOSFET_S_QGD_H_BU+TI_MOSFET_S_QGS_H_BU)*10^-9/Table7[[#This Row],[Ioff (A)]], (TI_MOSFET_S_QGD_L_BO+TI_MOSFET_S_QGS_L_BO)*10^-9/Table7[[#This Row],[Ioff (A)]])/10^-9</f>
        <v>#REF!</v>
      </c>
      <c r="AT218" s="145" t="e">
        <f ca="1" xml:space="preserve"> 0.5*VACnom*Table7[[#This Row],[Ivalley (A)]]*Table7[[#This Row],[ton (ns)]]*10^-9*Fsw*10^3+0.5*VACnom*Table7[[#This Row],[Ipeak (A)]]*Table7[[#This Row],[toff (ns)]]*10^-9*Fsw*10^3/10^-3</f>
        <v>#NAME?</v>
      </c>
      <c r="AU218" s="145" t="e">
        <f t="shared" ca="1" si="31"/>
        <v>#REF!</v>
      </c>
      <c r="AV218" s="145" t="e">
        <f t="shared" ca="1" si="32"/>
        <v>#REF!</v>
      </c>
      <c r="AW218" s="145" t="e">
        <f t="shared" ca="1" si="33"/>
        <v>#REF!</v>
      </c>
      <c r="AX218" s="145" t="e">
        <f ca="1">IF(VACnom&gt;Vbat, TI_MOSFET_S_VSD_L_BU*Table7[[#This Row],[Ivalley (A)]]*Fsw*10^3*40*10^-9+TI_MOSFET_S_VSD_L_BU*Table7[[#This Row],[Ipeak (A)]]*Fsw*10^3*30*10^-9, TI_MOSFET_S_VSD_H_BO*Table7[[#This Row],[Ivalley (A)]]*Fsw*10^3*40*10^-9+TI_MOSFET_S_VSD_H_BO*Table7[[#This Row],[Ipeak (A)]]*Fsw*10^3*30*10^-9)/10^-3</f>
        <v>#REF!</v>
      </c>
      <c r="AY218" s="145" t="e">
        <f t="shared" ca="1" si="34"/>
        <v>#REF!</v>
      </c>
      <c r="AZ218" s="145" t="e">
        <f ca="1">IF(VACnom&lt;Vbat, Table7[[#This Row],[Duty Cycle]]*Table7[[#This Row],[I_L RMS]]^2*TI_MOSFET_S_RDSON_H_BU*10^-3, (1-Table7[[#This Row],[Duty Cycle]])*Table7[[#This Row],[I_L RMS]]^2*TI_MOSFET_S_RDSON_H_BO*10^-3)/10^-3</f>
        <v>#NAME?</v>
      </c>
      <c r="BA218" s="145" t="e">
        <f ca="1">IF(VACnom&gt;Vbat, Table7[[#This Row],[PIV (mW)]]+Table7[[#This Row],[Pqoss (mW)]]+Table7[[#This Row],[Pgate_top (mW)]], Table7[[#This Row],[PRR (mW)]]+Table7[[#This Row],[Pdead (mW)]]+Table7[[#This Row],[Pgate_top (mW)]])</f>
        <v>#REF!</v>
      </c>
      <c r="BB218" s="145" t="e">
        <f ca="1">Table7[[#This Row],[Pcon_top (mW)]]+Table7[[#This Row],[Psw_top (mW)]]</f>
        <v>#NAME?</v>
      </c>
      <c r="BC218" s="145" t="e">
        <f ca="1">IF(VACnom&gt;Vbat, (1-Table7[[#This Row],[Duty Cycle]])*Table7[[#This Row],[I_L RMS]]^2*TI_MOSFET_S_RDSON_L_BU*10^-3, Table7[[#This Row],[Duty Cycle]]*Table7[[#This Row],[I_L RMS]]^2*TI_MOSFET_S_RDSON_L_BO*10^-3)/10^-3</f>
        <v>#NAME?</v>
      </c>
      <c r="BD218" s="145" t="e">
        <f ca="1">IF(VACnom&gt;Vbat, Table7[[#This Row],[PRR (mW)]]+Table7[[#This Row],[Pdead (mW)]]+Table7[[#This Row],[Pgate_bottom (mW)]], Table7[[#This Row],[PIV (mW)]]+Table7[[#This Row],[Pqoss (mW)]]+Table7[[#This Row],[Pgate_bottom (mW)]])</f>
        <v>#NAME?</v>
      </c>
      <c r="BE218" s="147" t="e">
        <f ca="1">Table7[[#This Row],[Pcon_bottom (mW)]]+Table7[[#This Row],[Psw_bottom (mW)]]</f>
        <v>#NAME?</v>
      </c>
      <c r="BF218" s="145" t="e">
        <f ca="1">Table7[[#This Row],[Pbottom (mW)]]+Table7[[#This Row],[Ptop (mW)]]</f>
        <v>#NAME?</v>
      </c>
      <c r="BG218" s="142"/>
      <c r="BH218" s="145" t="e">
        <f>MAX(0,Table7[[#This Row],[I_L]]-0.5*Table7[[#This Row],[I_L pkpk]])</f>
        <v>#NAME?</v>
      </c>
      <c r="BI218" s="145" t="e">
        <f>Table7[[#This Row],[I_L]]+0.5*Table7[[#This Row],[I_L pkpk]]</f>
        <v>#NAME?</v>
      </c>
      <c r="BJ218" s="145">
        <f>IF(VACnom&gt;Vbat, (VGS_S-(C_MOSFET_S_VTH_H_BU+Table7[[#This Row],[I_L]]/C_MOSFET_S_gFS_H_BU))/3.4, (VGS_S-(C_MOSFET_S_VTH_L_BO+Table7[[#This Row],[I_L]]/C_MOSFET_S_gFS_L_BO))/3.4 )</f>
        <v>2.338403594771242</v>
      </c>
      <c r="BK218" s="145">
        <f>IF(VACnom&gt;Vbat, ((C_MOSFET_S_VTH_H_BU+Table7[[#This Row],[I_L]]/C_MOSFET_S_gFS_H_BU))/1, ((C_MOSFET_S_VTH_L_BO+Table7[[#This Row],[I_L]]/C_MOSFET_S_gFS_L_BO))/1 )</f>
        <v>2.0494277777777778</v>
      </c>
      <c r="BL218" s="145">
        <f>IF(VACnom&gt;Vbat, (C_MOSFET_S_QGD_H_BU+C_MOSFET_S_QGS_H_BU)*10^-9/Table7[[#This Row],[Ion (A) C]], (C_MOSFET_S_QGD_L_BO+C_MOSFET_S_QGS_L_BO)*10^-9/Table7[[#This Row],[Ion (A) C]])/10^-9</f>
        <v>2.7796741394574669</v>
      </c>
      <c r="BM218" s="145">
        <f>IF(VACnom&gt;Vbat, (C_MOSFET_S_QGD_H_BU+C_MOSFET_S_QGS_H_BU)*10^-9/Table7[[#This Row],[Ioff (A) C]], (C_MOSFET_S_QGD_L_BO+C_MOSFET_S_QGS_L_BO)*10^-9/Table7[[#This Row],[Ioff (A) C]])/10^-9</f>
        <v>3.1716170096259928</v>
      </c>
      <c r="BN218" s="145" t="e">
        <f xml:space="preserve"> 0.5*VACnom*Table7[[#This Row],[Ivalley (A) C]]*Table7[[#This Row],[ton (ns) C]]*10^-9*Fsw*10^3+0.5*VACnom*Table7[[#This Row],[Ipeak (A) C]]*Table7[[#This Row],[toff (ns) C]]*10^-9*Fsw*10^3/10^-3</f>
        <v>#NAME?</v>
      </c>
      <c r="BO218" s="145">
        <f t="shared" si="35"/>
        <v>259.2</v>
      </c>
      <c r="BP218" s="145" t="e">
        <f t="shared" ca="1" si="36"/>
        <v>#REF!</v>
      </c>
      <c r="BQ218" s="145">
        <f t="shared" si="37"/>
        <v>475.2</v>
      </c>
      <c r="BR218" s="145" t="e">
        <f>IF(VACnom&gt;Vbat, C_MOSFET_S_VSD_L_BU*Table7[[#This Row],[Ivalley (A) C]]*Fsw*10^3*40*10^-9+C_MOSFET_S_VSD_L_BU*Table7[[#This Row],[Ipeak (A) C]]*Fsw*10^3*30*10^-9, C_MOSFET_S_VSD_H_BO*Table7[[#This Row],[Ivalley (A) C]]*Fsw*10^3*40*10^-9+C_MOSFET_S_VSD_H_BO*Table7[[#This Row],[Ipeak (A) C]]*Fsw*10^3*30*10^-9)/10^-3</f>
        <v>#NAME?</v>
      </c>
      <c r="BS218" s="145" t="e">
        <f t="shared" ca="1" si="38"/>
        <v>#REF!</v>
      </c>
      <c r="BT218" s="145" t="e">
        <f>IF(VACnom&lt;Vbat, Table7[[#This Row],[Duty Cycle]]*Table7[[#This Row],[I_L RMS]]^2*C_MOSFET_S_RDSON_H_BU*10^-3, (1-Table7[[#This Row],[Duty Cycle]])*Table7[[#This Row],[I_L RMS]]^2*C_MOSFET_S_RDSON_H_BO*10^-3)/10^-3</f>
        <v>#NAME?</v>
      </c>
      <c r="BU218" s="145" t="e">
        <f ca="1">IF(VACnom&gt;Vbat, Table7[[#This Row],[PIV (mW) C]]+Table7[[#This Row],[PQoss (mW) C]]+Table7[[#This Row],[Pgate_top (mW) C]], Table7[[#This Row],[PRR (mW) C]]+Table7[[#This Row],[Pdead (mW) C]]+Table7[[#This Row],[Pgate_top (mW) C]])</f>
        <v>#NAME?</v>
      </c>
      <c r="BV218" s="145" t="e">
        <f ca="1">Table7[[#This Row],[Pcon_top (mW) C]]+Table7[[#This Row],[Psw_top (mW) C]]</f>
        <v>#NAME?</v>
      </c>
      <c r="BW218" s="145" t="e">
        <f ca="1">IF(VACnom&gt;Vbat, (1-Table7[[#This Row],[Duty Cycle]])*Table7[[#This Row],[I_L RMS]]^2*C_MOSFET_S_RDSON_L_BU*10^-3, Table7[[#This Row],[Duty Cycle]]*Table7[[#This Row],[I_L RMS]]^2*C_MOSFET_S_RDSON_L_BO*10^-3)/10^-3</f>
        <v>#NAME?</v>
      </c>
      <c r="BX218" s="145" t="e">
        <f ca="1">IF(VACnom&gt;Vbat, Table7[[#This Row],[PRR (mW) C]]+Table7[[#This Row],[Pdead (mW) C]]+Table7[[#This Row],[Pgate_bottom (mW) C]], Table7[[#This Row],[PIV (mW) C]]+Table7[[#This Row],[PQoss (mW) C]]+Table7[[#This Row],[Pgate_bottom (mW) C]])</f>
        <v>#NAME?</v>
      </c>
      <c r="BY218" s="145" t="e">
        <f ca="1">Table7[[#This Row],[Pcon_bottom (mW) C]]+Table7[[#This Row],[Psw_bottom (mV) C]]</f>
        <v>#NAME?</v>
      </c>
      <c r="BZ218" s="145" t="e">
        <f ca="1">Table7[[#This Row],[Pbottom (mW) C]]+Table7[[#This Row],[Ptop (mW) C]]</f>
        <v>#NAME?</v>
      </c>
      <c r="CA218" s="148"/>
      <c r="CB218" s="144">
        <f>(RAC_SNS*10^-3*(Table7[[#This Row],[IOUT (A)]]*Vbat/VACnom)^2/10^-3)</f>
        <v>274.84933680555548</v>
      </c>
      <c r="CC218" s="144">
        <f>(RBAT_SNS*10^-3*Table7[[#This Row],[IOUT (A)]]^2)/10^-3</f>
        <v>192.20000000000005</v>
      </c>
      <c r="CD218" s="144">
        <f>IF(VACnom&gt;Vbat,(L_DRC*10^-3*(Table7[[#This Row],[IOUT (A)]])^2/10^-3),(L_DRC*10^-3*(Table7[[#This Row],[IOUT (A)]]*Vbat/VACnom)^2/10^-3))</f>
        <v>186.89754902777776</v>
      </c>
      <c r="CE218" s="152"/>
      <c r="CF218" s="145">
        <f>(Table7[[#This Row],[R_AC (mW)]]+Table7[[#This Row],[R_SR (mW)]]+Table7[[#This Row],[Inductor Loss (mW)]])/10^3</f>
        <v>0.65394688583333327</v>
      </c>
      <c r="CG218" s="145" t="e">
        <f ca="1">Table7[[#This Row],[Total TI (mW)]]/10^3</f>
        <v>#NAME?</v>
      </c>
      <c r="CH218" s="145" t="e">
        <f ca="1">Table7[[#This Row],[Total Sense Loss]]+Table7[[#This Row],[Total MOSFET Loss]]</f>
        <v>#NAME?</v>
      </c>
      <c r="CI218" s="149" t="e">
        <f ca="1">IF(Table7[[#This Row],[POUT (W)]]=0,0,(Table7[[#This Row],[POUT (W)]])/(Table7[[#This Row],[POUT (W)]]+Table7[[#This Row],[Total Power Loss (W)]]))*100</f>
        <v>#NAME?</v>
      </c>
      <c r="CJ218" s="153"/>
      <c r="CK218" s="145">
        <f>(Table7[[#This Row],[R_AC (mW)]]+Table7[[#This Row],[R_SR (mW)]]+Table7[[#This Row],[Inductor Loss (mW)]])/10^3</f>
        <v>0.65394688583333327</v>
      </c>
      <c r="CL218" s="145" t="e">
        <f ca="1">Table7[[#This Row],[Total (mW) C]]/10^3</f>
        <v>#NAME?</v>
      </c>
      <c r="CM218" s="145" t="e">
        <f ca="1">Table7[[#This Row],[Total Sense Loss C]]+Table7[[#This Row],[Total MOSFET Loss C]]</f>
        <v>#NAME?</v>
      </c>
      <c r="CN218" s="149" t="e">
        <f ca="1">IF(Table7[[#This Row],[POUT (W)]]=0,0,(Table7[[#This Row],[POUT (W)]])/(Table7[[#This Row],[POUT (W)]]+Table7[[#This Row],[Total Power Loss (W) C]]))*100</f>
        <v>#NAME?</v>
      </c>
      <c r="CO218" s="153"/>
      <c r="CP218" s="149">
        <f>IF(MOSFET_S=Custom_MOSFET,Table7[[#This Row],[Total Sense Loss C]],Table7[[#This Row],[Total Sense Loss]])</f>
        <v>0.65394688583333327</v>
      </c>
      <c r="CQ218" s="149" t="e">
        <f ca="1">IF(MOSFET_S=Custom_MOSFET,Table7[[#This Row],[Total MOSFET Loss C]],Table7[[#This Row],[Total MOSFET Loss]])</f>
        <v>#NAME?</v>
      </c>
      <c r="CR218" s="149" t="e">
        <f ca="1">IF(MOSFET_S=Custom_MOSFET,Table7[[#This Row],[Efficiency C]],Table7[[#This Row],[Efficiency]])</f>
        <v>#NAME?</v>
      </c>
      <c r="CS218" s="153"/>
      <c r="CT218" s="149">
        <f>IF(MOSFET_S=Compare_MOSFET, Table7[[#This Row],[Total Sense Loss C]], -100)</f>
        <v>-100</v>
      </c>
      <c r="CU218" s="149">
        <f>IF(MOSFET_S=Compare_MOSFET, Table7[[#This Row],[Total MOSFET Loss C]], -100)</f>
        <v>-100</v>
      </c>
      <c r="CV218" s="149">
        <f>IF(MOSFET_S=Compare_MOSFET, Table7[[#This Row],[Efficiency C]], -100)</f>
        <v>-100</v>
      </c>
      <c r="CW218" s="153"/>
      <c r="CX218" s="149">
        <f ca="1">IF(Save_Sel=CLR_Save,  Table7[[#This Row],[Total Sense Loss P1]], Table7[[#This Row],[Total Sense Loss P1 Saved]])</f>
        <v>0.54837062500000011</v>
      </c>
      <c r="CY218" s="149">
        <f ca="1">IF(Save_Sel=CLR_Save,  Table7[[#This Row],[Total MOSFET Loss P1]], Table7[[#This Row],[Total MOSFET Loss P1 Saved]] )</f>
        <v>1.9917122062930672</v>
      </c>
      <c r="CZ218" s="149">
        <f ca="1">IF(Save_Sel=CLR_Save, Table7[[#This Row],[Efficiency P1]], Table7[[#This Row],[Efficiency P1 Saved]])</f>
        <v>93.608259846673249</v>
      </c>
      <c r="DA218" s="153"/>
      <c r="DB218" s="149">
        <f ca="1">IF(Save_Sel=CLR_Save,  Table7[[#This Row],[Total Sense Loss P2]], Table7[[#This Row],[Total Sense Loss P2 Saved]])</f>
        <v>0.54837062500000011</v>
      </c>
      <c r="DC218" s="149">
        <f ca="1">IF(Save_Sel=CLR_Save,  Table7[[#This Row],[Total MOSFET Loss P2]], Table7[[#This Row],[Total MOSFET Loss P2 Saved]] )</f>
        <v>1.3516227851574172</v>
      </c>
      <c r="DD218" s="149">
        <f ca="1">IF(Save_Sel=CLR_Save, Table7[[#This Row],[Efficiency P2]], Table7[[#This Row],[Efficiency P2 Saved]])</f>
        <v>95.140680996473435</v>
      </c>
      <c r="DE218" s="153"/>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row>
    <row r="219" spans="1:165" x14ac:dyDescent="0.2">
      <c r="A219" s="32"/>
      <c r="B219" s="49"/>
      <c r="C219" s="49"/>
      <c r="D219" s="32"/>
      <c r="E219" s="66"/>
      <c r="F219" s="66"/>
      <c r="G219" s="49"/>
      <c r="H219" s="29"/>
      <c r="I219" s="29"/>
      <c r="J219" s="29"/>
      <c r="K219" s="29"/>
      <c r="L219" s="29"/>
      <c r="M219" s="29"/>
      <c r="N219" s="29"/>
      <c r="O219" s="29"/>
      <c r="P219" s="29"/>
      <c r="Q219" s="29"/>
      <c r="R219" s="29"/>
      <c r="S219" s="30"/>
      <c r="T219" s="18"/>
      <c r="U219" s="19"/>
      <c r="V219" s="19"/>
      <c r="W219" s="19"/>
      <c r="X219" s="19"/>
      <c r="Y219" s="19"/>
      <c r="Z219" s="19"/>
      <c r="AA219" s="19"/>
      <c r="AB219" s="19"/>
      <c r="AC219" s="19"/>
      <c r="AD219" s="19"/>
      <c r="AE219" s="19"/>
      <c r="AF219" s="143">
        <f t="shared" si="17"/>
        <v>63</v>
      </c>
      <c r="AG219" s="143">
        <f t="shared" si="39"/>
        <v>6.3</v>
      </c>
      <c r="AH219" s="144">
        <f t="shared" si="28"/>
        <v>151.19999999999999</v>
      </c>
      <c r="AI219" s="145">
        <f t="shared" si="29"/>
        <v>0.16376306620209058</v>
      </c>
      <c r="AJ219" s="145">
        <f t="shared" si="30"/>
        <v>7.5337499999999995</v>
      </c>
      <c r="AK219" s="145" t="e">
        <f t="shared" si="40"/>
        <v>#NAME?</v>
      </c>
      <c r="AL219" s="145" t="e">
        <f t="shared" si="41"/>
        <v>#NAME?</v>
      </c>
      <c r="AM219" s="146"/>
      <c r="AN219" s="145" t="e">
        <f>MAX(0,Table7[[#This Row],[I_L]]-0.5*Table7[[#This Row],[I_L pkpk]])</f>
        <v>#NAME?</v>
      </c>
      <c r="AO219" s="145" t="e">
        <f>Table7[[#This Row],[I_L]]+0.5*Table7[[#This Row],[I_L pkpk]]</f>
        <v>#NAME?</v>
      </c>
      <c r="AP219" s="145" t="e">
        <f ca="1">IF(VACnom&gt;Vbat, (VGS_S-(TI_MOSFET_S_VTH_H_BU+Table7[[#This Row],[I_L]]/TI_MOSFET_S_gFS_H_BU))/3.4, (VGS_S-(TI_MOSFET_S_VTH_L_BO+Table7[[#This Row],[I_L]]/TI_MOSFET_S_gFS_L_BO))/3.4 )</f>
        <v>#REF!</v>
      </c>
      <c r="AQ219" s="145" t="e">
        <f ca="1">IF(VACnom&gt;Vbat, ((TI_MOSFET_S_VTH_H_BU+Table7[[#This Row],[I_L]]/TI_MOSFET_S_gFS_H_BU))/1, ((TI_MOSFET_S_VTH_L_BO+Table7[[#This Row],[I_L]]/TI_MOSFET_S_gFS_L_BO))/1 )</f>
        <v>#REF!</v>
      </c>
      <c r="AR219" s="145" t="e">
        <f ca="1">IF(VACnom&gt;Vbat, (TI_MOSFET_S_QGD_H_BU+TI_MOSFET_S_QGS_H_BU)*10^-9/Table7[[#This Row],[Ion (A)]], (TI_MOSFET_S_QGD_L_BO+TI_MOSFET_S_QGS_L_BO)*10^-9/Table7[[#This Row],[Ion (A)]])/10^-9</f>
        <v>#REF!</v>
      </c>
      <c r="AS219" s="145" t="e">
        <f ca="1">IF(VACnom&gt;Vbat, (TI_MOSFET_S_QGD_H_BU+TI_MOSFET_S_QGS_H_BU)*10^-9/Table7[[#This Row],[Ioff (A)]], (TI_MOSFET_S_QGD_L_BO+TI_MOSFET_S_QGS_L_BO)*10^-9/Table7[[#This Row],[Ioff (A)]])/10^-9</f>
        <v>#REF!</v>
      </c>
      <c r="AT219" s="145" t="e">
        <f ca="1" xml:space="preserve"> 0.5*VACnom*Table7[[#This Row],[Ivalley (A)]]*Table7[[#This Row],[ton (ns)]]*10^-9*Fsw*10^3+0.5*VACnom*Table7[[#This Row],[Ipeak (A)]]*Table7[[#This Row],[toff (ns)]]*10^-9*Fsw*10^3/10^-3</f>
        <v>#NAME?</v>
      </c>
      <c r="AU219" s="145" t="e">
        <f t="shared" ca="1" si="31"/>
        <v>#REF!</v>
      </c>
      <c r="AV219" s="145" t="e">
        <f t="shared" ca="1" si="32"/>
        <v>#REF!</v>
      </c>
      <c r="AW219" s="145" t="e">
        <f t="shared" ca="1" si="33"/>
        <v>#REF!</v>
      </c>
      <c r="AX219" s="145" t="e">
        <f ca="1">IF(VACnom&gt;Vbat, TI_MOSFET_S_VSD_L_BU*Table7[[#This Row],[Ivalley (A)]]*Fsw*10^3*40*10^-9+TI_MOSFET_S_VSD_L_BU*Table7[[#This Row],[Ipeak (A)]]*Fsw*10^3*30*10^-9, TI_MOSFET_S_VSD_H_BO*Table7[[#This Row],[Ivalley (A)]]*Fsw*10^3*40*10^-9+TI_MOSFET_S_VSD_H_BO*Table7[[#This Row],[Ipeak (A)]]*Fsw*10^3*30*10^-9)/10^-3</f>
        <v>#REF!</v>
      </c>
      <c r="AY219" s="145" t="e">
        <f t="shared" ca="1" si="34"/>
        <v>#REF!</v>
      </c>
      <c r="AZ219" s="145" t="e">
        <f ca="1">IF(VACnom&lt;Vbat, Table7[[#This Row],[Duty Cycle]]*Table7[[#This Row],[I_L RMS]]^2*TI_MOSFET_S_RDSON_H_BU*10^-3, (1-Table7[[#This Row],[Duty Cycle]])*Table7[[#This Row],[I_L RMS]]^2*TI_MOSFET_S_RDSON_H_BO*10^-3)/10^-3</f>
        <v>#NAME?</v>
      </c>
      <c r="BA219" s="145" t="e">
        <f ca="1">IF(VACnom&gt;Vbat, Table7[[#This Row],[PIV (mW)]]+Table7[[#This Row],[Pqoss (mW)]]+Table7[[#This Row],[Pgate_top (mW)]], Table7[[#This Row],[PRR (mW)]]+Table7[[#This Row],[Pdead (mW)]]+Table7[[#This Row],[Pgate_top (mW)]])</f>
        <v>#REF!</v>
      </c>
      <c r="BB219" s="145" t="e">
        <f ca="1">Table7[[#This Row],[Pcon_top (mW)]]+Table7[[#This Row],[Psw_top (mW)]]</f>
        <v>#NAME?</v>
      </c>
      <c r="BC219" s="145" t="e">
        <f ca="1">IF(VACnom&gt;Vbat, (1-Table7[[#This Row],[Duty Cycle]])*Table7[[#This Row],[I_L RMS]]^2*TI_MOSFET_S_RDSON_L_BU*10^-3, Table7[[#This Row],[Duty Cycle]]*Table7[[#This Row],[I_L RMS]]^2*TI_MOSFET_S_RDSON_L_BO*10^-3)/10^-3</f>
        <v>#NAME?</v>
      </c>
      <c r="BD219" s="145" t="e">
        <f ca="1">IF(VACnom&gt;Vbat, Table7[[#This Row],[PRR (mW)]]+Table7[[#This Row],[Pdead (mW)]]+Table7[[#This Row],[Pgate_bottom (mW)]], Table7[[#This Row],[PIV (mW)]]+Table7[[#This Row],[Pqoss (mW)]]+Table7[[#This Row],[Pgate_bottom (mW)]])</f>
        <v>#NAME?</v>
      </c>
      <c r="BE219" s="147" t="e">
        <f ca="1">Table7[[#This Row],[Pcon_bottom (mW)]]+Table7[[#This Row],[Psw_bottom (mW)]]</f>
        <v>#NAME?</v>
      </c>
      <c r="BF219" s="145" t="e">
        <f ca="1">Table7[[#This Row],[Pbottom (mW)]]+Table7[[#This Row],[Ptop (mW)]]</f>
        <v>#NAME?</v>
      </c>
      <c r="BG219" s="142"/>
      <c r="BH219" s="145" t="e">
        <f>MAX(0,Table7[[#This Row],[I_L]]-0.5*Table7[[#This Row],[I_L pkpk]])</f>
        <v>#NAME?</v>
      </c>
      <c r="BI219" s="145" t="e">
        <f>Table7[[#This Row],[I_L]]+0.5*Table7[[#This Row],[I_L pkpk]]</f>
        <v>#NAME?</v>
      </c>
      <c r="BJ219" s="145">
        <f>IF(VACnom&gt;Vbat, (VGS_S-(C_MOSFET_S_VTH_H_BU+Table7[[#This Row],[I_L]]/C_MOSFET_S_gFS_H_BU))/3.4, (VGS_S-(C_MOSFET_S_VTH_L_BO+Table7[[#This Row],[I_L]]/C_MOSFET_S_gFS_L_BO))/3.4 )</f>
        <v>2.3381691176470589</v>
      </c>
      <c r="BK219" s="145">
        <f>IF(VACnom&gt;Vbat, ((C_MOSFET_S_VTH_H_BU+Table7[[#This Row],[I_L]]/C_MOSFET_S_gFS_H_BU))/1, ((C_MOSFET_S_VTH_L_BO+Table7[[#This Row],[I_L]]/C_MOSFET_S_gFS_L_BO))/1 )</f>
        <v>2.0502250000000002</v>
      </c>
      <c r="BL219" s="145">
        <f>IF(VACnom&gt;Vbat, (C_MOSFET_S_QGD_H_BU+C_MOSFET_S_QGS_H_BU)*10^-9/Table7[[#This Row],[Ion (A) C]], (C_MOSFET_S_QGD_L_BO+C_MOSFET_S_QGS_L_BO)*10^-9/Table7[[#This Row],[Ion (A) C]])/10^-9</f>
        <v>2.7799528917485086</v>
      </c>
      <c r="BM219" s="145">
        <f>IF(VACnom&gt;Vbat, (C_MOSFET_S_QGD_H_BU+C_MOSFET_S_QGS_H_BU)*10^-9/Table7[[#This Row],[Ioff (A) C]], (C_MOSFET_S_QGD_L_BO+C_MOSFET_S_QGS_L_BO)*10^-9/Table7[[#This Row],[Ioff (A) C]])/10^-9</f>
        <v>3.1703837383701785</v>
      </c>
      <c r="BN219" s="145" t="e">
        <f xml:space="preserve"> 0.5*VACnom*Table7[[#This Row],[Ivalley (A) C]]*Table7[[#This Row],[ton (ns) C]]*10^-9*Fsw*10^3+0.5*VACnom*Table7[[#This Row],[Ipeak (A) C]]*Table7[[#This Row],[toff (ns) C]]*10^-9*Fsw*10^3/10^-3</f>
        <v>#NAME?</v>
      </c>
      <c r="BO219" s="145">
        <f t="shared" si="35"/>
        <v>259.2</v>
      </c>
      <c r="BP219" s="145" t="e">
        <f t="shared" ca="1" si="36"/>
        <v>#REF!</v>
      </c>
      <c r="BQ219" s="145">
        <f t="shared" si="37"/>
        <v>475.2</v>
      </c>
      <c r="BR219" s="145" t="e">
        <f>IF(VACnom&gt;Vbat, C_MOSFET_S_VSD_L_BU*Table7[[#This Row],[Ivalley (A) C]]*Fsw*10^3*40*10^-9+C_MOSFET_S_VSD_L_BU*Table7[[#This Row],[Ipeak (A) C]]*Fsw*10^3*30*10^-9, C_MOSFET_S_VSD_H_BO*Table7[[#This Row],[Ivalley (A) C]]*Fsw*10^3*40*10^-9+C_MOSFET_S_VSD_H_BO*Table7[[#This Row],[Ipeak (A) C]]*Fsw*10^3*30*10^-9)/10^-3</f>
        <v>#NAME?</v>
      </c>
      <c r="BS219" s="145" t="e">
        <f t="shared" ca="1" si="38"/>
        <v>#REF!</v>
      </c>
      <c r="BT219" s="145" t="e">
        <f>IF(VACnom&lt;Vbat, Table7[[#This Row],[Duty Cycle]]*Table7[[#This Row],[I_L RMS]]^2*C_MOSFET_S_RDSON_H_BU*10^-3, (1-Table7[[#This Row],[Duty Cycle]])*Table7[[#This Row],[I_L RMS]]^2*C_MOSFET_S_RDSON_H_BO*10^-3)/10^-3</f>
        <v>#NAME?</v>
      </c>
      <c r="BU219" s="145" t="e">
        <f ca="1">IF(VACnom&gt;Vbat, Table7[[#This Row],[PIV (mW) C]]+Table7[[#This Row],[PQoss (mW) C]]+Table7[[#This Row],[Pgate_top (mW) C]], Table7[[#This Row],[PRR (mW) C]]+Table7[[#This Row],[Pdead (mW) C]]+Table7[[#This Row],[Pgate_top (mW) C]])</f>
        <v>#NAME?</v>
      </c>
      <c r="BV219" s="145" t="e">
        <f ca="1">Table7[[#This Row],[Pcon_top (mW) C]]+Table7[[#This Row],[Psw_top (mW) C]]</f>
        <v>#NAME?</v>
      </c>
      <c r="BW219" s="145" t="e">
        <f ca="1">IF(VACnom&gt;Vbat, (1-Table7[[#This Row],[Duty Cycle]])*Table7[[#This Row],[I_L RMS]]^2*C_MOSFET_S_RDSON_L_BU*10^-3, Table7[[#This Row],[Duty Cycle]]*Table7[[#This Row],[I_L RMS]]^2*C_MOSFET_S_RDSON_L_BO*10^-3)/10^-3</f>
        <v>#NAME?</v>
      </c>
      <c r="BX219" s="145" t="e">
        <f ca="1">IF(VACnom&gt;Vbat, Table7[[#This Row],[PRR (mW) C]]+Table7[[#This Row],[Pdead (mW) C]]+Table7[[#This Row],[Pgate_bottom (mW) C]], Table7[[#This Row],[PIV (mW) C]]+Table7[[#This Row],[PQoss (mW) C]]+Table7[[#This Row],[Pgate_bottom (mW) C]])</f>
        <v>#NAME?</v>
      </c>
      <c r="BY219" s="145" t="e">
        <f ca="1">Table7[[#This Row],[Pcon_bottom (mW) C]]+Table7[[#This Row],[Psw_bottom (mV) C]]</f>
        <v>#NAME?</v>
      </c>
      <c r="BZ219" s="145" t="e">
        <f ca="1">Table7[[#This Row],[Pbottom (mW) C]]+Table7[[#This Row],[Ptop (mW) C]]</f>
        <v>#NAME?</v>
      </c>
      <c r="CA219" s="148"/>
      <c r="CB219" s="144">
        <f>(RAC_SNS*10^-3*(Table7[[#This Row],[IOUT (A)]]*Vbat/VACnom)^2/10^-3)</f>
        <v>283.78694531250005</v>
      </c>
      <c r="CC219" s="144">
        <f>(RBAT_SNS*10^-3*Table7[[#This Row],[IOUT (A)]]^2)/10^-3</f>
        <v>198.45</v>
      </c>
      <c r="CD219" s="144">
        <f>IF(VACnom&gt;Vbat,(L_DRC*10^-3*(Table7[[#This Row],[IOUT (A)]])^2/10^-3),(L_DRC*10^-3*(Table7[[#This Row],[IOUT (A)]]*Vbat/VACnom)^2/10^-3))</f>
        <v>192.97512281250002</v>
      </c>
      <c r="CE219" s="152"/>
      <c r="CF219" s="145">
        <f>(Table7[[#This Row],[R_AC (mW)]]+Table7[[#This Row],[R_SR (mW)]]+Table7[[#This Row],[Inductor Loss (mW)]])/10^3</f>
        <v>0.67521206812500012</v>
      </c>
      <c r="CG219" s="145" t="e">
        <f ca="1">Table7[[#This Row],[Total TI (mW)]]/10^3</f>
        <v>#NAME?</v>
      </c>
      <c r="CH219" s="145" t="e">
        <f ca="1">Table7[[#This Row],[Total Sense Loss]]+Table7[[#This Row],[Total MOSFET Loss]]</f>
        <v>#NAME?</v>
      </c>
      <c r="CI219" s="149" t="e">
        <f ca="1">IF(Table7[[#This Row],[POUT (W)]]=0,0,(Table7[[#This Row],[POUT (W)]])/(Table7[[#This Row],[POUT (W)]]+Table7[[#This Row],[Total Power Loss (W)]]))*100</f>
        <v>#NAME?</v>
      </c>
      <c r="CJ219" s="153"/>
      <c r="CK219" s="145">
        <f>(Table7[[#This Row],[R_AC (mW)]]+Table7[[#This Row],[R_SR (mW)]]+Table7[[#This Row],[Inductor Loss (mW)]])/10^3</f>
        <v>0.67521206812500012</v>
      </c>
      <c r="CL219" s="145" t="e">
        <f ca="1">Table7[[#This Row],[Total (mW) C]]/10^3</f>
        <v>#NAME?</v>
      </c>
      <c r="CM219" s="145" t="e">
        <f ca="1">Table7[[#This Row],[Total Sense Loss C]]+Table7[[#This Row],[Total MOSFET Loss C]]</f>
        <v>#NAME?</v>
      </c>
      <c r="CN219" s="149" t="e">
        <f ca="1">IF(Table7[[#This Row],[POUT (W)]]=0,0,(Table7[[#This Row],[POUT (W)]])/(Table7[[#This Row],[POUT (W)]]+Table7[[#This Row],[Total Power Loss (W) C]]))*100</f>
        <v>#NAME?</v>
      </c>
      <c r="CO219" s="153"/>
      <c r="CP219" s="149">
        <f>IF(MOSFET_S=Custom_MOSFET,Table7[[#This Row],[Total Sense Loss C]],Table7[[#This Row],[Total Sense Loss]])</f>
        <v>0.67521206812500012</v>
      </c>
      <c r="CQ219" s="149" t="e">
        <f ca="1">IF(MOSFET_S=Custom_MOSFET,Table7[[#This Row],[Total MOSFET Loss C]],Table7[[#This Row],[Total MOSFET Loss]])</f>
        <v>#NAME?</v>
      </c>
      <c r="CR219" s="149" t="e">
        <f ca="1">IF(MOSFET_S=Custom_MOSFET,Table7[[#This Row],[Efficiency C]],Table7[[#This Row],[Efficiency]])</f>
        <v>#NAME?</v>
      </c>
      <c r="CS219" s="153"/>
      <c r="CT219" s="149">
        <f>IF(MOSFET_S=Compare_MOSFET, Table7[[#This Row],[Total Sense Loss C]], -100)</f>
        <v>-100</v>
      </c>
      <c r="CU219" s="149">
        <f>IF(MOSFET_S=Compare_MOSFET, Table7[[#This Row],[Total MOSFET Loss C]], -100)</f>
        <v>-100</v>
      </c>
      <c r="CV219" s="149">
        <f>IF(MOSFET_S=Compare_MOSFET, Table7[[#This Row],[Efficiency C]], -100)</f>
        <v>-100</v>
      </c>
      <c r="CW219" s="153"/>
      <c r="CX219" s="149">
        <f ca="1">IF(Save_Sel=CLR_Save,  Table7[[#This Row],[Total Sense Loss P1]], Table7[[#This Row],[Total Sense Loss P1 Saved]])</f>
        <v>0.56620265624999977</v>
      </c>
      <c r="CY219" s="149">
        <f ca="1">IF(Save_Sel=CLR_Save,  Table7[[#This Row],[Total MOSFET Loss P1]], Table7[[#This Row],[Total MOSFET Loss P1 Saved]] )</f>
        <v>2.0022160330827048</v>
      </c>
      <c r="CZ219" s="149">
        <f ca="1">IF(Save_Sel=CLR_Save, Table7[[#This Row],[Efficiency P1]], Table7[[#This Row],[Efficiency P1 Saved]])</f>
        <v>93.637554373633662</v>
      </c>
      <c r="DA219" s="153"/>
      <c r="DB219" s="149">
        <f ca="1">IF(Save_Sel=CLR_Save,  Table7[[#This Row],[Total Sense Loss P2]], Table7[[#This Row],[Total Sense Loss P2 Saved]])</f>
        <v>0.56620265624999977</v>
      </c>
      <c r="DC219" s="149">
        <f ca="1">IF(Save_Sel=CLR_Save,  Table7[[#This Row],[Total MOSFET Loss P2]], Table7[[#This Row],[Total MOSFET Loss P2 Saved]] )</f>
        <v>1.3605350594768175</v>
      </c>
      <c r="DD219" s="149">
        <f ca="1">IF(Save_Sel=CLR_Save, Table7[[#This Row],[Efficiency P2]], Table7[[#This Row],[Efficiency P2 Saved]])</f>
        <v>95.150022814573902</v>
      </c>
      <c r="DE219" s="153"/>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row>
    <row r="220" spans="1:165" x14ac:dyDescent="0.2">
      <c r="A220" s="32"/>
      <c r="B220" s="49"/>
      <c r="C220" s="49"/>
      <c r="D220" s="32"/>
      <c r="E220" s="66"/>
      <c r="F220" s="66"/>
      <c r="G220" s="49"/>
      <c r="H220" s="29"/>
      <c r="I220" s="29"/>
      <c r="J220" s="29"/>
      <c r="K220" s="29"/>
      <c r="L220" s="29"/>
      <c r="M220" s="29"/>
      <c r="N220" s="29"/>
      <c r="O220" s="29"/>
      <c r="P220" s="29"/>
      <c r="Q220" s="29"/>
      <c r="R220" s="29"/>
      <c r="S220" s="30"/>
      <c r="T220" s="18"/>
      <c r="U220" s="19"/>
      <c r="V220" s="19"/>
      <c r="W220" s="19"/>
      <c r="X220" s="19"/>
      <c r="Y220" s="19"/>
      <c r="Z220" s="19"/>
      <c r="AA220" s="19"/>
      <c r="AB220" s="19"/>
      <c r="AC220" s="19"/>
      <c r="AD220" s="19"/>
      <c r="AE220" s="19"/>
      <c r="AF220" s="143">
        <f t="shared" si="17"/>
        <v>64</v>
      </c>
      <c r="AG220" s="143">
        <f t="shared" si="39"/>
        <v>6.4</v>
      </c>
      <c r="AH220" s="144">
        <f t="shared" ref="AH220:AH251" si="42">AG220*VACnom</f>
        <v>153.60000000000002</v>
      </c>
      <c r="AI220" s="145">
        <f t="shared" ref="AI220:AI256" si="43">IF(VACnom&lt;Vbat, (Vbat-VACnom)/Vbat, Vbat/VACnom)</f>
        <v>0.16376306620209058</v>
      </c>
      <c r="AJ220" s="145">
        <f t="shared" ref="AJ220:AJ251" si="44">IF(VACnom&lt;Vbat, AG220/(1-AI220), AG220*AI220)</f>
        <v>7.6533333333333333</v>
      </c>
      <c r="AK220" s="145" t="e">
        <f t="shared" si="40"/>
        <v>#NAME?</v>
      </c>
      <c r="AL220" s="145" t="e">
        <f t="shared" si="41"/>
        <v>#NAME?</v>
      </c>
      <c r="AM220" s="146"/>
      <c r="AN220" s="145" t="e">
        <f>MAX(0,Table7[[#This Row],[I_L]]-0.5*Table7[[#This Row],[I_L pkpk]])</f>
        <v>#NAME?</v>
      </c>
      <c r="AO220" s="145" t="e">
        <f>Table7[[#This Row],[I_L]]+0.5*Table7[[#This Row],[I_L pkpk]]</f>
        <v>#NAME?</v>
      </c>
      <c r="AP220" s="145" t="e">
        <f ca="1">IF(VACnom&gt;Vbat, (VGS_S-(TI_MOSFET_S_VTH_H_BU+Table7[[#This Row],[I_L]]/TI_MOSFET_S_gFS_H_BU))/3.4, (VGS_S-(TI_MOSFET_S_VTH_L_BO+Table7[[#This Row],[I_L]]/TI_MOSFET_S_gFS_L_BO))/3.4 )</f>
        <v>#REF!</v>
      </c>
      <c r="AQ220" s="145" t="e">
        <f ca="1">IF(VACnom&gt;Vbat, ((TI_MOSFET_S_VTH_H_BU+Table7[[#This Row],[I_L]]/TI_MOSFET_S_gFS_H_BU))/1, ((TI_MOSFET_S_VTH_L_BO+Table7[[#This Row],[I_L]]/TI_MOSFET_S_gFS_L_BO))/1 )</f>
        <v>#REF!</v>
      </c>
      <c r="AR220" s="145" t="e">
        <f ca="1">IF(VACnom&gt;Vbat, (TI_MOSFET_S_QGD_H_BU+TI_MOSFET_S_QGS_H_BU)*10^-9/Table7[[#This Row],[Ion (A)]], (TI_MOSFET_S_QGD_L_BO+TI_MOSFET_S_QGS_L_BO)*10^-9/Table7[[#This Row],[Ion (A)]])/10^-9</f>
        <v>#REF!</v>
      </c>
      <c r="AS220" s="145" t="e">
        <f ca="1">IF(VACnom&gt;Vbat, (TI_MOSFET_S_QGD_H_BU+TI_MOSFET_S_QGS_H_BU)*10^-9/Table7[[#This Row],[Ioff (A)]], (TI_MOSFET_S_QGD_L_BO+TI_MOSFET_S_QGS_L_BO)*10^-9/Table7[[#This Row],[Ioff (A)]])/10^-9</f>
        <v>#REF!</v>
      </c>
      <c r="AT220" s="145" t="e">
        <f ca="1" xml:space="preserve"> 0.5*VACnom*Table7[[#This Row],[Ivalley (A)]]*Table7[[#This Row],[ton (ns)]]*10^-9*Fsw*10^3+0.5*VACnom*Table7[[#This Row],[Ipeak (A)]]*Table7[[#This Row],[toff (ns)]]*10^-9*Fsw*10^3/10^-3</f>
        <v>#NAME?</v>
      </c>
      <c r="AU220" s="145" t="e">
        <f t="shared" ref="AU220:AU256" ca="1" si="45">IF(VACnom&gt;Vbat, 0.5*VACnom*TI_MOSFET_S_QOSS_H_BU*10^-9*Fsw*10^3,0.5*VACnom*TI_MOSFET_S_QOSS_L_BO*10^-9*Fsw*10^3)/10^-3</f>
        <v>#REF!</v>
      </c>
      <c r="AV220" s="145" t="e">
        <f t="shared" ref="AV220:AV256" ca="1" si="46">IF(VACnom&gt;Vbat, VACnom*TI_MOSFET_S_QG_H_BU*10^-9*Fsw*10^3,VACnom*TI_MOSFET_S_QG_H_BO*10^-9*Fsw*10^3)/10^-3</f>
        <v>#REF!</v>
      </c>
      <c r="AW220" s="145" t="e">
        <f t="shared" ref="AW220:AW256" ca="1" si="47">IF(VACnom&gt;Vbat, VACnom*TI_MOSFET_S_QRR_L_BU*10^-9*Fsw*10^3, VACnom*TI_MOSFET_S_QRR_H_BO*10^-9*Fsw*10^3)/10^-3</f>
        <v>#REF!</v>
      </c>
      <c r="AX220" s="145" t="e">
        <f ca="1">IF(VACnom&gt;Vbat, TI_MOSFET_S_VSD_L_BU*Table7[[#This Row],[Ivalley (A)]]*Fsw*10^3*40*10^-9+TI_MOSFET_S_VSD_L_BU*Table7[[#This Row],[Ipeak (A)]]*Fsw*10^3*30*10^-9, TI_MOSFET_S_VSD_H_BO*Table7[[#This Row],[Ivalley (A)]]*Fsw*10^3*40*10^-9+TI_MOSFET_S_VSD_H_BO*Table7[[#This Row],[Ipeak (A)]]*Fsw*10^3*30*10^-9)/10^-3</f>
        <v>#REF!</v>
      </c>
      <c r="AY220" s="145" t="e">
        <f t="shared" ref="AY220:AY256" ca="1" si="48">IF(VACnom&gt;Vbat, VACnom*TI_MOSFET_S_QG_L_BU*10^-9*Fsw*10^3, VACnom*TI_MOSFET_S_QG_L_BO*10^-9*Fsw*10^3)/10^-3</f>
        <v>#REF!</v>
      </c>
      <c r="AZ220" s="145" t="e">
        <f ca="1">IF(VACnom&lt;Vbat, Table7[[#This Row],[Duty Cycle]]*Table7[[#This Row],[I_L RMS]]^2*TI_MOSFET_S_RDSON_H_BU*10^-3, (1-Table7[[#This Row],[Duty Cycle]])*Table7[[#This Row],[I_L RMS]]^2*TI_MOSFET_S_RDSON_H_BO*10^-3)/10^-3</f>
        <v>#NAME?</v>
      </c>
      <c r="BA220" s="145" t="e">
        <f ca="1">IF(VACnom&gt;Vbat, Table7[[#This Row],[PIV (mW)]]+Table7[[#This Row],[Pqoss (mW)]]+Table7[[#This Row],[Pgate_top (mW)]], Table7[[#This Row],[PRR (mW)]]+Table7[[#This Row],[Pdead (mW)]]+Table7[[#This Row],[Pgate_top (mW)]])</f>
        <v>#REF!</v>
      </c>
      <c r="BB220" s="145" t="e">
        <f ca="1">Table7[[#This Row],[Pcon_top (mW)]]+Table7[[#This Row],[Psw_top (mW)]]</f>
        <v>#NAME?</v>
      </c>
      <c r="BC220" s="145" t="e">
        <f ca="1">IF(VACnom&gt;Vbat, (1-Table7[[#This Row],[Duty Cycle]])*Table7[[#This Row],[I_L RMS]]^2*TI_MOSFET_S_RDSON_L_BU*10^-3, Table7[[#This Row],[Duty Cycle]]*Table7[[#This Row],[I_L RMS]]^2*TI_MOSFET_S_RDSON_L_BO*10^-3)/10^-3</f>
        <v>#NAME?</v>
      </c>
      <c r="BD220" s="145" t="e">
        <f ca="1">IF(VACnom&gt;Vbat, Table7[[#This Row],[PRR (mW)]]+Table7[[#This Row],[Pdead (mW)]]+Table7[[#This Row],[Pgate_bottom (mW)]], Table7[[#This Row],[PIV (mW)]]+Table7[[#This Row],[Pqoss (mW)]]+Table7[[#This Row],[Pgate_bottom (mW)]])</f>
        <v>#NAME?</v>
      </c>
      <c r="BE220" s="147" t="e">
        <f ca="1">Table7[[#This Row],[Pcon_bottom (mW)]]+Table7[[#This Row],[Psw_bottom (mW)]]</f>
        <v>#NAME?</v>
      </c>
      <c r="BF220" s="145" t="e">
        <f ca="1">Table7[[#This Row],[Pbottom (mW)]]+Table7[[#This Row],[Ptop (mW)]]</f>
        <v>#NAME?</v>
      </c>
      <c r="BG220" s="142"/>
      <c r="BH220" s="145" t="e">
        <f>MAX(0,Table7[[#This Row],[I_L]]-0.5*Table7[[#This Row],[I_L pkpk]])</f>
        <v>#NAME?</v>
      </c>
      <c r="BI220" s="145" t="e">
        <f>Table7[[#This Row],[I_L]]+0.5*Table7[[#This Row],[I_L pkpk]]</f>
        <v>#NAME?</v>
      </c>
      <c r="BJ220" s="145">
        <f>IF(VACnom&gt;Vbat, (VGS_S-(C_MOSFET_S_VTH_H_BU+Table7[[#This Row],[I_L]]/C_MOSFET_S_gFS_H_BU))/3.4, (VGS_S-(C_MOSFET_S_VTH_L_BO+Table7[[#This Row],[I_L]]/C_MOSFET_S_gFS_L_BO))/3.4 )</f>
        <v>2.3379346405228758</v>
      </c>
      <c r="BK220" s="145">
        <f>IF(VACnom&gt;Vbat, ((C_MOSFET_S_VTH_H_BU+Table7[[#This Row],[I_L]]/C_MOSFET_S_gFS_H_BU))/1, ((C_MOSFET_S_VTH_L_BO+Table7[[#This Row],[I_L]]/C_MOSFET_S_gFS_L_BO))/1 )</f>
        <v>2.0510222222222221</v>
      </c>
      <c r="BL220" s="145">
        <f>IF(VACnom&gt;Vbat, (C_MOSFET_S_QGD_H_BU+C_MOSFET_S_QGS_H_BU)*10^-9/Table7[[#This Row],[Ion (A) C]], (C_MOSFET_S_QGD_L_BO+C_MOSFET_S_QGS_L_BO)*10^-9/Table7[[#This Row],[Ion (A) C]])/10^-9</f>
        <v>2.7802316999530339</v>
      </c>
      <c r="BM220" s="145">
        <f>IF(VACnom&gt;Vbat, (C_MOSFET_S_QGD_H_BU+C_MOSFET_S_QGS_H_BU)*10^-9/Table7[[#This Row],[Ioff (A) C]], (C_MOSFET_S_QGD_L_BO+C_MOSFET_S_QGS_L_BO)*10^-9/Table7[[#This Row],[Ioff (A) C]])/10^-9</f>
        <v>3.1691514258472742</v>
      </c>
      <c r="BN220" s="145" t="e">
        <f xml:space="preserve"> 0.5*VACnom*Table7[[#This Row],[Ivalley (A) C]]*Table7[[#This Row],[ton (ns) C]]*10^-9*Fsw*10^3+0.5*VACnom*Table7[[#This Row],[Ipeak (A) C]]*Table7[[#This Row],[toff (ns) C]]*10^-9*Fsw*10^3/10^-3</f>
        <v>#NAME?</v>
      </c>
      <c r="BO220" s="145">
        <f t="shared" ref="BO220:BO256" si="49">IF(VACnom&gt;Vbat, 0.5*VACnom*C_MOSFET_S_QOSS_H_BU*10^-9*Fsw*10^3,0.5*VACnom*C_MOSFET_S_QOSS_L_BO*10^-9*Fsw*10^3)/10^-3</f>
        <v>259.2</v>
      </c>
      <c r="BP220" s="145" t="e">
        <f t="shared" ref="BP220:BP256" ca="1" si="50">IF(VACnom&gt;Vbat, VACnom*C_MOSFET_S_QG_H_BU*10^-9*Fsw*10^3,VACnom*C_MOSFET_S_QG_H_BO*10^-9*Fsw*10^3)/10^-3</f>
        <v>#REF!</v>
      </c>
      <c r="BQ220" s="145">
        <f t="shared" ref="BQ220:BQ256" si="51">IF(VACnom&gt;Vbat, VACnom*C_MOSFET_S_QRR_L_BU*10^-9*Fsw*10^3, VACnom*C_MOSFET_S_QRR_H_BO*10^-9*Fsw*10^3)/10^-3</f>
        <v>475.2</v>
      </c>
      <c r="BR220" s="145" t="e">
        <f>IF(VACnom&gt;Vbat, C_MOSFET_S_VSD_L_BU*Table7[[#This Row],[Ivalley (A) C]]*Fsw*10^3*40*10^-9+C_MOSFET_S_VSD_L_BU*Table7[[#This Row],[Ipeak (A) C]]*Fsw*10^3*30*10^-9, C_MOSFET_S_VSD_H_BO*Table7[[#This Row],[Ivalley (A) C]]*Fsw*10^3*40*10^-9+C_MOSFET_S_VSD_H_BO*Table7[[#This Row],[Ipeak (A) C]]*Fsw*10^3*30*10^-9)/10^-3</f>
        <v>#NAME?</v>
      </c>
      <c r="BS220" s="145" t="e">
        <f t="shared" ref="BS220:BS256" ca="1" si="52">IF(VACnom&gt;Vbat, VACnom*C_MOSFET_S_QG_L_BU*10^-9*Fsw*10^3, VACnom*C_MOSFET_S_QG_L_BO*10^-9*Fsw*10^3)/10^-3</f>
        <v>#REF!</v>
      </c>
      <c r="BT220" s="145" t="e">
        <f>IF(VACnom&lt;Vbat, Table7[[#This Row],[Duty Cycle]]*Table7[[#This Row],[I_L RMS]]^2*C_MOSFET_S_RDSON_H_BU*10^-3, (1-Table7[[#This Row],[Duty Cycle]])*Table7[[#This Row],[I_L RMS]]^2*C_MOSFET_S_RDSON_H_BO*10^-3)/10^-3</f>
        <v>#NAME?</v>
      </c>
      <c r="BU220" s="145" t="e">
        <f ca="1">IF(VACnom&gt;Vbat, Table7[[#This Row],[PIV (mW) C]]+Table7[[#This Row],[PQoss (mW) C]]+Table7[[#This Row],[Pgate_top (mW) C]], Table7[[#This Row],[PRR (mW) C]]+Table7[[#This Row],[Pdead (mW) C]]+Table7[[#This Row],[Pgate_top (mW) C]])</f>
        <v>#NAME?</v>
      </c>
      <c r="BV220" s="145" t="e">
        <f ca="1">Table7[[#This Row],[Pcon_top (mW) C]]+Table7[[#This Row],[Psw_top (mW) C]]</f>
        <v>#NAME?</v>
      </c>
      <c r="BW220" s="145" t="e">
        <f ca="1">IF(VACnom&gt;Vbat, (1-Table7[[#This Row],[Duty Cycle]])*Table7[[#This Row],[I_L RMS]]^2*C_MOSFET_S_RDSON_L_BU*10^-3, Table7[[#This Row],[Duty Cycle]]*Table7[[#This Row],[I_L RMS]]^2*C_MOSFET_S_RDSON_L_BO*10^-3)/10^-3</f>
        <v>#NAME?</v>
      </c>
      <c r="BX220" s="145" t="e">
        <f ca="1">IF(VACnom&gt;Vbat, Table7[[#This Row],[PRR (mW) C]]+Table7[[#This Row],[Pdead (mW) C]]+Table7[[#This Row],[Pgate_bottom (mW) C]], Table7[[#This Row],[PIV (mW) C]]+Table7[[#This Row],[PQoss (mW) C]]+Table7[[#This Row],[Pgate_bottom (mW) C]])</f>
        <v>#NAME?</v>
      </c>
      <c r="BY220" s="145" t="e">
        <f ca="1">Table7[[#This Row],[Pcon_bottom (mW) C]]+Table7[[#This Row],[Psw_bottom (mV) C]]</f>
        <v>#NAME?</v>
      </c>
      <c r="BZ220" s="145" t="e">
        <f ca="1">Table7[[#This Row],[Pbottom (mW) C]]+Table7[[#This Row],[Ptop (mW) C]]</f>
        <v>#NAME?</v>
      </c>
      <c r="CA220" s="148"/>
      <c r="CB220" s="144">
        <f>(RAC_SNS*10^-3*(Table7[[#This Row],[IOUT (A)]]*Vbat/VACnom)^2/10^-3)</f>
        <v>292.86755555555555</v>
      </c>
      <c r="CC220" s="144">
        <f>(RBAT_SNS*10^-3*Table7[[#This Row],[IOUT (A)]]^2)/10^-3</f>
        <v>204.80000000000004</v>
      </c>
      <c r="CD220" s="144">
        <f>IF(VACnom&gt;Vbat,(L_DRC*10^-3*(Table7[[#This Row],[IOUT (A)]])^2/10^-3),(L_DRC*10^-3*(Table7[[#This Row],[IOUT (A)]]*Vbat/VACnom)^2/10^-3))</f>
        <v>199.14993777777775</v>
      </c>
      <c r="CE220" s="152"/>
      <c r="CF220" s="145">
        <f>(Table7[[#This Row],[R_AC (mW)]]+Table7[[#This Row],[R_SR (mW)]]+Table7[[#This Row],[Inductor Loss (mW)]])/10^3</f>
        <v>0.69681749333333332</v>
      </c>
      <c r="CG220" s="145" t="e">
        <f ca="1">Table7[[#This Row],[Total TI (mW)]]/10^3</f>
        <v>#NAME?</v>
      </c>
      <c r="CH220" s="145" t="e">
        <f ca="1">Table7[[#This Row],[Total Sense Loss]]+Table7[[#This Row],[Total MOSFET Loss]]</f>
        <v>#NAME?</v>
      </c>
      <c r="CI220" s="149" t="e">
        <f ca="1">IF(Table7[[#This Row],[POUT (W)]]=0,0,(Table7[[#This Row],[POUT (W)]])/(Table7[[#This Row],[POUT (W)]]+Table7[[#This Row],[Total Power Loss (W)]]))*100</f>
        <v>#NAME?</v>
      </c>
      <c r="CJ220" s="153"/>
      <c r="CK220" s="145">
        <f>(Table7[[#This Row],[R_AC (mW)]]+Table7[[#This Row],[R_SR (mW)]]+Table7[[#This Row],[Inductor Loss (mW)]])/10^3</f>
        <v>0.69681749333333332</v>
      </c>
      <c r="CL220" s="145" t="e">
        <f ca="1">Table7[[#This Row],[Total (mW) C]]/10^3</f>
        <v>#NAME?</v>
      </c>
      <c r="CM220" s="145" t="e">
        <f ca="1">Table7[[#This Row],[Total Sense Loss C]]+Table7[[#This Row],[Total MOSFET Loss C]]</f>
        <v>#NAME?</v>
      </c>
      <c r="CN220" s="149" t="e">
        <f ca="1">IF(Table7[[#This Row],[POUT (W)]]=0,0,(Table7[[#This Row],[POUT (W)]])/(Table7[[#This Row],[POUT (W)]]+Table7[[#This Row],[Total Power Loss (W) C]]))*100</f>
        <v>#NAME?</v>
      </c>
      <c r="CO220" s="153"/>
      <c r="CP220" s="149">
        <f>IF(MOSFET_S=Custom_MOSFET,Table7[[#This Row],[Total Sense Loss C]],Table7[[#This Row],[Total Sense Loss]])</f>
        <v>0.69681749333333332</v>
      </c>
      <c r="CQ220" s="149" t="e">
        <f ca="1">IF(MOSFET_S=Custom_MOSFET,Table7[[#This Row],[Total MOSFET Loss C]],Table7[[#This Row],[Total MOSFET Loss]])</f>
        <v>#NAME?</v>
      </c>
      <c r="CR220" s="149" t="e">
        <f ca="1">IF(MOSFET_S=Custom_MOSFET,Table7[[#This Row],[Efficiency C]],Table7[[#This Row],[Efficiency]])</f>
        <v>#NAME?</v>
      </c>
      <c r="CS220" s="153"/>
      <c r="CT220" s="149">
        <f>IF(MOSFET_S=Compare_MOSFET, Table7[[#This Row],[Total Sense Loss C]], -100)</f>
        <v>-100</v>
      </c>
      <c r="CU220" s="149">
        <f>IF(MOSFET_S=Compare_MOSFET, Table7[[#This Row],[Total MOSFET Loss C]], -100)</f>
        <v>-100</v>
      </c>
      <c r="CV220" s="149">
        <f>IF(MOSFET_S=Compare_MOSFET, Table7[[#This Row],[Efficiency C]], -100)</f>
        <v>-100</v>
      </c>
      <c r="CW220" s="153"/>
      <c r="CX220" s="149">
        <f ca="1">IF(Save_Sel=CLR_Save,  Table7[[#This Row],[Total Sense Loss P1]], Table7[[#This Row],[Total Sense Loss P1 Saved]])</f>
        <v>0.58432000000000017</v>
      </c>
      <c r="CY220" s="149">
        <f ca="1">IF(Save_Sel=CLR_Save,  Table7[[#This Row],[Total MOSFET Loss P1]], Table7[[#This Row],[Total MOSFET Loss P1 Saved]] )</f>
        <v>2.0127627550407854</v>
      </c>
      <c r="CZ220" s="149">
        <f ca="1">IF(Save_Sel=CLR_Save, Table7[[#This Row],[Efficiency P1]], Table7[[#This Row],[Efficiency P1 Saved]])</f>
        <v>93.665201081358745</v>
      </c>
      <c r="DA220" s="153"/>
      <c r="DB220" s="149">
        <f ca="1">IF(Save_Sel=CLR_Save,  Table7[[#This Row],[Total Sense Loss P2]], Table7[[#This Row],[Total Sense Loss P2 Saved]])</f>
        <v>0.58432000000000017</v>
      </c>
      <c r="DC220" s="149">
        <f ca="1">IF(Save_Sel=CLR_Save,  Table7[[#This Row],[Total MOSFET Loss P2]], Table7[[#This Row],[Total MOSFET Loss P2 Saved]] )</f>
        <v>1.3695265048946135</v>
      </c>
      <c r="DD220" s="149">
        <f ca="1">IF(Save_Sel=CLR_Save, Table7[[#This Row],[Efficiency P2]], Table7[[#This Row],[Efficiency P2 Saved]])</f>
        <v>95.158214955648333</v>
      </c>
      <c r="DE220" s="153"/>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row>
    <row r="221" spans="1:165" x14ac:dyDescent="0.2">
      <c r="A221" s="96"/>
      <c r="B221" s="49"/>
      <c r="C221" s="49"/>
      <c r="D221" s="32"/>
      <c r="E221" s="66"/>
      <c r="F221" s="66"/>
      <c r="G221" s="49"/>
      <c r="H221" s="29"/>
      <c r="I221" s="29"/>
      <c r="J221" s="29"/>
      <c r="K221" s="29"/>
      <c r="L221" s="29"/>
      <c r="M221" s="29"/>
      <c r="N221" s="29"/>
      <c r="O221" s="29"/>
      <c r="P221" s="29"/>
      <c r="Q221" s="29"/>
      <c r="R221" s="29"/>
      <c r="S221" s="30"/>
      <c r="T221" s="18"/>
      <c r="U221" s="19"/>
      <c r="V221" s="19"/>
      <c r="W221" s="19"/>
      <c r="X221" s="19"/>
      <c r="Y221" s="19"/>
      <c r="Z221" s="19"/>
      <c r="AA221" s="19"/>
      <c r="AB221" s="19"/>
      <c r="AC221" s="19"/>
      <c r="AD221" s="19"/>
      <c r="AE221" s="19"/>
      <c r="AF221" s="143">
        <f t="shared" si="17"/>
        <v>65</v>
      </c>
      <c r="AG221" s="143">
        <f t="shared" ref="AG221:AG252" si="53">$AG$156+AF221*($AG$256-$AG$156)/$AF$256</f>
        <v>6.5</v>
      </c>
      <c r="AH221" s="144">
        <f t="shared" si="42"/>
        <v>156</v>
      </c>
      <c r="AI221" s="145">
        <f t="shared" si="43"/>
        <v>0.16376306620209058</v>
      </c>
      <c r="AJ221" s="145">
        <f t="shared" si="44"/>
        <v>7.7729166666666663</v>
      </c>
      <c r="AK221" s="145" t="e">
        <f t="shared" si="40"/>
        <v>#NAME?</v>
      </c>
      <c r="AL221" s="145" t="e">
        <f t="shared" si="41"/>
        <v>#NAME?</v>
      </c>
      <c r="AM221" s="146"/>
      <c r="AN221" s="145" t="e">
        <f>MAX(0,Table7[[#This Row],[I_L]]-0.5*Table7[[#This Row],[I_L pkpk]])</f>
        <v>#NAME?</v>
      </c>
      <c r="AO221" s="145" t="e">
        <f>Table7[[#This Row],[I_L]]+0.5*Table7[[#This Row],[I_L pkpk]]</f>
        <v>#NAME?</v>
      </c>
      <c r="AP221" s="145" t="e">
        <f ca="1">IF(VACnom&gt;Vbat, (VGS_S-(TI_MOSFET_S_VTH_H_BU+Table7[[#This Row],[I_L]]/TI_MOSFET_S_gFS_H_BU))/3.4, (VGS_S-(TI_MOSFET_S_VTH_L_BO+Table7[[#This Row],[I_L]]/TI_MOSFET_S_gFS_L_BO))/3.4 )</f>
        <v>#REF!</v>
      </c>
      <c r="AQ221" s="145" t="e">
        <f ca="1">IF(VACnom&gt;Vbat, ((TI_MOSFET_S_VTH_H_BU+Table7[[#This Row],[I_L]]/TI_MOSFET_S_gFS_H_BU))/1, ((TI_MOSFET_S_VTH_L_BO+Table7[[#This Row],[I_L]]/TI_MOSFET_S_gFS_L_BO))/1 )</f>
        <v>#REF!</v>
      </c>
      <c r="AR221" s="145" t="e">
        <f ca="1">IF(VACnom&gt;Vbat, (TI_MOSFET_S_QGD_H_BU+TI_MOSFET_S_QGS_H_BU)*10^-9/Table7[[#This Row],[Ion (A)]], (TI_MOSFET_S_QGD_L_BO+TI_MOSFET_S_QGS_L_BO)*10^-9/Table7[[#This Row],[Ion (A)]])/10^-9</f>
        <v>#REF!</v>
      </c>
      <c r="AS221" s="145" t="e">
        <f ca="1">IF(VACnom&gt;Vbat, (TI_MOSFET_S_QGD_H_BU+TI_MOSFET_S_QGS_H_BU)*10^-9/Table7[[#This Row],[Ioff (A)]], (TI_MOSFET_S_QGD_L_BO+TI_MOSFET_S_QGS_L_BO)*10^-9/Table7[[#This Row],[Ioff (A)]])/10^-9</f>
        <v>#REF!</v>
      </c>
      <c r="AT221" s="145" t="e">
        <f ca="1" xml:space="preserve"> 0.5*VACnom*Table7[[#This Row],[Ivalley (A)]]*Table7[[#This Row],[ton (ns)]]*10^-9*Fsw*10^3+0.5*VACnom*Table7[[#This Row],[Ipeak (A)]]*Table7[[#This Row],[toff (ns)]]*10^-9*Fsw*10^3/10^-3</f>
        <v>#NAME?</v>
      </c>
      <c r="AU221" s="145" t="e">
        <f t="shared" ca="1" si="45"/>
        <v>#REF!</v>
      </c>
      <c r="AV221" s="145" t="e">
        <f t="shared" ca="1" si="46"/>
        <v>#REF!</v>
      </c>
      <c r="AW221" s="145" t="e">
        <f t="shared" ca="1" si="47"/>
        <v>#REF!</v>
      </c>
      <c r="AX221" s="145" t="e">
        <f ca="1">IF(VACnom&gt;Vbat, TI_MOSFET_S_VSD_L_BU*Table7[[#This Row],[Ivalley (A)]]*Fsw*10^3*40*10^-9+TI_MOSFET_S_VSD_L_BU*Table7[[#This Row],[Ipeak (A)]]*Fsw*10^3*30*10^-9, TI_MOSFET_S_VSD_H_BO*Table7[[#This Row],[Ivalley (A)]]*Fsw*10^3*40*10^-9+TI_MOSFET_S_VSD_H_BO*Table7[[#This Row],[Ipeak (A)]]*Fsw*10^3*30*10^-9)/10^-3</f>
        <v>#REF!</v>
      </c>
      <c r="AY221" s="145" t="e">
        <f t="shared" ca="1" si="48"/>
        <v>#REF!</v>
      </c>
      <c r="AZ221" s="145" t="e">
        <f ca="1">IF(VACnom&lt;Vbat, Table7[[#This Row],[Duty Cycle]]*Table7[[#This Row],[I_L RMS]]^2*TI_MOSFET_S_RDSON_H_BU*10^-3, (1-Table7[[#This Row],[Duty Cycle]])*Table7[[#This Row],[I_L RMS]]^2*TI_MOSFET_S_RDSON_H_BO*10^-3)/10^-3</f>
        <v>#NAME?</v>
      </c>
      <c r="BA221" s="145" t="e">
        <f ca="1">IF(VACnom&gt;Vbat, Table7[[#This Row],[PIV (mW)]]+Table7[[#This Row],[Pqoss (mW)]]+Table7[[#This Row],[Pgate_top (mW)]], Table7[[#This Row],[PRR (mW)]]+Table7[[#This Row],[Pdead (mW)]]+Table7[[#This Row],[Pgate_top (mW)]])</f>
        <v>#REF!</v>
      </c>
      <c r="BB221" s="145" t="e">
        <f ca="1">Table7[[#This Row],[Pcon_top (mW)]]+Table7[[#This Row],[Psw_top (mW)]]</f>
        <v>#NAME?</v>
      </c>
      <c r="BC221" s="145" t="e">
        <f ca="1">IF(VACnom&gt;Vbat, (1-Table7[[#This Row],[Duty Cycle]])*Table7[[#This Row],[I_L RMS]]^2*TI_MOSFET_S_RDSON_L_BU*10^-3, Table7[[#This Row],[Duty Cycle]]*Table7[[#This Row],[I_L RMS]]^2*TI_MOSFET_S_RDSON_L_BO*10^-3)/10^-3</f>
        <v>#NAME?</v>
      </c>
      <c r="BD221" s="145" t="e">
        <f ca="1">IF(VACnom&gt;Vbat, Table7[[#This Row],[PRR (mW)]]+Table7[[#This Row],[Pdead (mW)]]+Table7[[#This Row],[Pgate_bottom (mW)]], Table7[[#This Row],[PIV (mW)]]+Table7[[#This Row],[Pqoss (mW)]]+Table7[[#This Row],[Pgate_bottom (mW)]])</f>
        <v>#NAME?</v>
      </c>
      <c r="BE221" s="147" t="e">
        <f ca="1">Table7[[#This Row],[Pcon_bottom (mW)]]+Table7[[#This Row],[Psw_bottom (mW)]]</f>
        <v>#NAME?</v>
      </c>
      <c r="BF221" s="145" t="e">
        <f ca="1">Table7[[#This Row],[Pbottom (mW)]]+Table7[[#This Row],[Ptop (mW)]]</f>
        <v>#NAME?</v>
      </c>
      <c r="BG221" s="142"/>
      <c r="BH221" s="145" t="e">
        <f>MAX(0,Table7[[#This Row],[I_L]]-0.5*Table7[[#This Row],[I_L pkpk]])</f>
        <v>#NAME?</v>
      </c>
      <c r="BI221" s="145" t="e">
        <f>Table7[[#This Row],[I_L]]+0.5*Table7[[#This Row],[I_L pkpk]]</f>
        <v>#NAME?</v>
      </c>
      <c r="BJ221" s="145">
        <f>IF(VACnom&gt;Vbat, (VGS_S-(C_MOSFET_S_VTH_H_BU+Table7[[#This Row],[I_L]]/C_MOSFET_S_gFS_H_BU))/3.4, (VGS_S-(C_MOSFET_S_VTH_L_BO+Table7[[#This Row],[I_L]]/C_MOSFET_S_gFS_L_BO))/3.4 )</f>
        <v>2.3377001633986931</v>
      </c>
      <c r="BK221" s="145">
        <f>IF(VACnom&gt;Vbat, ((C_MOSFET_S_VTH_H_BU+Table7[[#This Row],[I_L]]/C_MOSFET_S_gFS_H_BU))/1, ((C_MOSFET_S_VTH_L_BO+Table7[[#This Row],[I_L]]/C_MOSFET_S_gFS_L_BO))/1 )</f>
        <v>2.0518194444444444</v>
      </c>
      <c r="BL221" s="145">
        <f>IF(VACnom&gt;Vbat, (C_MOSFET_S_QGD_H_BU+C_MOSFET_S_QGS_H_BU)*10^-9/Table7[[#This Row],[Ion (A) C]], (C_MOSFET_S_QGD_L_BO+C_MOSFET_S_QGS_L_BO)*10^-9/Table7[[#This Row],[Ion (A) C]])/10^-9</f>
        <v>2.7805105640878671</v>
      </c>
      <c r="BM221" s="145">
        <f>IF(VACnom&gt;Vbat, (C_MOSFET_S_QGD_H_BU+C_MOSFET_S_QGS_H_BU)*10^-9/Table7[[#This Row],[Ioff (A) C]], (C_MOSFET_S_QGD_L_BO+C_MOSFET_S_QGS_L_BO)*10^-9/Table7[[#This Row],[Ioff (A) C]])/10^-9</f>
        <v>3.1679200709397484</v>
      </c>
      <c r="BN221" s="145" t="e">
        <f xml:space="preserve"> 0.5*VACnom*Table7[[#This Row],[Ivalley (A) C]]*Table7[[#This Row],[ton (ns) C]]*10^-9*Fsw*10^3+0.5*VACnom*Table7[[#This Row],[Ipeak (A) C]]*Table7[[#This Row],[toff (ns) C]]*10^-9*Fsw*10^3/10^-3</f>
        <v>#NAME?</v>
      </c>
      <c r="BO221" s="145">
        <f t="shared" si="49"/>
        <v>259.2</v>
      </c>
      <c r="BP221" s="145" t="e">
        <f t="shared" ca="1" si="50"/>
        <v>#REF!</v>
      </c>
      <c r="BQ221" s="145">
        <f t="shared" si="51"/>
        <v>475.2</v>
      </c>
      <c r="BR221" s="145" t="e">
        <f>IF(VACnom&gt;Vbat, C_MOSFET_S_VSD_L_BU*Table7[[#This Row],[Ivalley (A) C]]*Fsw*10^3*40*10^-9+C_MOSFET_S_VSD_L_BU*Table7[[#This Row],[Ipeak (A) C]]*Fsw*10^3*30*10^-9, C_MOSFET_S_VSD_H_BO*Table7[[#This Row],[Ivalley (A) C]]*Fsw*10^3*40*10^-9+C_MOSFET_S_VSD_H_BO*Table7[[#This Row],[Ipeak (A) C]]*Fsw*10^3*30*10^-9)/10^-3</f>
        <v>#NAME?</v>
      </c>
      <c r="BS221" s="145" t="e">
        <f t="shared" ca="1" si="52"/>
        <v>#REF!</v>
      </c>
      <c r="BT221" s="145" t="e">
        <f>IF(VACnom&lt;Vbat, Table7[[#This Row],[Duty Cycle]]*Table7[[#This Row],[I_L RMS]]^2*C_MOSFET_S_RDSON_H_BU*10^-3, (1-Table7[[#This Row],[Duty Cycle]])*Table7[[#This Row],[I_L RMS]]^2*C_MOSFET_S_RDSON_H_BO*10^-3)/10^-3</f>
        <v>#NAME?</v>
      </c>
      <c r="BU221" s="145" t="e">
        <f ca="1">IF(VACnom&gt;Vbat, Table7[[#This Row],[PIV (mW) C]]+Table7[[#This Row],[PQoss (mW) C]]+Table7[[#This Row],[Pgate_top (mW) C]], Table7[[#This Row],[PRR (mW) C]]+Table7[[#This Row],[Pdead (mW) C]]+Table7[[#This Row],[Pgate_top (mW) C]])</f>
        <v>#NAME?</v>
      </c>
      <c r="BV221" s="145" t="e">
        <f ca="1">Table7[[#This Row],[Pcon_top (mW) C]]+Table7[[#This Row],[Psw_top (mW) C]]</f>
        <v>#NAME?</v>
      </c>
      <c r="BW221" s="145" t="e">
        <f ca="1">IF(VACnom&gt;Vbat, (1-Table7[[#This Row],[Duty Cycle]])*Table7[[#This Row],[I_L RMS]]^2*C_MOSFET_S_RDSON_L_BU*10^-3, Table7[[#This Row],[Duty Cycle]]*Table7[[#This Row],[I_L RMS]]^2*C_MOSFET_S_RDSON_L_BO*10^-3)/10^-3</f>
        <v>#NAME?</v>
      </c>
      <c r="BX221" s="145" t="e">
        <f ca="1">IF(VACnom&gt;Vbat, Table7[[#This Row],[PRR (mW) C]]+Table7[[#This Row],[Pdead (mW) C]]+Table7[[#This Row],[Pgate_bottom (mW) C]], Table7[[#This Row],[PIV (mW) C]]+Table7[[#This Row],[PQoss (mW) C]]+Table7[[#This Row],[Pgate_bottom (mW) C]])</f>
        <v>#NAME?</v>
      </c>
      <c r="BY221" s="145" t="e">
        <f ca="1">Table7[[#This Row],[Pcon_bottom (mW) C]]+Table7[[#This Row],[Psw_bottom (mV) C]]</f>
        <v>#NAME?</v>
      </c>
      <c r="BZ221" s="145" t="e">
        <f ca="1">Table7[[#This Row],[Pbottom (mW) C]]+Table7[[#This Row],[Ptop (mW) C]]</f>
        <v>#NAME?</v>
      </c>
      <c r="CA221" s="148"/>
      <c r="CB221" s="144">
        <f>(RAC_SNS*10^-3*(Table7[[#This Row],[IOUT (A)]]*Vbat/VACnom)^2/10^-3)</f>
        <v>302.09116753472222</v>
      </c>
      <c r="CC221" s="144">
        <f>(RBAT_SNS*10^-3*Table7[[#This Row],[IOUT (A)]]^2)/10^-3</f>
        <v>211.25</v>
      </c>
      <c r="CD221" s="144">
        <f>IF(VACnom&gt;Vbat,(L_DRC*10^-3*(Table7[[#This Row],[IOUT (A)]])^2/10^-3),(L_DRC*10^-3*(Table7[[#This Row],[IOUT (A)]]*Vbat/VACnom)^2/10^-3))</f>
        <v>205.42199392361107</v>
      </c>
      <c r="CE221" s="152"/>
      <c r="CF221" s="145">
        <f>(Table7[[#This Row],[R_AC (mW)]]+Table7[[#This Row],[R_SR (mW)]]+Table7[[#This Row],[Inductor Loss (mW)]])/10^3</f>
        <v>0.7187631614583333</v>
      </c>
      <c r="CG221" s="145" t="e">
        <f ca="1">Table7[[#This Row],[Total TI (mW)]]/10^3</f>
        <v>#NAME?</v>
      </c>
      <c r="CH221" s="145" t="e">
        <f ca="1">Table7[[#This Row],[Total Sense Loss]]+Table7[[#This Row],[Total MOSFET Loss]]</f>
        <v>#NAME?</v>
      </c>
      <c r="CI221" s="149" t="e">
        <f ca="1">IF(Table7[[#This Row],[POUT (W)]]=0,0,(Table7[[#This Row],[POUT (W)]])/(Table7[[#This Row],[POUT (W)]]+Table7[[#This Row],[Total Power Loss (W)]]))*100</f>
        <v>#NAME?</v>
      </c>
      <c r="CJ221" s="153"/>
      <c r="CK221" s="145">
        <f>(Table7[[#This Row],[R_AC (mW)]]+Table7[[#This Row],[R_SR (mW)]]+Table7[[#This Row],[Inductor Loss (mW)]])/10^3</f>
        <v>0.7187631614583333</v>
      </c>
      <c r="CL221" s="145" t="e">
        <f ca="1">Table7[[#This Row],[Total (mW) C]]/10^3</f>
        <v>#NAME?</v>
      </c>
      <c r="CM221" s="145" t="e">
        <f ca="1">Table7[[#This Row],[Total Sense Loss C]]+Table7[[#This Row],[Total MOSFET Loss C]]</f>
        <v>#NAME?</v>
      </c>
      <c r="CN221" s="149" t="e">
        <f ca="1">IF(Table7[[#This Row],[POUT (W)]]=0,0,(Table7[[#This Row],[POUT (W)]])/(Table7[[#This Row],[POUT (W)]]+Table7[[#This Row],[Total Power Loss (W) C]]))*100</f>
        <v>#NAME?</v>
      </c>
      <c r="CO221" s="153"/>
      <c r="CP221" s="149">
        <f>IF(MOSFET_S=Custom_MOSFET,Table7[[#This Row],[Total Sense Loss C]],Table7[[#This Row],[Total Sense Loss]])</f>
        <v>0.7187631614583333</v>
      </c>
      <c r="CQ221" s="149" t="e">
        <f ca="1">IF(MOSFET_S=Custom_MOSFET,Table7[[#This Row],[Total MOSFET Loss C]],Table7[[#This Row],[Total MOSFET Loss]])</f>
        <v>#NAME?</v>
      </c>
      <c r="CR221" s="149" t="e">
        <f ca="1">IF(MOSFET_S=Custom_MOSFET,Table7[[#This Row],[Efficiency C]],Table7[[#This Row],[Efficiency]])</f>
        <v>#NAME?</v>
      </c>
      <c r="CS221" s="153"/>
      <c r="CT221" s="149">
        <f>IF(MOSFET_S=Compare_MOSFET, Table7[[#This Row],[Total Sense Loss C]], -100)</f>
        <v>-100</v>
      </c>
      <c r="CU221" s="149">
        <f>IF(MOSFET_S=Compare_MOSFET, Table7[[#This Row],[Total MOSFET Loss C]], -100)</f>
        <v>-100</v>
      </c>
      <c r="CV221" s="149">
        <f>IF(MOSFET_S=Compare_MOSFET, Table7[[#This Row],[Efficiency C]], -100)</f>
        <v>-100</v>
      </c>
      <c r="CW221" s="153"/>
      <c r="CX221" s="149">
        <f ca="1">IF(Save_Sel=CLR_Save,  Table7[[#This Row],[Total Sense Loss P1]], Table7[[#This Row],[Total Sense Loss P1 Saved]])</f>
        <v>0.60272265624999999</v>
      </c>
      <c r="CY221" s="149">
        <f ca="1">IF(Save_Sel=CLR_Save,  Table7[[#This Row],[Total MOSFET Loss P1]], Table7[[#This Row],[Total MOSFET Loss P1 Saved]] )</f>
        <v>2.0233523763415704</v>
      </c>
      <c r="CZ221" s="149">
        <f ca="1">IF(Save_Sel=CLR_Save, Table7[[#This Row],[Efficiency P1]], Table7[[#This Row],[Efficiency P1 Saved]])</f>
        <v>93.6912739658124</v>
      </c>
      <c r="DA221" s="153"/>
      <c r="DB221" s="149">
        <f ca="1">IF(Save_Sel=CLR_Save,  Table7[[#This Row],[Total Sense Loss P2]], Table7[[#This Row],[Total Sense Loss P2 Saved]])</f>
        <v>0.60272265624999999</v>
      </c>
      <c r="DC221" s="149">
        <f ca="1">IF(Save_Sel=CLR_Save,  Table7[[#This Row],[Total MOSFET Loss P2]], Table7[[#This Row],[Total MOSFET Loss P2 Saved]] )</f>
        <v>1.3785971218966315</v>
      </c>
      <c r="DD221" s="149">
        <f ca="1">IF(Save_Sel=CLR_Save, Table7[[#This Row],[Efficiency P2]], Table7[[#This Row],[Efficiency P2 Saved]])</f>
        <v>95.165309978125251</v>
      </c>
      <c r="DE221" s="153"/>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row>
    <row r="222" spans="1:165" x14ac:dyDescent="0.2">
      <c r="A222" s="48"/>
      <c r="B222" s="49"/>
      <c r="C222" s="49"/>
      <c r="D222" s="32"/>
      <c r="E222" s="66"/>
      <c r="F222" s="66"/>
      <c r="G222" s="49"/>
      <c r="H222" s="29"/>
      <c r="I222" s="29"/>
      <c r="J222" s="29"/>
      <c r="K222" s="29"/>
      <c r="L222" s="29"/>
      <c r="M222" s="29"/>
      <c r="N222" s="29"/>
      <c r="O222" s="29"/>
      <c r="P222" s="29"/>
      <c r="Q222" s="29"/>
      <c r="R222" s="29"/>
      <c r="S222" s="30"/>
      <c r="T222" s="18"/>
      <c r="U222" s="19"/>
      <c r="V222" s="19"/>
      <c r="W222" s="19"/>
      <c r="X222" s="19"/>
      <c r="Y222" s="19"/>
      <c r="Z222" s="19"/>
      <c r="AA222" s="19"/>
      <c r="AB222" s="19"/>
      <c r="AC222" s="19"/>
      <c r="AD222" s="19"/>
      <c r="AE222" s="19"/>
      <c r="AF222" s="143">
        <f t="shared" ref="AF222:AF256" si="54">AF221+1</f>
        <v>66</v>
      </c>
      <c r="AG222" s="143">
        <f t="shared" si="53"/>
        <v>6.6</v>
      </c>
      <c r="AH222" s="144">
        <f t="shared" si="42"/>
        <v>158.39999999999998</v>
      </c>
      <c r="AI222" s="145">
        <f t="shared" si="43"/>
        <v>0.16376306620209058</v>
      </c>
      <c r="AJ222" s="145">
        <f t="shared" si="44"/>
        <v>7.8924999999999992</v>
      </c>
      <c r="AK222" s="145" t="e">
        <f t="shared" si="40"/>
        <v>#NAME?</v>
      </c>
      <c r="AL222" s="145" t="e">
        <f t="shared" si="41"/>
        <v>#NAME?</v>
      </c>
      <c r="AM222" s="146"/>
      <c r="AN222" s="145" t="e">
        <f>MAX(0,Table7[[#This Row],[I_L]]-0.5*Table7[[#This Row],[I_L pkpk]])</f>
        <v>#NAME?</v>
      </c>
      <c r="AO222" s="145" t="e">
        <f>Table7[[#This Row],[I_L]]+0.5*Table7[[#This Row],[I_L pkpk]]</f>
        <v>#NAME?</v>
      </c>
      <c r="AP222" s="145" t="e">
        <f ca="1">IF(VACnom&gt;Vbat, (VGS_S-(TI_MOSFET_S_VTH_H_BU+Table7[[#This Row],[I_L]]/TI_MOSFET_S_gFS_H_BU))/3.4, (VGS_S-(TI_MOSFET_S_VTH_L_BO+Table7[[#This Row],[I_L]]/TI_MOSFET_S_gFS_L_BO))/3.4 )</f>
        <v>#REF!</v>
      </c>
      <c r="AQ222" s="145" t="e">
        <f ca="1">IF(VACnom&gt;Vbat, ((TI_MOSFET_S_VTH_H_BU+Table7[[#This Row],[I_L]]/TI_MOSFET_S_gFS_H_BU))/1, ((TI_MOSFET_S_VTH_L_BO+Table7[[#This Row],[I_L]]/TI_MOSFET_S_gFS_L_BO))/1 )</f>
        <v>#REF!</v>
      </c>
      <c r="AR222" s="145" t="e">
        <f ca="1">IF(VACnom&gt;Vbat, (TI_MOSFET_S_QGD_H_BU+TI_MOSFET_S_QGS_H_BU)*10^-9/Table7[[#This Row],[Ion (A)]], (TI_MOSFET_S_QGD_L_BO+TI_MOSFET_S_QGS_L_BO)*10^-9/Table7[[#This Row],[Ion (A)]])/10^-9</f>
        <v>#REF!</v>
      </c>
      <c r="AS222" s="145" t="e">
        <f ca="1">IF(VACnom&gt;Vbat, (TI_MOSFET_S_QGD_H_BU+TI_MOSFET_S_QGS_H_BU)*10^-9/Table7[[#This Row],[Ioff (A)]], (TI_MOSFET_S_QGD_L_BO+TI_MOSFET_S_QGS_L_BO)*10^-9/Table7[[#This Row],[Ioff (A)]])/10^-9</f>
        <v>#REF!</v>
      </c>
      <c r="AT222" s="145" t="e">
        <f ca="1" xml:space="preserve"> 0.5*VACnom*Table7[[#This Row],[Ivalley (A)]]*Table7[[#This Row],[ton (ns)]]*10^-9*Fsw*10^3+0.5*VACnom*Table7[[#This Row],[Ipeak (A)]]*Table7[[#This Row],[toff (ns)]]*10^-9*Fsw*10^3/10^-3</f>
        <v>#NAME?</v>
      </c>
      <c r="AU222" s="145" t="e">
        <f t="shared" ca="1" si="45"/>
        <v>#REF!</v>
      </c>
      <c r="AV222" s="145" t="e">
        <f t="shared" ca="1" si="46"/>
        <v>#REF!</v>
      </c>
      <c r="AW222" s="145" t="e">
        <f t="shared" ca="1" si="47"/>
        <v>#REF!</v>
      </c>
      <c r="AX222" s="145" t="e">
        <f ca="1">IF(VACnom&gt;Vbat, TI_MOSFET_S_VSD_L_BU*Table7[[#This Row],[Ivalley (A)]]*Fsw*10^3*40*10^-9+TI_MOSFET_S_VSD_L_BU*Table7[[#This Row],[Ipeak (A)]]*Fsw*10^3*30*10^-9, TI_MOSFET_S_VSD_H_BO*Table7[[#This Row],[Ivalley (A)]]*Fsw*10^3*40*10^-9+TI_MOSFET_S_VSD_H_BO*Table7[[#This Row],[Ipeak (A)]]*Fsw*10^3*30*10^-9)/10^-3</f>
        <v>#REF!</v>
      </c>
      <c r="AY222" s="145" t="e">
        <f t="shared" ca="1" si="48"/>
        <v>#REF!</v>
      </c>
      <c r="AZ222" s="145" t="e">
        <f ca="1">IF(VACnom&lt;Vbat, Table7[[#This Row],[Duty Cycle]]*Table7[[#This Row],[I_L RMS]]^2*TI_MOSFET_S_RDSON_H_BU*10^-3, (1-Table7[[#This Row],[Duty Cycle]])*Table7[[#This Row],[I_L RMS]]^2*TI_MOSFET_S_RDSON_H_BO*10^-3)/10^-3</f>
        <v>#NAME?</v>
      </c>
      <c r="BA222" s="145" t="e">
        <f ca="1">IF(VACnom&gt;Vbat, Table7[[#This Row],[PIV (mW)]]+Table7[[#This Row],[Pqoss (mW)]]+Table7[[#This Row],[Pgate_top (mW)]], Table7[[#This Row],[PRR (mW)]]+Table7[[#This Row],[Pdead (mW)]]+Table7[[#This Row],[Pgate_top (mW)]])</f>
        <v>#REF!</v>
      </c>
      <c r="BB222" s="145" t="e">
        <f ca="1">Table7[[#This Row],[Pcon_top (mW)]]+Table7[[#This Row],[Psw_top (mW)]]</f>
        <v>#NAME?</v>
      </c>
      <c r="BC222" s="145" t="e">
        <f ca="1">IF(VACnom&gt;Vbat, (1-Table7[[#This Row],[Duty Cycle]])*Table7[[#This Row],[I_L RMS]]^2*TI_MOSFET_S_RDSON_L_BU*10^-3, Table7[[#This Row],[Duty Cycle]]*Table7[[#This Row],[I_L RMS]]^2*TI_MOSFET_S_RDSON_L_BO*10^-3)/10^-3</f>
        <v>#NAME?</v>
      </c>
      <c r="BD222" s="145" t="e">
        <f ca="1">IF(VACnom&gt;Vbat, Table7[[#This Row],[PRR (mW)]]+Table7[[#This Row],[Pdead (mW)]]+Table7[[#This Row],[Pgate_bottom (mW)]], Table7[[#This Row],[PIV (mW)]]+Table7[[#This Row],[Pqoss (mW)]]+Table7[[#This Row],[Pgate_bottom (mW)]])</f>
        <v>#NAME?</v>
      </c>
      <c r="BE222" s="147" t="e">
        <f ca="1">Table7[[#This Row],[Pcon_bottom (mW)]]+Table7[[#This Row],[Psw_bottom (mW)]]</f>
        <v>#NAME?</v>
      </c>
      <c r="BF222" s="145" t="e">
        <f ca="1">Table7[[#This Row],[Pbottom (mW)]]+Table7[[#This Row],[Ptop (mW)]]</f>
        <v>#NAME?</v>
      </c>
      <c r="BG222" s="142"/>
      <c r="BH222" s="145" t="e">
        <f>MAX(0,Table7[[#This Row],[I_L]]-0.5*Table7[[#This Row],[I_L pkpk]])</f>
        <v>#NAME?</v>
      </c>
      <c r="BI222" s="145" t="e">
        <f>Table7[[#This Row],[I_L]]+0.5*Table7[[#This Row],[I_L pkpk]]</f>
        <v>#NAME?</v>
      </c>
      <c r="BJ222" s="145">
        <f>IF(VACnom&gt;Vbat, (VGS_S-(C_MOSFET_S_VTH_H_BU+Table7[[#This Row],[I_L]]/C_MOSFET_S_gFS_H_BU))/3.4, (VGS_S-(C_MOSFET_S_VTH_L_BO+Table7[[#This Row],[I_L]]/C_MOSFET_S_gFS_L_BO))/3.4 )</f>
        <v>2.3374656862745096</v>
      </c>
      <c r="BK222" s="145">
        <f>IF(VACnom&gt;Vbat, ((C_MOSFET_S_VTH_H_BU+Table7[[#This Row],[I_L]]/C_MOSFET_S_gFS_H_BU))/1, ((C_MOSFET_S_VTH_L_BO+Table7[[#This Row],[I_L]]/C_MOSFET_S_gFS_L_BO))/1 )</f>
        <v>2.0526166666666668</v>
      </c>
      <c r="BL222" s="145">
        <f>IF(VACnom&gt;Vbat, (C_MOSFET_S_QGD_H_BU+C_MOSFET_S_QGS_H_BU)*10^-9/Table7[[#This Row],[Ion (A) C]], (C_MOSFET_S_QGD_L_BO+C_MOSFET_S_QGS_L_BO)*10^-9/Table7[[#This Row],[Ion (A) C]])/10^-9</f>
        <v>2.780789484169842</v>
      </c>
      <c r="BM222" s="145">
        <f>IF(VACnom&gt;Vbat, (C_MOSFET_S_QGD_H_BU+C_MOSFET_S_QGS_H_BU)*10^-9/Table7[[#This Row],[Ioff (A) C]], (C_MOSFET_S_QGD_L_BO+C_MOSFET_S_QGS_L_BO)*10^-9/Table7[[#This Row],[Ioff (A) C]])/10^-9</f>
        <v>3.1666896725318088</v>
      </c>
      <c r="BN222" s="145" t="e">
        <f xml:space="preserve"> 0.5*VACnom*Table7[[#This Row],[Ivalley (A) C]]*Table7[[#This Row],[ton (ns) C]]*10^-9*Fsw*10^3+0.5*VACnom*Table7[[#This Row],[Ipeak (A) C]]*Table7[[#This Row],[toff (ns) C]]*10^-9*Fsw*10^3/10^-3</f>
        <v>#NAME?</v>
      </c>
      <c r="BO222" s="145">
        <f t="shared" si="49"/>
        <v>259.2</v>
      </c>
      <c r="BP222" s="145" t="e">
        <f t="shared" ca="1" si="50"/>
        <v>#REF!</v>
      </c>
      <c r="BQ222" s="145">
        <f t="shared" si="51"/>
        <v>475.2</v>
      </c>
      <c r="BR222" s="145" t="e">
        <f>IF(VACnom&gt;Vbat, C_MOSFET_S_VSD_L_BU*Table7[[#This Row],[Ivalley (A) C]]*Fsw*10^3*40*10^-9+C_MOSFET_S_VSD_L_BU*Table7[[#This Row],[Ipeak (A) C]]*Fsw*10^3*30*10^-9, C_MOSFET_S_VSD_H_BO*Table7[[#This Row],[Ivalley (A) C]]*Fsw*10^3*40*10^-9+C_MOSFET_S_VSD_H_BO*Table7[[#This Row],[Ipeak (A) C]]*Fsw*10^3*30*10^-9)/10^-3</f>
        <v>#NAME?</v>
      </c>
      <c r="BS222" s="145" t="e">
        <f t="shared" ca="1" si="52"/>
        <v>#REF!</v>
      </c>
      <c r="BT222" s="145" t="e">
        <f>IF(VACnom&lt;Vbat, Table7[[#This Row],[Duty Cycle]]*Table7[[#This Row],[I_L RMS]]^2*C_MOSFET_S_RDSON_H_BU*10^-3, (1-Table7[[#This Row],[Duty Cycle]])*Table7[[#This Row],[I_L RMS]]^2*C_MOSFET_S_RDSON_H_BO*10^-3)/10^-3</f>
        <v>#NAME?</v>
      </c>
      <c r="BU222" s="145" t="e">
        <f ca="1">IF(VACnom&gt;Vbat, Table7[[#This Row],[PIV (mW) C]]+Table7[[#This Row],[PQoss (mW) C]]+Table7[[#This Row],[Pgate_top (mW) C]], Table7[[#This Row],[PRR (mW) C]]+Table7[[#This Row],[Pdead (mW) C]]+Table7[[#This Row],[Pgate_top (mW) C]])</f>
        <v>#NAME?</v>
      </c>
      <c r="BV222" s="145" t="e">
        <f ca="1">Table7[[#This Row],[Pcon_top (mW) C]]+Table7[[#This Row],[Psw_top (mW) C]]</f>
        <v>#NAME?</v>
      </c>
      <c r="BW222" s="145" t="e">
        <f ca="1">IF(VACnom&gt;Vbat, (1-Table7[[#This Row],[Duty Cycle]])*Table7[[#This Row],[I_L RMS]]^2*C_MOSFET_S_RDSON_L_BU*10^-3, Table7[[#This Row],[Duty Cycle]]*Table7[[#This Row],[I_L RMS]]^2*C_MOSFET_S_RDSON_L_BO*10^-3)/10^-3</f>
        <v>#NAME?</v>
      </c>
      <c r="BX222" s="145" t="e">
        <f ca="1">IF(VACnom&gt;Vbat, Table7[[#This Row],[PRR (mW) C]]+Table7[[#This Row],[Pdead (mW) C]]+Table7[[#This Row],[Pgate_bottom (mW) C]], Table7[[#This Row],[PIV (mW) C]]+Table7[[#This Row],[PQoss (mW) C]]+Table7[[#This Row],[Pgate_bottom (mW) C]])</f>
        <v>#NAME?</v>
      </c>
      <c r="BY222" s="145" t="e">
        <f ca="1">Table7[[#This Row],[Pcon_bottom (mW) C]]+Table7[[#This Row],[Psw_bottom (mV) C]]</f>
        <v>#NAME?</v>
      </c>
      <c r="BZ222" s="145" t="e">
        <f ca="1">Table7[[#This Row],[Pbottom (mW) C]]+Table7[[#This Row],[Ptop (mW) C]]</f>
        <v>#NAME?</v>
      </c>
      <c r="CA222" s="148"/>
      <c r="CB222" s="144">
        <f>(RAC_SNS*10^-3*(Table7[[#This Row],[IOUT (A)]]*Vbat/VACnom)^2/10^-3)</f>
        <v>311.45778124999993</v>
      </c>
      <c r="CC222" s="144">
        <f>(RBAT_SNS*10^-3*Table7[[#This Row],[IOUT (A)]]^2)/10^-3</f>
        <v>217.79999999999998</v>
      </c>
      <c r="CD222" s="144">
        <f>IF(VACnom&gt;Vbat,(L_DRC*10^-3*(Table7[[#This Row],[IOUT (A)]])^2/10^-3),(L_DRC*10^-3*(Table7[[#This Row],[IOUT (A)]]*Vbat/VACnom)^2/10^-3))</f>
        <v>211.79129124999992</v>
      </c>
      <c r="CE222" s="152"/>
      <c r="CF222" s="145">
        <f>(Table7[[#This Row],[R_AC (mW)]]+Table7[[#This Row],[R_SR (mW)]]+Table7[[#This Row],[Inductor Loss (mW)]])/10^3</f>
        <v>0.74104907249999974</v>
      </c>
      <c r="CG222" s="145" t="e">
        <f ca="1">Table7[[#This Row],[Total TI (mW)]]/10^3</f>
        <v>#NAME?</v>
      </c>
      <c r="CH222" s="145" t="e">
        <f ca="1">Table7[[#This Row],[Total Sense Loss]]+Table7[[#This Row],[Total MOSFET Loss]]</f>
        <v>#NAME?</v>
      </c>
      <c r="CI222" s="149" t="e">
        <f ca="1">IF(Table7[[#This Row],[POUT (W)]]=0,0,(Table7[[#This Row],[POUT (W)]])/(Table7[[#This Row],[POUT (W)]]+Table7[[#This Row],[Total Power Loss (W)]]))*100</f>
        <v>#NAME?</v>
      </c>
      <c r="CJ222" s="153"/>
      <c r="CK222" s="145">
        <f>(Table7[[#This Row],[R_AC (mW)]]+Table7[[#This Row],[R_SR (mW)]]+Table7[[#This Row],[Inductor Loss (mW)]])/10^3</f>
        <v>0.74104907249999974</v>
      </c>
      <c r="CL222" s="145" t="e">
        <f ca="1">Table7[[#This Row],[Total (mW) C]]/10^3</f>
        <v>#NAME?</v>
      </c>
      <c r="CM222" s="145" t="e">
        <f ca="1">Table7[[#This Row],[Total Sense Loss C]]+Table7[[#This Row],[Total MOSFET Loss C]]</f>
        <v>#NAME?</v>
      </c>
      <c r="CN222" s="149" t="e">
        <f ca="1">IF(Table7[[#This Row],[POUT (W)]]=0,0,(Table7[[#This Row],[POUT (W)]])/(Table7[[#This Row],[POUT (W)]]+Table7[[#This Row],[Total Power Loss (W) C]]))*100</f>
        <v>#NAME?</v>
      </c>
      <c r="CO222" s="153"/>
      <c r="CP222" s="149">
        <f>IF(MOSFET_S=Custom_MOSFET,Table7[[#This Row],[Total Sense Loss C]],Table7[[#This Row],[Total Sense Loss]])</f>
        <v>0.74104907249999974</v>
      </c>
      <c r="CQ222" s="149" t="e">
        <f ca="1">IF(MOSFET_S=Custom_MOSFET,Table7[[#This Row],[Total MOSFET Loss C]],Table7[[#This Row],[Total MOSFET Loss]])</f>
        <v>#NAME?</v>
      </c>
      <c r="CR222" s="149" t="e">
        <f ca="1">IF(MOSFET_S=Custom_MOSFET,Table7[[#This Row],[Efficiency C]],Table7[[#This Row],[Efficiency]])</f>
        <v>#NAME?</v>
      </c>
      <c r="CS222" s="153"/>
      <c r="CT222" s="149">
        <f>IF(MOSFET_S=Compare_MOSFET, Table7[[#This Row],[Total Sense Loss C]], -100)</f>
        <v>-100</v>
      </c>
      <c r="CU222" s="149">
        <f>IF(MOSFET_S=Compare_MOSFET, Table7[[#This Row],[Total MOSFET Loss C]], -100)</f>
        <v>-100</v>
      </c>
      <c r="CV222" s="149">
        <f>IF(MOSFET_S=Compare_MOSFET, Table7[[#This Row],[Efficiency C]], -100)</f>
        <v>-100</v>
      </c>
      <c r="CW222" s="153"/>
      <c r="CX222" s="149">
        <f ca="1">IF(Save_Sel=CLR_Save,  Table7[[#This Row],[Total Sense Loss P1]], Table7[[#This Row],[Total Sense Loss P1 Saved]])</f>
        <v>0.62141062499999988</v>
      </c>
      <c r="CY222" s="149">
        <f ca="1">IF(Save_Sel=CLR_Save,  Table7[[#This Row],[Total MOSFET Loss P1]], Table7[[#This Row],[Total MOSFET Loss P1 Saved]] )</f>
        <v>2.0339849011530693</v>
      </c>
      <c r="CZ222" s="149">
        <f ca="1">IF(Save_Sel=CLR_Save, Table7[[#This Row],[Efficiency P1]], Table7[[#This Row],[Efficiency P1 Saved]])</f>
        <v>93.715842691592911</v>
      </c>
      <c r="DA222" s="153"/>
      <c r="DB222" s="149">
        <f ca="1">IF(Save_Sel=CLR_Save,  Table7[[#This Row],[Total Sense Loss P2]], Table7[[#This Row],[Total Sense Loss P2 Saved]])</f>
        <v>0.62141062499999988</v>
      </c>
      <c r="DC222" s="149">
        <f ca="1">IF(Save_Sel=CLR_Save,  Table7[[#This Row],[Total MOSFET Loss P2]], Table7[[#This Row],[Total MOSFET Loss P2 Saved]] )</f>
        <v>1.3877469109681448</v>
      </c>
      <c r="DD222" s="149">
        <f ca="1">IF(Save_Sel=CLR_Save, Table7[[#This Row],[Efficiency P2]], Table7[[#This Row],[Efficiency P2 Saved]])</f>
        <v>95.171357328656867</v>
      </c>
      <c r="DE222" s="153"/>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row>
    <row r="223" spans="1:165" x14ac:dyDescent="0.2">
      <c r="A223" s="48"/>
      <c r="B223" s="49"/>
      <c r="C223" s="49"/>
      <c r="D223" s="39"/>
      <c r="E223" s="49"/>
      <c r="F223" s="49"/>
      <c r="G223" s="49"/>
      <c r="H223" s="29"/>
      <c r="I223" s="29"/>
      <c r="J223" s="29"/>
      <c r="K223" s="29"/>
      <c r="L223" s="29"/>
      <c r="M223" s="29"/>
      <c r="N223" s="29"/>
      <c r="O223" s="29"/>
      <c r="P223" s="29"/>
      <c r="Q223" s="29"/>
      <c r="R223" s="29"/>
      <c r="S223" s="30"/>
      <c r="T223" s="18"/>
      <c r="U223" s="19"/>
      <c r="V223" s="19"/>
      <c r="W223" s="19"/>
      <c r="X223" s="19"/>
      <c r="Y223" s="19"/>
      <c r="Z223" s="19"/>
      <c r="AA223" s="19"/>
      <c r="AB223" s="19"/>
      <c r="AC223" s="19"/>
      <c r="AD223" s="19"/>
      <c r="AE223" s="19"/>
      <c r="AF223" s="143">
        <f t="shared" si="54"/>
        <v>67</v>
      </c>
      <c r="AG223" s="143">
        <f t="shared" si="53"/>
        <v>6.7</v>
      </c>
      <c r="AH223" s="144">
        <f t="shared" si="42"/>
        <v>160.80000000000001</v>
      </c>
      <c r="AI223" s="145">
        <f t="shared" si="43"/>
        <v>0.16376306620209058</v>
      </c>
      <c r="AJ223" s="145">
        <f t="shared" si="44"/>
        <v>8.012083333333333</v>
      </c>
      <c r="AK223" s="145" t="e">
        <f t="shared" si="40"/>
        <v>#NAME?</v>
      </c>
      <c r="AL223" s="145" t="e">
        <f t="shared" si="41"/>
        <v>#NAME?</v>
      </c>
      <c r="AM223" s="146"/>
      <c r="AN223" s="145" t="e">
        <f>MAX(0,Table7[[#This Row],[I_L]]-0.5*Table7[[#This Row],[I_L pkpk]])</f>
        <v>#NAME?</v>
      </c>
      <c r="AO223" s="145" t="e">
        <f>Table7[[#This Row],[I_L]]+0.5*Table7[[#This Row],[I_L pkpk]]</f>
        <v>#NAME?</v>
      </c>
      <c r="AP223" s="145" t="e">
        <f ca="1">IF(VACnom&gt;Vbat, (VGS_S-(TI_MOSFET_S_VTH_H_BU+Table7[[#This Row],[I_L]]/TI_MOSFET_S_gFS_H_BU))/3.4, (VGS_S-(TI_MOSFET_S_VTH_L_BO+Table7[[#This Row],[I_L]]/TI_MOSFET_S_gFS_L_BO))/3.4 )</f>
        <v>#REF!</v>
      </c>
      <c r="AQ223" s="145" t="e">
        <f ca="1">IF(VACnom&gt;Vbat, ((TI_MOSFET_S_VTH_H_BU+Table7[[#This Row],[I_L]]/TI_MOSFET_S_gFS_H_BU))/1, ((TI_MOSFET_S_VTH_L_BO+Table7[[#This Row],[I_L]]/TI_MOSFET_S_gFS_L_BO))/1 )</f>
        <v>#REF!</v>
      </c>
      <c r="AR223" s="145" t="e">
        <f ca="1">IF(VACnom&gt;Vbat, (TI_MOSFET_S_QGD_H_BU+TI_MOSFET_S_QGS_H_BU)*10^-9/Table7[[#This Row],[Ion (A)]], (TI_MOSFET_S_QGD_L_BO+TI_MOSFET_S_QGS_L_BO)*10^-9/Table7[[#This Row],[Ion (A)]])/10^-9</f>
        <v>#REF!</v>
      </c>
      <c r="AS223" s="145" t="e">
        <f ca="1">IF(VACnom&gt;Vbat, (TI_MOSFET_S_QGD_H_BU+TI_MOSFET_S_QGS_H_BU)*10^-9/Table7[[#This Row],[Ioff (A)]], (TI_MOSFET_S_QGD_L_BO+TI_MOSFET_S_QGS_L_BO)*10^-9/Table7[[#This Row],[Ioff (A)]])/10^-9</f>
        <v>#REF!</v>
      </c>
      <c r="AT223" s="145" t="e">
        <f ca="1" xml:space="preserve"> 0.5*VACnom*Table7[[#This Row],[Ivalley (A)]]*Table7[[#This Row],[ton (ns)]]*10^-9*Fsw*10^3+0.5*VACnom*Table7[[#This Row],[Ipeak (A)]]*Table7[[#This Row],[toff (ns)]]*10^-9*Fsw*10^3/10^-3</f>
        <v>#NAME?</v>
      </c>
      <c r="AU223" s="145" t="e">
        <f t="shared" ca="1" si="45"/>
        <v>#REF!</v>
      </c>
      <c r="AV223" s="145" t="e">
        <f t="shared" ca="1" si="46"/>
        <v>#REF!</v>
      </c>
      <c r="AW223" s="145" t="e">
        <f t="shared" ca="1" si="47"/>
        <v>#REF!</v>
      </c>
      <c r="AX223" s="145" t="e">
        <f ca="1">IF(VACnom&gt;Vbat, TI_MOSFET_S_VSD_L_BU*Table7[[#This Row],[Ivalley (A)]]*Fsw*10^3*40*10^-9+TI_MOSFET_S_VSD_L_BU*Table7[[#This Row],[Ipeak (A)]]*Fsw*10^3*30*10^-9, TI_MOSFET_S_VSD_H_BO*Table7[[#This Row],[Ivalley (A)]]*Fsw*10^3*40*10^-9+TI_MOSFET_S_VSD_H_BO*Table7[[#This Row],[Ipeak (A)]]*Fsw*10^3*30*10^-9)/10^-3</f>
        <v>#REF!</v>
      </c>
      <c r="AY223" s="145" t="e">
        <f t="shared" ca="1" si="48"/>
        <v>#REF!</v>
      </c>
      <c r="AZ223" s="145" t="e">
        <f ca="1">IF(VACnom&lt;Vbat, Table7[[#This Row],[Duty Cycle]]*Table7[[#This Row],[I_L RMS]]^2*TI_MOSFET_S_RDSON_H_BU*10^-3, (1-Table7[[#This Row],[Duty Cycle]])*Table7[[#This Row],[I_L RMS]]^2*TI_MOSFET_S_RDSON_H_BO*10^-3)/10^-3</f>
        <v>#NAME?</v>
      </c>
      <c r="BA223" s="145" t="e">
        <f ca="1">IF(VACnom&gt;Vbat, Table7[[#This Row],[PIV (mW)]]+Table7[[#This Row],[Pqoss (mW)]]+Table7[[#This Row],[Pgate_top (mW)]], Table7[[#This Row],[PRR (mW)]]+Table7[[#This Row],[Pdead (mW)]]+Table7[[#This Row],[Pgate_top (mW)]])</f>
        <v>#REF!</v>
      </c>
      <c r="BB223" s="145" t="e">
        <f ca="1">Table7[[#This Row],[Pcon_top (mW)]]+Table7[[#This Row],[Psw_top (mW)]]</f>
        <v>#NAME?</v>
      </c>
      <c r="BC223" s="145" t="e">
        <f ca="1">IF(VACnom&gt;Vbat, (1-Table7[[#This Row],[Duty Cycle]])*Table7[[#This Row],[I_L RMS]]^2*TI_MOSFET_S_RDSON_L_BU*10^-3, Table7[[#This Row],[Duty Cycle]]*Table7[[#This Row],[I_L RMS]]^2*TI_MOSFET_S_RDSON_L_BO*10^-3)/10^-3</f>
        <v>#NAME?</v>
      </c>
      <c r="BD223" s="145" t="e">
        <f ca="1">IF(VACnom&gt;Vbat, Table7[[#This Row],[PRR (mW)]]+Table7[[#This Row],[Pdead (mW)]]+Table7[[#This Row],[Pgate_bottom (mW)]], Table7[[#This Row],[PIV (mW)]]+Table7[[#This Row],[Pqoss (mW)]]+Table7[[#This Row],[Pgate_bottom (mW)]])</f>
        <v>#NAME?</v>
      </c>
      <c r="BE223" s="147" t="e">
        <f ca="1">Table7[[#This Row],[Pcon_bottom (mW)]]+Table7[[#This Row],[Psw_bottom (mW)]]</f>
        <v>#NAME?</v>
      </c>
      <c r="BF223" s="145" t="e">
        <f ca="1">Table7[[#This Row],[Pbottom (mW)]]+Table7[[#This Row],[Ptop (mW)]]</f>
        <v>#NAME?</v>
      </c>
      <c r="BG223" s="142"/>
      <c r="BH223" s="145" t="e">
        <f>MAX(0,Table7[[#This Row],[I_L]]-0.5*Table7[[#This Row],[I_L pkpk]])</f>
        <v>#NAME?</v>
      </c>
      <c r="BI223" s="145" t="e">
        <f>Table7[[#This Row],[I_L]]+0.5*Table7[[#This Row],[I_L pkpk]]</f>
        <v>#NAME?</v>
      </c>
      <c r="BJ223" s="145">
        <f>IF(VACnom&gt;Vbat, (VGS_S-(C_MOSFET_S_VTH_H_BU+Table7[[#This Row],[I_L]]/C_MOSFET_S_gFS_H_BU))/3.4, (VGS_S-(C_MOSFET_S_VTH_L_BO+Table7[[#This Row],[I_L]]/C_MOSFET_S_gFS_L_BO))/3.4 )</f>
        <v>2.3372312091503269</v>
      </c>
      <c r="BK223" s="145">
        <f>IF(VACnom&gt;Vbat, ((C_MOSFET_S_VTH_H_BU+Table7[[#This Row],[I_L]]/C_MOSFET_S_gFS_H_BU))/1, ((C_MOSFET_S_VTH_L_BO+Table7[[#This Row],[I_L]]/C_MOSFET_S_gFS_L_BO))/1 )</f>
        <v>2.0534138888888891</v>
      </c>
      <c r="BL223" s="145">
        <f>IF(VACnom&gt;Vbat, (C_MOSFET_S_QGD_H_BU+C_MOSFET_S_QGS_H_BU)*10^-9/Table7[[#This Row],[Ion (A) C]], (C_MOSFET_S_QGD_L_BO+C_MOSFET_S_QGS_L_BO)*10^-9/Table7[[#This Row],[Ion (A) C]])/10^-9</f>
        <v>2.7810684602157947</v>
      </c>
      <c r="BM223" s="145">
        <f>IF(VACnom&gt;Vbat, (C_MOSFET_S_QGD_H_BU+C_MOSFET_S_QGS_H_BU)*10^-9/Table7[[#This Row],[Ioff (A) C]], (C_MOSFET_S_QGD_L_BO+C_MOSFET_S_QGS_L_BO)*10^-9/Table7[[#This Row],[Ioff (A) C]])/10^-9</f>
        <v>3.1654602295093941</v>
      </c>
      <c r="BN223" s="145" t="e">
        <f xml:space="preserve"> 0.5*VACnom*Table7[[#This Row],[Ivalley (A) C]]*Table7[[#This Row],[ton (ns) C]]*10^-9*Fsw*10^3+0.5*VACnom*Table7[[#This Row],[Ipeak (A) C]]*Table7[[#This Row],[toff (ns) C]]*10^-9*Fsw*10^3/10^-3</f>
        <v>#NAME?</v>
      </c>
      <c r="BO223" s="145">
        <f t="shared" si="49"/>
        <v>259.2</v>
      </c>
      <c r="BP223" s="145" t="e">
        <f t="shared" ca="1" si="50"/>
        <v>#REF!</v>
      </c>
      <c r="BQ223" s="145">
        <f t="shared" si="51"/>
        <v>475.2</v>
      </c>
      <c r="BR223" s="145" t="e">
        <f>IF(VACnom&gt;Vbat, C_MOSFET_S_VSD_L_BU*Table7[[#This Row],[Ivalley (A) C]]*Fsw*10^3*40*10^-9+C_MOSFET_S_VSD_L_BU*Table7[[#This Row],[Ipeak (A) C]]*Fsw*10^3*30*10^-9, C_MOSFET_S_VSD_H_BO*Table7[[#This Row],[Ivalley (A) C]]*Fsw*10^3*40*10^-9+C_MOSFET_S_VSD_H_BO*Table7[[#This Row],[Ipeak (A) C]]*Fsw*10^3*30*10^-9)/10^-3</f>
        <v>#NAME?</v>
      </c>
      <c r="BS223" s="145" t="e">
        <f t="shared" ca="1" si="52"/>
        <v>#REF!</v>
      </c>
      <c r="BT223" s="145" t="e">
        <f>IF(VACnom&lt;Vbat, Table7[[#This Row],[Duty Cycle]]*Table7[[#This Row],[I_L RMS]]^2*C_MOSFET_S_RDSON_H_BU*10^-3, (1-Table7[[#This Row],[Duty Cycle]])*Table7[[#This Row],[I_L RMS]]^2*C_MOSFET_S_RDSON_H_BO*10^-3)/10^-3</f>
        <v>#NAME?</v>
      </c>
      <c r="BU223" s="145" t="e">
        <f ca="1">IF(VACnom&gt;Vbat, Table7[[#This Row],[PIV (mW) C]]+Table7[[#This Row],[PQoss (mW) C]]+Table7[[#This Row],[Pgate_top (mW) C]], Table7[[#This Row],[PRR (mW) C]]+Table7[[#This Row],[Pdead (mW) C]]+Table7[[#This Row],[Pgate_top (mW) C]])</f>
        <v>#NAME?</v>
      </c>
      <c r="BV223" s="145" t="e">
        <f ca="1">Table7[[#This Row],[Pcon_top (mW) C]]+Table7[[#This Row],[Psw_top (mW) C]]</f>
        <v>#NAME?</v>
      </c>
      <c r="BW223" s="145" t="e">
        <f ca="1">IF(VACnom&gt;Vbat, (1-Table7[[#This Row],[Duty Cycle]])*Table7[[#This Row],[I_L RMS]]^2*C_MOSFET_S_RDSON_L_BU*10^-3, Table7[[#This Row],[Duty Cycle]]*Table7[[#This Row],[I_L RMS]]^2*C_MOSFET_S_RDSON_L_BO*10^-3)/10^-3</f>
        <v>#NAME?</v>
      </c>
      <c r="BX223" s="145" t="e">
        <f ca="1">IF(VACnom&gt;Vbat, Table7[[#This Row],[PRR (mW) C]]+Table7[[#This Row],[Pdead (mW) C]]+Table7[[#This Row],[Pgate_bottom (mW) C]], Table7[[#This Row],[PIV (mW) C]]+Table7[[#This Row],[PQoss (mW) C]]+Table7[[#This Row],[Pgate_bottom (mW) C]])</f>
        <v>#NAME?</v>
      </c>
      <c r="BY223" s="145" t="e">
        <f ca="1">Table7[[#This Row],[Pcon_bottom (mW) C]]+Table7[[#This Row],[Psw_bottom (mV) C]]</f>
        <v>#NAME?</v>
      </c>
      <c r="BZ223" s="145" t="e">
        <f ca="1">Table7[[#This Row],[Pbottom (mW) C]]+Table7[[#This Row],[Ptop (mW) C]]</f>
        <v>#NAME?</v>
      </c>
      <c r="CA223" s="148"/>
      <c r="CB223" s="144">
        <f>(RAC_SNS*10^-3*(Table7[[#This Row],[IOUT (A)]]*Vbat/VACnom)^2/10^-3)</f>
        <v>320.96739670138891</v>
      </c>
      <c r="CC223" s="144">
        <f>(RBAT_SNS*10^-3*Table7[[#This Row],[IOUT (A)]]^2)/10^-3</f>
        <v>224.45000000000002</v>
      </c>
      <c r="CD223" s="144">
        <f>IF(VACnom&gt;Vbat,(L_DRC*10^-3*(Table7[[#This Row],[IOUT (A)]])^2/10^-3),(L_DRC*10^-3*(Table7[[#This Row],[IOUT (A)]]*Vbat/VACnom)^2/10^-3))</f>
        <v>218.25782975694443</v>
      </c>
      <c r="CE223" s="152"/>
      <c r="CF223" s="145">
        <f>(Table7[[#This Row],[R_AC (mW)]]+Table7[[#This Row],[R_SR (mW)]]+Table7[[#This Row],[Inductor Loss (mW)]])/10^3</f>
        <v>0.7636752264583333</v>
      </c>
      <c r="CG223" s="145" t="e">
        <f ca="1">Table7[[#This Row],[Total TI (mW)]]/10^3</f>
        <v>#NAME?</v>
      </c>
      <c r="CH223" s="145" t="e">
        <f ca="1">Table7[[#This Row],[Total Sense Loss]]+Table7[[#This Row],[Total MOSFET Loss]]</f>
        <v>#NAME?</v>
      </c>
      <c r="CI223" s="149" t="e">
        <f ca="1">IF(Table7[[#This Row],[POUT (W)]]=0,0,(Table7[[#This Row],[POUT (W)]])/(Table7[[#This Row],[POUT (W)]]+Table7[[#This Row],[Total Power Loss (W)]]))*100</f>
        <v>#NAME?</v>
      </c>
      <c r="CJ223" s="153"/>
      <c r="CK223" s="145">
        <f>(Table7[[#This Row],[R_AC (mW)]]+Table7[[#This Row],[R_SR (mW)]]+Table7[[#This Row],[Inductor Loss (mW)]])/10^3</f>
        <v>0.7636752264583333</v>
      </c>
      <c r="CL223" s="145" t="e">
        <f ca="1">Table7[[#This Row],[Total (mW) C]]/10^3</f>
        <v>#NAME?</v>
      </c>
      <c r="CM223" s="145" t="e">
        <f ca="1">Table7[[#This Row],[Total Sense Loss C]]+Table7[[#This Row],[Total MOSFET Loss C]]</f>
        <v>#NAME?</v>
      </c>
      <c r="CN223" s="149" t="e">
        <f ca="1">IF(Table7[[#This Row],[POUT (W)]]=0,0,(Table7[[#This Row],[POUT (W)]])/(Table7[[#This Row],[POUT (W)]]+Table7[[#This Row],[Total Power Loss (W) C]]))*100</f>
        <v>#NAME?</v>
      </c>
      <c r="CO223" s="153"/>
      <c r="CP223" s="149">
        <f>IF(MOSFET_S=Custom_MOSFET,Table7[[#This Row],[Total Sense Loss C]],Table7[[#This Row],[Total Sense Loss]])</f>
        <v>0.7636752264583333</v>
      </c>
      <c r="CQ223" s="149" t="e">
        <f ca="1">IF(MOSFET_S=Custom_MOSFET,Table7[[#This Row],[Total MOSFET Loss C]],Table7[[#This Row],[Total MOSFET Loss]])</f>
        <v>#NAME?</v>
      </c>
      <c r="CR223" s="149" t="e">
        <f ca="1">IF(MOSFET_S=Custom_MOSFET,Table7[[#This Row],[Efficiency C]],Table7[[#This Row],[Efficiency]])</f>
        <v>#NAME?</v>
      </c>
      <c r="CS223" s="153"/>
      <c r="CT223" s="149">
        <f>IF(MOSFET_S=Compare_MOSFET, Table7[[#This Row],[Total Sense Loss C]], -100)</f>
        <v>-100</v>
      </c>
      <c r="CU223" s="149">
        <f>IF(MOSFET_S=Compare_MOSFET, Table7[[#This Row],[Total MOSFET Loss C]], -100)</f>
        <v>-100</v>
      </c>
      <c r="CV223" s="149">
        <f>IF(MOSFET_S=Compare_MOSFET, Table7[[#This Row],[Efficiency C]], -100)</f>
        <v>-100</v>
      </c>
      <c r="CW223" s="153"/>
      <c r="CX223" s="149">
        <f ca="1">IF(Save_Sel=CLR_Save,  Table7[[#This Row],[Total Sense Loss P1]], Table7[[#This Row],[Total Sense Loss P1 Saved]])</f>
        <v>0.64038390625000008</v>
      </c>
      <c r="CY223" s="149">
        <f ca="1">IF(Save_Sel=CLR_Save,  Table7[[#This Row],[Total MOSFET Loss P1]], Table7[[#This Row],[Total MOSFET Loss P1 Saved]] )</f>
        <v>2.0446603336370504</v>
      </c>
      <c r="CZ223" s="149">
        <f ca="1">IF(Save_Sel=CLR_Save, Table7[[#This Row],[Efficiency P1]], Table7[[#This Row],[Efficiency P1 Saved]])</f>
        <v>93.738972904242203</v>
      </c>
      <c r="DA223" s="153"/>
      <c r="DB223" s="149">
        <f ca="1">IF(Save_Sel=CLR_Save,  Table7[[#This Row],[Total Sense Loss P2]], Table7[[#This Row],[Total Sense Loss P2 Saved]])</f>
        <v>0.64038390625000008</v>
      </c>
      <c r="DC223" s="149">
        <f ca="1">IF(Save_Sel=CLR_Save,  Table7[[#This Row],[Total MOSFET Loss P2]], Table7[[#This Row],[Total MOSFET Loss P2 Saved]] )</f>
        <v>1.3969758725938728</v>
      </c>
      <c r="DD223" s="149">
        <f ca="1">IF(Save_Sel=CLR_Save, Table7[[#This Row],[Efficiency P2]], Table7[[#This Row],[Efficiency P2 Saved]])</f>
        <v>95.176403568993067</v>
      </c>
      <c r="DE223" s="153"/>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row>
    <row r="224" spans="1:165" x14ac:dyDescent="0.2">
      <c r="A224" s="48"/>
      <c r="B224" s="49"/>
      <c r="C224" s="49"/>
      <c r="D224" s="39"/>
      <c r="E224" s="49"/>
      <c r="F224" s="49"/>
      <c r="G224" s="49"/>
      <c r="H224" s="29"/>
      <c r="I224" s="29"/>
      <c r="J224" s="29"/>
      <c r="K224" s="29"/>
      <c r="L224" s="29"/>
      <c r="M224" s="29"/>
      <c r="N224" s="29"/>
      <c r="O224" s="29"/>
      <c r="P224" s="29"/>
      <c r="Q224" s="29"/>
      <c r="R224" s="29"/>
      <c r="S224" s="30"/>
      <c r="T224" s="18"/>
      <c r="U224" s="19"/>
      <c r="V224" s="19"/>
      <c r="W224" s="19"/>
      <c r="X224" s="19"/>
      <c r="Y224" s="19"/>
      <c r="Z224" s="19"/>
      <c r="AA224" s="19"/>
      <c r="AB224" s="19"/>
      <c r="AC224" s="19"/>
      <c r="AD224" s="19"/>
      <c r="AE224" s="19"/>
      <c r="AF224" s="143">
        <f t="shared" si="54"/>
        <v>68</v>
      </c>
      <c r="AG224" s="143">
        <f t="shared" si="53"/>
        <v>6.8</v>
      </c>
      <c r="AH224" s="144">
        <f t="shared" si="42"/>
        <v>163.19999999999999</v>
      </c>
      <c r="AI224" s="145">
        <f t="shared" si="43"/>
        <v>0.16376306620209058</v>
      </c>
      <c r="AJ224" s="145">
        <f t="shared" si="44"/>
        <v>8.1316666666666659</v>
      </c>
      <c r="AK224" s="145" t="e">
        <f t="shared" si="40"/>
        <v>#NAME?</v>
      </c>
      <c r="AL224" s="145" t="e">
        <f t="shared" si="41"/>
        <v>#NAME?</v>
      </c>
      <c r="AM224" s="146"/>
      <c r="AN224" s="145" t="e">
        <f>MAX(0,Table7[[#This Row],[I_L]]-0.5*Table7[[#This Row],[I_L pkpk]])</f>
        <v>#NAME?</v>
      </c>
      <c r="AO224" s="145" t="e">
        <f>Table7[[#This Row],[I_L]]+0.5*Table7[[#This Row],[I_L pkpk]]</f>
        <v>#NAME?</v>
      </c>
      <c r="AP224" s="145" t="e">
        <f ca="1">IF(VACnom&gt;Vbat, (VGS_S-(TI_MOSFET_S_VTH_H_BU+Table7[[#This Row],[I_L]]/TI_MOSFET_S_gFS_H_BU))/3.4, (VGS_S-(TI_MOSFET_S_VTH_L_BO+Table7[[#This Row],[I_L]]/TI_MOSFET_S_gFS_L_BO))/3.4 )</f>
        <v>#REF!</v>
      </c>
      <c r="AQ224" s="145" t="e">
        <f ca="1">IF(VACnom&gt;Vbat, ((TI_MOSFET_S_VTH_H_BU+Table7[[#This Row],[I_L]]/TI_MOSFET_S_gFS_H_BU))/1, ((TI_MOSFET_S_VTH_L_BO+Table7[[#This Row],[I_L]]/TI_MOSFET_S_gFS_L_BO))/1 )</f>
        <v>#REF!</v>
      </c>
      <c r="AR224" s="145" t="e">
        <f ca="1">IF(VACnom&gt;Vbat, (TI_MOSFET_S_QGD_H_BU+TI_MOSFET_S_QGS_H_BU)*10^-9/Table7[[#This Row],[Ion (A)]], (TI_MOSFET_S_QGD_L_BO+TI_MOSFET_S_QGS_L_BO)*10^-9/Table7[[#This Row],[Ion (A)]])/10^-9</f>
        <v>#REF!</v>
      </c>
      <c r="AS224" s="145" t="e">
        <f ca="1">IF(VACnom&gt;Vbat, (TI_MOSFET_S_QGD_H_BU+TI_MOSFET_S_QGS_H_BU)*10^-9/Table7[[#This Row],[Ioff (A)]], (TI_MOSFET_S_QGD_L_BO+TI_MOSFET_S_QGS_L_BO)*10^-9/Table7[[#This Row],[Ioff (A)]])/10^-9</f>
        <v>#REF!</v>
      </c>
      <c r="AT224" s="145" t="e">
        <f ca="1" xml:space="preserve"> 0.5*VACnom*Table7[[#This Row],[Ivalley (A)]]*Table7[[#This Row],[ton (ns)]]*10^-9*Fsw*10^3+0.5*VACnom*Table7[[#This Row],[Ipeak (A)]]*Table7[[#This Row],[toff (ns)]]*10^-9*Fsw*10^3/10^-3</f>
        <v>#NAME?</v>
      </c>
      <c r="AU224" s="145" t="e">
        <f t="shared" ca="1" si="45"/>
        <v>#REF!</v>
      </c>
      <c r="AV224" s="145" t="e">
        <f t="shared" ca="1" si="46"/>
        <v>#REF!</v>
      </c>
      <c r="AW224" s="145" t="e">
        <f t="shared" ca="1" si="47"/>
        <v>#REF!</v>
      </c>
      <c r="AX224" s="145" t="e">
        <f ca="1">IF(VACnom&gt;Vbat, TI_MOSFET_S_VSD_L_BU*Table7[[#This Row],[Ivalley (A)]]*Fsw*10^3*40*10^-9+TI_MOSFET_S_VSD_L_BU*Table7[[#This Row],[Ipeak (A)]]*Fsw*10^3*30*10^-9, TI_MOSFET_S_VSD_H_BO*Table7[[#This Row],[Ivalley (A)]]*Fsw*10^3*40*10^-9+TI_MOSFET_S_VSD_H_BO*Table7[[#This Row],[Ipeak (A)]]*Fsw*10^3*30*10^-9)/10^-3</f>
        <v>#REF!</v>
      </c>
      <c r="AY224" s="145" t="e">
        <f t="shared" ca="1" si="48"/>
        <v>#REF!</v>
      </c>
      <c r="AZ224" s="145" t="e">
        <f ca="1">IF(VACnom&lt;Vbat, Table7[[#This Row],[Duty Cycle]]*Table7[[#This Row],[I_L RMS]]^2*TI_MOSFET_S_RDSON_H_BU*10^-3, (1-Table7[[#This Row],[Duty Cycle]])*Table7[[#This Row],[I_L RMS]]^2*TI_MOSFET_S_RDSON_H_BO*10^-3)/10^-3</f>
        <v>#NAME?</v>
      </c>
      <c r="BA224" s="145" t="e">
        <f ca="1">IF(VACnom&gt;Vbat, Table7[[#This Row],[PIV (mW)]]+Table7[[#This Row],[Pqoss (mW)]]+Table7[[#This Row],[Pgate_top (mW)]], Table7[[#This Row],[PRR (mW)]]+Table7[[#This Row],[Pdead (mW)]]+Table7[[#This Row],[Pgate_top (mW)]])</f>
        <v>#REF!</v>
      </c>
      <c r="BB224" s="145" t="e">
        <f ca="1">Table7[[#This Row],[Pcon_top (mW)]]+Table7[[#This Row],[Psw_top (mW)]]</f>
        <v>#NAME?</v>
      </c>
      <c r="BC224" s="145" t="e">
        <f ca="1">IF(VACnom&gt;Vbat, (1-Table7[[#This Row],[Duty Cycle]])*Table7[[#This Row],[I_L RMS]]^2*TI_MOSFET_S_RDSON_L_BU*10^-3, Table7[[#This Row],[Duty Cycle]]*Table7[[#This Row],[I_L RMS]]^2*TI_MOSFET_S_RDSON_L_BO*10^-3)/10^-3</f>
        <v>#NAME?</v>
      </c>
      <c r="BD224" s="145" t="e">
        <f ca="1">IF(VACnom&gt;Vbat, Table7[[#This Row],[PRR (mW)]]+Table7[[#This Row],[Pdead (mW)]]+Table7[[#This Row],[Pgate_bottom (mW)]], Table7[[#This Row],[PIV (mW)]]+Table7[[#This Row],[Pqoss (mW)]]+Table7[[#This Row],[Pgate_bottom (mW)]])</f>
        <v>#NAME?</v>
      </c>
      <c r="BE224" s="147" t="e">
        <f ca="1">Table7[[#This Row],[Pcon_bottom (mW)]]+Table7[[#This Row],[Psw_bottom (mW)]]</f>
        <v>#NAME?</v>
      </c>
      <c r="BF224" s="145" t="e">
        <f ca="1">Table7[[#This Row],[Pbottom (mW)]]+Table7[[#This Row],[Ptop (mW)]]</f>
        <v>#NAME?</v>
      </c>
      <c r="BG224" s="142"/>
      <c r="BH224" s="145" t="e">
        <f>MAX(0,Table7[[#This Row],[I_L]]-0.5*Table7[[#This Row],[I_L pkpk]])</f>
        <v>#NAME?</v>
      </c>
      <c r="BI224" s="145" t="e">
        <f>Table7[[#This Row],[I_L]]+0.5*Table7[[#This Row],[I_L pkpk]]</f>
        <v>#NAME?</v>
      </c>
      <c r="BJ224" s="145">
        <f>IF(VACnom&gt;Vbat, (VGS_S-(C_MOSFET_S_VTH_H_BU+Table7[[#This Row],[I_L]]/C_MOSFET_S_gFS_H_BU))/3.4, (VGS_S-(C_MOSFET_S_VTH_L_BO+Table7[[#This Row],[I_L]]/C_MOSFET_S_gFS_L_BO))/3.4 )</f>
        <v>2.3369967320261438</v>
      </c>
      <c r="BK224" s="145">
        <f>IF(VACnom&gt;Vbat, ((C_MOSFET_S_VTH_H_BU+Table7[[#This Row],[I_L]]/C_MOSFET_S_gFS_H_BU))/1, ((C_MOSFET_S_VTH_L_BO+Table7[[#This Row],[I_L]]/C_MOSFET_S_gFS_L_BO))/1 )</f>
        <v>2.054211111111111</v>
      </c>
      <c r="BL224" s="145">
        <f>IF(VACnom&gt;Vbat, (C_MOSFET_S_QGD_H_BU+C_MOSFET_S_QGS_H_BU)*10^-9/Table7[[#This Row],[Ion (A) C]], (C_MOSFET_S_QGD_L_BO+C_MOSFET_S_QGS_L_BO)*10^-9/Table7[[#This Row],[Ion (A) C]])/10^-9</f>
        <v>2.7813474922425714</v>
      </c>
      <c r="BM224" s="145">
        <f>IF(VACnom&gt;Vbat, (C_MOSFET_S_QGD_H_BU+C_MOSFET_S_QGS_H_BU)*10^-9/Table7[[#This Row],[Ioff (A) C]], (C_MOSFET_S_QGD_L_BO+C_MOSFET_S_QGS_L_BO)*10^-9/Table7[[#This Row],[Ioff (A) C]])/10^-9</f>
        <v>3.1642317407601728</v>
      </c>
      <c r="BN224" s="145" t="e">
        <f xml:space="preserve"> 0.5*VACnom*Table7[[#This Row],[Ivalley (A) C]]*Table7[[#This Row],[ton (ns) C]]*10^-9*Fsw*10^3+0.5*VACnom*Table7[[#This Row],[Ipeak (A) C]]*Table7[[#This Row],[toff (ns) C]]*10^-9*Fsw*10^3/10^-3</f>
        <v>#NAME?</v>
      </c>
      <c r="BO224" s="145">
        <f t="shared" si="49"/>
        <v>259.2</v>
      </c>
      <c r="BP224" s="145" t="e">
        <f t="shared" ca="1" si="50"/>
        <v>#REF!</v>
      </c>
      <c r="BQ224" s="145">
        <f t="shared" si="51"/>
        <v>475.2</v>
      </c>
      <c r="BR224" s="145" t="e">
        <f>IF(VACnom&gt;Vbat, C_MOSFET_S_VSD_L_BU*Table7[[#This Row],[Ivalley (A) C]]*Fsw*10^3*40*10^-9+C_MOSFET_S_VSD_L_BU*Table7[[#This Row],[Ipeak (A) C]]*Fsw*10^3*30*10^-9, C_MOSFET_S_VSD_H_BO*Table7[[#This Row],[Ivalley (A) C]]*Fsw*10^3*40*10^-9+C_MOSFET_S_VSD_H_BO*Table7[[#This Row],[Ipeak (A) C]]*Fsw*10^3*30*10^-9)/10^-3</f>
        <v>#NAME?</v>
      </c>
      <c r="BS224" s="145" t="e">
        <f t="shared" ca="1" si="52"/>
        <v>#REF!</v>
      </c>
      <c r="BT224" s="145" t="e">
        <f>IF(VACnom&lt;Vbat, Table7[[#This Row],[Duty Cycle]]*Table7[[#This Row],[I_L RMS]]^2*C_MOSFET_S_RDSON_H_BU*10^-3, (1-Table7[[#This Row],[Duty Cycle]])*Table7[[#This Row],[I_L RMS]]^2*C_MOSFET_S_RDSON_H_BO*10^-3)/10^-3</f>
        <v>#NAME?</v>
      </c>
      <c r="BU224" s="145" t="e">
        <f ca="1">IF(VACnom&gt;Vbat, Table7[[#This Row],[PIV (mW) C]]+Table7[[#This Row],[PQoss (mW) C]]+Table7[[#This Row],[Pgate_top (mW) C]], Table7[[#This Row],[PRR (mW) C]]+Table7[[#This Row],[Pdead (mW) C]]+Table7[[#This Row],[Pgate_top (mW) C]])</f>
        <v>#NAME?</v>
      </c>
      <c r="BV224" s="145" t="e">
        <f ca="1">Table7[[#This Row],[Pcon_top (mW) C]]+Table7[[#This Row],[Psw_top (mW) C]]</f>
        <v>#NAME?</v>
      </c>
      <c r="BW224" s="145" t="e">
        <f ca="1">IF(VACnom&gt;Vbat, (1-Table7[[#This Row],[Duty Cycle]])*Table7[[#This Row],[I_L RMS]]^2*C_MOSFET_S_RDSON_L_BU*10^-3, Table7[[#This Row],[Duty Cycle]]*Table7[[#This Row],[I_L RMS]]^2*C_MOSFET_S_RDSON_L_BO*10^-3)/10^-3</f>
        <v>#NAME?</v>
      </c>
      <c r="BX224" s="145" t="e">
        <f ca="1">IF(VACnom&gt;Vbat, Table7[[#This Row],[PRR (mW) C]]+Table7[[#This Row],[Pdead (mW) C]]+Table7[[#This Row],[Pgate_bottom (mW) C]], Table7[[#This Row],[PIV (mW) C]]+Table7[[#This Row],[PQoss (mW) C]]+Table7[[#This Row],[Pgate_bottom (mW) C]])</f>
        <v>#NAME?</v>
      </c>
      <c r="BY224" s="145" t="e">
        <f ca="1">Table7[[#This Row],[Pcon_bottom (mW) C]]+Table7[[#This Row],[Psw_bottom (mV) C]]</f>
        <v>#NAME?</v>
      </c>
      <c r="BZ224" s="145" t="e">
        <f ca="1">Table7[[#This Row],[Pbottom (mW) C]]+Table7[[#This Row],[Ptop (mW) C]]</f>
        <v>#NAME?</v>
      </c>
      <c r="CA224" s="148"/>
      <c r="CB224" s="144">
        <f>(RAC_SNS*10^-3*(Table7[[#This Row],[IOUT (A)]]*Vbat/VACnom)^2/10^-3)</f>
        <v>330.62001388888876</v>
      </c>
      <c r="CC224" s="144">
        <f>(RBAT_SNS*10^-3*Table7[[#This Row],[IOUT (A)]]^2)/10^-3</f>
        <v>231.2</v>
      </c>
      <c r="CD224" s="144">
        <f>IF(VACnom&gt;Vbat,(L_DRC*10^-3*(Table7[[#This Row],[IOUT (A)]])^2/10^-3),(L_DRC*10^-3*(Table7[[#This Row],[IOUT (A)]]*Vbat/VACnom)^2/10^-3))</f>
        <v>224.82160944444436</v>
      </c>
      <c r="CE224" s="152"/>
      <c r="CF224" s="145">
        <f>(Table7[[#This Row],[R_AC (mW)]]+Table7[[#This Row],[R_SR (mW)]]+Table7[[#This Row],[Inductor Loss (mW)]])/10^3</f>
        <v>0.7866416233333331</v>
      </c>
      <c r="CG224" s="145" t="e">
        <f ca="1">Table7[[#This Row],[Total TI (mW)]]/10^3</f>
        <v>#NAME?</v>
      </c>
      <c r="CH224" s="145" t="e">
        <f ca="1">Table7[[#This Row],[Total Sense Loss]]+Table7[[#This Row],[Total MOSFET Loss]]</f>
        <v>#NAME?</v>
      </c>
      <c r="CI224" s="149" t="e">
        <f ca="1">IF(Table7[[#This Row],[POUT (W)]]=0,0,(Table7[[#This Row],[POUT (W)]])/(Table7[[#This Row],[POUT (W)]]+Table7[[#This Row],[Total Power Loss (W)]]))*100</f>
        <v>#NAME?</v>
      </c>
      <c r="CJ224" s="153"/>
      <c r="CK224" s="145">
        <f>(Table7[[#This Row],[R_AC (mW)]]+Table7[[#This Row],[R_SR (mW)]]+Table7[[#This Row],[Inductor Loss (mW)]])/10^3</f>
        <v>0.7866416233333331</v>
      </c>
      <c r="CL224" s="145" t="e">
        <f ca="1">Table7[[#This Row],[Total (mW) C]]/10^3</f>
        <v>#NAME?</v>
      </c>
      <c r="CM224" s="145" t="e">
        <f ca="1">Table7[[#This Row],[Total Sense Loss C]]+Table7[[#This Row],[Total MOSFET Loss C]]</f>
        <v>#NAME?</v>
      </c>
      <c r="CN224" s="149" t="e">
        <f ca="1">IF(Table7[[#This Row],[POUT (W)]]=0,0,(Table7[[#This Row],[POUT (W)]])/(Table7[[#This Row],[POUT (W)]]+Table7[[#This Row],[Total Power Loss (W) C]]))*100</f>
        <v>#NAME?</v>
      </c>
      <c r="CO224" s="153"/>
      <c r="CP224" s="149">
        <f>IF(MOSFET_S=Custom_MOSFET,Table7[[#This Row],[Total Sense Loss C]],Table7[[#This Row],[Total Sense Loss]])</f>
        <v>0.7866416233333331</v>
      </c>
      <c r="CQ224" s="149" t="e">
        <f ca="1">IF(MOSFET_S=Custom_MOSFET,Table7[[#This Row],[Total MOSFET Loss C]],Table7[[#This Row],[Total MOSFET Loss]])</f>
        <v>#NAME?</v>
      </c>
      <c r="CR224" s="149" t="e">
        <f ca="1">IF(MOSFET_S=Custom_MOSFET,Table7[[#This Row],[Efficiency C]],Table7[[#This Row],[Efficiency]])</f>
        <v>#NAME?</v>
      </c>
      <c r="CS224" s="153"/>
      <c r="CT224" s="149">
        <f>IF(MOSFET_S=Compare_MOSFET, Table7[[#This Row],[Total Sense Loss C]], -100)</f>
        <v>-100</v>
      </c>
      <c r="CU224" s="149">
        <f>IF(MOSFET_S=Compare_MOSFET, Table7[[#This Row],[Total MOSFET Loss C]], -100)</f>
        <v>-100</v>
      </c>
      <c r="CV224" s="149">
        <f>IF(MOSFET_S=Compare_MOSFET, Table7[[#This Row],[Efficiency C]], -100)</f>
        <v>-100</v>
      </c>
      <c r="CW224" s="153"/>
      <c r="CX224" s="149">
        <f ca="1">IF(Save_Sel=CLR_Save,  Table7[[#This Row],[Total Sense Loss P1]], Table7[[#This Row],[Total Sense Loss P1 Saved]])</f>
        <v>0.6596424999999998</v>
      </c>
      <c r="CY224" s="149">
        <f ca="1">IF(Save_Sel=CLR_Save,  Table7[[#This Row],[Total MOSFET Loss P1]], Table7[[#This Row],[Total MOSFET Loss P1 Saved]] )</f>
        <v>2.055378677949053</v>
      </c>
      <c r="CZ224" s="149">
        <f ca="1">IF(Save_Sel=CLR_Save, Table7[[#This Row],[Efficiency P1]], Table7[[#This Row],[Efficiency P1 Saved]])</f>
        <v>93.760726515916588</v>
      </c>
      <c r="DA224" s="153"/>
      <c r="DB224" s="149">
        <f ca="1">IF(Save_Sel=CLR_Save,  Table7[[#This Row],[Total Sense Loss P2]], Table7[[#This Row],[Total Sense Loss P2 Saved]])</f>
        <v>0.6596424999999998</v>
      </c>
      <c r="DC224" s="149">
        <f ca="1">IF(Save_Sel=CLR_Save,  Table7[[#This Row],[Total MOSFET Loss P2]], Table7[[#This Row],[Total MOSFET Loss P2 Saved]] )</f>
        <v>1.4062840072579821</v>
      </c>
      <c r="DD224" s="149">
        <f ca="1">IF(Save_Sel=CLR_Save, Table7[[#This Row],[Efficiency P2]], Table7[[#This Row],[Efficiency P2 Saved]])</f>
        <v>95.180492583291795</v>
      </c>
      <c r="DE224" s="153"/>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row>
    <row r="225" spans="1:165" ht="16" thickBot="1" x14ac:dyDescent="0.25">
      <c r="A225" s="46"/>
      <c r="B225" s="47"/>
      <c r="C225" s="47"/>
      <c r="D225" s="43"/>
      <c r="E225" s="47"/>
      <c r="F225" s="47"/>
      <c r="G225" s="47"/>
      <c r="H225" s="34"/>
      <c r="I225" s="34"/>
      <c r="J225" s="114"/>
      <c r="K225" s="114"/>
      <c r="L225" s="114"/>
      <c r="M225" s="114"/>
      <c r="N225" s="114"/>
      <c r="O225" s="114"/>
      <c r="P225" s="114"/>
      <c r="Q225" s="114"/>
      <c r="R225" s="114"/>
      <c r="S225" s="115"/>
      <c r="T225" s="18"/>
      <c r="U225" s="19"/>
      <c r="V225" s="19"/>
      <c r="W225" s="19"/>
      <c r="X225" s="19"/>
      <c r="Y225" s="19"/>
      <c r="Z225" s="19"/>
      <c r="AA225" s="19"/>
      <c r="AB225" s="19"/>
      <c r="AC225" s="19"/>
      <c r="AD225" s="19"/>
      <c r="AE225" s="19"/>
      <c r="AF225" s="143">
        <f t="shared" si="54"/>
        <v>69</v>
      </c>
      <c r="AG225" s="143">
        <f t="shared" si="53"/>
        <v>6.9</v>
      </c>
      <c r="AH225" s="144">
        <f t="shared" si="42"/>
        <v>165.60000000000002</v>
      </c>
      <c r="AI225" s="145">
        <f t="shared" si="43"/>
        <v>0.16376306620209058</v>
      </c>
      <c r="AJ225" s="145">
        <f t="shared" si="44"/>
        <v>8.2512500000000006</v>
      </c>
      <c r="AK225" s="145" t="e">
        <f t="shared" si="40"/>
        <v>#NAME?</v>
      </c>
      <c r="AL225" s="145" t="e">
        <f t="shared" si="41"/>
        <v>#NAME?</v>
      </c>
      <c r="AM225" s="146"/>
      <c r="AN225" s="145" t="e">
        <f>MAX(0,Table7[[#This Row],[I_L]]-0.5*Table7[[#This Row],[I_L pkpk]])</f>
        <v>#NAME?</v>
      </c>
      <c r="AO225" s="145" t="e">
        <f>Table7[[#This Row],[I_L]]+0.5*Table7[[#This Row],[I_L pkpk]]</f>
        <v>#NAME?</v>
      </c>
      <c r="AP225" s="145" t="e">
        <f ca="1">IF(VACnom&gt;Vbat, (VGS_S-(TI_MOSFET_S_VTH_H_BU+Table7[[#This Row],[I_L]]/TI_MOSFET_S_gFS_H_BU))/3.4, (VGS_S-(TI_MOSFET_S_VTH_L_BO+Table7[[#This Row],[I_L]]/TI_MOSFET_S_gFS_L_BO))/3.4 )</f>
        <v>#REF!</v>
      </c>
      <c r="AQ225" s="145" t="e">
        <f ca="1">IF(VACnom&gt;Vbat, ((TI_MOSFET_S_VTH_H_BU+Table7[[#This Row],[I_L]]/TI_MOSFET_S_gFS_H_BU))/1, ((TI_MOSFET_S_VTH_L_BO+Table7[[#This Row],[I_L]]/TI_MOSFET_S_gFS_L_BO))/1 )</f>
        <v>#REF!</v>
      </c>
      <c r="AR225" s="145" t="e">
        <f ca="1">IF(VACnom&gt;Vbat, (TI_MOSFET_S_QGD_H_BU+TI_MOSFET_S_QGS_H_BU)*10^-9/Table7[[#This Row],[Ion (A)]], (TI_MOSFET_S_QGD_L_BO+TI_MOSFET_S_QGS_L_BO)*10^-9/Table7[[#This Row],[Ion (A)]])/10^-9</f>
        <v>#REF!</v>
      </c>
      <c r="AS225" s="145" t="e">
        <f ca="1">IF(VACnom&gt;Vbat, (TI_MOSFET_S_QGD_H_BU+TI_MOSFET_S_QGS_H_BU)*10^-9/Table7[[#This Row],[Ioff (A)]], (TI_MOSFET_S_QGD_L_BO+TI_MOSFET_S_QGS_L_BO)*10^-9/Table7[[#This Row],[Ioff (A)]])/10^-9</f>
        <v>#REF!</v>
      </c>
      <c r="AT225" s="145" t="e">
        <f ca="1" xml:space="preserve"> 0.5*VACnom*Table7[[#This Row],[Ivalley (A)]]*Table7[[#This Row],[ton (ns)]]*10^-9*Fsw*10^3+0.5*VACnom*Table7[[#This Row],[Ipeak (A)]]*Table7[[#This Row],[toff (ns)]]*10^-9*Fsw*10^3/10^-3</f>
        <v>#NAME?</v>
      </c>
      <c r="AU225" s="145" t="e">
        <f t="shared" ca="1" si="45"/>
        <v>#REF!</v>
      </c>
      <c r="AV225" s="145" t="e">
        <f t="shared" ca="1" si="46"/>
        <v>#REF!</v>
      </c>
      <c r="AW225" s="145" t="e">
        <f t="shared" ca="1" si="47"/>
        <v>#REF!</v>
      </c>
      <c r="AX225" s="145" t="e">
        <f ca="1">IF(VACnom&gt;Vbat, TI_MOSFET_S_VSD_L_BU*Table7[[#This Row],[Ivalley (A)]]*Fsw*10^3*40*10^-9+TI_MOSFET_S_VSD_L_BU*Table7[[#This Row],[Ipeak (A)]]*Fsw*10^3*30*10^-9, TI_MOSFET_S_VSD_H_BO*Table7[[#This Row],[Ivalley (A)]]*Fsw*10^3*40*10^-9+TI_MOSFET_S_VSD_H_BO*Table7[[#This Row],[Ipeak (A)]]*Fsw*10^3*30*10^-9)/10^-3</f>
        <v>#REF!</v>
      </c>
      <c r="AY225" s="145" t="e">
        <f t="shared" ca="1" si="48"/>
        <v>#REF!</v>
      </c>
      <c r="AZ225" s="145" t="e">
        <f ca="1">IF(VACnom&lt;Vbat, Table7[[#This Row],[Duty Cycle]]*Table7[[#This Row],[I_L RMS]]^2*TI_MOSFET_S_RDSON_H_BU*10^-3, (1-Table7[[#This Row],[Duty Cycle]])*Table7[[#This Row],[I_L RMS]]^2*TI_MOSFET_S_RDSON_H_BO*10^-3)/10^-3</f>
        <v>#NAME?</v>
      </c>
      <c r="BA225" s="145" t="e">
        <f ca="1">IF(VACnom&gt;Vbat, Table7[[#This Row],[PIV (mW)]]+Table7[[#This Row],[Pqoss (mW)]]+Table7[[#This Row],[Pgate_top (mW)]], Table7[[#This Row],[PRR (mW)]]+Table7[[#This Row],[Pdead (mW)]]+Table7[[#This Row],[Pgate_top (mW)]])</f>
        <v>#REF!</v>
      </c>
      <c r="BB225" s="145" t="e">
        <f ca="1">Table7[[#This Row],[Pcon_top (mW)]]+Table7[[#This Row],[Psw_top (mW)]]</f>
        <v>#NAME?</v>
      </c>
      <c r="BC225" s="145" t="e">
        <f ca="1">IF(VACnom&gt;Vbat, (1-Table7[[#This Row],[Duty Cycle]])*Table7[[#This Row],[I_L RMS]]^2*TI_MOSFET_S_RDSON_L_BU*10^-3, Table7[[#This Row],[Duty Cycle]]*Table7[[#This Row],[I_L RMS]]^2*TI_MOSFET_S_RDSON_L_BO*10^-3)/10^-3</f>
        <v>#NAME?</v>
      </c>
      <c r="BD225" s="145" t="e">
        <f ca="1">IF(VACnom&gt;Vbat, Table7[[#This Row],[PRR (mW)]]+Table7[[#This Row],[Pdead (mW)]]+Table7[[#This Row],[Pgate_bottom (mW)]], Table7[[#This Row],[PIV (mW)]]+Table7[[#This Row],[Pqoss (mW)]]+Table7[[#This Row],[Pgate_bottom (mW)]])</f>
        <v>#NAME?</v>
      </c>
      <c r="BE225" s="147" t="e">
        <f ca="1">Table7[[#This Row],[Pcon_bottom (mW)]]+Table7[[#This Row],[Psw_bottom (mW)]]</f>
        <v>#NAME?</v>
      </c>
      <c r="BF225" s="145" t="e">
        <f ca="1">Table7[[#This Row],[Pbottom (mW)]]+Table7[[#This Row],[Ptop (mW)]]</f>
        <v>#NAME?</v>
      </c>
      <c r="BG225" s="142"/>
      <c r="BH225" s="145" t="e">
        <f>MAX(0,Table7[[#This Row],[I_L]]-0.5*Table7[[#This Row],[I_L pkpk]])</f>
        <v>#NAME?</v>
      </c>
      <c r="BI225" s="145" t="e">
        <f>Table7[[#This Row],[I_L]]+0.5*Table7[[#This Row],[I_L pkpk]]</f>
        <v>#NAME?</v>
      </c>
      <c r="BJ225" s="145">
        <f>IF(VACnom&gt;Vbat, (VGS_S-(C_MOSFET_S_VTH_H_BU+Table7[[#This Row],[I_L]]/C_MOSFET_S_gFS_H_BU))/3.4, (VGS_S-(C_MOSFET_S_VTH_L_BO+Table7[[#This Row],[I_L]]/C_MOSFET_S_gFS_L_BO))/3.4 )</f>
        <v>2.3367622549019607</v>
      </c>
      <c r="BK225" s="145">
        <f>IF(VACnom&gt;Vbat, ((C_MOSFET_S_VTH_H_BU+Table7[[#This Row],[I_L]]/C_MOSFET_S_gFS_H_BU))/1, ((C_MOSFET_S_VTH_L_BO+Table7[[#This Row],[I_L]]/C_MOSFET_S_gFS_L_BO))/1 )</f>
        <v>2.0550083333333333</v>
      </c>
      <c r="BL225" s="145">
        <f>IF(VACnom&gt;Vbat, (C_MOSFET_S_QGD_H_BU+C_MOSFET_S_QGS_H_BU)*10^-9/Table7[[#This Row],[Ion (A) C]], (C_MOSFET_S_QGD_L_BO+C_MOSFET_S_QGS_L_BO)*10^-9/Table7[[#This Row],[Ion (A) C]])/10^-9</f>
        <v>2.7816265802670239</v>
      </c>
      <c r="BM225" s="145">
        <f>IF(VACnom&gt;Vbat, (C_MOSFET_S_QGD_H_BU+C_MOSFET_S_QGS_H_BU)*10^-9/Table7[[#This Row],[Ioff (A) C]], (C_MOSFET_S_QGD_L_BO+C_MOSFET_S_QGS_L_BO)*10^-9/Table7[[#This Row],[Ioff (A) C]])/10^-9</f>
        <v>3.1630042051735394</v>
      </c>
      <c r="BN225" s="145" t="e">
        <f xml:space="preserve"> 0.5*VACnom*Table7[[#This Row],[Ivalley (A) C]]*Table7[[#This Row],[ton (ns) C]]*10^-9*Fsw*10^3+0.5*VACnom*Table7[[#This Row],[Ipeak (A) C]]*Table7[[#This Row],[toff (ns) C]]*10^-9*Fsw*10^3/10^-3</f>
        <v>#NAME?</v>
      </c>
      <c r="BO225" s="145">
        <f t="shared" si="49"/>
        <v>259.2</v>
      </c>
      <c r="BP225" s="145" t="e">
        <f t="shared" ca="1" si="50"/>
        <v>#REF!</v>
      </c>
      <c r="BQ225" s="145">
        <f t="shared" si="51"/>
        <v>475.2</v>
      </c>
      <c r="BR225" s="145" t="e">
        <f>IF(VACnom&gt;Vbat, C_MOSFET_S_VSD_L_BU*Table7[[#This Row],[Ivalley (A) C]]*Fsw*10^3*40*10^-9+C_MOSFET_S_VSD_L_BU*Table7[[#This Row],[Ipeak (A) C]]*Fsw*10^3*30*10^-9, C_MOSFET_S_VSD_H_BO*Table7[[#This Row],[Ivalley (A) C]]*Fsw*10^3*40*10^-9+C_MOSFET_S_VSD_H_BO*Table7[[#This Row],[Ipeak (A) C]]*Fsw*10^3*30*10^-9)/10^-3</f>
        <v>#NAME?</v>
      </c>
      <c r="BS225" s="145" t="e">
        <f t="shared" ca="1" si="52"/>
        <v>#REF!</v>
      </c>
      <c r="BT225" s="145" t="e">
        <f>IF(VACnom&lt;Vbat, Table7[[#This Row],[Duty Cycle]]*Table7[[#This Row],[I_L RMS]]^2*C_MOSFET_S_RDSON_H_BU*10^-3, (1-Table7[[#This Row],[Duty Cycle]])*Table7[[#This Row],[I_L RMS]]^2*C_MOSFET_S_RDSON_H_BO*10^-3)/10^-3</f>
        <v>#NAME?</v>
      </c>
      <c r="BU225" s="145" t="e">
        <f ca="1">IF(VACnom&gt;Vbat, Table7[[#This Row],[PIV (mW) C]]+Table7[[#This Row],[PQoss (mW) C]]+Table7[[#This Row],[Pgate_top (mW) C]], Table7[[#This Row],[PRR (mW) C]]+Table7[[#This Row],[Pdead (mW) C]]+Table7[[#This Row],[Pgate_top (mW) C]])</f>
        <v>#NAME?</v>
      </c>
      <c r="BV225" s="145" t="e">
        <f ca="1">Table7[[#This Row],[Pcon_top (mW) C]]+Table7[[#This Row],[Psw_top (mW) C]]</f>
        <v>#NAME?</v>
      </c>
      <c r="BW225" s="145" t="e">
        <f ca="1">IF(VACnom&gt;Vbat, (1-Table7[[#This Row],[Duty Cycle]])*Table7[[#This Row],[I_L RMS]]^2*C_MOSFET_S_RDSON_L_BU*10^-3, Table7[[#This Row],[Duty Cycle]]*Table7[[#This Row],[I_L RMS]]^2*C_MOSFET_S_RDSON_L_BO*10^-3)/10^-3</f>
        <v>#NAME?</v>
      </c>
      <c r="BX225" s="145" t="e">
        <f ca="1">IF(VACnom&gt;Vbat, Table7[[#This Row],[PRR (mW) C]]+Table7[[#This Row],[Pdead (mW) C]]+Table7[[#This Row],[Pgate_bottom (mW) C]], Table7[[#This Row],[PIV (mW) C]]+Table7[[#This Row],[PQoss (mW) C]]+Table7[[#This Row],[Pgate_bottom (mW) C]])</f>
        <v>#NAME?</v>
      </c>
      <c r="BY225" s="145" t="e">
        <f ca="1">Table7[[#This Row],[Pcon_bottom (mW) C]]+Table7[[#This Row],[Psw_bottom (mV) C]]</f>
        <v>#NAME?</v>
      </c>
      <c r="BZ225" s="145" t="e">
        <f ca="1">Table7[[#This Row],[Pbottom (mW) C]]+Table7[[#This Row],[Ptop (mW) C]]</f>
        <v>#NAME?</v>
      </c>
      <c r="CA225" s="148"/>
      <c r="CB225" s="144">
        <f>(RAC_SNS*10^-3*(Table7[[#This Row],[IOUT (A)]]*Vbat/VACnom)^2/10^-3)</f>
        <v>340.41563281250006</v>
      </c>
      <c r="CC225" s="144">
        <f>(RBAT_SNS*10^-3*Table7[[#This Row],[IOUT (A)]]^2)/10^-3</f>
        <v>238.05000000000004</v>
      </c>
      <c r="CD225" s="144">
        <f>IF(VACnom&gt;Vbat,(L_DRC*10^-3*(Table7[[#This Row],[IOUT (A)]])^2/10^-3),(L_DRC*10^-3*(Table7[[#This Row],[IOUT (A)]]*Vbat/VACnom)^2/10^-3))</f>
        <v>231.48263031250002</v>
      </c>
      <c r="CE225" s="152"/>
      <c r="CF225" s="145">
        <f>(Table7[[#This Row],[R_AC (mW)]]+Table7[[#This Row],[R_SR (mW)]]+Table7[[#This Row],[Inductor Loss (mW)]])/10^3</f>
        <v>0.80994826312500001</v>
      </c>
      <c r="CG225" s="145" t="e">
        <f ca="1">Table7[[#This Row],[Total TI (mW)]]/10^3</f>
        <v>#NAME?</v>
      </c>
      <c r="CH225" s="145" t="e">
        <f ca="1">Table7[[#This Row],[Total Sense Loss]]+Table7[[#This Row],[Total MOSFET Loss]]</f>
        <v>#NAME?</v>
      </c>
      <c r="CI225" s="149" t="e">
        <f ca="1">IF(Table7[[#This Row],[POUT (W)]]=0,0,(Table7[[#This Row],[POUT (W)]])/(Table7[[#This Row],[POUT (W)]]+Table7[[#This Row],[Total Power Loss (W)]]))*100</f>
        <v>#NAME?</v>
      </c>
      <c r="CJ225" s="153"/>
      <c r="CK225" s="145">
        <f>(Table7[[#This Row],[R_AC (mW)]]+Table7[[#This Row],[R_SR (mW)]]+Table7[[#This Row],[Inductor Loss (mW)]])/10^3</f>
        <v>0.80994826312500001</v>
      </c>
      <c r="CL225" s="145" t="e">
        <f ca="1">Table7[[#This Row],[Total (mW) C]]/10^3</f>
        <v>#NAME?</v>
      </c>
      <c r="CM225" s="145" t="e">
        <f ca="1">Table7[[#This Row],[Total Sense Loss C]]+Table7[[#This Row],[Total MOSFET Loss C]]</f>
        <v>#NAME?</v>
      </c>
      <c r="CN225" s="149" t="e">
        <f ca="1">IF(Table7[[#This Row],[POUT (W)]]=0,0,(Table7[[#This Row],[POUT (W)]])/(Table7[[#This Row],[POUT (W)]]+Table7[[#This Row],[Total Power Loss (W) C]]))*100</f>
        <v>#NAME?</v>
      </c>
      <c r="CO225" s="153"/>
      <c r="CP225" s="149">
        <f>IF(MOSFET_S=Custom_MOSFET,Table7[[#This Row],[Total Sense Loss C]],Table7[[#This Row],[Total Sense Loss]])</f>
        <v>0.80994826312500001</v>
      </c>
      <c r="CQ225" s="149" t="e">
        <f ca="1">IF(MOSFET_S=Custom_MOSFET,Table7[[#This Row],[Total MOSFET Loss C]],Table7[[#This Row],[Total MOSFET Loss]])</f>
        <v>#NAME?</v>
      </c>
      <c r="CR225" s="149" t="e">
        <f ca="1">IF(MOSFET_S=Custom_MOSFET,Table7[[#This Row],[Efficiency C]],Table7[[#This Row],[Efficiency]])</f>
        <v>#NAME?</v>
      </c>
      <c r="CS225" s="153"/>
      <c r="CT225" s="149">
        <f>IF(MOSFET_S=Compare_MOSFET, Table7[[#This Row],[Total Sense Loss C]], -100)</f>
        <v>-100</v>
      </c>
      <c r="CU225" s="149">
        <f>IF(MOSFET_S=Compare_MOSFET, Table7[[#This Row],[Total MOSFET Loss C]], -100)</f>
        <v>-100</v>
      </c>
      <c r="CV225" s="149">
        <f>IF(MOSFET_S=Compare_MOSFET, Table7[[#This Row],[Efficiency C]], -100)</f>
        <v>-100</v>
      </c>
      <c r="CW225" s="153"/>
      <c r="CX225" s="149">
        <f ca="1">IF(Save_Sel=CLR_Save,  Table7[[#This Row],[Total Sense Loss P1]], Table7[[#This Row],[Total Sense Loss P1 Saved]])</f>
        <v>0.67918640625000015</v>
      </c>
      <c r="CY225" s="149">
        <f ca="1">IF(Save_Sel=CLR_Save,  Table7[[#This Row],[Total MOSFET Loss P1]], Table7[[#This Row],[Total MOSFET Loss P1 Saved]] )</f>
        <v>2.0661399382383996</v>
      </c>
      <c r="CZ225" s="149">
        <f ca="1">IF(Save_Sel=CLR_Save, Table7[[#This Row],[Efficiency P1]], Table7[[#This Row],[Efficiency P1 Saved]])</f>
        <v>93.781161967033114</v>
      </c>
      <c r="DA225" s="153"/>
      <c r="DB225" s="149">
        <f ca="1">IF(Save_Sel=CLR_Save,  Table7[[#This Row],[Total Sense Loss P2]], Table7[[#This Row],[Total Sense Loss P2 Saved]])</f>
        <v>0.67918640625000015</v>
      </c>
      <c r="DC225" s="149">
        <f ca="1">IF(Save_Sel=CLR_Save,  Table7[[#This Row],[Total MOSFET Loss P2]], Table7[[#This Row],[Total MOSFET Loss P2 Saved]] )</f>
        <v>1.4156713154440876</v>
      </c>
      <c r="DD225" s="149">
        <f ca="1">IF(Save_Sel=CLR_Save, Table7[[#This Row],[Efficiency P2]], Table7[[#This Row],[Efficiency P2 Saved]])</f>
        <v>95.183665767805863</v>
      </c>
      <c r="DE225" s="153"/>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row>
    <row r="226" spans="1:165" x14ac:dyDescent="0.2">
      <c r="A226" s="18"/>
      <c r="B226" s="18"/>
      <c r="C226" s="18"/>
      <c r="D226" s="18"/>
      <c r="E226" s="18"/>
      <c r="F226" s="18"/>
      <c r="G226" s="18"/>
      <c r="H226" s="18"/>
      <c r="I226" s="18"/>
      <c r="J226" s="18"/>
      <c r="K226" s="18"/>
      <c r="L226" s="18"/>
      <c r="M226" s="18"/>
      <c r="N226" s="18"/>
      <c r="O226" s="18"/>
      <c r="P226" s="18"/>
      <c r="Q226" s="18"/>
      <c r="R226" s="18"/>
      <c r="S226" s="18"/>
      <c r="T226" s="18"/>
      <c r="U226" s="19"/>
      <c r="V226" s="19"/>
      <c r="W226" s="19"/>
      <c r="X226" s="19"/>
      <c r="Y226" s="19"/>
      <c r="Z226" s="19"/>
      <c r="AA226" s="19"/>
      <c r="AB226" s="19"/>
      <c r="AC226" s="19"/>
      <c r="AD226" s="19"/>
      <c r="AE226" s="19"/>
      <c r="AF226" s="143">
        <f t="shared" si="54"/>
        <v>70</v>
      </c>
      <c r="AG226" s="143">
        <f t="shared" si="53"/>
        <v>7</v>
      </c>
      <c r="AH226" s="144">
        <f t="shared" si="42"/>
        <v>168</v>
      </c>
      <c r="AI226" s="145">
        <f t="shared" si="43"/>
        <v>0.16376306620209058</v>
      </c>
      <c r="AJ226" s="145">
        <f t="shared" si="44"/>
        <v>8.3708333333333336</v>
      </c>
      <c r="AK226" s="145" t="e">
        <f t="shared" si="40"/>
        <v>#NAME?</v>
      </c>
      <c r="AL226" s="145" t="e">
        <f t="shared" si="41"/>
        <v>#NAME?</v>
      </c>
      <c r="AM226" s="146"/>
      <c r="AN226" s="145" t="e">
        <f>MAX(0,Table7[[#This Row],[I_L]]-0.5*Table7[[#This Row],[I_L pkpk]])</f>
        <v>#NAME?</v>
      </c>
      <c r="AO226" s="145" t="e">
        <f>Table7[[#This Row],[I_L]]+0.5*Table7[[#This Row],[I_L pkpk]]</f>
        <v>#NAME?</v>
      </c>
      <c r="AP226" s="145" t="e">
        <f ca="1">IF(VACnom&gt;Vbat, (VGS_S-(TI_MOSFET_S_VTH_H_BU+Table7[[#This Row],[I_L]]/TI_MOSFET_S_gFS_H_BU))/3.4, (VGS_S-(TI_MOSFET_S_VTH_L_BO+Table7[[#This Row],[I_L]]/TI_MOSFET_S_gFS_L_BO))/3.4 )</f>
        <v>#REF!</v>
      </c>
      <c r="AQ226" s="145" t="e">
        <f ca="1">IF(VACnom&gt;Vbat, ((TI_MOSFET_S_VTH_H_BU+Table7[[#This Row],[I_L]]/TI_MOSFET_S_gFS_H_BU))/1, ((TI_MOSFET_S_VTH_L_BO+Table7[[#This Row],[I_L]]/TI_MOSFET_S_gFS_L_BO))/1 )</f>
        <v>#REF!</v>
      </c>
      <c r="AR226" s="145" t="e">
        <f ca="1">IF(VACnom&gt;Vbat, (TI_MOSFET_S_QGD_H_BU+TI_MOSFET_S_QGS_H_BU)*10^-9/Table7[[#This Row],[Ion (A)]], (TI_MOSFET_S_QGD_L_BO+TI_MOSFET_S_QGS_L_BO)*10^-9/Table7[[#This Row],[Ion (A)]])/10^-9</f>
        <v>#REF!</v>
      </c>
      <c r="AS226" s="145" t="e">
        <f ca="1">IF(VACnom&gt;Vbat, (TI_MOSFET_S_QGD_H_BU+TI_MOSFET_S_QGS_H_BU)*10^-9/Table7[[#This Row],[Ioff (A)]], (TI_MOSFET_S_QGD_L_BO+TI_MOSFET_S_QGS_L_BO)*10^-9/Table7[[#This Row],[Ioff (A)]])/10^-9</f>
        <v>#REF!</v>
      </c>
      <c r="AT226" s="145" t="e">
        <f ca="1" xml:space="preserve"> 0.5*VACnom*Table7[[#This Row],[Ivalley (A)]]*Table7[[#This Row],[ton (ns)]]*10^-9*Fsw*10^3+0.5*VACnom*Table7[[#This Row],[Ipeak (A)]]*Table7[[#This Row],[toff (ns)]]*10^-9*Fsw*10^3/10^-3</f>
        <v>#NAME?</v>
      </c>
      <c r="AU226" s="145" t="e">
        <f t="shared" ca="1" si="45"/>
        <v>#REF!</v>
      </c>
      <c r="AV226" s="145" t="e">
        <f t="shared" ca="1" si="46"/>
        <v>#REF!</v>
      </c>
      <c r="AW226" s="145" t="e">
        <f t="shared" ca="1" si="47"/>
        <v>#REF!</v>
      </c>
      <c r="AX226" s="145" t="e">
        <f ca="1">IF(VACnom&gt;Vbat, TI_MOSFET_S_VSD_L_BU*Table7[[#This Row],[Ivalley (A)]]*Fsw*10^3*40*10^-9+TI_MOSFET_S_VSD_L_BU*Table7[[#This Row],[Ipeak (A)]]*Fsw*10^3*30*10^-9, TI_MOSFET_S_VSD_H_BO*Table7[[#This Row],[Ivalley (A)]]*Fsw*10^3*40*10^-9+TI_MOSFET_S_VSD_H_BO*Table7[[#This Row],[Ipeak (A)]]*Fsw*10^3*30*10^-9)/10^-3</f>
        <v>#REF!</v>
      </c>
      <c r="AY226" s="145" t="e">
        <f t="shared" ca="1" si="48"/>
        <v>#REF!</v>
      </c>
      <c r="AZ226" s="145" t="e">
        <f ca="1">IF(VACnom&lt;Vbat, Table7[[#This Row],[Duty Cycle]]*Table7[[#This Row],[I_L RMS]]^2*TI_MOSFET_S_RDSON_H_BU*10^-3, (1-Table7[[#This Row],[Duty Cycle]])*Table7[[#This Row],[I_L RMS]]^2*TI_MOSFET_S_RDSON_H_BO*10^-3)/10^-3</f>
        <v>#NAME?</v>
      </c>
      <c r="BA226" s="145" t="e">
        <f ca="1">IF(VACnom&gt;Vbat, Table7[[#This Row],[PIV (mW)]]+Table7[[#This Row],[Pqoss (mW)]]+Table7[[#This Row],[Pgate_top (mW)]], Table7[[#This Row],[PRR (mW)]]+Table7[[#This Row],[Pdead (mW)]]+Table7[[#This Row],[Pgate_top (mW)]])</f>
        <v>#REF!</v>
      </c>
      <c r="BB226" s="145" t="e">
        <f ca="1">Table7[[#This Row],[Pcon_top (mW)]]+Table7[[#This Row],[Psw_top (mW)]]</f>
        <v>#NAME?</v>
      </c>
      <c r="BC226" s="145" t="e">
        <f ca="1">IF(VACnom&gt;Vbat, (1-Table7[[#This Row],[Duty Cycle]])*Table7[[#This Row],[I_L RMS]]^2*TI_MOSFET_S_RDSON_L_BU*10^-3, Table7[[#This Row],[Duty Cycle]]*Table7[[#This Row],[I_L RMS]]^2*TI_MOSFET_S_RDSON_L_BO*10^-3)/10^-3</f>
        <v>#NAME?</v>
      </c>
      <c r="BD226" s="145" t="e">
        <f ca="1">IF(VACnom&gt;Vbat, Table7[[#This Row],[PRR (mW)]]+Table7[[#This Row],[Pdead (mW)]]+Table7[[#This Row],[Pgate_bottom (mW)]], Table7[[#This Row],[PIV (mW)]]+Table7[[#This Row],[Pqoss (mW)]]+Table7[[#This Row],[Pgate_bottom (mW)]])</f>
        <v>#NAME?</v>
      </c>
      <c r="BE226" s="147" t="e">
        <f ca="1">Table7[[#This Row],[Pcon_bottom (mW)]]+Table7[[#This Row],[Psw_bottom (mW)]]</f>
        <v>#NAME?</v>
      </c>
      <c r="BF226" s="145" t="e">
        <f ca="1">Table7[[#This Row],[Pbottom (mW)]]+Table7[[#This Row],[Ptop (mW)]]</f>
        <v>#NAME?</v>
      </c>
      <c r="BG226" s="142"/>
      <c r="BH226" s="145" t="e">
        <f>MAX(0,Table7[[#This Row],[I_L]]-0.5*Table7[[#This Row],[I_L pkpk]])</f>
        <v>#NAME?</v>
      </c>
      <c r="BI226" s="145" t="e">
        <f>Table7[[#This Row],[I_L]]+0.5*Table7[[#This Row],[I_L pkpk]]</f>
        <v>#NAME?</v>
      </c>
      <c r="BJ226" s="145">
        <f>IF(VACnom&gt;Vbat, (VGS_S-(C_MOSFET_S_VTH_H_BU+Table7[[#This Row],[I_L]]/C_MOSFET_S_gFS_H_BU))/3.4, (VGS_S-(C_MOSFET_S_VTH_L_BO+Table7[[#This Row],[I_L]]/C_MOSFET_S_gFS_L_BO))/3.4 )</f>
        <v>2.336527777777778</v>
      </c>
      <c r="BK226" s="145">
        <f>IF(VACnom&gt;Vbat, ((C_MOSFET_S_VTH_H_BU+Table7[[#This Row],[I_L]]/C_MOSFET_S_gFS_H_BU))/1, ((C_MOSFET_S_VTH_L_BO+Table7[[#This Row],[I_L]]/C_MOSFET_S_gFS_L_BO))/1 )</f>
        <v>2.0558055555555557</v>
      </c>
      <c r="BL226" s="145">
        <f>IF(VACnom&gt;Vbat, (C_MOSFET_S_QGD_H_BU+C_MOSFET_S_QGS_H_BU)*10^-9/Table7[[#This Row],[Ion (A) C]], (C_MOSFET_S_QGD_L_BO+C_MOSFET_S_QGS_L_BO)*10^-9/Table7[[#This Row],[Ion (A) C]])/10^-9</f>
        <v>2.781905724306009</v>
      </c>
      <c r="BM226" s="145">
        <f>IF(VACnom&gt;Vbat, (C_MOSFET_S_QGD_H_BU+C_MOSFET_S_QGS_H_BU)*10^-9/Table7[[#This Row],[Ioff (A) C]], (C_MOSFET_S_QGD_L_BO+C_MOSFET_S_QGS_L_BO)*10^-9/Table7[[#This Row],[Ioff (A) C]])/10^-9</f>
        <v>3.1617776216406113</v>
      </c>
      <c r="BN226" s="145" t="e">
        <f xml:space="preserve"> 0.5*VACnom*Table7[[#This Row],[Ivalley (A) C]]*Table7[[#This Row],[ton (ns) C]]*10^-9*Fsw*10^3+0.5*VACnom*Table7[[#This Row],[Ipeak (A) C]]*Table7[[#This Row],[toff (ns) C]]*10^-9*Fsw*10^3/10^-3</f>
        <v>#NAME?</v>
      </c>
      <c r="BO226" s="145">
        <f t="shared" si="49"/>
        <v>259.2</v>
      </c>
      <c r="BP226" s="145" t="e">
        <f t="shared" ca="1" si="50"/>
        <v>#REF!</v>
      </c>
      <c r="BQ226" s="145">
        <f t="shared" si="51"/>
        <v>475.2</v>
      </c>
      <c r="BR226" s="145" t="e">
        <f>IF(VACnom&gt;Vbat, C_MOSFET_S_VSD_L_BU*Table7[[#This Row],[Ivalley (A) C]]*Fsw*10^3*40*10^-9+C_MOSFET_S_VSD_L_BU*Table7[[#This Row],[Ipeak (A) C]]*Fsw*10^3*30*10^-9, C_MOSFET_S_VSD_H_BO*Table7[[#This Row],[Ivalley (A) C]]*Fsw*10^3*40*10^-9+C_MOSFET_S_VSD_H_BO*Table7[[#This Row],[Ipeak (A) C]]*Fsw*10^3*30*10^-9)/10^-3</f>
        <v>#NAME?</v>
      </c>
      <c r="BS226" s="145" t="e">
        <f t="shared" ca="1" si="52"/>
        <v>#REF!</v>
      </c>
      <c r="BT226" s="145" t="e">
        <f>IF(VACnom&lt;Vbat, Table7[[#This Row],[Duty Cycle]]*Table7[[#This Row],[I_L RMS]]^2*C_MOSFET_S_RDSON_H_BU*10^-3, (1-Table7[[#This Row],[Duty Cycle]])*Table7[[#This Row],[I_L RMS]]^2*C_MOSFET_S_RDSON_H_BO*10^-3)/10^-3</f>
        <v>#NAME?</v>
      </c>
      <c r="BU226" s="145" t="e">
        <f ca="1">IF(VACnom&gt;Vbat, Table7[[#This Row],[PIV (mW) C]]+Table7[[#This Row],[PQoss (mW) C]]+Table7[[#This Row],[Pgate_top (mW) C]], Table7[[#This Row],[PRR (mW) C]]+Table7[[#This Row],[Pdead (mW) C]]+Table7[[#This Row],[Pgate_top (mW) C]])</f>
        <v>#NAME?</v>
      </c>
      <c r="BV226" s="145" t="e">
        <f ca="1">Table7[[#This Row],[Pcon_top (mW) C]]+Table7[[#This Row],[Psw_top (mW) C]]</f>
        <v>#NAME?</v>
      </c>
      <c r="BW226" s="145" t="e">
        <f ca="1">IF(VACnom&gt;Vbat, (1-Table7[[#This Row],[Duty Cycle]])*Table7[[#This Row],[I_L RMS]]^2*C_MOSFET_S_RDSON_L_BU*10^-3, Table7[[#This Row],[Duty Cycle]]*Table7[[#This Row],[I_L RMS]]^2*C_MOSFET_S_RDSON_L_BO*10^-3)/10^-3</f>
        <v>#NAME?</v>
      </c>
      <c r="BX226" s="145" t="e">
        <f ca="1">IF(VACnom&gt;Vbat, Table7[[#This Row],[PRR (mW) C]]+Table7[[#This Row],[Pdead (mW) C]]+Table7[[#This Row],[Pgate_bottom (mW) C]], Table7[[#This Row],[PIV (mW) C]]+Table7[[#This Row],[PQoss (mW) C]]+Table7[[#This Row],[Pgate_bottom (mW) C]])</f>
        <v>#NAME?</v>
      </c>
      <c r="BY226" s="145" t="e">
        <f ca="1">Table7[[#This Row],[Pcon_bottom (mW) C]]+Table7[[#This Row],[Psw_bottom (mV) C]]</f>
        <v>#NAME?</v>
      </c>
      <c r="BZ226" s="145" t="e">
        <f ca="1">Table7[[#This Row],[Pbottom (mW) C]]+Table7[[#This Row],[Ptop (mW) C]]</f>
        <v>#NAME?</v>
      </c>
      <c r="CA226" s="148"/>
      <c r="CB226" s="144">
        <f>(RAC_SNS*10^-3*(Table7[[#This Row],[IOUT (A)]]*Vbat/VACnom)^2/10^-3)</f>
        <v>350.35425347222218</v>
      </c>
      <c r="CC226" s="144">
        <f>(RBAT_SNS*10^-3*Table7[[#This Row],[IOUT (A)]]^2)/10^-3</f>
        <v>245</v>
      </c>
      <c r="CD226" s="144">
        <f>IF(VACnom&gt;Vbat,(L_DRC*10^-3*(Table7[[#This Row],[IOUT (A)]])^2/10^-3),(L_DRC*10^-3*(Table7[[#This Row],[IOUT (A)]]*Vbat/VACnom)^2/10^-3))</f>
        <v>238.24089236111109</v>
      </c>
      <c r="CE226" s="152"/>
      <c r="CF226" s="145">
        <f>(Table7[[#This Row],[R_AC (mW)]]+Table7[[#This Row],[R_SR (mW)]]+Table7[[#This Row],[Inductor Loss (mW)]])/10^3</f>
        <v>0.83359514583333316</v>
      </c>
      <c r="CG226" s="145" t="e">
        <f ca="1">Table7[[#This Row],[Total TI (mW)]]/10^3</f>
        <v>#NAME?</v>
      </c>
      <c r="CH226" s="145" t="e">
        <f ca="1">Table7[[#This Row],[Total Sense Loss]]+Table7[[#This Row],[Total MOSFET Loss]]</f>
        <v>#NAME?</v>
      </c>
      <c r="CI226" s="149" t="e">
        <f ca="1">IF(Table7[[#This Row],[POUT (W)]]=0,0,(Table7[[#This Row],[POUT (W)]])/(Table7[[#This Row],[POUT (W)]]+Table7[[#This Row],[Total Power Loss (W)]]))*100</f>
        <v>#NAME?</v>
      </c>
      <c r="CJ226" s="153"/>
      <c r="CK226" s="145">
        <f>(Table7[[#This Row],[R_AC (mW)]]+Table7[[#This Row],[R_SR (mW)]]+Table7[[#This Row],[Inductor Loss (mW)]])/10^3</f>
        <v>0.83359514583333316</v>
      </c>
      <c r="CL226" s="145" t="e">
        <f ca="1">Table7[[#This Row],[Total (mW) C]]/10^3</f>
        <v>#NAME?</v>
      </c>
      <c r="CM226" s="145" t="e">
        <f ca="1">Table7[[#This Row],[Total Sense Loss C]]+Table7[[#This Row],[Total MOSFET Loss C]]</f>
        <v>#NAME?</v>
      </c>
      <c r="CN226" s="149" t="e">
        <f ca="1">IF(Table7[[#This Row],[POUT (W)]]=0,0,(Table7[[#This Row],[POUT (W)]])/(Table7[[#This Row],[POUT (W)]]+Table7[[#This Row],[Total Power Loss (W) C]]))*100</f>
        <v>#NAME?</v>
      </c>
      <c r="CO226" s="153"/>
      <c r="CP226" s="149">
        <f>IF(MOSFET_S=Custom_MOSFET,Table7[[#This Row],[Total Sense Loss C]],Table7[[#This Row],[Total Sense Loss]])</f>
        <v>0.83359514583333316</v>
      </c>
      <c r="CQ226" s="149" t="e">
        <f ca="1">IF(MOSFET_S=Custom_MOSFET,Table7[[#This Row],[Total MOSFET Loss C]],Table7[[#This Row],[Total MOSFET Loss]])</f>
        <v>#NAME?</v>
      </c>
      <c r="CR226" s="149" t="e">
        <f ca="1">IF(MOSFET_S=Custom_MOSFET,Table7[[#This Row],[Efficiency C]],Table7[[#This Row],[Efficiency]])</f>
        <v>#NAME?</v>
      </c>
      <c r="CS226" s="153"/>
      <c r="CT226" s="149">
        <f>IF(MOSFET_S=Compare_MOSFET, Table7[[#This Row],[Total Sense Loss C]], -100)</f>
        <v>-100</v>
      </c>
      <c r="CU226" s="149">
        <f>IF(MOSFET_S=Compare_MOSFET, Table7[[#This Row],[Total MOSFET Loss C]], -100)</f>
        <v>-100</v>
      </c>
      <c r="CV226" s="149">
        <f>IF(MOSFET_S=Compare_MOSFET, Table7[[#This Row],[Efficiency C]], -100)</f>
        <v>-100</v>
      </c>
      <c r="CW226" s="153"/>
      <c r="CX226" s="149">
        <f ca="1">IF(Save_Sel=CLR_Save,  Table7[[#This Row],[Total Sense Loss P1]], Table7[[#This Row],[Total Sense Loss P1 Saved]])</f>
        <v>0.69901562500000003</v>
      </c>
      <c r="CY226" s="149">
        <f ca="1">IF(Save_Sel=CLR_Save,  Table7[[#This Row],[Total MOSFET Loss P1]], Table7[[#This Row],[Total MOSFET Loss P1 Saved]] )</f>
        <v>2.0769441186482083</v>
      </c>
      <c r="CZ226" s="149">
        <f ca="1">IF(Save_Sel=CLR_Save, Table7[[#This Row],[Efficiency P1]], Table7[[#This Row],[Efficiency P1 Saved]])</f>
        <v>93.800334466215446</v>
      </c>
      <c r="DA226" s="153"/>
      <c r="DB226" s="149">
        <f ca="1">IF(Save_Sel=CLR_Save,  Table7[[#This Row],[Total Sense Loss P2]], Table7[[#This Row],[Total Sense Loss P2 Saved]])</f>
        <v>0.69901562500000003</v>
      </c>
      <c r="DC226" s="149">
        <f ca="1">IF(Save_Sel=CLR_Save,  Table7[[#This Row],[Total MOSFET Loss P2]], Table7[[#This Row],[Total MOSFET Loss P2 Saved]] )</f>
        <v>1.4251377976352535</v>
      </c>
      <c r="DD226" s="149">
        <f ca="1">IF(Save_Sel=CLR_Save, Table7[[#This Row],[Efficiency P2]], Table7[[#This Row],[Efficiency P2 Saved]])</f>
        <v>95.185962204669565</v>
      </c>
      <c r="DE226" s="153"/>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row>
    <row r="227" spans="1:165" x14ac:dyDescent="0.2">
      <c r="A227" s="67"/>
      <c r="B227" s="67"/>
      <c r="C227" s="67"/>
      <c r="D227" s="67"/>
      <c r="E227" s="67"/>
      <c r="F227" s="67"/>
      <c r="G227" s="67"/>
      <c r="H227" s="67"/>
      <c r="I227" s="67"/>
      <c r="J227" s="67"/>
      <c r="K227" s="67"/>
      <c r="L227" s="67"/>
      <c r="M227" s="67"/>
      <c r="N227" s="67"/>
      <c r="O227" s="67"/>
      <c r="P227" s="67"/>
      <c r="Q227" s="67"/>
      <c r="R227" s="67"/>
      <c r="S227" s="67"/>
      <c r="T227" s="67"/>
      <c r="U227" s="19"/>
      <c r="V227" s="19"/>
      <c r="W227" s="19"/>
      <c r="X227" s="19"/>
      <c r="Y227" s="19"/>
      <c r="Z227" s="19"/>
      <c r="AA227" s="19"/>
      <c r="AB227" s="19"/>
      <c r="AC227" s="19"/>
      <c r="AD227" s="19"/>
      <c r="AE227" s="19"/>
      <c r="AF227" s="143">
        <f t="shared" si="54"/>
        <v>71</v>
      </c>
      <c r="AG227" s="143">
        <f t="shared" si="53"/>
        <v>7.1</v>
      </c>
      <c r="AH227" s="144">
        <f t="shared" si="42"/>
        <v>170.39999999999998</v>
      </c>
      <c r="AI227" s="145">
        <f t="shared" si="43"/>
        <v>0.16376306620209058</v>
      </c>
      <c r="AJ227" s="145">
        <f t="shared" si="44"/>
        <v>8.4904166666666665</v>
      </c>
      <c r="AK227" s="145" t="e">
        <f t="shared" si="40"/>
        <v>#NAME?</v>
      </c>
      <c r="AL227" s="145" t="e">
        <f t="shared" si="41"/>
        <v>#NAME?</v>
      </c>
      <c r="AM227" s="146"/>
      <c r="AN227" s="145" t="e">
        <f>MAX(0,Table7[[#This Row],[I_L]]-0.5*Table7[[#This Row],[I_L pkpk]])</f>
        <v>#NAME?</v>
      </c>
      <c r="AO227" s="145" t="e">
        <f>Table7[[#This Row],[I_L]]+0.5*Table7[[#This Row],[I_L pkpk]]</f>
        <v>#NAME?</v>
      </c>
      <c r="AP227" s="145" t="e">
        <f ca="1">IF(VACnom&gt;Vbat, (VGS_S-(TI_MOSFET_S_VTH_H_BU+Table7[[#This Row],[I_L]]/TI_MOSFET_S_gFS_H_BU))/3.4, (VGS_S-(TI_MOSFET_S_VTH_L_BO+Table7[[#This Row],[I_L]]/TI_MOSFET_S_gFS_L_BO))/3.4 )</f>
        <v>#REF!</v>
      </c>
      <c r="AQ227" s="145" t="e">
        <f ca="1">IF(VACnom&gt;Vbat, ((TI_MOSFET_S_VTH_H_BU+Table7[[#This Row],[I_L]]/TI_MOSFET_S_gFS_H_BU))/1, ((TI_MOSFET_S_VTH_L_BO+Table7[[#This Row],[I_L]]/TI_MOSFET_S_gFS_L_BO))/1 )</f>
        <v>#REF!</v>
      </c>
      <c r="AR227" s="145" t="e">
        <f ca="1">IF(VACnom&gt;Vbat, (TI_MOSFET_S_QGD_H_BU+TI_MOSFET_S_QGS_H_BU)*10^-9/Table7[[#This Row],[Ion (A)]], (TI_MOSFET_S_QGD_L_BO+TI_MOSFET_S_QGS_L_BO)*10^-9/Table7[[#This Row],[Ion (A)]])/10^-9</f>
        <v>#REF!</v>
      </c>
      <c r="AS227" s="145" t="e">
        <f ca="1">IF(VACnom&gt;Vbat, (TI_MOSFET_S_QGD_H_BU+TI_MOSFET_S_QGS_H_BU)*10^-9/Table7[[#This Row],[Ioff (A)]], (TI_MOSFET_S_QGD_L_BO+TI_MOSFET_S_QGS_L_BO)*10^-9/Table7[[#This Row],[Ioff (A)]])/10^-9</f>
        <v>#REF!</v>
      </c>
      <c r="AT227" s="145" t="e">
        <f ca="1" xml:space="preserve"> 0.5*VACnom*Table7[[#This Row],[Ivalley (A)]]*Table7[[#This Row],[ton (ns)]]*10^-9*Fsw*10^3+0.5*VACnom*Table7[[#This Row],[Ipeak (A)]]*Table7[[#This Row],[toff (ns)]]*10^-9*Fsw*10^3/10^-3</f>
        <v>#NAME?</v>
      </c>
      <c r="AU227" s="145" t="e">
        <f t="shared" ca="1" si="45"/>
        <v>#REF!</v>
      </c>
      <c r="AV227" s="145" t="e">
        <f t="shared" ca="1" si="46"/>
        <v>#REF!</v>
      </c>
      <c r="AW227" s="145" t="e">
        <f t="shared" ca="1" si="47"/>
        <v>#REF!</v>
      </c>
      <c r="AX227" s="145" t="e">
        <f ca="1">IF(VACnom&gt;Vbat, TI_MOSFET_S_VSD_L_BU*Table7[[#This Row],[Ivalley (A)]]*Fsw*10^3*40*10^-9+TI_MOSFET_S_VSD_L_BU*Table7[[#This Row],[Ipeak (A)]]*Fsw*10^3*30*10^-9, TI_MOSFET_S_VSD_H_BO*Table7[[#This Row],[Ivalley (A)]]*Fsw*10^3*40*10^-9+TI_MOSFET_S_VSD_H_BO*Table7[[#This Row],[Ipeak (A)]]*Fsw*10^3*30*10^-9)/10^-3</f>
        <v>#REF!</v>
      </c>
      <c r="AY227" s="145" t="e">
        <f t="shared" ca="1" si="48"/>
        <v>#REF!</v>
      </c>
      <c r="AZ227" s="145" t="e">
        <f ca="1">IF(VACnom&lt;Vbat, Table7[[#This Row],[Duty Cycle]]*Table7[[#This Row],[I_L RMS]]^2*TI_MOSFET_S_RDSON_H_BU*10^-3, (1-Table7[[#This Row],[Duty Cycle]])*Table7[[#This Row],[I_L RMS]]^2*TI_MOSFET_S_RDSON_H_BO*10^-3)/10^-3</f>
        <v>#NAME?</v>
      </c>
      <c r="BA227" s="145" t="e">
        <f ca="1">IF(VACnom&gt;Vbat, Table7[[#This Row],[PIV (mW)]]+Table7[[#This Row],[Pqoss (mW)]]+Table7[[#This Row],[Pgate_top (mW)]], Table7[[#This Row],[PRR (mW)]]+Table7[[#This Row],[Pdead (mW)]]+Table7[[#This Row],[Pgate_top (mW)]])</f>
        <v>#REF!</v>
      </c>
      <c r="BB227" s="145" t="e">
        <f ca="1">Table7[[#This Row],[Pcon_top (mW)]]+Table7[[#This Row],[Psw_top (mW)]]</f>
        <v>#NAME?</v>
      </c>
      <c r="BC227" s="145" t="e">
        <f ca="1">IF(VACnom&gt;Vbat, (1-Table7[[#This Row],[Duty Cycle]])*Table7[[#This Row],[I_L RMS]]^2*TI_MOSFET_S_RDSON_L_BU*10^-3, Table7[[#This Row],[Duty Cycle]]*Table7[[#This Row],[I_L RMS]]^2*TI_MOSFET_S_RDSON_L_BO*10^-3)/10^-3</f>
        <v>#NAME?</v>
      </c>
      <c r="BD227" s="145" t="e">
        <f ca="1">IF(VACnom&gt;Vbat, Table7[[#This Row],[PRR (mW)]]+Table7[[#This Row],[Pdead (mW)]]+Table7[[#This Row],[Pgate_bottom (mW)]], Table7[[#This Row],[PIV (mW)]]+Table7[[#This Row],[Pqoss (mW)]]+Table7[[#This Row],[Pgate_bottom (mW)]])</f>
        <v>#NAME?</v>
      </c>
      <c r="BE227" s="147" t="e">
        <f ca="1">Table7[[#This Row],[Pcon_bottom (mW)]]+Table7[[#This Row],[Psw_bottom (mW)]]</f>
        <v>#NAME?</v>
      </c>
      <c r="BF227" s="145" t="e">
        <f ca="1">Table7[[#This Row],[Pbottom (mW)]]+Table7[[#This Row],[Ptop (mW)]]</f>
        <v>#NAME?</v>
      </c>
      <c r="BG227" s="142"/>
      <c r="BH227" s="145" t="e">
        <f>MAX(0,Table7[[#This Row],[I_L]]-0.5*Table7[[#This Row],[I_L pkpk]])</f>
        <v>#NAME?</v>
      </c>
      <c r="BI227" s="145" t="e">
        <f>Table7[[#This Row],[I_L]]+0.5*Table7[[#This Row],[I_L pkpk]]</f>
        <v>#NAME?</v>
      </c>
      <c r="BJ227" s="145">
        <f>IF(VACnom&gt;Vbat, (VGS_S-(C_MOSFET_S_VTH_H_BU+Table7[[#This Row],[I_L]]/C_MOSFET_S_gFS_H_BU))/3.4, (VGS_S-(C_MOSFET_S_VTH_L_BO+Table7[[#This Row],[I_L]]/C_MOSFET_S_gFS_L_BO))/3.4 )</f>
        <v>2.3362933006535949</v>
      </c>
      <c r="BK227" s="145">
        <f>IF(VACnom&gt;Vbat, ((C_MOSFET_S_VTH_H_BU+Table7[[#This Row],[I_L]]/C_MOSFET_S_gFS_H_BU))/1, ((C_MOSFET_S_VTH_L_BO+Table7[[#This Row],[I_L]]/C_MOSFET_S_gFS_L_BO))/1 )</f>
        <v>2.056602777777778</v>
      </c>
      <c r="BL227" s="145">
        <f>IF(VACnom&gt;Vbat, (C_MOSFET_S_QGD_H_BU+C_MOSFET_S_QGS_H_BU)*10^-9/Table7[[#This Row],[Ion (A) C]], (C_MOSFET_S_QGD_L_BO+C_MOSFET_S_QGS_L_BO)*10^-9/Table7[[#This Row],[Ion (A) C]])/10^-9</f>
        <v>2.782184924376395</v>
      </c>
      <c r="BM227" s="145">
        <f>IF(VACnom&gt;Vbat, (C_MOSFET_S_QGD_H_BU+C_MOSFET_S_QGS_H_BU)*10^-9/Table7[[#This Row],[Ioff (A) C]], (C_MOSFET_S_QGD_L_BO+C_MOSFET_S_QGS_L_BO)*10^-9/Table7[[#This Row],[Ioff (A) C]])/10^-9</f>
        <v>3.1605519890542246</v>
      </c>
      <c r="BN227" s="145" t="e">
        <f xml:space="preserve"> 0.5*VACnom*Table7[[#This Row],[Ivalley (A) C]]*Table7[[#This Row],[ton (ns) C]]*10^-9*Fsw*10^3+0.5*VACnom*Table7[[#This Row],[Ipeak (A) C]]*Table7[[#This Row],[toff (ns) C]]*10^-9*Fsw*10^3/10^-3</f>
        <v>#NAME?</v>
      </c>
      <c r="BO227" s="145">
        <f t="shared" si="49"/>
        <v>259.2</v>
      </c>
      <c r="BP227" s="145" t="e">
        <f t="shared" ca="1" si="50"/>
        <v>#REF!</v>
      </c>
      <c r="BQ227" s="145">
        <f t="shared" si="51"/>
        <v>475.2</v>
      </c>
      <c r="BR227" s="145" t="e">
        <f>IF(VACnom&gt;Vbat, C_MOSFET_S_VSD_L_BU*Table7[[#This Row],[Ivalley (A) C]]*Fsw*10^3*40*10^-9+C_MOSFET_S_VSD_L_BU*Table7[[#This Row],[Ipeak (A) C]]*Fsw*10^3*30*10^-9, C_MOSFET_S_VSD_H_BO*Table7[[#This Row],[Ivalley (A) C]]*Fsw*10^3*40*10^-9+C_MOSFET_S_VSD_H_BO*Table7[[#This Row],[Ipeak (A) C]]*Fsw*10^3*30*10^-9)/10^-3</f>
        <v>#NAME?</v>
      </c>
      <c r="BS227" s="145" t="e">
        <f t="shared" ca="1" si="52"/>
        <v>#REF!</v>
      </c>
      <c r="BT227" s="145" t="e">
        <f>IF(VACnom&lt;Vbat, Table7[[#This Row],[Duty Cycle]]*Table7[[#This Row],[I_L RMS]]^2*C_MOSFET_S_RDSON_H_BU*10^-3, (1-Table7[[#This Row],[Duty Cycle]])*Table7[[#This Row],[I_L RMS]]^2*C_MOSFET_S_RDSON_H_BO*10^-3)/10^-3</f>
        <v>#NAME?</v>
      </c>
      <c r="BU227" s="145" t="e">
        <f ca="1">IF(VACnom&gt;Vbat, Table7[[#This Row],[PIV (mW) C]]+Table7[[#This Row],[PQoss (mW) C]]+Table7[[#This Row],[Pgate_top (mW) C]], Table7[[#This Row],[PRR (mW) C]]+Table7[[#This Row],[Pdead (mW) C]]+Table7[[#This Row],[Pgate_top (mW) C]])</f>
        <v>#NAME?</v>
      </c>
      <c r="BV227" s="145" t="e">
        <f ca="1">Table7[[#This Row],[Pcon_top (mW) C]]+Table7[[#This Row],[Psw_top (mW) C]]</f>
        <v>#NAME?</v>
      </c>
      <c r="BW227" s="145" t="e">
        <f ca="1">IF(VACnom&gt;Vbat, (1-Table7[[#This Row],[Duty Cycle]])*Table7[[#This Row],[I_L RMS]]^2*C_MOSFET_S_RDSON_L_BU*10^-3, Table7[[#This Row],[Duty Cycle]]*Table7[[#This Row],[I_L RMS]]^2*C_MOSFET_S_RDSON_L_BO*10^-3)/10^-3</f>
        <v>#NAME?</v>
      </c>
      <c r="BX227" s="145" t="e">
        <f ca="1">IF(VACnom&gt;Vbat, Table7[[#This Row],[PRR (mW) C]]+Table7[[#This Row],[Pdead (mW) C]]+Table7[[#This Row],[Pgate_bottom (mW) C]], Table7[[#This Row],[PIV (mW) C]]+Table7[[#This Row],[PQoss (mW) C]]+Table7[[#This Row],[Pgate_bottom (mW) C]])</f>
        <v>#NAME?</v>
      </c>
      <c r="BY227" s="145" t="e">
        <f ca="1">Table7[[#This Row],[Pcon_bottom (mW) C]]+Table7[[#This Row],[Psw_bottom (mV) C]]</f>
        <v>#NAME?</v>
      </c>
      <c r="BZ227" s="145" t="e">
        <f ca="1">Table7[[#This Row],[Pbottom (mW) C]]+Table7[[#This Row],[Ptop (mW) C]]</f>
        <v>#NAME?</v>
      </c>
      <c r="CA227" s="148"/>
      <c r="CB227" s="144">
        <f>(RAC_SNS*10^-3*(Table7[[#This Row],[IOUT (A)]]*Vbat/VACnom)^2/10^-3)</f>
        <v>360.43587586805558</v>
      </c>
      <c r="CC227" s="144">
        <f>(RBAT_SNS*10^-3*Table7[[#This Row],[IOUT (A)]]^2)/10^-3</f>
        <v>252.04999999999998</v>
      </c>
      <c r="CD227" s="144">
        <f>IF(VACnom&gt;Vbat,(L_DRC*10^-3*(Table7[[#This Row],[IOUT (A)]])^2/10^-3),(L_DRC*10^-3*(Table7[[#This Row],[IOUT (A)]]*Vbat/VACnom)^2/10^-3))</f>
        <v>245.09639559027775</v>
      </c>
      <c r="CE227" s="152"/>
      <c r="CF227" s="145">
        <f>(Table7[[#This Row],[R_AC (mW)]]+Table7[[#This Row],[R_SR (mW)]]+Table7[[#This Row],[Inductor Loss (mW)]])/10^3</f>
        <v>0.85758227145833332</v>
      </c>
      <c r="CG227" s="145" t="e">
        <f ca="1">Table7[[#This Row],[Total TI (mW)]]/10^3</f>
        <v>#NAME?</v>
      </c>
      <c r="CH227" s="145" t="e">
        <f ca="1">Table7[[#This Row],[Total Sense Loss]]+Table7[[#This Row],[Total MOSFET Loss]]</f>
        <v>#NAME?</v>
      </c>
      <c r="CI227" s="149" t="e">
        <f ca="1">IF(Table7[[#This Row],[POUT (W)]]=0,0,(Table7[[#This Row],[POUT (W)]])/(Table7[[#This Row],[POUT (W)]]+Table7[[#This Row],[Total Power Loss (W)]]))*100</f>
        <v>#NAME?</v>
      </c>
      <c r="CJ227" s="153"/>
      <c r="CK227" s="145">
        <f>(Table7[[#This Row],[R_AC (mW)]]+Table7[[#This Row],[R_SR (mW)]]+Table7[[#This Row],[Inductor Loss (mW)]])/10^3</f>
        <v>0.85758227145833332</v>
      </c>
      <c r="CL227" s="145" t="e">
        <f ca="1">Table7[[#This Row],[Total (mW) C]]/10^3</f>
        <v>#NAME?</v>
      </c>
      <c r="CM227" s="145" t="e">
        <f ca="1">Table7[[#This Row],[Total Sense Loss C]]+Table7[[#This Row],[Total MOSFET Loss C]]</f>
        <v>#NAME?</v>
      </c>
      <c r="CN227" s="149" t="e">
        <f ca="1">IF(Table7[[#This Row],[POUT (W)]]=0,0,(Table7[[#This Row],[POUT (W)]])/(Table7[[#This Row],[POUT (W)]]+Table7[[#This Row],[Total Power Loss (W) C]]))*100</f>
        <v>#NAME?</v>
      </c>
      <c r="CO227" s="153"/>
      <c r="CP227" s="149">
        <f>IF(MOSFET_S=Custom_MOSFET,Table7[[#This Row],[Total Sense Loss C]],Table7[[#This Row],[Total Sense Loss]])</f>
        <v>0.85758227145833332</v>
      </c>
      <c r="CQ227" s="149" t="e">
        <f ca="1">IF(MOSFET_S=Custom_MOSFET,Table7[[#This Row],[Total MOSFET Loss C]],Table7[[#This Row],[Total MOSFET Loss]])</f>
        <v>#NAME?</v>
      </c>
      <c r="CR227" s="149" t="e">
        <f ca="1">IF(MOSFET_S=Custom_MOSFET,Table7[[#This Row],[Efficiency C]],Table7[[#This Row],[Efficiency]])</f>
        <v>#NAME?</v>
      </c>
      <c r="CS227" s="153"/>
      <c r="CT227" s="149">
        <f>IF(MOSFET_S=Compare_MOSFET, Table7[[#This Row],[Total Sense Loss C]], -100)</f>
        <v>-100</v>
      </c>
      <c r="CU227" s="149">
        <f>IF(MOSFET_S=Compare_MOSFET, Table7[[#This Row],[Total MOSFET Loss C]], -100)</f>
        <v>-100</v>
      </c>
      <c r="CV227" s="149">
        <f>IF(MOSFET_S=Compare_MOSFET, Table7[[#This Row],[Efficiency C]], -100)</f>
        <v>-100</v>
      </c>
      <c r="CW227" s="153"/>
      <c r="CX227" s="149">
        <f ca="1">IF(Save_Sel=CLR_Save,  Table7[[#This Row],[Total Sense Loss P1]], Table7[[#This Row],[Total Sense Loss P1 Saved]])</f>
        <v>0.71913015624999987</v>
      </c>
      <c r="CY227" s="149">
        <f ca="1">IF(Save_Sel=CLR_Save,  Table7[[#This Row],[Total MOSFET Loss P1]], Table7[[#This Row],[Total MOSFET Loss P1 Saved]] )</f>
        <v>2.087791223315401</v>
      </c>
      <c r="CZ227" s="149">
        <f ca="1">IF(Save_Sel=CLR_Save, Table7[[#This Row],[Efficiency P1]], Table7[[#This Row],[Efficiency P1 Saved]])</f>
        <v>93.818296210611166</v>
      </c>
      <c r="DA227" s="153"/>
      <c r="DB227" s="149">
        <f ca="1">IF(Save_Sel=CLR_Save,  Table7[[#This Row],[Total Sense Loss P2]], Table7[[#This Row],[Total Sense Loss P2 Saved]])</f>
        <v>0.71913015624999987</v>
      </c>
      <c r="DC227" s="149">
        <f ca="1">IF(Save_Sel=CLR_Save,  Table7[[#This Row],[Total MOSFET Loss P2]], Table7[[#This Row],[Total MOSFET Loss P2 Saved]] )</f>
        <v>1.4346834543139944</v>
      </c>
      <c r="DD227" s="149">
        <f ca="1">IF(Save_Sel=CLR_Save, Table7[[#This Row],[Efficiency P2]], Table7[[#This Row],[Efficiency P2 Saved]])</f>
        <v>95.187418821318971</v>
      </c>
      <c r="DE227" s="153"/>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row>
    <row r="228" spans="1:165" x14ac:dyDescent="0.2">
      <c r="A228" s="67"/>
      <c r="B228" s="67"/>
      <c r="C228" s="67"/>
      <c r="D228" s="67"/>
      <c r="E228" s="67"/>
      <c r="F228" s="67"/>
      <c r="G228" s="67"/>
      <c r="H228" s="67"/>
      <c r="I228" s="67"/>
      <c r="J228" s="67"/>
      <c r="K228" s="67"/>
      <c r="L228" s="67"/>
      <c r="M228" s="67"/>
      <c r="N228" s="67"/>
      <c r="O228" s="67"/>
      <c r="P228" s="67"/>
      <c r="Q228" s="67"/>
      <c r="R228" s="67"/>
      <c r="S228" s="67"/>
      <c r="T228" s="67"/>
      <c r="U228" s="19"/>
      <c r="V228" s="19"/>
      <c r="W228" s="19"/>
      <c r="X228" s="19"/>
      <c r="Y228" s="19"/>
      <c r="Z228" s="19"/>
      <c r="AA228" s="19"/>
      <c r="AB228" s="19"/>
      <c r="AC228" s="19"/>
      <c r="AD228" s="19"/>
      <c r="AE228" s="19"/>
      <c r="AF228" s="143">
        <f t="shared" si="54"/>
        <v>72</v>
      </c>
      <c r="AG228" s="143">
        <f t="shared" si="53"/>
        <v>7.2</v>
      </c>
      <c r="AH228" s="144">
        <f t="shared" si="42"/>
        <v>172.8</v>
      </c>
      <c r="AI228" s="145">
        <f t="shared" si="43"/>
        <v>0.16376306620209058</v>
      </c>
      <c r="AJ228" s="145">
        <f t="shared" si="44"/>
        <v>8.61</v>
      </c>
      <c r="AK228" s="145" t="e">
        <f t="shared" si="40"/>
        <v>#NAME?</v>
      </c>
      <c r="AL228" s="145" t="e">
        <f t="shared" si="41"/>
        <v>#NAME?</v>
      </c>
      <c r="AM228" s="146"/>
      <c r="AN228" s="145" t="e">
        <f>MAX(0,Table7[[#This Row],[I_L]]-0.5*Table7[[#This Row],[I_L pkpk]])</f>
        <v>#NAME?</v>
      </c>
      <c r="AO228" s="145" t="e">
        <f>Table7[[#This Row],[I_L]]+0.5*Table7[[#This Row],[I_L pkpk]]</f>
        <v>#NAME?</v>
      </c>
      <c r="AP228" s="145" t="e">
        <f ca="1">IF(VACnom&gt;Vbat, (VGS_S-(TI_MOSFET_S_VTH_H_BU+Table7[[#This Row],[I_L]]/TI_MOSFET_S_gFS_H_BU))/3.4, (VGS_S-(TI_MOSFET_S_VTH_L_BO+Table7[[#This Row],[I_L]]/TI_MOSFET_S_gFS_L_BO))/3.4 )</f>
        <v>#REF!</v>
      </c>
      <c r="AQ228" s="145" t="e">
        <f ca="1">IF(VACnom&gt;Vbat, ((TI_MOSFET_S_VTH_H_BU+Table7[[#This Row],[I_L]]/TI_MOSFET_S_gFS_H_BU))/1, ((TI_MOSFET_S_VTH_L_BO+Table7[[#This Row],[I_L]]/TI_MOSFET_S_gFS_L_BO))/1 )</f>
        <v>#REF!</v>
      </c>
      <c r="AR228" s="145" t="e">
        <f ca="1">IF(VACnom&gt;Vbat, (TI_MOSFET_S_QGD_H_BU+TI_MOSFET_S_QGS_H_BU)*10^-9/Table7[[#This Row],[Ion (A)]], (TI_MOSFET_S_QGD_L_BO+TI_MOSFET_S_QGS_L_BO)*10^-9/Table7[[#This Row],[Ion (A)]])/10^-9</f>
        <v>#REF!</v>
      </c>
      <c r="AS228" s="145" t="e">
        <f ca="1">IF(VACnom&gt;Vbat, (TI_MOSFET_S_QGD_H_BU+TI_MOSFET_S_QGS_H_BU)*10^-9/Table7[[#This Row],[Ioff (A)]], (TI_MOSFET_S_QGD_L_BO+TI_MOSFET_S_QGS_L_BO)*10^-9/Table7[[#This Row],[Ioff (A)]])/10^-9</f>
        <v>#REF!</v>
      </c>
      <c r="AT228" s="145" t="e">
        <f ca="1" xml:space="preserve"> 0.5*VACnom*Table7[[#This Row],[Ivalley (A)]]*Table7[[#This Row],[ton (ns)]]*10^-9*Fsw*10^3+0.5*VACnom*Table7[[#This Row],[Ipeak (A)]]*Table7[[#This Row],[toff (ns)]]*10^-9*Fsw*10^3/10^-3</f>
        <v>#NAME?</v>
      </c>
      <c r="AU228" s="145" t="e">
        <f t="shared" ca="1" si="45"/>
        <v>#REF!</v>
      </c>
      <c r="AV228" s="145" t="e">
        <f t="shared" ca="1" si="46"/>
        <v>#REF!</v>
      </c>
      <c r="AW228" s="145" t="e">
        <f t="shared" ca="1" si="47"/>
        <v>#REF!</v>
      </c>
      <c r="AX228" s="145" t="e">
        <f ca="1">IF(VACnom&gt;Vbat, TI_MOSFET_S_VSD_L_BU*Table7[[#This Row],[Ivalley (A)]]*Fsw*10^3*40*10^-9+TI_MOSFET_S_VSD_L_BU*Table7[[#This Row],[Ipeak (A)]]*Fsw*10^3*30*10^-9, TI_MOSFET_S_VSD_H_BO*Table7[[#This Row],[Ivalley (A)]]*Fsw*10^3*40*10^-9+TI_MOSFET_S_VSD_H_BO*Table7[[#This Row],[Ipeak (A)]]*Fsw*10^3*30*10^-9)/10^-3</f>
        <v>#REF!</v>
      </c>
      <c r="AY228" s="145" t="e">
        <f t="shared" ca="1" si="48"/>
        <v>#REF!</v>
      </c>
      <c r="AZ228" s="145" t="e">
        <f ca="1">IF(VACnom&lt;Vbat, Table7[[#This Row],[Duty Cycle]]*Table7[[#This Row],[I_L RMS]]^2*TI_MOSFET_S_RDSON_H_BU*10^-3, (1-Table7[[#This Row],[Duty Cycle]])*Table7[[#This Row],[I_L RMS]]^2*TI_MOSFET_S_RDSON_H_BO*10^-3)/10^-3</f>
        <v>#NAME?</v>
      </c>
      <c r="BA228" s="145" t="e">
        <f ca="1">IF(VACnom&gt;Vbat, Table7[[#This Row],[PIV (mW)]]+Table7[[#This Row],[Pqoss (mW)]]+Table7[[#This Row],[Pgate_top (mW)]], Table7[[#This Row],[PRR (mW)]]+Table7[[#This Row],[Pdead (mW)]]+Table7[[#This Row],[Pgate_top (mW)]])</f>
        <v>#REF!</v>
      </c>
      <c r="BB228" s="145" t="e">
        <f ca="1">Table7[[#This Row],[Pcon_top (mW)]]+Table7[[#This Row],[Psw_top (mW)]]</f>
        <v>#NAME?</v>
      </c>
      <c r="BC228" s="145" t="e">
        <f ca="1">IF(VACnom&gt;Vbat, (1-Table7[[#This Row],[Duty Cycle]])*Table7[[#This Row],[I_L RMS]]^2*TI_MOSFET_S_RDSON_L_BU*10^-3, Table7[[#This Row],[Duty Cycle]]*Table7[[#This Row],[I_L RMS]]^2*TI_MOSFET_S_RDSON_L_BO*10^-3)/10^-3</f>
        <v>#NAME?</v>
      </c>
      <c r="BD228" s="145" t="e">
        <f ca="1">IF(VACnom&gt;Vbat, Table7[[#This Row],[PRR (mW)]]+Table7[[#This Row],[Pdead (mW)]]+Table7[[#This Row],[Pgate_bottom (mW)]], Table7[[#This Row],[PIV (mW)]]+Table7[[#This Row],[Pqoss (mW)]]+Table7[[#This Row],[Pgate_bottom (mW)]])</f>
        <v>#NAME?</v>
      </c>
      <c r="BE228" s="147" t="e">
        <f ca="1">Table7[[#This Row],[Pcon_bottom (mW)]]+Table7[[#This Row],[Psw_bottom (mW)]]</f>
        <v>#NAME?</v>
      </c>
      <c r="BF228" s="145" t="e">
        <f ca="1">Table7[[#This Row],[Pbottom (mW)]]+Table7[[#This Row],[Ptop (mW)]]</f>
        <v>#NAME?</v>
      </c>
      <c r="BG228" s="142"/>
      <c r="BH228" s="145" t="e">
        <f>MAX(0,Table7[[#This Row],[I_L]]-0.5*Table7[[#This Row],[I_L pkpk]])</f>
        <v>#NAME?</v>
      </c>
      <c r="BI228" s="145" t="e">
        <f>Table7[[#This Row],[I_L]]+0.5*Table7[[#This Row],[I_L pkpk]]</f>
        <v>#NAME?</v>
      </c>
      <c r="BJ228" s="145">
        <f>IF(VACnom&gt;Vbat, (VGS_S-(C_MOSFET_S_VTH_H_BU+Table7[[#This Row],[I_L]]/C_MOSFET_S_gFS_H_BU))/3.4, (VGS_S-(C_MOSFET_S_VTH_L_BO+Table7[[#This Row],[I_L]]/C_MOSFET_S_gFS_L_BO))/3.4 )</f>
        <v>2.3360588235294122</v>
      </c>
      <c r="BK228" s="145">
        <f>IF(VACnom&gt;Vbat, ((C_MOSFET_S_VTH_H_BU+Table7[[#This Row],[I_L]]/C_MOSFET_S_gFS_H_BU))/1, ((C_MOSFET_S_VTH_L_BO+Table7[[#This Row],[I_L]]/C_MOSFET_S_gFS_L_BO))/1 )</f>
        <v>2.0573999999999999</v>
      </c>
      <c r="BL228" s="145">
        <f>IF(VACnom&gt;Vbat, (C_MOSFET_S_QGD_H_BU+C_MOSFET_S_QGS_H_BU)*10^-9/Table7[[#This Row],[Ion (A) C]], (C_MOSFET_S_QGD_L_BO+C_MOSFET_S_QGS_L_BO)*10^-9/Table7[[#This Row],[Ion (A) C]])/10^-9</f>
        <v>2.7824641804950518</v>
      </c>
      <c r="BM228" s="145">
        <f>IF(VACnom&gt;Vbat, (C_MOSFET_S_QGD_H_BU+C_MOSFET_S_QGS_H_BU)*10^-9/Table7[[#This Row],[Ioff (A) C]], (C_MOSFET_S_QGD_L_BO+C_MOSFET_S_QGS_L_BO)*10^-9/Table7[[#This Row],[Ioff (A) C]])/10^-9</f>
        <v>3.1593273063089335</v>
      </c>
      <c r="BN228" s="145" t="e">
        <f xml:space="preserve"> 0.5*VACnom*Table7[[#This Row],[Ivalley (A) C]]*Table7[[#This Row],[ton (ns) C]]*10^-9*Fsw*10^3+0.5*VACnom*Table7[[#This Row],[Ipeak (A) C]]*Table7[[#This Row],[toff (ns) C]]*10^-9*Fsw*10^3/10^-3</f>
        <v>#NAME?</v>
      </c>
      <c r="BO228" s="145">
        <f t="shared" si="49"/>
        <v>259.2</v>
      </c>
      <c r="BP228" s="145" t="e">
        <f t="shared" ca="1" si="50"/>
        <v>#REF!</v>
      </c>
      <c r="BQ228" s="145">
        <f t="shared" si="51"/>
        <v>475.2</v>
      </c>
      <c r="BR228" s="145" t="e">
        <f>IF(VACnom&gt;Vbat, C_MOSFET_S_VSD_L_BU*Table7[[#This Row],[Ivalley (A) C]]*Fsw*10^3*40*10^-9+C_MOSFET_S_VSD_L_BU*Table7[[#This Row],[Ipeak (A) C]]*Fsw*10^3*30*10^-9, C_MOSFET_S_VSD_H_BO*Table7[[#This Row],[Ivalley (A) C]]*Fsw*10^3*40*10^-9+C_MOSFET_S_VSD_H_BO*Table7[[#This Row],[Ipeak (A) C]]*Fsw*10^3*30*10^-9)/10^-3</f>
        <v>#NAME?</v>
      </c>
      <c r="BS228" s="145" t="e">
        <f t="shared" ca="1" si="52"/>
        <v>#REF!</v>
      </c>
      <c r="BT228" s="145" t="e">
        <f>IF(VACnom&lt;Vbat, Table7[[#This Row],[Duty Cycle]]*Table7[[#This Row],[I_L RMS]]^2*C_MOSFET_S_RDSON_H_BU*10^-3, (1-Table7[[#This Row],[Duty Cycle]])*Table7[[#This Row],[I_L RMS]]^2*C_MOSFET_S_RDSON_H_BO*10^-3)/10^-3</f>
        <v>#NAME?</v>
      </c>
      <c r="BU228" s="145" t="e">
        <f ca="1">IF(VACnom&gt;Vbat, Table7[[#This Row],[PIV (mW) C]]+Table7[[#This Row],[PQoss (mW) C]]+Table7[[#This Row],[Pgate_top (mW) C]], Table7[[#This Row],[PRR (mW) C]]+Table7[[#This Row],[Pdead (mW) C]]+Table7[[#This Row],[Pgate_top (mW) C]])</f>
        <v>#NAME?</v>
      </c>
      <c r="BV228" s="145" t="e">
        <f ca="1">Table7[[#This Row],[Pcon_top (mW) C]]+Table7[[#This Row],[Psw_top (mW) C]]</f>
        <v>#NAME?</v>
      </c>
      <c r="BW228" s="145" t="e">
        <f ca="1">IF(VACnom&gt;Vbat, (1-Table7[[#This Row],[Duty Cycle]])*Table7[[#This Row],[I_L RMS]]^2*C_MOSFET_S_RDSON_L_BU*10^-3, Table7[[#This Row],[Duty Cycle]]*Table7[[#This Row],[I_L RMS]]^2*C_MOSFET_S_RDSON_L_BO*10^-3)/10^-3</f>
        <v>#NAME?</v>
      </c>
      <c r="BX228" s="145" t="e">
        <f ca="1">IF(VACnom&gt;Vbat, Table7[[#This Row],[PRR (mW) C]]+Table7[[#This Row],[Pdead (mW) C]]+Table7[[#This Row],[Pgate_bottom (mW) C]], Table7[[#This Row],[PIV (mW) C]]+Table7[[#This Row],[PQoss (mW) C]]+Table7[[#This Row],[Pgate_bottom (mW) C]])</f>
        <v>#NAME?</v>
      </c>
      <c r="BY228" s="145" t="e">
        <f ca="1">Table7[[#This Row],[Pcon_bottom (mW) C]]+Table7[[#This Row],[Psw_bottom (mV) C]]</f>
        <v>#NAME?</v>
      </c>
      <c r="BZ228" s="145" t="e">
        <f ca="1">Table7[[#This Row],[Pbottom (mW) C]]+Table7[[#This Row],[Ptop (mW) C]]</f>
        <v>#NAME?</v>
      </c>
      <c r="CA228" s="148"/>
      <c r="CB228" s="144">
        <f>(RAC_SNS*10^-3*(Table7[[#This Row],[IOUT (A)]]*Vbat/VACnom)^2/10^-3)</f>
        <v>370.66050000000001</v>
      </c>
      <c r="CC228" s="144">
        <f>(RBAT_SNS*10^-3*Table7[[#This Row],[IOUT (A)]]^2)/10^-3</f>
        <v>259.20000000000005</v>
      </c>
      <c r="CD228" s="144">
        <f>IF(VACnom&gt;Vbat,(L_DRC*10^-3*(Table7[[#This Row],[IOUT (A)]])^2/10^-3),(L_DRC*10^-3*(Table7[[#This Row],[IOUT (A)]]*Vbat/VACnom)^2/10^-3))</f>
        <v>252.04913999999994</v>
      </c>
      <c r="CE228" s="152"/>
      <c r="CF228" s="145">
        <f>(Table7[[#This Row],[R_AC (mW)]]+Table7[[#This Row],[R_SR (mW)]]+Table7[[#This Row],[Inductor Loss (mW)]])/10^3</f>
        <v>0.88190963999999994</v>
      </c>
      <c r="CG228" s="145" t="e">
        <f ca="1">Table7[[#This Row],[Total TI (mW)]]/10^3</f>
        <v>#NAME?</v>
      </c>
      <c r="CH228" s="145" t="e">
        <f ca="1">Table7[[#This Row],[Total Sense Loss]]+Table7[[#This Row],[Total MOSFET Loss]]</f>
        <v>#NAME?</v>
      </c>
      <c r="CI228" s="149" t="e">
        <f ca="1">IF(Table7[[#This Row],[POUT (W)]]=0,0,(Table7[[#This Row],[POUT (W)]])/(Table7[[#This Row],[POUT (W)]]+Table7[[#This Row],[Total Power Loss (W)]]))*100</f>
        <v>#NAME?</v>
      </c>
      <c r="CJ228" s="153"/>
      <c r="CK228" s="145">
        <f>(Table7[[#This Row],[R_AC (mW)]]+Table7[[#This Row],[R_SR (mW)]]+Table7[[#This Row],[Inductor Loss (mW)]])/10^3</f>
        <v>0.88190963999999994</v>
      </c>
      <c r="CL228" s="145" t="e">
        <f ca="1">Table7[[#This Row],[Total (mW) C]]/10^3</f>
        <v>#NAME?</v>
      </c>
      <c r="CM228" s="145" t="e">
        <f ca="1">Table7[[#This Row],[Total Sense Loss C]]+Table7[[#This Row],[Total MOSFET Loss C]]</f>
        <v>#NAME?</v>
      </c>
      <c r="CN228" s="149" t="e">
        <f ca="1">IF(Table7[[#This Row],[POUT (W)]]=0,0,(Table7[[#This Row],[POUT (W)]])/(Table7[[#This Row],[POUT (W)]]+Table7[[#This Row],[Total Power Loss (W) C]]))*100</f>
        <v>#NAME?</v>
      </c>
      <c r="CO228" s="153"/>
      <c r="CP228" s="149">
        <f>IF(MOSFET_S=Custom_MOSFET,Table7[[#This Row],[Total Sense Loss C]],Table7[[#This Row],[Total Sense Loss]])</f>
        <v>0.88190963999999994</v>
      </c>
      <c r="CQ228" s="149" t="e">
        <f ca="1">IF(MOSFET_S=Custom_MOSFET,Table7[[#This Row],[Total MOSFET Loss C]],Table7[[#This Row],[Total MOSFET Loss]])</f>
        <v>#NAME?</v>
      </c>
      <c r="CR228" s="149" t="e">
        <f ca="1">IF(MOSFET_S=Custom_MOSFET,Table7[[#This Row],[Efficiency C]],Table7[[#This Row],[Efficiency]])</f>
        <v>#NAME?</v>
      </c>
      <c r="CS228" s="153"/>
      <c r="CT228" s="149">
        <f>IF(MOSFET_S=Compare_MOSFET, Table7[[#This Row],[Total Sense Loss C]], -100)</f>
        <v>-100</v>
      </c>
      <c r="CU228" s="149">
        <f>IF(MOSFET_S=Compare_MOSFET, Table7[[#This Row],[Total MOSFET Loss C]], -100)</f>
        <v>-100</v>
      </c>
      <c r="CV228" s="149">
        <f>IF(MOSFET_S=Compare_MOSFET, Table7[[#This Row],[Efficiency C]], -100)</f>
        <v>-100</v>
      </c>
      <c r="CW228" s="153"/>
      <c r="CX228" s="149">
        <f ca="1">IF(Save_Sel=CLR_Save,  Table7[[#This Row],[Total Sense Loss P1]], Table7[[#This Row],[Total Sense Loss P1 Saved]])</f>
        <v>0.73953000000000024</v>
      </c>
      <c r="CY228" s="149">
        <f ca="1">IF(Save_Sel=CLR_Save,  Table7[[#This Row],[Total MOSFET Loss P1]], Table7[[#This Row],[Total MOSFET Loss P1 Saved]] )</f>
        <v>2.0986812563707198</v>
      </c>
      <c r="CZ228" s="149">
        <f ca="1">IF(Save_Sel=CLR_Save, Table7[[#This Row],[Efficiency P1]], Table7[[#This Row],[Efficiency P1 Saved]])</f>
        <v>93.835096588428016</v>
      </c>
      <c r="DA228" s="153"/>
      <c r="DB228" s="149">
        <f ca="1">IF(Save_Sel=CLR_Save,  Table7[[#This Row],[Total Sense Loss P2]], Table7[[#This Row],[Total Sense Loss P2 Saved]])</f>
        <v>0.73953000000000024</v>
      </c>
      <c r="DC228" s="149">
        <f ca="1">IF(Save_Sel=CLR_Save,  Table7[[#This Row],[Total MOSFET Loss P2]], Table7[[#This Row],[Total MOSFET Loss P2 Saved]] )</f>
        <v>1.4443082859622751</v>
      </c>
      <c r="DD228" s="149">
        <f ca="1">IF(Save_Sel=CLR_Save, Table7[[#This Row],[Efficiency P2]], Table7[[#This Row],[Efficiency P2 Saved]])</f>
        <v>95.188070536912349</v>
      </c>
      <c r="DE228" s="153"/>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row>
    <row r="229" spans="1:165" x14ac:dyDescent="0.2">
      <c r="A229" s="67"/>
      <c r="B229" s="67"/>
      <c r="C229" s="67"/>
      <c r="D229" s="67"/>
      <c r="E229" s="67"/>
      <c r="F229" s="67"/>
      <c r="G229" s="67"/>
      <c r="H229" s="67"/>
      <c r="I229" s="67"/>
      <c r="J229" s="67"/>
      <c r="K229" s="67"/>
      <c r="L229" s="67"/>
      <c r="M229" s="67"/>
      <c r="N229" s="67"/>
      <c r="O229" s="67"/>
      <c r="P229" s="67"/>
      <c r="Q229" s="67"/>
      <c r="R229" s="67"/>
      <c r="S229" s="67"/>
      <c r="T229" s="67"/>
      <c r="U229" s="19"/>
      <c r="V229" s="19"/>
      <c r="W229" s="19"/>
      <c r="X229" s="19"/>
      <c r="Y229" s="19"/>
      <c r="Z229" s="19"/>
      <c r="AA229" s="19"/>
      <c r="AB229" s="19"/>
      <c r="AC229" s="19"/>
      <c r="AD229" s="19"/>
      <c r="AE229" s="19"/>
      <c r="AF229" s="143">
        <f t="shared" si="54"/>
        <v>73</v>
      </c>
      <c r="AG229" s="143">
        <f t="shared" si="53"/>
        <v>7.3</v>
      </c>
      <c r="AH229" s="144">
        <f t="shared" si="42"/>
        <v>175.2</v>
      </c>
      <c r="AI229" s="145">
        <f t="shared" si="43"/>
        <v>0.16376306620209058</v>
      </c>
      <c r="AJ229" s="145">
        <f t="shared" si="44"/>
        <v>8.7295833333333324</v>
      </c>
      <c r="AK229" s="145" t="e">
        <f t="shared" si="40"/>
        <v>#NAME?</v>
      </c>
      <c r="AL229" s="145" t="e">
        <f t="shared" si="41"/>
        <v>#NAME?</v>
      </c>
      <c r="AM229" s="146"/>
      <c r="AN229" s="145" t="e">
        <f>MAX(0,Table7[[#This Row],[I_L]]-0.5*Table7[[#This Row],[I_L pkpk]])</f>
        <v>#NAME?</v>
      </c>
      <c r="AO229" s="145" t="e">
        <f>Table7[[#This Row],[I_L]]+0.5*Table7[[#This Row],[I_L pkpk]]</f>
        <v>#NAME?</v>
      </c>
      <c r="AP229" s="145" t="e">
        <f ca="1">IF(VACnom&gt;Vbat, (VGS_S-(TI_MOSFET_S_VTH_H_BU+Table7[[#This Row],[I_L]]/TI_MOSFET_S_gFS_H_BU))/3.4, (VGS_S-(TI_MOSFET_S_VTH_L_BO+Table7[[#This Row],[I_L]]/TI_MOSFET_S_gFS_L_BO))/3.4 )</f>
        <v>#REF!</v>
      </c>
      <c r="AQ229" s="145" t="e">
        <f ca="1">IF(VACnom&gt;Vbat, ((TI_MOSFET_S_VTH_H_BU+Table7[[#This Row],[I_L]]/TI_MOSFET_S_gFS_H_BU))/1, ((TI_MOSFET_S_VTH_L_BO+Table7[[#This Row],[I_L]]/TI_MOSFET_S_gFS_L_BO))/1 )</f>
        <v>#REF!</v>
      </c>
      <c r="AR229" s="145" t="e">
        <f ca="1">IF(VACnom&gt;Vbat, (TI_MOSFET_S_QGD_H_BU+TI_MOSFET_S_QGS_H_BU)*10^-9/Table7[[#This Row],[Ion (A)]], (TI_MOSFET_S_QGD_L_BO+TI_MOSFET_S_QGS_L_BO)*10^-9/Table7[[#This Row],[Ion (A)]])/10^-9</f>
        <v>#REF!</v>
      </c>
      <c r="AS229" s="145" t="e">
        <f ca="1">IF(VACnom&gt;Vbat, (TI_MOSFET_S_QGD_H_BU+TI_MOSFET_S_QGS_H_BU)*10^-9/Table7[[#This Row],[Ioff (A)]], (TI_MOSFET_S_QGD_L_BO+TI_MOSFET_S_QGS_L_BO)*10^-9/Table7[[#This Row],[Ioff (A)]])/10^-9</f>
        <v>#REF!</v>
      </c>
      <c r="AT229" s="145" t="e">
        <f ca="1" xml:space="preserve"> 0.5*VACnom*Table7[[#This Row],[Ivalley (A)]]*Table7[[#This Row],[ton (ns)]]*10^-9*Fsw*10^3+0.5*VACnom*Table7[[#This Row],[Ipeak (A)]]*Table7[[#This Row],[toff (ns)]]*10^-9*Fsw*10^3/10^-3</f>
        <v>#NAME?</v>
      </c>
      <c r="AU229" s="145" t="e">
        <f t="shared" ca="1" si="45"/>
        <v>#REF!</v>
      </c>
      <c r="AV229" s="145" t="e">
        <f t="shared" ca="1" si="46"/>
        <v>#REF!</v>
      </c>
      <c r="AW229" s="145" t="e">
        <f t="shared" ca="1" si="47"/>
        <v>#REF!</v>
      </c>
      <c r="AX229" s="145" t="e">
        <f ca="1">IF(VACnom&gt;Vbat, TI_MOSFET_S_VSD_L_BU*Table7[[#This Row],[Ivalley (A)]]*Fsw*10^3*40*10^-9+TI_MOSFET_S_VSD_L_BU*Table7[[#This Row],[Ipeak (A)]]*Fsw*10^3*30*10^-9, TI_MOSFET_S_VSD_H_BO*Table7[[#This Row],[Ivalley (A)]]*Fsw*10^3*40*10^-9+TI_MOSFET_S_VSD_H_BO*Table7[[#This Row],[Ipeak (A)]]*Fsw*10^3*30*10^-9)/10^-3</f>
        <v>#REF!</v>
      </c>
      <c r="AY229" s="145" t="e">
        <f t="shared" ca="1" si="48"/>
        <v>#REF!</v>
      </c>
      <c r="AZ229" s="145" t="e">
        <f ca="1">IF(VACnom&lt;Vbat, Table7[[#This Row],[Duty Cycle]]*Table7[[#This Row],[I_L RMS]]^2*TI_MOSFET_S_RDSON_H_BU*10^-3, (1-Table7[[#This Row],[Duty Cycle]])*Table7[[#This Row],[I_L RMS]]^2*TI_MOSFET_S_RDSON_H_BO*10^-3)/10^-3</f>
        <v>#NAME?</v>
      </c>
      <c r="BA229" s="145" t="e">
        <f ca="1">IF(VACnom&gt;Vbat, Table7[[#This Row],[PIV (mW)]]+Table7[[#This Row],[Pqoss (mW)]]+Table7[[#This Row],[Pgate_top (mW)]], Table7[[#This Row],[PRR (mW)]]+Table7[[#This Row],[Pdead (mW)]]+Table7[[#This Row],[Pgate_top (mW)]])</f>
        <v>#REF!</v>
      </c>
      <c r="BB229" s="145" t="e">
        <f ca="1">Table7[[#This Row],[Pcon_top (mW)]]+Table7[[#This Row],[Psw_top (mW)]]</f>
        <v>#NAME?</v>
      </c>
      <c r="BC229" s="145" t="e">
        <f ca="1">IF(VACnom&gt;Vbat, (1-Table7[[#This Row],[Duty Cycle]])*Table7[[#This Row],[I_L RMS]]^2*TI_MOSFET_S_RDSON_L_BU*10^-3, Table7[[#This Row],[Duty Cycle]]*Table7[[#This Row],[I_L RMS]]^2*TI_MOSFET_S_RDSON_L_BO*10^-3)/10^-3</f>
        <v>#NAME?</v>
      </c>
      <c r="BD229" s="145" t="e">
        <f ca="1">IF(VACnom&gt;Vbat, Table7[[#This Row],[PRR (mW)]]+Table7[[#This Row],[Pdead (mW)]]+Table7[[#This Row],[Pgate_bottom (mW)]], Table7[[#This Row],[PIV (mW)]]+Table7[[#This Row],[Pqoss (mW)]]+Table7[[#This Row],[Pgate_bottom (mW)]])</f>
        <v>#NAME?</v>
      </c>
      <c r="BE229" s="147" t="e">
        <f ca="1">Table7[[#This Row],[Pcon_bottom (mW)]]+Table7[[#This Row],[Psw_bottom (mW)]]</f>
        <v>#NAME?</v>
      </c>
      <c r="BF229" s="145" t="e">
        <f ca="1">Table7[[#This Row],[Pbottom (mW)]]+Table7[[#This Row],[Ptop (mW)]]</f>
        <v>#NAME?</v>
      </c>
      <c r="BG229" s="142"/>
      <c r="BH229" s="145" t="e">
        <f>MAX(0,Table7[[#This Row],[I_L]]-0.5*Table7[[#This Row],[I_L pkpk]])</f>
        <v>#NAME?</v>
      </c>
      <c r="BI229" s="145" t="e">
        <f>Table7[[#This Row],[I_L]]+0.5*Table7[[#This Row],[I_L pkpk]]</f>
        <v>#NAME?</v>
      </c>
      <c r="BJ229" s="145">
        <f>IF(VACnom&gt;Vbat, (VGS_S-(C_MOSFET_S_VTH_H_BU+Table7[[#This Row],[I_L]]/C_MOSFET_S_gFS_H_BU))/3.4, (VGS_S-(C_MOSFET_S_VTH_L_BO+Table7[[#This Row],[I_L]]/C_MOSFET_S_gFS_L_BO))/3.4 )</f>
        <v>2.3358243464052286</v>
      </c>
      <c r="BK229" s="145">
        <f>IF(VACnom&gt;Vbat, ((C_MOSFET_S_VTH_H_BU+Table7[[#This Row],[I_L]]/C_MOSFET_S_gFS_H_BU))/1, ((C_MOSFET_S_VTH_L_BO+Table7[[#This Row],[I_L]]/C_MOSFET_S_gFS_L_BO))/1 )</f>
        <v>2.0581972222222222</v>
      </c>
      <c r="BL229" s="145">
        <f>IF(VACnom&gt;Vbat, (C_MOSFET_S_QGD_H_BU+C_MOSFET_S_QGS_H_BU)*10^-9/Table7[[#This Row],[Ion (A) C]], (C_MOSFET_S_QGD_L_BO+C_MOSFET_S_QGS_L_BO)*10^-9/Table7[[#This Row],[Ion (A) C]])/10^-9</f>
        <v>2.7827434926788595</v>
      </c>
      <c r="BM229" s="145">
        <f>IF(VACnom&gt;Vbat, (C_MOSFET_S_QGD_H_BU+C_MOSFET_S_QGS_H_BU)*10^-9/Table7[[#This Row],[Ioff (A) C]], (C_MOSFET_S_QGD_L_BO+C_MOSFET_S_QGS_L_BO)*10^-9/Table7[[#This Row],[Ioff (A) C]])/10^-9</f>
        <v>3.1581035723010022</v>
      </c>
      <c r="BN229" s="145" t="e">
        <f xml:space="preserve"> 0.5*VACnom*Table7[[#This Row],[Ivalley (A) C]]*Table7[[#This Row],[ton (ns) C]]*10^-9*Fsw*10^3+0.5*VACnom*Table7[[#This Row],[Ipeak (A) C]]*Table7[[#This Row],[toff (ns) C]]*10^-9*Fsw*10^3/10^-3</f>
        <v>#NAME?</v>
      </c>
      <c r="BO229" s="145">
        <f t="shared" si="49"/>
        <v>259.2</v>
      </c>
      <c r="BP229" s="145" t="e">
        <f t="shared" ca="1" si="50"/>
        <v>#REF!</v>
      </c>
      <c r="BQ229" s="145">
        <f t="shared" si="51"/>
        <v>475.2</v>
      </c>
      <c r="BR229" s="145" t="e">
        <f>IF(VACnom&gt;Vbat, C_MOSFET_S_VSD_L_BU*Table7[[#This Row],[Ivalley (A) C]]*Fsw*10^3*40*10^-9+C_MOSFET_S_VSD_L_BU*Table7[[#This Row],[Ipeak (A) C]]*Fsw*10^3*30*10^-9, C_MOSFET_S_VSD_H_BO*Table7[[#This Row],[Ivalley (A) C]]*Fsw*10^3*40*10^-9+C_MOSFET_S_VSD_H_BO*Table7[[#This Row],[Ipeak (A) C]]*Fsw*10^3*30*10^-9)/10^-3</f>
        <v>#NAME?</v>
      </c>
      <c r="BS229" s="145" t="e">
        <f t="shared" ca="1" si="52"/>
        <v>#REF!</v>
      </c>
      <c r="BT229" s="145" t="e">
        <f>IF(VACnom&lt;Vbat, Table7[[#This Row],[Duty Cycle]]*Table7[[#This Row],[I_L RMS]]^2*C_MOSFET_S_RDSON_H_BU*10^-3, (1-Table7[[#This Row],[Duty Cycle]])*Table7[[#This Row],[I_L RMS]]^2*C_MOSFET_S_RDSON_H_BO*10^-3)/10^-3</f>
        <v>#NAME?</v>
      </c>
      <c r="BU229" s="145" t="e">
        <f ca="1">IF(VACnom&gt;Vbat, Table7[[#This Row],[PIV (mW) C]]+Table7[[#This Row],[PQoss (mW) C]]+Table7[[#This Row],[Pgate_top (mW) C]], Table7[[#This Row],[PRR (mW) C]]+Table7[[#This Row],[Pdead (mW) C]]+Table7[[#This Row],[Pgate_top (mW) C]])</f>
        <v>#NAME?</v>
      </c>
      <c r="BV229" s="145" t="e">
        <f ca="1">Table7[[#This Row],[Pcon_top (mW) C]]+Table7[[#This Row],[Psw_top (mW) C]]</f>
        <v>#NAME?</v>
      </c>
      <c r="BW229" s="145" t="e">
        <f ca="1">IF(VACnom&gt;Vbat, (1-Table7[[#This Row],[Duty Cycle]])*Table7[[#This Row],[I_L RMS]]^2*C_MOSFET_S_RDSON_L_BU*10^-3, Table7[[#This Row],[Duty Cycle]]*Table7[[#This Row],[I_L RMS]]^2*C_MOSFET_S_RDSON_L_BO*10^-3)/10^-3</f>
        <v>#NAME?</v>
      </c>
      <c r="BX229" s="145" t="e">
        <f ca="1">IF(VACnom&gt;Vbat, Table7[[#This Row],[PRR (mW) C]]+Table7[[#This Row],[Pdead (mW) C]]+Table7[[#This Row],[Pgate_bottom (mW) C]], Table7[[#This Row],[PIV (mW) C]]+Table7[[#This Row],[PQoss (mW) C]]+Table7[[#This Row],[Pgate_bottom (mW) C]])</f>
        <v>#NAME?</v>
      </c>
      <c r="BY229" s="145" t="e">
        <f ca="1">Table7[[#This Row],[Pcon_bottom (mW) C]]+Table7[[#This Row],[Psw_bottom (mV) C]]</f>
        <v>#NAME?</v>
      </c>
      <c r="BZ229" s="145" t="e">
        <f ca="1">Table7[[#This Row],[Pbottom (mW) C]]+Table7[[#This Row],[Ptop (mW) C]]</f>
        <v>#NAME?</v>
      </c>
      <c r="CA229" s="148"/>
      <c r="CB229" s="144">
        <f>(RAC_SNS*10^-3*(Table7[[#This Row],[IOUT (A)]]*Vbat/VACnom)^2/10^-3)</f>
        <v>381.0281258680555</v>
      </c>
      <c r="CC229" s="144">
        <f>(RBAT_SNS*10^-3*Table7[[#This Row],[IOUT (A)]]^2)/10^-3</f>
        <v>266.45</v>
      </c>
      <c r="CD229" s="144">
        <f>IF(VACnom&gt;Vbat,(L_DRC*10^-3*(Table7[[#This Row],[IOUT (A)]])^2/10^-3),(L_DRC*10^-3*(Table7[[#This Row],[IOUT (A)]]*Vbat/VACnom)^2/10^-3))</f>
        <v>259.09912559027771</v>
      </c>
      <c r="CE229" s="152"/>
      <c r="CF229" s="145">
        <f>(Table7[[#This Row],[R_AC (mW)]]+Table7[[#This Row],[R_SR (mW)]]+Table7[[#This Row],[Inductor Loss (mW)]])/10^3</f>
        <v>0.90657725145833323</v>
      </c>
      <c r="CG229" s="145" t="e">
        <f ca="1">Table7[[#This Row],[Total TI (mW)]]/10^3</f>
        <v>#NAME?</v>
      </c>
      <c r="CH229" s="145" t="e">
        <f ca="1">Table7[[#This Row],[Total Sense Loss]]+Table7[[#This Row],[Total MOSFET Loss]]</f>
        <v>#NAME?</v>
      </c>
      <c r="CI229" s="149" t="e">
        <f ca="1">IF(Table7[[#This Row],[POUT (W)]]=0,0,(Table7[[#This Row],[POUT (W)]])/(Table7[[#This Row],[POUT (W)]]+Table7[[#This Row],[Total Power Loss (W)]]))*100</f>
        <v>#NAME?</v>
      </c>
      <c r="CJ229" s="153"/>
      <c r="CK229" s="145">
        <f>(Table7[[#This Row],[R_AC (mW)]]+Table7[[#This Row],[R_SR (mW)]]+Table7[[#This Row],[Inductor Loss (mW)]])/10^3</f>
        <v>0.90657725145833323</v>
      </c>
      <c r="CL229" s="145" t="e">
        <f ca="1">Table7[[#This Row],[Total (mW) C]]/10^3</f>
        <v>#NAME?</v>
      </c>
      <c r="CM229" s="145" t="e">
        <f ca="1">Table7[[#This Row],[Total Sense Loss C]]+Table7[[#This Row],[Total MOSFET Loss C]]</f>
        <v>#NAME?</v>
      </c>
      <c r="CN229" s="149" t="e">
        <f ca="1">IF(Table7[[#This Row],[POUT (W)]]=0,0,(Table7[[#This Row],[POUT (W)]])/(Table7[[#This Row],[POUT (W)]]+Table7[[#This Row],[Total Power Loss (W) C]]))*100</f>
        <v>#NAME?</v>
      </c>
      <c r="CO229" s="153"/>
      <c r="CP229" s="149">
        <f>IF(MOSFET_S=Custom_MOSFET,Table7[[#This Row],[Total Sense Loss C]],Table7[[#This Row],[Total Sense Loss]])</f>
        <v>0.90657725145833323</v>
      </c>
      <c r="CQ229" s="149" t="e">
        <f ca="1">IF(MOSFET_S=Custom_MOSFET,Table7[[#This Row],[Total MOSFET Loss C]],Table7[[#This Row],[Total MOSFET Loss]])</f>
        <v>#NAME?</v>
      </c>
      <c r="CR229" s="149" t="e">
        <f ca="1">IF(MOSFET_S=Custom_MOSFET,Table7[[#This Row],[Efficiency C]],Table7[[#This Row],[Efficiency]])</f>
        <v>#NAME?</v>
      </c>
      <c r="CS229" s="153"/>
      <c r="CT229" s="149">
        <f>IF(MOSFET_S=Compare_MOSFET, Table7[[#This Row],[Total Sense Loss C]], -100)</f>
        <v>-100</v>
      </c>
      <c r="CU229" s="149">
        <f>IF(MOSFET_S=Compare_MOSFET, Table7[[#This Row],[Total MOSFET Loss C]], -100)</f>
        <v>-100</v>
      </c>
      <c r="CV229" s="149">
        <f>IF(MOSFET_S=Compare_MOSFET, Table7[[#This Row],[Efficiency C]], -100)</f>
        <v>-100</v>
      </c>
      <c r="CW229" s="153"/>
      <c r="CX229" s="149">
        <f ca="1">IF(Save_Sel=CLR_Save,  Table7[[#This Row],[Total Sense Loss P1]], Table7[[#This Row],[Total Sense Loss P1 Saved]])</f>
        <v>0.7602151562499998</v>
      </c>
      <c r="CY229" s="149">
        <f ca="1">IF(Save_Sel=CLR_Save,  Table7[[#This Row],[Total MOSFET Loss P1]], Table7[[#This Row],[Total MOSFET Loss P1 Saved]] )</f>
        <v>2.1096142219387346</v>
      </c>
      <c r="CZ229" s="149">
        <f ca="1">IF(Save_Sel=CLR_Save, Table7[[#This Row],[Efficiency P1]], Table7[[#This Row],[Efficiency P1 Saved]])</f>
        <v>93.850782365341246</v>
      </c>
      <c r="DA229" s="153"/>
      <c r="DB229" s="149">
        <f ca="1">IF(Save_Sel=CLR_Save,  Table7[[#This Row],[Total Sense Loss P2]], Table7[[#This Row],[Total Sense Loss P2 Saved]])</f>
        <v>0.7602151562499998</v>
      </c>
      <c r="DC229" s="149">
        <f ca="1">IF(Save_Sel=CLR_Save,  Table7[[#This Row],[Total MOSFET Loss P2]], Table7[[#This Row],[Total MOSFET Loss P2 Saved]] )</f>
        <v>1.4540122930615116</v>
      </c>
      <c r="DD229" s="149">
        <f ca="1">IF(Save_Sel=CLR_Save, Table7[[#This Row],[Efficiency P2]], Table7[[#This Row],[Efficiency P2 Saved]])</f>
        <v>95.187950396970891</v>
      </c>
      <c r="DE229" s="153"/>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row>
    <row r="230" spans="1:165" x14ac:dyDescent="0.2">
      <c r="A230" s="67"/>
      <c r="B230" s="67"/>
      <c r="C230" s="67"/>
      <c r="D230" s="67"/>
      <c r="E230" s="67"/>
      <c r="F230" s="67"/>
      <c r="G230" s="67"/>
      <c r="H230" s="67"/>
      <c r="I230" s="67"/>
      <c r="J230" s="67"/>
      <c r="K230" s="67"/>
      <c r="L230" s="67"/>
      <c r="M230" s="67"/>
      <c r="N230" s="67"/>
      <c r="O230" s="67"/>
      <c r="P230" s="67"/>
      <c r="Q230" s="67"/>
      <c r="R230" s="67"/>
      <c r="S230" s="67"/>
      <c r="T230" s="67"/>
      <c r="U230" s="19"/>
      <c r="V230" s="19"/>
      <c r="W230" s="19"/>
      <c r="X230" s="19"/>
      <c r="Y230" s="19"/>
      <c r="Z230" s="19"/>
      <c r="AA230" s="19"/>
      <c r="AB230" s="19"/>
      <c r="AC230" s="19"/>
      <c r="AD230" s="19"/>
      <c r="AE230" s="19"/>
      <c r="AF230" s="143">
        <f t="shared" si="54"/>
        <v>74</v>
      </c>
      <c r="AG230" s="143">
        <f t="shared" si="53"/>
        <v>7.4</v>
      </c>
      <c r="AH230" s="144">
        <f t="shared" si="42"/>
        <v>177.60000000000002</v>
      </c>
      <c r="AI230" s="145">
        <f t="shared" si="43"/>
        <v>0.16376306620209058</v>
      </c>
      <c r="AJ230" s="145">
        <f t="shared" si="44"/>
        <v>8.8491666666666671</v>
      </c>
      <c r="AK230" s="145" t="e">
        <f t="shared" si="40"/>
        <v>#NAME?</v>
      </c>
      <c r="AL230" s="145" t="e">
        <f t="shared" si="41"/>
        <v>#NAME?</v>
      </c>
      <c r="AM230" s="146"/>
      <c r="AN230" s="145" t="e">
        <f>MAX(0,Table7[[#This Row],[I_L]]-0.5*Table7[[#This Row],[I_L pkpk]])</f>
        <v>#NAME?</v>
      </c>
      <c r="AO230" s="145" t="e">
        <f>Table7[[#This Row],[I_L]]+0.5*Table7[[#This Row],[I_L pkpk]]</f>
        <v>#NAME?</v>
      </c>
      <c r="AP230" s="145" t="e">
        <f ca="1">IF(VACnom&gt;Vbat, (VGS_S-(TI_MOSFET_S_VTH_H_BU+Table7[[#This Row],[I_L]]/TI_MOSFET_S_gFS_H_BU))/3.4, (VGS_S-(TI_MOSFET_S_VTH_L_BO+Table7[[#This Row],[I_L]]/TI_MOSFET_S_gFS_L_BO))/3.4 )</f>
        <v>#REF!</v>
      </c>
      <c r="AQ230" s="145" t="e">
        <f ca="1">IF(VACnom&gt;Vbat, ((TI_MOSFET_S_VTH_H_BU+Table7[[#This Row],[I_L]]/TI_MOSFET_S_gFS_H_BU))/1, ((TI_MOSFET_S_VTH_L_BO+Table7[[#This Row],[I_L]]/TI_MOSFET_S_gFS_L_BO))/1 )</f>
        <v>#REF!</v>
      </c>
      <c r="AR230" s="145" t="e">
        <f ca="1">IF(VACnom&gt;Vbat, (TI_MOSFET_S_QGD_H_BU+TI_MOSFET_S_QGS_H_BU)*10^-9/Table7[[#This Row],[Ion (A)]], (TI_MOSFET_S_QGD_L_BO+TI_MOSFET_S_QGS_L_BO)*10^-9/Table7[[#This Row],[Ion (A)]])/10^-9</f>
        <v>#REF!</v>
      </c>
      <c r="AS230" s="145" t="e">
        <f ca="1">IF(VACnom&gt;Vbat, (TI_MOSFET_S_QGD_H_BU+TI_MOSFET_S_QGS_H_BU)*10^-9/Table7[[#This Row],[Ioff (A)]], (TI_MOSFET_S_QGD_L_BO+TI_MOSFET_S_QGS_L_BO)*10^-9/Table7[[#This Row],[Ioff (A)]])/10^-9</f>
        <v>#REF!</v>
      </c>
      <c r="AT230" s="145" t="e">
        <f ca="1" xml:space="preserve"> 0.5*VACnom*Table7[[#This Row],[Ivalley (A)]]*Table7[[#This Row],[ton (ns)]]*10^-9*Fsw*10^3+0.5*VACnom*Table7[[#This Row],[Ipeak (A)]]*Table7[[#This Row],[toff (ns)]]*10^-9*Fsw*10^3/10^-3</f>
        <v>#NAME?</v>
      </c>
      <c r="AU230" s="145" t="e">
        <f t="shared" ca="1" si="45"/>
        <v>#REF!</v>
      </c>
      <c r="AV230" s="145" t="e">
        <f t="shared" ca="1" si="46"/>
        <v>#REF!</v>
      </c>
      <c r="AW230" s="145" t="e">
        <f t="shared" ca="1" si="47"/>
        <v>#REF!</v>
      </c>
      <c r="AX230" s="145" t="e">
        <f ca="1">IF(VACnom&gt;Vbat, TI_MOSFET_S_VSD_L_BU*Table7[[#This Row],[Ivalley (A)]]*Fsw*10^3*40*10^-9+TI_MOSFET_S_VSD_L_BU*Table7[[#This Row],[Ipeak (A)]]*Fsw*10^3*30*10^-9, TI_MOSFET_S_VSD_H_BO*Table7[[#This Row],[Ivalley (A)]]*Fsw*10^3*40*10^-9+TI_MOSFET_S_VSD_H_BO*Table7[[#This Row],[Ipeak (A)]]*Fsw*10^3*30*10^-9)/10^-3</f>
        <v>#REF!</v>
      </c>
      <c r="AY230" s="145" t="e">
        <f t="shared" ca="1" si="48"/>
        <v>#REF!</v>
      </c>
      <c r="AZ230" s="145" t="e">
        <f ca="1">IF(VACnom&lt;Vbat, Table7[[#This Row],[Duty Cycle]]*Table7[[#This Row],[I_L RMS]]^2*TI_MOSFET_S_RDSON_H_BU*10^-3, (1-Table7[[#This Row],[Duty Cycle]])*Table7[[#This Row],[I_L RMS]]^2*TI_MOSFET_S_RDSON_H_BO*10^-3)/10^-3</f>
        <v>#NAME?</v>
      </c>
      <c r="BA230" s="145" t="e">
        <f ca="1">IF(VACnom&gt;Vbat, Table7[[#This Row],[PIV (mW)]]+Table7[[#This Row],[Pqoss (mW)]]+Table7[[#This Row],[Pgate_top (mW)]], Table7[[#This Row],[PRR (mW)]]+Table7[[#This Row],[Pdead (mW)]]+Table7[[#This Row],[Pgate_top (mW)]])</f>
        <v>#REF!</v>
      </c>
      <c r="BB230" s="145" t="e">
        <f ca="1">Table7[[#This Row],[Pcon_top (mW)]]+Table7[[#This Row],[Psw_top (mW)]]</f>
        <v>#NAME?</v>
      </c>
      <c r="BC230" s="145" t="e">
        <f ca="1">IF(VACnom&gt;Vbat, (1-Table7[[#This Row],[Duty Cycle]])*Table7[[#This Row],[I_L RMS]]^2*TI_MOSFET_S_RDSON_L_BU*10^-3, Table7[[#This Row],[Duty Cycle]]*Table7[[#This Row],[I_L RMS]]^2*TI_MOSFET_S_RDSON_L_BO*10^-3)/10^-3</f>
        <v>#NAME?</v>
      </c>
      <c r="BD230" s="145" t="e">
        <f ca="1">IF(VACnom&gt;Vbat, Table7[[#This Row],[PRR (mW)]]+Table7[[#This Row],[Pdead (mW)]]+Table7[[#This Row],[Pgate_bottom (mW)]], Table7[[#This Row],[PIV (mW)]]+Table7[[#This Row],[Pqoss (mW)]]+Table7[[#This Row],[Pgate_bottom (mW)]])</f>
        <v>#NAME?</v>
      </c>
      <c r="BE230" s="147" t="e">
        <f ca="1">Table7[[#This Row],[Pcon_bottom (mW)]]+Table7[[#This Row],[Psw_bottom (mW)]]</f>
        <v>#NAME?</v>
      </c>
      <c r="BF230" s="145" t="e">
        <f ca="1">Table7[[#This Row],[Pbottom (mW)]]+Table7[[#This Row],[Ptop (mW)]]</f>
        <v>#NAME?</v>
      </c>
      <c r="BG230" s="142"/>
      <c r="BH230" s="145" t="e">
        <f>MAX(0,Table7[[#This Row],[I_L]]-0.5*Table7[[#This Row],[I_L pkpk]])</f>
        <v>#NAME?</v>
      </c>
      <c r="BI230" s="145" t="e">
        <f>Table7[[#This Row],[I_L]]+0.5*Table7[[#This Row],[I_L pkpk]]</f>
        <v>#NAME?</v>
      </c>
      <c r="BJ230" s="145">
        <f>IF(VACnom&gt;Vbat, (VGS_S-(C_MOSFET_S_VTH_H_BU+Table7[[#This Row],[I_L]]/C_MOSFET_S_gFS_H_BU))/3.4, (VGS_S-(C_MOSFET_S_VTH_L_BO+Table7[[#This Row],[I_L]]/C_MOSFET_S_gFS_L_BO))/3.4 )</f>
        <v>2.3355898692810459</v>
      </c>
      <c r="BK230" s="145">
        <f>IF(VACnom&gt;Vbat, ((C_MOSFET_S_VTH_H_BU+Table7[[#This Row],[I_L]]/C_MOSFET_S_gFS_H_BU))/1, ((C_MOSFET_S_VTH_L_BO+Table7[[#This Row],[I_L]]/C_MOSFET_S_gFS_L_BO))/1 )</f>
        <v>2.0589944444444446</v>
      </c>
      <c r="BL230" s="145">
        <f>IF(VACnom&gt;Vbat, (C_MOSFET_S_QGD_H_BU+C_MOSFET_S_QGS_H_BU)*10^-9/Table7[[#This Row],[Ion (A) C]], (C_MOSFET_S_QGD_L_BO+C_MOSFET_S_QGS_L_BO)*10^-9/Table7[[#This Row],[Ion (A) C]])/10^-9</f>
        <v>2.7830228609447021</v>
      </c>
      <c r="BM230" s="145">
        <f>IF(VACnom&gt;Vbat, (C_MOSFET_S_QGD_H_BU+C_MOSFET_S_QGS_H_BU)*10^-9/Table7[[#This Row],[Ioff (A) C]], (C_MOSFET_S_QGD_L_BO+C_MOSFET_S_QGS_L_BO)*10^-9/Table7[[#This Row],[Ioff (A) C]])/10^-9</f>
        <v>3.156880785928406</v>
      </c>
      <c r="BN230" s="145" t="e">
        <f xml:space="preserve"> 0.5*VACnom*Table7[[#This Row],[Ivalley (A) C]]*Table7[[#This Row],[ton (ns) C]]*10^-9*Fsw*10^3+0.5*VACnom*Table7[[#This Row],[Ipeak (A) C]]*Table7[[#This Row],[toff (ns) C]]*10^-9*Fsw*10^3/10^-3</f>
        <v>#NAME?</v>
      </c>
      <c r="BO230" s="145">
        <f t="shared" si="49"/>
        <v>259.2</v>
      </c>
      <c r="BP230" s="145" t="e">
        <f t="shared" ca="1" si="50"/>
        <v>#REF!</v>
      </c>
      <c r="BQ230" s="145">
        <f t="shared" si="51"/>
        <v>475.2</v>
      </c>
      <c r="BR230" s="145" t="e">
        <f>IF(VACnom&gt;Vbat, C_MOSFET_S_VSD_L_BU*Table7[[#This Row],[Ivalley (A) C]]*Fsw*10^3*40*10^-9+C_MOSFET_S_VSD_L_BU*Table7[[#This Row],[Ipeak (A) C]]*Fsw*10^3*30*10^-9, C_MOSFET_S_VSD_H_BO*Table7[[#This Row],[Ivalley (A) C]]*Fsw*10^3*40*10^-9+C_MOSFET_S_VSD_H_BO*Table7[[#This Row],[Ipeak (A) C]]*Fsw*10^3*30*10^-9)/10^-3</f>
        <v>#NAME?</v>
      </c>
      <c r="BS230" s="145" t="e">
        <f t="shared" ca="1" si="52"/>
        <v>#REF!</v>
      </c>
      <c r="BT230" s="145" t="e">
        <f>IF(VACnom&lt;Vbat, Table7[[#This Row],[Duty Cycle]]*Table7[[#This Row],[I_L RMS]]^2*C_MOSFET_S_RDSON_H_BU*10^-3, (1-Table7[[#This Row],[Duty Cycle]])*Table7[[#This Row],[I_L RMS]]^2*C_MOSFET_S_RDSON_H_BO*10^-3)/10^-3</f>
        <v>#NAME?</v>
      </c>
      <c r="BU230" s="145" t="e">
        <f ca="1">IF(VACnom&gt;Vbat, Table7[[#This Row],[PIV (mW) C]]+Table7[[#This Row],[PQoss (mW) C]]+Table7[[#This Row],[Pgate_top (mW) C]], Table7[[#This Row],[PRR (mW) C]]+Table7[[#This Row],[Pdead (mW) C]]+Table7[[#This Row],[Pgate_top (mW) C]])</f>
        <v>#NAME?</v>
      </c>
      <c r="BV230" s="145" t="e">
        <f ca="1">Table7[[#This Row],[Pcon_top (mW) C]]+Table7[[#This Row],[Psw_top (mW) C]]</f>
        <v>#NAME?</v>
      </c>
      <c r="BW230" s="145" t="e">
        <f ca="1">IF(VACnom&gt;Vbat, (1-Table7[[#This Row],[Duty Cycle]])*Table7[[#This Row],[I_L RMS]]^2*C_MOSFET_S_RDSON_L_BU*10^-3, Table7[[#This Row],[Duty Cycle]]*Table7[[#This Row],[I_L RMS]]^2*C_MOSFET_S_RDSON_L_BO*10^-3)/10^-3</f>
        <v>#NAME?</v>
      </c>
      <c r="BX230" s="145" t="e">
        <f ca="1">IF(VACnom&gt;Vbat, Table7[[#This Row],[PRR (mW) C]]+Table7[[#This Row],[Pdead (mW) C]]+Table7[[#This Row],[Pgate_bottom (mW) C]], Table7[[#This Row],[PIV (mW) C]]+Table7[[#This Row],[PQoss (mW) C]]+Table7[[#This Row],[Pgate_bottom (mW) C]])</f>
        <v>#NAME?</v>
      </c>
      <c r="BY230" s="145" t="e">
        <f ca="1">Table7[[#This Row],[Pcon_bottom (mW) C]]+Table7[[#This Row],[Psw_bottom (mV) C]]</f>
        <v>#NAME?</v>
      </c>
      <c r="BZ230" s="145" t="e">
        <f ca="1">Table7[[#This Row],[Pbottom (mW) C]]+Table7[[#This Row],[Ptop (mW) C]]</f>
        <v>#NAME?</v>
      </c>
      <c r="CA230" s="148"/>
      <c r="CB230" s="144">
        <f>(RAC_SNS*10^-3*(Table7[[#This Row],[IOUT (A)]]*Vbat/VACnom)^2/10^-3)</f>
        <v>391.53875347222225</v>
      </c>
      <c r="CC230" s="144">
        <f>(RBAT_SNS*10^-3*Table7[[#This Row],[IOUT (A)]]^2)/10^-3</f>
        <v>273.8</v>
      </c>
      <c r="CD230" s="144">
        <f>IF(VACnom&gt;Vbat,(L_DRC*10^-3*(Table7[[#This Row],[IOUT (A)]])^2/10^-3),(L_DRC*10^-3*(Table7[[#This Row],[IOUT (A)]]*Vbat/VACnom)^2/10^-3))</f>
        <v>266.24635236111112</v>
      </c>
      <c r="CE230" s="152"/>
      <c r="CF230" s="145">
        <f>(Table7[[#This Row],[R_AC (mW)]]+Table7[[#This Row],[R_SR (mW)]]+Table7[[#This Row],[Inductor Loss (mW)]])/10^3</f>
        <v>0.93158510583333343</v>
      </c>
      <c r="CG230" s="145" t="e">
        <f ca="1">Table7[[#This Row],[Total TI (mW)]]/10^3</f>
        <v>#NAME?</v>
      </c>
      <c r="CH230" s="145" t="e">
        <f ca="1">Table7[[#This Row],[Total Sense Loss]]+Table7[[#This Row],[Total MOSFET Loss]]</f>
        <v>#NAME?</v>
      </c>
      <c r="CI230" s="149" t="e">
        <f ca="1">IF(Table7[[#This Row],[POUT (W)]]=0,0,(Table7[[#This Row],[POUT (W)]])/(Table7[[#This Row],[POUT (W)]]+Table7[[#This Row],[Total Power Loss (W)]]))*100</f>
        <v>#NAME?</v>
      </c>
      <c r="CJ230" s="153"/>
      <c r="CK230" s="145">
        <f>(Table7[[#This Row],[R_AC (mW)]]+Table7[[#This Row],[R_SR (mW)]]+Table7[[#This Row],[Inductor Loss (mW)]])/10^3</f>
        <v>0.93158510583333343</v>
      </c>
      <c r="CL230" s="145" t="e">
        <f ca="1">Table7[[#This Row],[Total (mW) C]]/10^3</f>
        <v>#NAME?</v>
      </c>
      <c r="CM230" s="145" t="e">
        <f ca="1">Table7[[#This Row],[Total Sense Loss C]]+Table7[[#This Row],[Total MOSFET Loss C]]</f>
        <v>#NAME?</v>
      </c>
      <c r="CN230" s="149" t="e">
        <f ca="1">IF(Table7[[#This Row],[POUT (W)]]=0,0,(Table7[[#This Row],[POUT (W)]])/(Table7[[#This Row],[POUT (W)]]+Table7[[#This Row],[Total Power Loss (W) C]]))*100</f>
        <v>#NAME?</v>
      </c>
      <c r="CO230" s="153"/>
      <c r="CP230" s="149">
        <f>IF(MOSFET_S=Custom_MOSFET,Table7[[#This Row],[Total Sense Loss C]],Table7[[#This Row],[Total Sense Loss]])</f>
        <v>0.93158510583333343</v>
      </c>
      <c r="CQ230" s="149" t="e">
        <f ca="1">IF(MOSFET_S=Custom_MOSFET,Table7[[#This Row],[Total MOSFET Loss C]],Table7[[#This Row],[Total MOSFET Loss]])</f>
        <v>#NAME?</v>
      </c>
      <c r="CR230" s="149" t="e">
        <f ca="1">IF(MOSFET_S=Custom_MOSFET,Table7[[#This Row],[Efficiency C]],Table7[[#This Row],[Efficiency]])</f>
        <v>#NAME?</v>
      </c>
      <c r="CS230" s="153"/>
      <c r="CT230" s="149">
        <f>IF(MOSFET_S=Compare_MOSFET, Table7[[#This Row],[Total Sense Loss C]], -100)</f>
        <v>-100</v>
      </c>
      <c r="CU230" s="149">
        <f>IF(MOSFET_S=Compare_MOSFET, Table7[[#This Row],[Total MOSFET Loss C]], -100)</f>
        <v>-100</v>
      </c>
      <c r="CV230" s="149">
        <f>IF(MOSFET_S=Compare_MOSFET, Table7[[#This Row],[Efficiency C]], -100)</f>
        <v>-100</v>
      </c>
      <c r="CW230" s="153"/>
      <c r="CX230" s="149">
        <f ca="1">IF(Save_Sel=CLR_Save,  Table7[[#This Row],[Total Sense Loss P1]], Table7[[#This Row],[Total Sense Loss P1 Saved]])</f>
        <v>0.78118562500000011</v>
      </c>
      <c r="CY230" s="149">
        <f ca="1">IF(Save_Sel=CLR_Save,  Table7[[#This Row],[Total MOSFET Loss P1]], Table7[[#This Row],[Total MOSFET Loss P1 Saved]] )</f>
        <v>2.1205901241378569</v>
      </c>
      <c r="CZ230" s="149">
        <f ca="1">IF(Save_Sel=CLR_Save, Table7[[#This Row],[Efficiency P1]], Table7[[#This Row],[Efficiency P1 Saved]])</f>
        <v>93.865397856251207</v>
      </c>
      <c r="DA230" s="153"/>
      <c r="DB230" s="149">
        <f ca="1">IF(Save_Sel=CLR_Save,  Table7[[#This Row],[Total Sense Loss P2]], Table7[[#This Row],[Total Sense Loss P2 Saved]])</f>
        <v>0.78118562500000011</v>
      </c>
      <c r="DC230" s="149">
        <f ca="1">IF(Save_Sel=CLR_Save,  Table7[[#This Row],[Total MOSFET Loss P2]], Table7[[#This Row],[Total MOSFET Loss P2 Saved]] )</f>
        <v>1.4637954760925722</v>
      </c>
      <c r="DD230" s="149">
        <f ca="1">IF(Save_Sel=CLR_Save, Table7[[#This Row],[Efficiency P2]], Table7[[#This Row],[Efficiency P2 Saved]])</f>
        <v>95.187089697330833</v>
      </c>
      <c r="DE230" s="153"/>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row>
    <row r="231" spans="1:165" x14ac:dyDescent="0.2">
      <c r="A231" s="67"/>
      <c r="B231" s="67"/>
      <c r="C231" s="67"/>
      <c r="D231" s="67"/>
      <c r="E231" s="67"/>
      <c r="F231" s="67"/>
      <c r="G231" s="67"/>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43">
        <f t="shared" si="54"/>
        <v>75</v>
      </c>
      <c r="AG231" s="143">
        <f t="shared" si="53"/>
        <v>7.5</v>
      </c>
      <c r="AH231" s="144">
        <f t="shared" si="42"/>
        <v>180</v>
      </c>
      <c r="AI231" s="145">
        <f t="shared" si="43"/>
        <v>0.16376306620209058</v>
      </c>
      <c r="AJ231" s="145">
        <f t="shared" si="44"/>
        <v>8.96875</v>
      </c>
      <c r="AK231" s="145" t="e">
        <f t="shared" si="40"/>
        <v>#NAME?</v>
      </c>
      <c r="AL231" s="145" t="e">
        <f t="shared" si="41"/>
        <v>#NAME?</v>
      </c>
      <c r="AM231" s="146"/>
      <c r="AN231" s="145" t="e">
        <f>MAX(0,Table7[[#This Row],[I_L]]-0.5*Table7[[#This Row],[I_L pkpk]])</f>
        <v>#NAME?</v>
      </c>
      <c r="AO231" s="145" t="e">
        <f>Table7[[#This Row],[I_L]]+0.5*Table7[[#This Row],[I_L pkpk]]</f>
        <v>#NAME?</v>
      </c>
      <c r="AP231" s="145" t="e">
        <f ca="1">IF(VACnom&gt;Vbat, (VGS_S-(TI_MOSFET_S_VTH_H_BU+Table7[[#This Row],[I_L]]/TI_MOSFET_S_gFS_H_BU))/3.4, (VGS_S-(TI_MOSFET_S_VTH_L_BO+Table7[[#This Row],[I_L]]/TI_MOSFET_S_gFS_L_BO))/3.4 )</f>
        <v>#REF!</v>
      </c>
      <c r="AQ231" s="145" t="e">
        <f ca="1">IF(VACnom&gt;Vbat, ((TI_MOSFET_S_VTH_H_BU+Table7[[#This Row],[I_L]]/TI_MOSFET_S_gFS_H_BU))/1, ((TI_MOSFET_S_VTH_L_BO+Table7[[#This Row],[I_L]]/TI_MOSFET_S_gFS_L_BO))/1 )</f>
        <v>#REF!</v>
      </c>
      <c r="AR231" s="145" t="e">
        <f ca="1">IF(VACnom&gt;Vbat, (TI_MOSFET_S_QGD_H_BU+TI_MOSFET_S_QGS_H_BU)*10^-9/Table7[[#This Row],[Ion (A)]], (TI_MOSFET_S_QGD_L_BO+TI_MOSFET_S_QGS_L_BO)*10^-9/Table7[[#This Row],[Ion (A)]])/10^-9</f>
        <v>#REF!</v>
      </c>
      <c r="AS231" s="145" t="e">
        <f ca="1">IF(VACnom&gt;Vbat, (TI_MOSFET_S_QGD_H_BU+TI_MOSFET_S_QGS_H_BU)*10^-9/Table7[[#This Row],[Ioff (A)]], (TI_MOSFET_S_QGD_L_BO+TI_MOSFET_S_QGS_L_BO)*10^-9/Table7[[#This Row],[Ioff (A)]])/10^-9</f>
        <v>#REF!</v>
      </c>
      <c r="AT231" s="145" t="e">
        <f ca="1" xml:space="preserve"> 0.5*VACnom*Table7[[#This Row],[Ivalley (A)]]*Table7[[#This Row],[ton (ns)]]*10^-9*Fsw*10^3+0.5*VACnom*Table7[[#This Row],[Ipeak (A)]]*Table7[[#This Row],[toff (ns)]]*10^-9*Fsw*10^3/10^-3</f>
        <v>#NAME?</v>
      </c>
      <c r="AU231" s="145" t="e">
        <f t="shared" ca="1" si="45"/>
        <v>#REF!</v>
      </c>
      <c r="AV231" s="145" t="e">
        <f t="shared" ca="1" si="46"/>
        <v>#REF!</v>
      </c>
      <c r="AW231" s="145" t="e">
        <f t="shared" ca="1" si="47"/>
        <v>#REF!</v>
      </c>
      <c r="AX231" s="145" t="e">
        <f ca="1">IF(VACnom&gt;Vbat, TI_MOSFET_S_VSD_L_BU*Table7[[#This Row],[Ivalley (A)]]*Fsw*10^3*40*10^-9+TI_MOSFET_S_VSD_L_BU*Table7[[#This Row],[Ipeak (A)]]*Fsw*10^3*30*10^-9, TI_MOSFET_S_VSD_H_BO*Table7[[#This Row],[Ivalley (A)]]*Fsw*10^3*40*10^-9+TI_MOSFET_S_VSD_H_BO*Table7[[#This Row],[Ipeak (A)]]*Fsw*10^3*30*10^-9)/10^-3</f>
        <v>#REF!</v>
      </c>
      <c r="AY231" s="145" t="e">
        <f t="shared" ca="1" si="48"/>
        <v>#REF!</v>
      </c>
      <c r="AZ231" s="145" t="e">
        <f ca="1">IF(VACnom&lt;Vbat, Table7[[#This Row],[Duty Cycle]]*Table7[[#This Row],[I_L RMS]]^2*TI_MOSFET_S_RDSON_H_BU*10^-3, (1-Table7[[#This Row],[Duty Cycle]])*Table7[[#This Row],[I_L RMS]]^2*TI_MOSFET_S_RDSON_H_BO*10^-3)/10^-3</f>
        <v>#NAME?</v>
      </c>
      <c r="BA231" s="145" t="e">
        <f ca="1">IF(VACnom&gt;Vbat, Table7[[#This Row],[PIV (mW)]]+Table7[[#This Row],[Pqoss (mW)]]+Table7[[#This Row],[Pgate_top (mW)]], Table7[[#This Row],[PRR (mW)]]+Table7[[#This Row],[Pdead (mW)]]+Table7[[#This Row],[Pgate_top (mW)]])</f>
        <v>#REF!</v>
      </c>
      <c r="BB231" s="145" t="e">
        <f ca="1">Table7[[#This Row],[Pcon_top (mW)]]+Table7[[#This Row],[Psw_top (mW)]]</f>
        <v>#NAME?</v>
      </c>
      <c r="BC231" s="145" t="e">
        <f ca="1">IF(VACnom&gt;Vbat, (1-Table7[[#This Row],[Duty Cycle]])*Table7[[#This Row],[I_L RMS]]^2*TI_MOSFET_S_RDSON_L_BU*10^-3, Table7[[#This Row],[Duty Cycle]]*Table7[[#This Row],[I_L RMS]]^2*TI_MOSFET_S_RDSON_L_BO*10^-3)/10^-3</f>
        <v>#NAME?</v>
      </c>
      <c r="BD231" s="145" t="e">
        <f ca="1">IF(VACnom&gt;Vbat, Table7[[#This Row],[PRR (mW)]]+Table7[[#This Row],[Pdead (mW)]]+Table7[[#This Row],[Pgate_bottom (mW)]], Table7[[#This Row],[PIV (mW)]]+Table7[[#This Row],[Pqoss (mW)]]+Table7[[#This Row],[Pgate_bottom (mW)]])</f>
        <v>#NAME?</v>
      </c>
      <c r="BE231" s="147" t="e">
        <f ca="1">Table7[[#This Row],[Pcon_bottom (mW)]]+Table7[[#This Row],[Psw_bottom (mW)]]</f>
        <v>#NAME?</v>
      </c>
      <c r="BF231" s="145" t="e">
        <f ca="1">Table7[[#This Row],[Pbottom (mW)]]+Table7[[#This Row],[Ptop (mW)]]</f>
        <v>#NAME?</v>
      </c>
      <c r="BG231" s="142"/>
      <c r="BH231" s="145" t="e">
        <f>MAX(0,Table7[[#This Row],[I_L]]-0.5*Table7[[#This Row],[I_L pkpk]])</f>
        <v>#NAME?</v>
      </c>
      <c r="BI231" s="145" t="e">
        <f>Table7[[#This Row],[I_L]]+0.5*Table7[[#This Row],[I_L pkpk]]</f>
        <v>#NAME?</v>
      </c>
      <c r="BJ231" s="145">
        <f>IF(VACnom&gt;Vbat, (VGS_S-(C_MOSFET_S_VTH_H_BU+Table7[[#This Row],[I_L]]/C_MOSFET_S_gFS_H_BU))/3.4, (VGS_S-(C_MOSFET_S_VTH_L_BO+Table7[[#This Row],[I_L]]/C_MOSFET_S_gFS_L_BO))/3.4 )</f>
        <v>2.3353553921568628</v>
      </c>
      <c r="BK231" s="145">
        <f>IF(VACnom&gt;Vbat, ((C_MOSFET_S_VTH_H_BU+Table7[[#This Row],[I_L]]/C_MOSFET_S_gFS_H_BU))/1, ((C_MOSFET_S_VTH_L_BO+Table7[[#This Row],[I_L]]/C_MOSFET_S_gFS_L_BO))/1 )</f>
        <v>2.0597916666666665</v>
      </c>
      <c r="BL231" s="145">
        <f>IF(VACnom&gt;Vbat, (C_MOSFET_S_QGD_H_BU+C_MOSFET_S_QGS_H_BU)*10^-9/Table7[[#This Row],[Ion (A) C]], (C_MOSFET_S_QGD_L_BO+C_MOSFET_S_QGS_L_BO)*10^-9/Table7[[#This Row],[Ion (A) C]])/10^-9</f>
        <v>2.7833022853094742</v>
      </c>
      <c r="BM231" s="145">
        <f>IF(VACnom&gt;Vbat, (C_MOSFET_S_QGD_H_BU+C_MOSFET_S_QGS_H_BU)*10^-9/Table7[[#This Row],[Ioff (A) C]], (C_MOSFET_S_QGD_L_BO+C_MOSFET_S_QGS_L_BO)*10^-9/Table7[[#This Row],[Ioff (A) C]])/10^-9</f>
        <v>3.1556589460908264</v>
      </c>
      <c r="BN231" s="145" t="e">
        <f xml:space="preserve"> 0.5*VACnom*Table7[[#This Row],[Ivalley (A) C]]*Table7[[#This Row],[ton (ns) C]]*10^-9*Fsw*10^3+0.5*VACnom*Table7[[#This Row],[Ipeak (A) C]]*Table7[[#This Row],[toff (ns) C]]*10^-9*Fsw*10^3/10^-3</f>
        <v>#NAME?</v>
      </c>
      <c r="BO231" s="145">
        <f t="shared" si="49"/>
        <v>259.2</v>
      </c>
      <c r="BP231" s="145" t="e">
        <f t="shared" ca="1" si="50"/>
        <v>#REF!</v>
      </c>
      <c r="BQ231" s="145">
        <f t="shared" si="51"/>
        <v>475.2</v>
      </c>
      <c r="BR231" s="145" t="e">
        <f>IF(VACnom&gt;Vbat, C_MOSFET_S_VSD_L_BU*Table7[[#This Row],[Ivalley (A) C]]*Fsw*10^3*40*10^-9+C_MOSFET_S_VSD_L_BU*Table7[[#This Row],[Ipeak (A) C]]*Fsw*10^3*30*10^-9, C_MOSFET_S_VSD_H_BO*Table7[[#This Row],[Ivalley (A) C]]*Fsw*10^3*40*10^-9+C_MOSFET_S_VSD_H_BO*Table7[[#This Row],[Ipeak (A) C]]*Fsw*10^3*30*10^-9)/10^-3</f>
        <v>#NAME?</v>
      </c>
      <c r="BS231" s="145" t="e">
        <f t="shared" ca="1" si="52"/>
        <v>#REF!</v>
      </c>
      <c r="BT231" s="145" t="e">
        <f>IF(VACnom&lt;Vbat, Table7[[#This Row],[Duty Cycle]]*Table7[[#This Row],[I_L RMS]]^2*C_MOSFET_S_RDSON_H_BU*10^-3, (1-Table7[[#This Row],[Duty Cycle]])*Table7[[#This Row],[I_L RMS]]^2*C_MOSFET_S_RDSON_H_BO*10^-3)/10^-3</f>
        <v>#NAME?</v>
      </c>
      <c r="BU231" s="145" t="e">
        <f ca="1">IF(VACnom&gt;Vbat, Table7[[#This Row],[PIV (mW) C]]+Table7[[#This Row],[PQoss (mW) C]]+Table7[[#This Row],[Pgate_top (mW) C]], Table7[[#This Row],[PRR (mW) C]]+Table7[[#This Row],[Pdead (mW) C]]+Table7[[#This Row],[Pgate_top (mW) C]])</f>
        <v>#NAME?</v>
      </c>
      <c r="BV231" s="145" t="e">
        <f ca="1">Table7[[#This Row],[Pcon_top (mW) C]]+Table7[[#This Row],[Psw_top (mW) C]]</f>
        <v>#NAME?</v>
      </c>
      <c r="BW231" s="145" t="e">
        <f ca="1">IF(VACnom&gt;Vbat, (1-Table7[[#This Row],[Duty Cycle]])*Table7[[#This Row],[I_L RMS]]^2*C_MOSFET_S_RDSON_L_BU*10^-3, Table7[[#This Row],[Duty Cycle]]*Table7[[#This Row],[I_L RMS]]^2*C_MOSFET_S_RDSON_L_BO*10^-3)/10^-3</f>
        <v>#NAME?</v>
      </c>
      <c r="BX231" s="145" t="e">
        <f ca="1">IF(VACnom&gt;Vbat, Table7[[#This Row],[PRR (mW) C]]+Table7[[#This Row],[Pdead (mW) C]]+Table7[[#This Row],[Pgate_bottom (mW) C]], Table7[[#This Row],[PIV (mW) C]]+Table7[[#This Row],[PQoss (mW) C]]+Table7[[#This Row],[Pgate_bottom (mW) C]])</f>
        <v>#NAME?</v>
      </c>
      <c r="BY231" s="145" t="e">
        <f ca="1">Table7[[#This Row],[Pcon_bottom (mW) C]]+Table7[[#This Row],[Psw_bottom (mV) C]]</f>
        <v>#NAME?</v>
      </c>
      <c r="BZ231" s="145" t="e">
        <f ca="1">Table7[[#This Row],[Pbottom (mW) C]]+Table7[[#This Row],[Ptop (mW) C]]</f>
        <v>#NAME?</v>
      </c>
      <c r="CA231" s="148"/>
      <c r="CB231" s="144">
        <f>(RAC_SNS*10^-3*(Table7[[#This Row],[IOUT (A)]]*Vbat/VACnom)^2/10^-3)</f>
        <v>402.1923828125</v>
      </c>
      <c r="CC231" s="144">
        <f>(RBAT_SNS*10^-3*Table7[[#This Row],[IOUT (A)]]^2)/10^-3</f>
        <v>281.25</v>
      </c>
      <c r="CD231" s="144">
        <f>IF(VACnom&gt;Vbat,(L_DRC*10^-3*(Table7[[#This Row],[IOUT (A)]])^2/10^-3),(L_DRC*10^-3*(Table7[[#This Row],[IOUT (A)]]*Vbat/VACnom)^2/10^-3))</f>
        <v>273.49082031249998</v>
      </c>
      <c r="CE231" s="152"/>
      <c r="CF231" s="145">
        <f>(Table7[[#This Row],[R_AC (mW)]]+Table7[[#This Row],[R_SR (mW)]]+Table7[[#This Row],[Inductor Loss (mW)]])/10^3</f>
        <v>0.95693320312499996</v>
      </c>
      <c r="CG231" s="145" t="e">
        <f ca="1">Table7[[#This Row],[Total TI (mW)]]/10^3</f>
        <v>#NAME?</v>
      </c>
      <c r="CH231" s="145" t="e">
        <f ca="1">Table7[[#This Row],[Total Sense Loss]]+Table7[[#This Row],[Total MOSFET Loss]]</f>
        <v>#NAME?</v>
      </c>
      <c r="CI231" s="149" t="e">
        <f ca="1">IF(Table7[[#This Row],[POUT (W)]]=0,0,(Table7[[#This Row],[POUT (W)]])/(Table7[[#This Row],[POUT (W)]]+Table7[[#This Row],[Total Power Loss (W)]]))*100</f>
        <v>#NAME?</v>
      </c>
      <c r="CJ231" s="153"/>
      <c r="CK231" s="145">
        <f>(Table7[[#This Row],[R_AC (mW)]]+Table7[[#This Row],[R_SR (mW)]]+Table7[[#This Row],[Inductor Loss (mW)]])/10^3</f>
        <v>0.95693320312499996</v>
      </c>
      <c r="CL231" s="145" t="e">
        <f ca="1">Table7[[#This Row],[Total (mW) C]]/10^3</f>
        <v>#NAME?</v>
      </c>
      <c r="CM231" s="145" t="e">
        <f ca="1">Table7[[#This Row],[Total Sense Loss C]]+Table7[[#This Row],[Total MOSFET Loss C]]</f>
        <v>#NAME?</v>
      </c>
      <c r="CN231" s="149" t="e">
        <f ca="1">IF(Table7[[#This Row],[POUT (W)]]=0,0,(Table7[[#This Row],[POUT (W)]])/(Table7[[#This Row],[POUT (W)]]+Table7[[#This Row],[Total Power Loss (W) C]]))*100</f>
        <v>#NAME?</v>
      </c>
      <c r="CO231" s="153"/>
      <c r="CP231" s="149">
        <f>IF(MOSFET_S=Custom_MOSFET,Table7[[#This Row],[Total Sense Loss C]],Table7[[#This Row],[Total Sense Loss]])</f>
        <v>0.95693320312499996</v>
      </c>
      <c r="CQ231" s="149" t="e">
        <f ca="1">IF(MOSFET_S=Custom_MOSFET,Table7[[#This Row],[Total MOSFET Loss C]],Table7[[#This Row],[Total MOSFET Loss]])</f>
        <v>#NAME?</v>
      </c>
      <c r="CR231" s="149" t="e">
        <f ca="1">IF(MOSFET_S=Custom_MOSFET,Table7[[#This Row],[Efficiency C]],Table7[[#This Row],[Efficiency]])</f>
        <v>#NAME?</v>
      </c>
      <c r="CS231" s="153"/>
      <c r="CT231" s="149">
        <f>IF(MOSFET_S=Compare_MOSFET, Table7[[#This Row],[Total Sense Loss C]], -100)</f>
        <v>-100</v>
      </c>
      <c r="CU231" s="149">
        <f>IF(MOSFET_S=Compare_MOSFET, Table7[[#This Row],[Total MOSFET Loss C]], -100)</f>
        <v>-100</v>
      </c>
      <c r="CV231" s="149">
        <f>IF(MOSFET_S=Compare_MOSFET, Table7[[#This Row],[Efficiency C]], -100)</f>
        <v>-100</v>
      </c>
      <c r="CW231" s="153"/>
      <c r="CX231" s="149">
        <f ca="1">IF(Save_Sel=CLR_Save,  Table7[[#This Row],[Total Sense Loss P1]], Table7[[#This Row],[Total Sense Loss P1 Saved]])</f>
        <v>0.80244140625000004</v>
      </c>
      <c r="CY231" s="149">
        <f ca="1">IF(Save_Sel=CLR_Save,  Table7[[#This Row],[Total MOSFET Loss P1]], Table7[[#This Row],[Total MOSFET Loss P1 Saved]] )</f>
        <v>2.1316089670803504</v>
      </c>
      <c r="CZ231" s="149">
        <f ca="1">IF(Save_Sel=CLR_Save, Table7[[#This Row],[Efficiency P1]], Table7[[#This Row],[Efficiency P1 Saved]])</f>
        <v>93.8789850837166</v>
      </c>
      <c r="DA231" s="153"/>
      <c r="DB231" s="149">
        <f ca="1">IF(Save_Sel=CLR_Save,  Table7[[#This Row],[Total Sense Loss P2]], Table7[[#This Row],[Total Sense Loss P2 Saved]])</f>
        <v>0.80244140625000004</v>
      </c>
      <c r="DC231" s="149">
        <f ca="1">IF(Save_Sel=CLR_Save,  Table7[[#This Row],[Total MOSFET Loss P2]], Table7[[#This Row],[Total MOSFET Loss P2 Saved]] )</f>
        <v>1.4736578355357792</v>
      </c>
      <c r="DD231" s="149">
        <f ca="1">IF(Save_Sel=CLR_Save, Table7[[#This Row],[Efficiency P2]], Table7[[#This Row],[Efficiency P2 Saved]])</f>
        <v>95.185518098384037</v>
      </c>
      <c r="DE231" s="153"/>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row>
    <row r="232" spans="1:165" x14ac:dyDescent="0.2">
      <c r="A232" s="67"/>
      <c r="B232" s="67"/>
      <c r="C232" s="67"/>
      <c r="D232" s="67"/>
      <c r="E232" s="67"/>
      <c r="F232" s="67"/>
      <c r="G232" s="67"/>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43">
        <f t="shared" si="54"/>
        <v>76</v>
      </c>
      <c r="AG232" s="143">
        <f t="shared" si="53"/>
        <v>7.6</v>
      </c>
      <c r="AH232" s="144">
        <f t="shared" si="42"/>
        <v>182.39999999999998</v>
      </c>
      <c r="AI232" s="145">
        <f t="shared" si="43"/>
        <v>0.16376306620209058</v>
      </c>
      <c r="AJ232" s="145">
        <f t="shared" si="44"/>
        <v>9.0883333333333329</v>
      </c>
      <c r="AK232" s="145" t="e">
        <f t="shared" si="40"/>
        <v>#NAME?</v>
      </c>
      <c r="AL232" s="145" t="e">
        <f t="shared" si="41"/>
        <v>#NAME?</v>
      </c>
      <c r="AM232" s="146"/>
      <c r="AN232" s="145" t="e">
        <f>MAX(0,Table7[[#This Row],[I_L]]-0.5*Table7[[#This Row],[I_L pkpk]])</f>
        <v>#NAME?</v>
      </c>
      <c r="AO232" s="145" t="e">
        <f>Table7[[#This Row],[I_L]]+0.5*Table7[[#This Row],[I_L pkpk]]</f>
        <v>#NAME?</v>
      </c>
      <c r="AP232" s="145" t="e">
        <f ca="1">IF(VACnom&gt;Vbat, (VGS_S-(TI_MOSFET_S_VTH_H_BU+Table7[[#This Row],[I_L]]/TI_MOSFET_S_gFS_H_BU))/3.4, (VGS_S-(TI_MOSFET_S_VTH_L_BO+Table7[[#This Row],[I_L]]/TI_MOSFET_S_gFS_L_BO))/3.4 )</f>
        <v>#REF!</v>
      </c>
      <c r="AQ232" s="145" t="e">
        <f ca="1">IF(VACnom&gt;Vbat, ((TI_MOSFET_S_VTH_H_BU+Table7[[#This Row],[I_L]]/TI_MOSFET_S_gFS_H_BU))/1, ((TI_MOSFET_S_VTH_L_BO+Table7[[#This Row],[I_L]]/TI_MOSFET_S_gFS_L_BO))/1 )</f>
        <v>#REF!</v>
      </c>
      <c r="AR232" s="145" t="e">
        <f ca="1">IF(VACnom&gt;Vbat, (TI_MOSFET_S_QGD_H_BU+TI_MOSFET_S_QGS_H_BU)*10^-9/Table7[[#This Row],[Ion (A)]], (TI_MOSFET_S_QGD_L_BO+TI_MOSFET_S_QGS_L_BO)*10^-9/Table7[[#This Row],[Ion (A)]])/10^-9</f>
        <v>#REF!</v>
      </c>
      <c r="AS232" s="145" t="e">
        <f ca="1">IF(VACnom&gt;Vbat, (TI_MOSFET_S_QGD_H_BU+TI_MOSFET_S_QGS_H_BU)*10^-9/Table7[[#This Row],[Ioff (A)]], (TI_MOSFET_S_QGD_L_BO+TI_MOSFET_S_QGS_L_BO)*10^-9/Table7[[#This Row],[Ioff (A)]])/10^-9</f>
        <v>#REF!</v>
      </c>
      <c r="AT232" s="145" t="e">
        <f ca="1" xml:space="preserve"> 0.5*VACnom*Table7[[#This Row],[Ivalley (A)]]*Table7[[#This Row],[ton (ns)]]*10^-9*Fsw*10^3+0.5*VACnom*Table7[[#This Row],[Ipeak (A)]]*Table7[[#This Row],[toff (ns)]]*10^-9*Fsw*10^3/10^-3</f>
        <v>#NAME?</v>
      </c>
      <c r="AU232" s="145" t="e">
        <f t="shared" ca="1" si="45"/>
        <v>#REF!</v>
      </c>
      <c r="AV232" s="145" t="e">
        <f t="shared" ca="1" si="46"/>
        <v>#REF!</v>
      </c>
      <c r="AW232" s="145" t="e">
        <f t="shared" ca="1" si="47"/>
        <v>#REF!</v>
      </c>
      <c r="AX232" s="145" t="e">
        <f ca="1">IF(VACnom&gt;Vbat, TI_MOSFET_S_VSD_L_BU*Table7[[#This Row],[Ivalley (A)]]*Fsw*10^3*40*10^-9+TI_MOSFET_S_VSD_L_BU*Table7[[#This Row],[Ipeak (A)]]*Fsw*10^3*30*10^-9, TI_MOSFET_S_VSD_H_BO*Table7[[#This Row],[Ivalley (A)]]*Fsw*10^3*40*10^-9+TI_MOSFET_S_VSD_H_BO*Table7[[#This Row],[Ipeak (A)]]*Fsw*10^3*30*10^-9)/10^-3</f>
        <v>#REF!</v>
      </c>
      <c r="AY232" s="145" t="e">
        <f t="shared" ca="1" si="48"/>
        <v>#REF!</v>
      </c>
      <c r="AZ232" s="145" t="e">
        <f ca="1">IF(VACnom&lt;Vbat, Table7[[#This Row],[Duty Cycle]]*Table7[[#This Row],[I_L RMS]]^2*TI_MOSFET_S_RDSON_H_BU*10^-3, (1-Table7[[#This Row],[Duty Cycle]])*Table7[[#This Row],[I_L RMS]]^2*TI_MOSFET_S_RDSON_H_BO*10^-3)/10^-3</f>
        <v>#NAME?</v>
      </c>
      <c r="BA232" s="145" t="e">
        <f ca="1">IF(VACnom&gt;Vbat, Table7[[#This Row],[PIV (mW)]]+Table7[[#This Row],[Pqoss (mW)]]+Table7[[#This Row],[Pgate_top (mW)]], Table7[[#This Row],[PRR (mW)]]+Table7[[#This Row],[Pdead (mW)]]+Table7[[#This Row],[Pgate_top (mW)]])</f>
        <v>#REF!</v>
      </c>
      <c r="BB232" s="145" t="e">
        <f ca="1">Table7[[#This Row],[Pcon_top (mW)]]+Table7[[#This Row],[Psw_top (mW)]]</f>
        <v>#NAME?</v>
      </c>
      <c r="BC232" s="145" t="e">
        <f ca="1">IF(VACnom&gt;Vbat, (1-Table7[[#This Row],[Duty Cycle]])*Table7[[#This Row],[I_L RMS]]^2*TI_MOSFET_S_RDSON_L_BU*10^-3, Table7[[#This Row],[Duty Cycle]]*Table7[[#This Row],[I_L RMS]]^2*TI_MOSFET_S_RDSON_L_BO*10^-3)/10^-3</f>
        <v>#NAME?</v>
      </c>
      <c r="BD232" s="145" t="e">
        <f ca="1">IF(VACnom&gt;Vbat, Table7[[#This Row],[PRR (mW)]]+Table7[[#This Row],[Pdead (mW)]]+Table7[[#This Row],[Pgate_bottom (mW)]], Table7[[#This Row],[PIV (mW)]]+Table7[[#This Row],[Pqoss (mW)]]+Table7[[#This Row],[Pgate_bottom (mW)]])</f>
        <v>#NAME?</v>
      </c>
      <c r="BE232" s="147" t="e">
        <f ca="1">Table7[[#This Row],[Pcon_bottom (mW)]]+Table7[[#This Row],[Psw_bottom (mW)]]</f>
        <v>#NAME?</v>
      </c>
      <c r="BF232" s="145" t="e">
        <f ca="1">Table7[[#This Row],[Pbottom (mW)]]+Table7[[#This Row],[Ptop (mW)]]</f>
        <v>#NAME?</v>
      </c>
      <c r="BG232" s="142"/>
      <c r="BH232" s="145" t="e">
        <f>MAX(0,Table7[[#This Row],[I_L]]-0.5*Table7[[#This Row],[I_L pkpk]])</f>
        <v>#NAME?</v>
      </c>
      <c r="BI232" s="145" t="e">
        <f>Table7[[#This Row],[I_L]]+0.5*Table7[[#This Row],[I_L pkpk]]</f>
        <v>#NAME?</v>
      </c>
      <c r="BJ232" s="145">
        <f>IF(VACnom&gt;Vbat, (VGS_S-(C_MOSFET_S_VTH_H_BU+Table7[[#This Row],[I_L]]/C_MOSFET_S_gFS_H_BU))/3.4, (VGS_S-(C_MOSFET_S_VTH_L_BO+Table7[[#This Row],[I_L]]/C_MOSFET_S_gFS_L_BO))/3.4 )</f>
        <v>2.3351209150326797</v>
      </c>
      <c r="BK232" s="145">
        <f>IF(VACnom&gt;Vbat, ((C_MOSFET_S_VTH_H_BU+Table7[[#This Row],[I_L]]/C_MOSFET_S_gFS_H_BU))/1, ((C_MOSFET_S_VTH_L_BO+Table7[[#This Row],[I_L]]/C_MOSFET_S_gFS_L_BO))/1 )</f>
        <v>2.0605888888888888</v>
      </c>
      <c r="BL232" s="145">
        <f>IF(VACnom&gt;Vbat, (C_MOSFET_S_QGD_H_BU+C_MOSFET_S_QGS_H_BU)*10^-9/Table7[[#This Row],[Ion (A) C]], (C_MOSFET_S_QGD_L_BO+C_MOSFET_S_QGS_L_BO)*10^-9/Table7[[#This Row],[Ion (A) C]])/10^-9</f>
        <v>2.7835817657900739</v>
      </c>
      <c r="BM232" s="145">
        <f>IF(VACnom&gt;Vbat, (C_MOSFET_S_QGD_H_BU+C_MOSFET_S_QGS_H_BU)*10^-9/Table7[[#This Row],[Ioff (A) C]], (C_MOSFET_S_QGD_L_BO+C_MOSFET_S_QGS_L_BO)*10^-9/Table7[[#This Row],[Ioff (A) C]])/10^-9</f>
        <v>3.1544380516896462</v>
      </c>
      <c r="BN232" s="145" t="e">
        <f xml:space="preserve"> 0.5*VACnom*Table7[[#This Row],[Ivalley (A) C]]*Table7[[#This Row],[ton (ns) C]]*10^-9*Fsw*10^3+0.5*VACnom*Table7[[#This Row],[Ipeak (A) C]]*Table7[[#This Row],[toff (ns) C]]*10^-9*Fsw*10^3/10^-3</f>
        <v>#NAME?</v>
      </c>
      <c r="BO232" s="145">
        <f t="shared" si="49"/>
        <v>259.2</v>
      </c>
      <c r="BP232" s="145" t="e">
        <f t="shared" ca="1" si="50"/>
        <v>#REF!</v>
      </c>
      <c r="BQ232" s="145">
        <f t="shared" si="51"/>
        <v>475.2</v>
      </c>
      <c r="BR232" s="145" t="e">
        <f>IF(VACnom&gt;Vbat, C_MOSFET_S_VSD_L_BU*Table7[[#This Row],[Ivalley (A) C]]*Fsw*10^3*40*10^-9+C_MOSFET_S_VSD_L_BU*Table7[[#This Row],[Ipeak (A) C]]*Fsw*10^3*30*10^-9, C_MOSFET_S_VSD_H_BO*Table7[[#This Row],[Ivalley (A) C]]*Fsw*10^3*40*10^-9+C_MOSFET_S_VSD_H_BO*Table7[[#This Row],[Ipeak (A) C]]*Fsw*10^3*30*10^-9)/10^-3</f>
        <v>#NAME?</v>
      </c>
      <c r="BS232" s="145" t="e">
        <f t="shared" ca="1" si="52"/>
        <v>#REF!</v>
      </c>
      <c r="BT232" s="145" t="e">
        <f>IF(VACnom&lt;Vbat, Table7[[#This Row],[Duty Cycle]]*Table7[[#This Row],[I_L RMS]]^2*C_MOSFET_S_RDSON_H_BU*10^-3, (1-Table7[[#This Row],[Duty Cycle]])*Table7[[#This Row],[I_L RMS]]^2*C_MOSFET_S_RDSON_H_BO*10^-3)/10^-3</f>
        <v>#NAME?</v>
      </c>
      <c r="BU232" s="145" t="e">
        <f ca="1">IF(VACnom&gt;Vbat, Table7[[#This Row],[PIV (mW) C]]+Table7[[#This Row],[PQoss (mW) C]]+Table7[[#This Row],[Pgate_top (mW) C]], Table7[[#This Row],[PRR (mW) C]]+Table7[[#This Row],[Pdead (mW) C]]+Table7[[#This Row],[Pgate_top (mW) C]])</f>
        <v>#NAME?</v>
      </c>
      <c r="BV232" s="145" t="e">
        <f ca="1">Table7[[#This Row],[Pcon_top (mW) C]]+Table7[[#This Row],[Psw_top (mW) C]]</f>
        <v>#NAME?</v>
      </c>
      <c r="BW232" s="145" t="e">
        <f ca="1">IF(VACnom&gt;Vbat, (1-Table7[[#This Row],[Duty Cycle]])*Table7[[#This Row],[I_L RMS]]^2*C_MOSFET_S_RDSON_L_BU*10^-3, Table7[[#This Row],[Duty Cycle]]*Table7[[#This Row],[I_L RMS]]^2*C_MOSFET_S_RDSON_L_BO*10^-3)/10^-3</f>
        <v>#NAME?</v>
      </c>
      <c r="BX232" s="145" t="e">
        <f ca="1">IF(VACnom&gt;Vbat, Table7[[#This Row],[PRR (mW) C]]+Table7[[#This Row],[Pdead (mW) C]]+Table7[[#This Row],[Pgate_bottom (mW) C]], Table7[[#This Row],[PIV (mW) C]]+Table7[[#This Row],[PQoss (mW) C]]+Table7[[#This Row],[Pgate_bottom (mW) C]])</f>
        <v>#NAME?</v>
      </c>
      <c r="BY232" s="145" t="e">
        <f ca="1">Table7[[#This Row],[Pcon_bottom (mW) C]]+Table7[[#This Row],[Psw_bottom (mV) C]]</f>
        <v>#NAME?</v>
      </c>
      <c r="BZ232" s="145" t="e">
        <f ca="1">Table7[[#This Row],[Pbottom (mW) C]]+Table7[[#This Row],[Ptop (mW) C]]</f>
        <v>#NAME?</v>
      </c>
      <c r="CA232" s="148"/>
      <c r="CB232" s="144">
        <f>(RAC_SNS*10^-3*(Table7[[#This Row],[IOUT (A)]]*Vbat/VACnom)^2/10^-3)</f>
        <v>412.98901388888885</v>
      </c>
      <c r="CC232" s="144">
        <f>(RBAT_SNS*10^-3*Table7[[#This Row],[IOUT (A)]]^2)/10^-3</f>
        <v>288.8</v>
      </c>
      <c r="CD232" s="144">
        <f>IF(VACnom&gt;Vbat,(L_DRC*10^-3*(Table7[[#This Row],[IOUT (A)]])^2/10^-3),(L_DRC*10^-3*(Table7[[#This Row],[IOUT (A)]]*Vbat/VACnom)^2/10^-3))</f>
        <v>280.83252944444439</v>
      </c>
      <c r="CE232" s="152"/>
      <c r="CF232" s="145">
        <f>(Table7[[#This Row],[R_AC (mW)]]+Table7[[#This Row],[R_SR (mW)]]+Table7[[#This Row],[Inductor Loss (mW)]])/10^3</f>
        <v>0.98262154333333318</v>
      </c>
      <c r="CG232" s="145" t="e">
        <f ca="1">Table7[[#This Row],[Total TI (mW)]]/10^3</f>
        <v>#NAME?</v>
      </c>
      <c r="CH232" s="145" t="e">
        <f ca="1">Table7[[#This Row],[Total Sense Loss]]+Table7[[#This Row],[Total MOSFET Loss]]</f>
        <v>#NAME?</v>
      </c>
      <c r="CI232" s="149" t="e">
        <f ca="1">IF(Table7[[#This Row],[POUT (W)]]=0,0,(Table7[[#This Row],[POUT (W)]])/(Table7[[#This Row],[POUT (W)]]+Table7[[#This Row],[Total Power Loss (W)]]))*100</f>
        <v>#NAME?</v>
      </c>
      <c r="CJ232" s="153"/>
      <c r="CK232" s="145">
        <f>(Table7[[#This Row],[R_AC (mW)]]+Table7[[#This Row],[R_SR (mW)]]+Table7[[#This Row],[Inductor Loss (mW)]])/10^3</f>
        <v>0.98262154333333318</v>
      </c>
      <c r="CL232" s="145" t="e">
        <f ca="1">Table7[[#This Row],[Total (mW) C]]/10^3</f>
        <v>#NAME?</v>
      </c>
      <c r="CM232" s="145" t="e">
        <f ca="1">Table7[[#This Row],[Total Sense Loss C]]+Table7[[#This Row],[Total MOSFET Loss C]]</f>
        <v>#NAME?</v>
      </c>
      <c r="CN232" s="149" t="e">
        <f ca="1">IF(Table7[[#This Row],[POUT (W)]]=0,0,(Table7[[#This Row],[POUT (W)]])/(Table7[[#This Row],[POUT (W)]]+Table7[[#This Row],[Total Power Loss (W) C]]))*100</f>
        <v>#NAME?</v>
      </c>
      <c r="CO232" s="153"/>
      <c r="CP232" s="149">
        <f>IF(MOSFET_S=Custom_MOSFET,Table7[[#This Row],[Total Sense Loss C]],Table7[[#This Row],[Total Sense Loss]])</f>
        <v>0.98262154333333318</v>
      </c>
      <c r="CQ232" s="149" t="e">
        <f ca="1">IF(MOSFET_S=Custom_MOSFET,Table7[[#This Row],[Total MOSFET Loss C]],Table7[[#This Row],[Total MOSFET Loss]])</f>
        <v>#NAME?</v>
      </c>
      <c r="CR232" s="149" t="e">
        <f ca="1">IF(MOSFET_S=Custom_MOSFET,Table7[[#This Row],[Efficiency C]],Table7[[#This Row],[Efficiency]])</f>
        <v>#NAME?</v>
      </c>
      <c r="CS232" s="153"/>
      <c r="CT232" s="149">
        <f>IF(MOSFET_S=Compare_MOSFET, Table7[[#This Row],[Total Sense Loss C]], -100)</f>
        <v>-100</v>
      </c>
      <c r="CU232" s="149">
        <f>IF(MOSFET_S=Compare_MOSFET, Table7[[#This Row],[Total MOSFET Loss C]], -100)</f>
        <v>-100</v>
      </c>
      <c r="CV232" s="149">
        <f>IF(MOSFET_S=Compare_MOSFET, Table7[[#This Row],[Efficiency C]], -100)</f>
        <v>-100</v>
      </c>
      <c r="CW232" s="153"/>
      <c r="CX232" s="149">
        <f ca="1">IF(Save_Sel=CLR_Save,  Table7[[#This Row],[Total Sense Loss P1]], Table7[[#This Row],[Total Sense Loss P1 Saved]])</f>
        <v>0.82398249999999984</v>
      </c>
      <c r="CY232" s="149">
        <f ca="1">IF(Save_Sel=CLR_Save,  Table7[[#This Row],[Total MOSFET Loss P1]], Table7[[#This Row],[Total MOSFET Loss P1 Saved]] )</f>
        <v>2.1426707548723418</v>
      </c>
      <c r="CZ232" s="149">
        <f ca="1">IF(Save_Sel=CLR_Save, Table7[[#This Row],[Efficiency P1]], Table7[[#This Row],[Efficiency P1 Saved]])</f>
        <v>93.891583924254206</v>
      </c>
      <c r="DA232" s="153"/>
      <c r="DB232" s="149">
        <f ca="1">IF(Save_Sel=CLR_Save,  Table7[[#This Row],[Total Sense Loss P2]], Table7[[#This Row],[Total Sense Loss P2 Saved]])</f>
        <v>0.82398249999999984</v>
      </c>
      <c r="DC232" s="149">
        <f ca="1">IF(Save_Sel=CLR_Save,  Table7[[#This Row],[Total MOSFET Loss P2]], Table7[[#This Row],[Total MOSFET Loss P2 Saved]] )</f>
        <v>1.4835993718709073</v>
      </c>
      <c r="DD232" s="149">
        <f ca="1">IF(Save_Sel=CLR_Save, Table7[[#This Row],[Efficiency P2]], Table7[[#This Row],[Efficiency P2 Saved]])</f>
        <v>95.183263730483105</v>
      </c>
      <c r="DE232" s="153"/>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row>
    <row r="233" spans="1:165" x14ac:dyDescent="0.2">
      <c r="A233" s="67"/>
      <c r="B233" s="67"/>
      <c r="C233" s="67"/>
      <c r="D233" s="67"/>
      <c r="E233" s="67"/>
      <c r="F233" s="67"/>
      <c r="G233" s="67"/>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43">
        <f t="shared" si="54"/>
        <v>77</v>
      </c>
      <c r="AG233" s="143">
        <f t="shared" si="53"/>
        <v>7.7</v>
      </c>
      <c r="AH233" s="144">
        <f t="shared" si="42"/>
        <v>184.8</v>
      </c>
      <c r="AI233" s="145">
        <f t="shared" si="43"/>
        <v>0.16376306620209058</v>
      </c>
      <c r="AJ233" s="145">
        <f t="shared" si="44"/>
        <v>9.2079166666666659</v>
      </c>
      <c r="AK233" s="145" t="e">
        <f t="shared" si="40"/>
        <v>#NAME?</v>
      </c>
      <c r="AL233" s="145" t="e">
        <f t="shared" si="41"/>
        <v>#NAME?</v>
      </c>
      <c r="AM233" s="146"/>
      <c r="AN233" s="145" t="e">
        <f>MAX(0,Table7[[#This Row],[I_L]]-0.5*Table7[[#This Row],[I_L pkpk]])</f>
        <v>#NAME?</v>
      </c>
      <c r="AO233" s="145" t="e">
        <f>Table7[[#This Row],[I_L]]+0.5*Table7[[#This Row],[I_L pkpk]]</f>
        <v>#NAME?</v>
      </c>
      <c r="AP233" s="145" t="e">
        <f ca="1">IF(VACnom&gt;Vbat, (VGS_S-(TI_MOSFET_S_VTH_H_BU+Table7[[#This Row],[I_L]]/TI_MOSFET_S_gFS_H_BU))/3.4, (VGS_S-(TI_MOSFET_S_VTH_L_BO+Table7[[#This Row],[I_L]]/TI_MOSFET_S_gFS_L_BO))/3.4 )</f>
        <v>#REF!</v>
      </c>
      <c r="AQ233" s="145" t="e">
        <f ca="1">IF(VACnom&gt;Vbat, ((TI_MOSFET_S_VTH_H_BU+Table7[[#This Row],[I_L]]/TI_MOSFET_S_gFS_H_BU))/1, ((TI_MOSFET_S_VTH_L_BO+Table7[[#This Row],[I_L]]/TI_MOSFET_S_gFS_L_BO))/1 )</f>
        <v>#REF!</v>
      </c>
      <c r="AR233" s="145" t="e">
        <f ca="1">IF(VACnom&gt;Vbat, (TI_MOSFET_S_QGD_H_BU+TI_MOSFET_S_QGS_H_BU)*10^-9/Table7[[#This Row],[Ion (A)]], (TI_MOSFET_S_QGD_L_BO+TI_MOSFET_S_QGS_L_BO)*10^-9/Table7[[#This Row],[Ion (A)]])/10^-9</f>
        <v>#REF!</v>
      </c>
      <c r="AS233" s="145" t="e">
        <f ca="1">IF(VACnom&gt;Vbat, (TI_MOSFET_S_QGD_H_BU+TI_MOSFET_S_QGS_H_BU)*10^-9/Table7[[#This Row],[Ioff (A)]], (TI_MOSFET_S_QGD_L_BO+TI_MOSFET_S_QGS_L_BO)*10^-9/Table7[[#This Row],[Ioff (A)]])/10^-9</f>
        <v>#REF!</v>
      </c>
      <c r="AT233" s="145" t="e">
        <f ca="1" xml:space="preserve"> 0.5*VACnom*Table7[[#This Row],[Ivalley (A)]]*Table7[[#This Row],[ton (ns)]]*10^-9*Fsw*10^3+0.5*VACnom*Table7[[#This Row],[Ipeak (A)]]*Table7[[#This Row],[toff (ns)]]*10^-9*Fsw*10^3/10^-3</f>
        <v>#NAME?</v>
      </c>
      <c r="AU233" s="145" t="e">
        <f t="shared" ca="1" si="45"/>
        <v>#REF!</v>
      </c>
      <c r="AV233" s="145" t="e">
        <f t="shared" ca="1" si="46"/>
        <v>#REF!</v>
      </c>
      <c r="AW233" s="145" t="e">
        <f t="shared" ca="1" si="47"/>
        <v>#REF!</v>
      </c>
      <c r="AX233" s="145" t="e">
        <f ca="1">IF(VACnom&gt;Vbat, TI_MOSFET_S_VSD_L_BU*Table7[[#This Row],[Ivalley (A)]]*Fsw*10^3*40*10^-9+TI_MOSFET_S_VSD_L_BU*Table7[[#This Row],[Ipeak (A)]]*Fsw*10^3*30*10^-9, TI_MOSFET_S_VSD_H_BO*Table7[[#This Row],[Ivalley (A)]]*Fsw*10^3*40*10^-9+TI_MOSFET_S_VSD_H_BO*Table7[[#This Row],[Ipeak (A)]]*Fsw*10^3*30*10^-9)/10^-3</f>
        <v>#REF!</v>
      </c>
      <c r="AY233" s="145" t="e">
        <f t="shared" ca="1" si="48"/>
        <v>#REF!</v>
      </c>
      <c r="AZ233" s="145" t="e">
        <f ca="1">IF(VACnom&lt;Vbat, Table7[[#This Row],[Duty Cycle]]*Table7[[#This Row],[I_L RMS]]^2*TI_MOSFET_S_RDSON_H_BU*10^-3, (1-Table7[[#This Row],[Duty Cycle]])*Table7[[#This Row],[I_L RMS]]^2*TI_MOSFET_S_RDSON_H_BO*10^-3)/10^-3</f>
        <v>#NAME?</v>
      </c>
      <c r="BA233" s="145" t="e">
        <f ca="1">IF(VACnom&gt;Vbat, Table7[[#This Row],[PIV (mW)]]+Table7[[#This Row],[Pqoss (mW)]]+Table7[[#This Row],[Pgate_top (mW)]], Table7[[#This Row],[PRR (mW)]]+Table7[[#This Row],[Pdead (mW)]]+Table7[[#This Row],[Pgate_top (mW)]])</f>
        <v>#REF!</v>
      </c>
      <c r="BB233" s="145" t="e">
        <f ca="1">Table7[[#This Row],[Pcon_top (mW)]]+Table7[[#This Row],[Psw_top (mW)]]</f>
        <v>#NAME?</v>
      </c>
      <c r="BC233" s="145" t="e">
        <f ca="1">IF(VACnom&gt;Vbat, (1-Table7[[#This Row],[Duty Cycle]])*Table7[[#This Row],[I_L RMS]]^2*TI_MOSFET_S_RDSON_L_BU*10^-3, Table7[[#This Row],[Duty Cycle]]*Table7[[#This Row],[I_L RMS]]^2*TI_MOSFET_S_RDSON_L_BO*10^-3)/10^-3</f>
        <v>#NAME?</v>
      </c>
      <c r="BD233" s="145" t="e">
        <f ca="1">IF(VACnom&gt;Vbat, Table7[[#This Row],[PRR (mW)]]+Table7[[#This Row],[Pdead (mW)]]+Table7[[#This Row],[Pgate_bottom (mW)]], Table7[[#This Row],[PIV (mW)]]+Table7[[#This Row],[Pqoss (mW)]]+Table7[[#This Row],[Pgate_bottom (mW)]])</f>
        <v>#NAME?</v>
      </c>
      <c r="BE233" s="147" t="e">
        <f ca="1">Table7[[#This Row],[Pcon_bottom (mW)]]+Table7[[#This Row],[Psw_bottom (mW)]]</f>
        <v>#NAME?</v>
      </c>
      <c r="BF233" s="145" t="e">
        <f ca="1">Table7[[#This Row],[Pbottom (mW)]]+Table7[[#This Row],[Ptop (mW)]]</f>
        <v>#NAME?</v>
      </c>
      <c r="BG233" s="142"/>
      <c r="BH233" s="145" t="e">
        <f>MAX(0,Table7[[#This Row],[I_L]]-0.5*Table7[[#This Row],[I_L pkpk]])</f>
        <v>#NAME?</v>
      </c>
      <c r="BI233" s="145" t="e">
        <f>Table7[[#This Row],[I_L]]+0.5*Table7[[#This Row],[I_L pkpk]]</f>
        <v>#NAME?</v>
      </c>
      <c r="BJ233" s="145">
        <f>IF(VACnom&gt;Vbat, (VGS_S-(C_MOSFET_S_VTH_H_BU+Table7[[#This Row],[I_L]]/C_MOSFET_S_gFS_H_BU))/3.4, (VGS_S-(C_MOSFET_S_VTH_L_BO+Table7[[#This Row],[I_L]]/C_MOSFET_S_gFS_L_BO))/3.4 )</f>
        <v>2.3348864379084966</v>
      </c>
      <c r="BK233" s="145">
        <f>IF(VACnom&gt;Vbat, ((C_MOSFET_S_VTH_H_BU+Table7[[#This Row],[I_L]]/C_MOSFET_S_gFS_H_BU))/1, ((C_MOSFET_S_VTH_L_BO+Table7[[#This Row],[I_L]]/C_MOSFET_S_gFS_L_BO))/1 )</f>
        <v>2.0613861111111111</v>
      </c>
      <c r="BL233" s="145">
        <f>IF(VACnom&gt;Vbat, (C_MOSFET_S_QGD_H_BU+C_MOSFET_S_QGS_H_BU)*10^-9/Table7[[#This Row],[Ion (A) C]], (C_MOSFET_S_QGD_L_BO+C_MOSFET_S_QGS_L_BO)*10^-9/Table7[[#This Row],[Ion (A) C]])/10^-9</f>
        <v>2.7838613024034076</v>
      </c>
      <c r="BM233" s="145">
        <f>IF(VACnom&gt;Vbat, (C_MOSFET_S_QGD_H_BU+C_MOSFET_S_QGS_H_BU)*10^-9/Table7[[#This Row],[Ioff (A) C]], (C_MOSFET_S_QGD_L_BO+C_MOSFET_S_QGS_L_BO)*10^-9/Table7[[#This Row],[Ioff (A) C]])/10^-9</f>
        <v>3.1532181016279499</v>
      </c>
      <c r="BN233" s="145" t="e">
        <f xml:space="preserve"> 0.5*VACnom*Table7[[#This Row],[Ivalley (A) C]]*Table7[[#This Row],[ton (ns) C]]*10^-9*Fsw*10^3+0.5*VACnom*Table7[[#This Row],[Ipeak (A) C]]*Table7[[#This Row],[toff (ns) C]]*10^-9*Fsw*10^3/10^-3</f>
        <v>#NAME?</v>
      </c>
      <c r="BO233" s="145">
        <f t="shared" si="49"/>
        <v>259.2</v>
      </c>
      <c r="BP233" s="145" t="e">
        <f t="shared" ca="1" si="50"/>
        <v>#REF!</v>
      </c>
      <c r="BQ233" s="145">
        <f t="shared" si="51"/>
        <v>475.2</v>
      </c>
      <c r="BR233" s="145" t="e">
        <f>IF(VACnom&gt;Vbat, C_MOSFET_S_VSD_L_BU*Table7[[#This Row],[Ivalley (A) C]]*Fsw*10^3*40*10^-9+C_MOSFET_S_VSD_L_BU*Table7[[#This Row],[Ipeak (A) C]]*Fsw*10^3*30*10^-9, C_MOSFET_S_VSD_H_BO*Table7[[#This Row],[Ivalley (A) C]]*Fsw*10^3*40*10^-9+C_MOSFET_S_VSD_H_BO*Table7[[#This Row],[Ipeak (A) C]]*Fsw*10^3*30*10^-9)/10^-3</f>
        <v>#NAME?</v>
      </c>
      <c r="BS233" s="145" t="e">
        <f t="shared" ca="1" si="52"/>
        <v>#REF!</v>
      </c>
      <c r="BT233" s="145" t="e">
        <f>IF(VACnom&lt;Vbat, Table7[[#This Row],[Duty Cycle]]*Table7[[#This Row],[I_L RMS]]^2*C_MOSFET_S_RDSON_H_BU*10^-3, (1-Table7[[#This Row],[Duty Cycle]])*Table7[[#This Row],[I_L RMS]]^2*C_MOSFET_S_RDSON_H_BO*10^-3)/10^-3</f>
        <v>#NAME?</v>
      </c>
      <c r="BU233" s="145" t="e">
        <f ca="1">IF(VACnom&gt;Vbat, Table7[[#This Row],[PIV (mW) C]]+Table7[[#This Row],[PQoss (mW) C]]+Table7[[#This Row],[Pgate_top (mW) C]], Table7[[#This Row],[PRR (mW) C]]+Table7[[#This Row],[Pdead (mW) C]]+Table7[[#This Row],[Pgate_top (mW) C]])</f>
        <v>#NAME?</v>
      </c>
      <c r="BV233" s="145" t="e">
        <f ca="1">Table7[[#This Row],[Pcon_top (mW) C]]+Table7[[#This Row],[Psw_top (mW) C]]</f>
        <v>#NAME?</v>
      </c>
      <c r="BW233" s="145" t="e">
        <f ca="1">IF(VACnom&gt;Vbat, (1-Table7[[#This Row],[Duty Cycle]])*Table7[[#This Row],[I_L RMS]]^2*C_MOSFET_S_RDSON_L_BU*10^-3, Table7[[#This Row],[Duty Cycle]]*Table7[[#This Row],[I_L RMS]]^2*C_MOSFET_S_RDSON_L_BO*10^-3)/10^-3</f>
        <v>#NAME?</v>
      </c>
      <c r="BX233" s="145" t="e">
        <f ca="1">IF(VACnom&gt;Vbat, Table7[[#This Row],[PRR (mW) C]]+Table7[[#This Row],[Pdead (mW) C]]+Table7[[#This Row],[Pgate_bottom (mW) C]], Table7[[#This Row],[PIV (mW) C]]+Table7[[#This Row],[PQoss (mW) C]]+Table7[[#This Row],[Pgate_bottom (mW) C]])</f>
        <v>#NAME?</v>
      </c>
      <c r="BY233" s="145" t="e">
        <f ca="1">Table7[[#This Row],[Pcon_bottom (mW) C]]+Table7[[#This Row],[Psw_bottom (mV) C]]</f>
        <v>#NAME?</v>
      </c>
      <c r="BZ233" s="145" t="e">
        <f ca="1">Table7[[#This Row],[Pbottom (mW) C]]+Table7[[#This Row],[Ptop (mW) C]]</f>
        <v>#NAME?</v>
      </c>
      <c r="CA233" s="148"/>
      <c r="CB233" s="144">
        <f>(RAC_SNS*10^-3*(Table7[[#This Row],[IOUT (A)]]*Vbat/VACnom)^2/10^-3)</f>
        <v>423.92864670138897</v>
      </c>
      <c r="CC233" s="144">
        <f>(RBAT_SNS*10^-3*Table7[[#This Row],[IOUT (A)]]^2)/10^-3</f>
        <v>296.45000000000005</v>
      </c>
      <c r="CD233" s="144">
        <f>IF(VACnom&gt;Vbat,(L_DRC*10^-3*(Table7[[#This Row],[IOUT (A)]])^2/10^-3),(L_DRC*10^-3*(Table7[[#This Row],[IOUT (A)]]*Vbat/VACnom)^2/10^-3))</f>
        <v>288.27147975694447</v>
      </c>
      <c r="CE233" s="152"/>
      <c r="CF233" s="145">
        <f>(Table7[[#This Row],[R_AC (mW)]]+Table7[[#This Row],[R_SR (mW)]]+Table7[[#This Row],[Inductor Loss (mW)]])/10^3</f>
        <v>1.0086501264583334</v>
      </c>
      <c r="CG233" s="145" t="e">
        <f ca="1">Table7[[#This Row],[Total TI (mW)]]/10^3</f>
        <v>#NAME?</v>
      </c>
      <c r="CH233" s="145" t="e">
        <f ca="1">Table7[[#This Row],[Total Sense Loss]]+Table7[[#This Row],[Total MOSFET Loss]]</f>
        <v>#NAME?</v>
      </c>
      <c r="CI233" s="149" t="e">
        <f ca="1">IF(Table7[[#This Row],[POUT (W)]]=0,0,(Table7[[#This Row],[POUT (W)]])/(Table7[[#This Row],[POUT (W)]]+Table7[[#This Row],[Total Power Loss (W)]]))*100</f>
        <v>#NAME?</v>
      </c>
      <c r="CJ233" s="153"/>
      <c r="CK233" s="145">
        <f>(Table7[[#This Row],[R_AC (mW)]]+Table7[[#This Row],[R_SR (mW)]]+Table7[[#This Row],[Inductor Loss (mW)]])/10^3</f>
        <v>1.0086501264583334</v>
      </c>
      <c r="CL233" s="145" t="e">
        <f ca="1">Table7[[#This Row],[Total (mW) C]]/10^3</f>
        <v>#NAME?</v>
      </c>
      <c r="CM233" s="145" t="e">
        <f ca="1">Table7[[#This Row],[Total Sense Loss C]]+Table7[[#This Row],[Total MOSFET Loss C]]</f>
        <v>#NAME?</v>
      </c>
      <c r="CN233" s="149" t="e">
        <f ca="1">IF(Table7[[#This Row],[POUT (W)]]=0,0,(Table7[[#This Row],[POUT (W)]])/(Table7[[#This Row],[POUT (W)]]+Table7[[#This Row],[Total Power Loss (W) C]]))*100</f>
        <v>#NAME?</v>
      </c>
      <c r="CO233" s="153"/>
      <c r="CP233" s="149">
        <f>IF(MOSFET_S=Custom_MOSFET,Table7[[#This Row],[Total Sense Loss C]],Table7[[#This Row],[Total Sense Loss]])</f>
        <v>1.0086501264583334</v>
      </c>
      <c r="CQ233" s="149" t="e">
        <f ca="1">IF(MOSFET_S=Custom_MOSFET,Table7[[#This Row],[Total MOSFET Loss C]],Table7[[#This Row],[Total MOSFET Loss]])</f>
        <v>#NAME?</v>
      </c>
      <c r="CR233" s="149" t="e">
        <f ca="1">IF(MOSFET_S=Custom_MOSFET,Table7[[#This Row],[Efficiency C]],Table7[[#This Row],[Efficiency]])</f>
        <v>#NAME?</v>
      </c>
      <c r="CS233" s="153"/>
      <c r="CT233" s="149">
        <f>IF(MOSFET_S=Compare_MOSFET, Table7[[#This Row],[Total Sense Loss C]], -100)</f>
        <v>-100</v>
      </c>
      <c r="CU233" s="149">
        <f>IF(MOSFET_S=Compare_MOSFET, Table7[[#This Row],[Total MOSFET Loss C]], -100)</f>
        <v>-100</v>
      </c>
      <c r="CV233" s="149">
        <f>IF(MOSFET_S=Compare_MOSFET, Table7[[#This Row],[Efficiency C]], -100)</f>
        <v>-100</v>
      </c>
      <c r="CW233" s="153"/>
      <c r="CX233" s="149">
        <f ca="1">IF(Save_Sel=CLR_Save,  Table7[[#This Row],[Total Sense Loss P1]], Table7[[#This Row],[Total Sense Loss P1 Saved]])</f>
        <v>0.84580890625000005</v>
      </c>
      <c r="CY233" s="149">
        <f ca="1">IF(Save_Sel=CLR_Save,  Table7[[#This Row],[Total MOSFET Loss P1]], Table7[[#This Row],[Total MOSFET Loss P1 Saved]] )</f>
        <v>2.153775491613835</v>
      </c>
      <c r="CZ233" s="149">
        <f ca="1">IF(Save_Sel=CLR_Save, Table7[[#This Row],[Efficiency P1]], Table7[[#This Row],[Efficiency P1 Saved]])</f>
        <v>93.903232243575474</v>
      </c>
      <c r="DA233" s="153"/>
      <c r="DB233" s="149">
        <f ca="1">IF(Save_Sel=CLR_Save,  Table7[[#This Row],[Total Sense Loss P2]], Table7[[#This Row],[Total Sense Loss P2 Saved]])</f>
        <v>0.84580890625000005</v>
      </c>
      <c r="DC233" s="149">
        <f ca="1">IF(Save_Sel=CLR_Save,  Table7[[#This Row],[Total MOSFET Loss P2]], Table7[[#This Row],[Total MOSFET Loss P2 Saved]] )</f>
        <v>1.4936200855771873</v>
      </c>
      <c r="DD233" s="149">
        <f ca="1">IF(Save_Sel=CLR_Save, Table7[[#This Row],[Efficiency P2]], Table7[[#This Row],[Efficiency P2 Saved]])</f>
        <v>95.180353291298317</v>
      </c>
      <c r="DE233" s="153"/>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row>
    <row r="234" spans="1:165" x14ac:dyDescent="0.2">
      <c r="A234" s="67"/>
      <c r="B234" s="67"/>
      <c r="C234" s="67"/>
      <c r="D234" s="67"/>
      <c r="E234" s="67"/>
      <c r="F234" s="67"/>
      <c r="G234" s="67"/>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43">
        <f t="shared" si="54"/>
        <v>78</v>
      </c>
      <c r="AG234" s="143">
        <f t="shared" si="53"/>
        <v>7.8</v>
      </c>
      <c r="AH234" s="144">
        <f t="shared" si="42"/>
        <v>187.2</v>
      </c>
      <c r="AI234" s="145">
        <f t="shared" si="43"/>
        <v>0.16376306620209058</v>
      </c>
      <c r="AJ234" s="145">
        <f t="shared" si="44"/>
        <v>9.3274999999999988</v>
      </c>
      <c r="AK234" s="145" t="e">
        <f t="shared" si="40"/>
        <v>#NAME?</v>
      </c>
      <c r="AL234" s="145" t="e">
        <f t="shared" si="41"/>
        <v>#NAME?</v>
      </c>
      <c r="AM234" s="146"/>
      <c r="AN234" s="145" t="e">
        <f>MAX(0,Table7[[#This Row],[I_L]]-0.5*Table7[[#This Row],[I_L pkpk]])</f>
        <v>#NAME?</v>
      </c>
      <c r="AO234" s="145" t="e">
        <f>Table7[[#This Row],[I_L]]+0.5*Table7[[#This Row],[I_L pkpk]]</f>
        <v>#NAME?</v>
      </c>
      <c r="AP234" s="145" t="e">
        <f ca="1">IF(VACnom&gt;Vbat, (VGS_S-(TI_MOSFET_S_VTH_H_BU+Table7[[#This Row],[I_L]]/TI_MOSFET_S_gFS_H_BU))/3.4, (VGS_S-(TI_MOSFET_S_VTH_L_BO+Table7[[#This Row],[I_L]]/TI_MOSFET_S_gFS_L_BO))/3.4 )</f>
        <v>#REF!</v>
      </c>
      <c r="AQ234" s="145" t="e">
        <f ca="1">IF(VACnom&gt;Vbat, ((TI_MOSFET_S_VTH_H_BU+Table7[[#This Row],[I_L]]/TI_MOSFET_S_gFS_H_BU))/1, ((TI_MOSFET_S_VTH_L_BO+Table7[[#This Row],[I_L]]/TI_MOSFET_S_gFS_L_BO))/1 )</f>
        <v>#REF!</v>
      </c>
      <c r="AR234" s="145" t="e">
        <f ca="1">IF(VACnom&gt;Vbat, (TI_MOSFET_S_QGD_H_BU+TI_MOSFET_S_QGS_H_BU)*10^-9/Table7[[#This Row],[Ion (A)]], (TI_MOSFET_S_QGD_L_BO+TI_MOSFET_S_QGS_L_BO)*10^-9/Table7[[#This Row],[Ion (A)]])/10^-9</f>
        <v>#REF!</v>
      </c>
      <c r="AS234" s="145" t="e">
        <f ca="1">IF(VACnom&gt;Vbat, (TI_MOSFET_S_QGD_H_BU+TI_MOSFET_S_QGS_H_BU)*10^-9/Table7[[#This Row],[Ioff (A)]], (TI_MOSFET_S_QGD_L_BO+TI_MOSFET_S_QGS_L_BO)*10^-9/Table7[[#This Row],[Ioff (A)]])/10^-9</f>
        <v>#REF!</v>
      </c>
      <c r="AT234" s="145" t="e">
        <f ca="1" xml:space="preserve"> 0.5*VACnom*Table7[[#This Row],[Ivalley (A)]]*Table7[[#This Row],[ton (ns)]]*10^-9*Fsw*10^3+0.5*VACnom*Table7[[#This Row],[Ipeak (A)]]*Table7[[#This Row],[toff (ns)]]*10^-9*Fsw*10^3/10^-3</f>
        <v>#NAME?</v>
      </c>
      <c r="AU234" s="145" t="e">
        <f t="shared" ca="1" si="45"/>
        <v>#REF!</v>
      </c>
      <c r="AV234" s="145" t="e">
        <f t="shared" ca="1" si="46"/>
        <v>#REF!</v>
      </c>
      <c r="AW234" s="145" t="e">
        <f t="shared" ca="1" si="47"/>
        <v>#REF!</v>
      </c>
      <c r="AX234" s="145" t="e">
        <f ca="1">IF(VACnom&gt;Vbat, TI_MOSFET_S_VSD_L_BU*Table7[[#This Row],[Ivalley (A)]]*Fsw*10^3*40*10^-9+TI_MOSFET_S_VSD_L_BU*Table7[[#This Row],[Ipeak (A)]]*Fsw*10^3*30*10^-9, TI_MOSFET_S_VSD_H_BO*Table7[[#This Row],[Ivalley (A)]]*Fsw*10^3*40*10^-9+TI_MOSFET_S_VSD_H_BO*Table7[[#This Row],[Ipeak (A)]]*Fsw*10^3*30*10^-9)/10^-3</f>
        <v>#REF!</v>
      </c>
      <c r="AY234" s="145" t="e">
        <f t="shared" ca="1" si="48"/>
        <v>#REF!</v>
      </c>
      <c r="AZ234" s="145" t="e">
        <f ca="1">IF(VACnom&lt;Vbat, Table7[[#This Row],[Duty Cycle]]*Table7[[#This Row],[I_L RMS]]^2*TI_MOSFET_S_RDSON_H_BU*10^-3, (1-Table7[[#This Row],[Duty Cycle]])*Table7[[#This Row],[I_L RMS]]^2*TI_MOSFET_S_RDSON_H_BO*10^-3)/10^-3</f>
        <v>#NAME?</v>
      </c>
      <c r="BA234" s="145" t="e">
        <f ca="1">IF(VACnom&gt;Vbat, Table7[[#This Row],[PIV (mW)]]+Table7[[#This Row],[Pqoss (mW)]]+Table7[[#This Row],[Pgate_top (mW)]], Table7[[#This Row],[PRR (mW)]]+Table7[[#This Row],[Pdead (mW)]]+Table7[[#This Row],[Pgate_top (mW)]])</f>
        <v>#REF!</v>
      </c>
      <c r="BB234" s="145" t="e">
        <f ca="1">Table7[[#This Row],[Pcon_top (mW)]]+Table7[[#This Row],[Psw_top (mW)]]</f>
        <v>#NAME?</v>
      </c>
      <c r="BC234" s="145" t="e">
        <f ca="1">IF(VACnom&gt;Vbat, (1-Table7[[#This Row],[Duty Cycle]])*Table7[[#This Row],[I_L RMS]]^2*TI_MOSFET_S_RDSON_L_BU*10^-3, Table7[[#This Row],[Duty Cycle]]*Table7[[#This Row],[I_L RMS]]^2*TI_MOSFET_S_RDSON_L_BO*10^-3)/10^-3</f>
        <v>#NAME?</v>
      </c>
      <c r="BD234" s="145" t="e">
        <f ca="1">IF(VACnom&gt;Vbat, Table7[[#This Row],[PRR (mW)]]+Table7[[#This Row],[Pdead (mW)]]+Table7[[#This Row],[Pgate_bottom (mW)]], Table7[[#This Row],[PIV (mW)]]+Table7[[#This Row],[Pqoss (mW)]]+Table7[[#This Row],[Pgate_bottom (mW)]])</f>
        <v>#NAME?</v>
      </c>
      <c r="BE234" s="147" t="e">
        <f ca="1">Table7[[#This Row],[Pcon_bottom (mW)]]+Table7[[#This Row],[Psw_bottom (mW)]]</f>
        <v>#NAME?</v>
      </c>
      <c r="BF234" s="145" t="e">
        <f ca="1">Table7[[#This Row],[Pbottom (mW)]]+Table7[[#This Row],[Ptop (mW)]]</f>
        <v>#NAME?</v>
      </c>
      <c r="BG234" s="142"/>
      <c r="BH234" s="145" t="e">
        <f>MAX(0,Table7[[#This Row],[I_L]]-0.5*Table7[[#This Row],[I_L pkpk]])</f>
        <v>#NAME?</v>
      </c>
      <c r="BI234" s="145" t="e">
        <f>Table7[[#This Row],[I_L]]+0.5*Table7[[#This Row],[I_L pkpk]]</f>
        <v>#NAME?</v>
      </c>
      <c r="BJ234" s="145">
        <f>IF(VACnom&gt;Vbat, (VGS_S-(C_MOSFET_S_VTH_H_BU+Table7[[#This Row],[I_L]]/C_MOSFET_S_gFS_H_BU))/3.4, (VGS_S-(C_MOSFET_S_VTH_L_BO+Table7[[#This Row],[I_L]]/C_MOSFET_S_gFS_L_BO))/3.4 )</f>
        <v>2.3346519607843139</v>
      </c>
      <c r="BK234" s="145">
        <f>IF(VACnom&gt;Vbat, ((C_MOSFET_S_VTH_H_BU+Table7[[#This Row],[I_L]]/C_MOSFET_S_gFS_H_BU))/1, ((C_MOSFET_S_VTH_L_BO+Table7[[#This Row],[I_L]]/C_MOSFET_S_gFS_L_BO))/1 )</f>
        <v>2.0621833333333335</v>
      </c>
      <c r="BL234" s="145">
        <f>IF(VACnom&gt;Vbat, (C_MOSFET_S_QGD_H_BU+C_MOSFET_S_QGS_H_BU)*10^-9/Table7[[#This Row],[Ion (A) C]], (C_MOSFET_S_QGD_L_BO+C_MOSFET_S_QGS_L_BO)*10^-9/Table7[[#This Row],[Ion (A) C]])/10^-9</f>
        <v>2.7841408951663866</v>
      </c>
      <c r="BM234" s="145">
        <f>IF(VACnom&gt;Vbat, (C_MOSFET_S_QGD_H_BU+C_MOSFET_S_QGS_H_BU)*10^-9/Table7[[#This Row],[Ioff (A) C]], (C_MOSFET_S_QGD_L_BO+C_MOSFET_S_QGS_L_BO)*10^-9/Table7[[#This Row],[Ioff (A) C]])/10^-9</f>
        <v>3.1519990948105159</v>
      </c>
      <c r="BN234" s="145" t="e">
        <f xml:space="preserve"> 0.5*VACnom*Table7[[#This Row],[Ivalley (A) C]]*Table7[[#This Row],[ton (ns) C]]*10^-9*Fsw*10^3+0.5*VACnom*Table7[[#This Row],[Ipeak (A) C]]*Table7[[#This Row],[toff (ns) C]]*10^-9*Fsw*10^3/10^-3</f>
        <v>#NAME?</v>
      </c>
      <c r="BO234" s="145">
        <f t="shared" si="49"/>
        <v>259.2</v>
      </c>
      <c r="BP234" s="145" t="e">
        <f t="shared" ca="1" si="50"/>
        <v>#REF!</v>
      </c>
      <c r="BQ234" s="145">
        <f t="shared" si="51"/>
        <v>475.2</v>
      </c>
      <c r="BR234" s="145" t="e">
        <f>IF(VACnom&gt;Vbat, C_MOSFET_S_VSD_L_BU*Table7[[#This Row],[Ivalley (A) C]]*Fsw*10^3*40*10^-9+C_MOSFET_S_VSD_L_BU*Table7[[#This Row],[Ipeak (A) C]]*Fsw*10^3*30*10^-9, C_MOSFET_S_VSD_H_BO*Table7[[#This Row],[Ivalley (A) C]]*Fsw*10^3*40*10^-9+C_MOSFET_S_VSD_H_BO*Table7[[#This Row],[Ipeak (A) C]]*Fsw*10^3*30*10^-9)/10^-3</f>
        <v>#NAME?</v>
      </c>
      <c r="BS234" s="145" t="e">
        <f t="shared" ca="1" si="52"/>
        <v>#REF!</v>
      </c>
      <c r="BT234" s="145" t="e">
        <f>IF(VACnom&lt;Vbat, Table7[[#This Row],[Duty Cycle]]*Table7[[#This Row],[I_L RMS]]^2*C_MOSFET_S_RDSON_H_BU*10^-3, (1-Table7[[#This Row],[Duty Cycle]])*Table7[[#This Row],[I_L RMS]]^2*C_MOSFET_S_RDSON_H_BO*10^-3)/10^-3</f>
        <v>#NAME?</v>
      </c>
      <c r="BU234" s="145" t="e">
        <f ca="1">IF(VACnom&gt;Vbat, Table7[[#This Row],[PIV (mW) C]]+Table7[[#This Row],[PQoss (mW) C]]+Table7[[#This Row],[Pgate_top (mW) C]], Table7[[#This Row],[PRR (mW) C]]+Table7[[#This Row],[Pdead (mW) C]]+Table7[[#This Row],[Pgate_top (mW) C]])</f>
        <v>#NAME?</v>
      </c>
      <c r="BV234" s="145" t="e">
        <f ca="1">Table7[[#This Row],[Pcon_top (mW) C]]+Table7[[#This Row],[Psw_top (mW) C]]</f>
        <v>#NAME?</v>
      </c>
      <c r="BW234" s="145" t="e">
        <f ca="1">IF(VACnom&gt;Vbat, (1-Table7[[#This Row],[Duty Cycle]])*Table7[[#This Row],[I_L RMS]]^2*C_MOSFET_S_RDSON_L_BU*10^-3, Table7[[#This Row],[Duty Cycle]]*Table7[[#This Row],[I_L RMS]]^2*C_MOSFET_S_RDSON_L_BO*10^-3)/10^-3</f>
        <v>#NAME?</v>
      </c>
      <c r="BX234" s="145" t="e">
        <f ca="1">IF(VACnom&gt;Vbat, Table7[[#This Row],[PRR (mW) C]]+Table7[[#This Row],[Pdead (mW) C]]+Table7[[#This Row],[Pgate_bottom (mW) C]], Table7[[#This Row],[PIV (mW) C]]+Table7[[#This Row],[PQoss (mW) C]]+Table7[[#This Row],[Pgate_bottom (mW) C]])</f>
        <v>#NAME?</v>
      </c>
      <c r="BY234" s="145" t="e">
        <f ca="1">Table7[[#This Row],[Pcon_bottom (mW) C]]+Table7[[#This Row],[Psw_bottom (mV) C]]</f>
        <v>#NAME?</v>
      </c>
      <c r="BZ234" s="145" t="e">
        <f ca="1">Table7[[#This Row],[Pbottom (mW) C]]+Table7[[#This Row],[Ptop (mW) C]]</f>
        <v>#NAME?</v>
      </c>
      <c r="CA234" s="148"/>
      <c r="CB234" s="144">
        <f>(RAC_SNS*10^-3*(Table7[[#This Row],[IOUT (A)]]*Vbat/VACnom)^2/10^-3)</f>
        <v>435.01128124999985</v>
      </c>
      <c r="CC234" s="144">
        <f>(RBAT_SNS*10^-3*Table7[[#This Row],[IOUT (A)]]^2)/10^-3</f>
        <v>304.2</v>
      </c>
      <c r="CD234" s="144">
        <f>IF(VACnom&gt;Vbat,(L_DRC*10^-3*(Table7[[#This Row],[IOUT (A)]])^2/10^-3),(L_DRC*10^-3*(Table7[[#This Row],[IOUT (A)]]*Vbat/VACnom)^2/10^-3))</f>
        <v>295.80767124999988</v>
      </c>
      <c r="CE234" s="152"/>
      <c r="CF234" s="145">
        <f>(Table7[[#This Row],[R_AC (mW)]]+Table7[[#This Row],[R_SR (mW)]]+Table7[[#This Row],[Inductor Loss (mW)]])/10^3</f>
        <v>1.0350189524999995</v>
      </c>
      <c r="CG234" s="145" t="e">
        <f ca="1">Table7[[#This Row],[Total TI (mW)]]/10^3</f>
        <v>#NAME?</v>
      </c>
      <c r="CH234" s="145" t="e">
        <f ca="1">Table7[[#This Row],[Total Sense Loss]]+Table7[[#This Row],[Total MOSFET Loss]]</f>
        <v>#NAME?</v>
      </c>
      <c r="CI234" s="149" t="e">
        <f ca="1">IF(Table7[[#This Row],[POUT (W)]]=0,0,(Table7[[#This Row],[POUT (W)]])/(Table7[[#This Row],[POUT (W)]]+Table7[[#This Row],[Total Power Loss (W)]]))*100</f>
        <v>#NAME?</v>
      </c>
      <c r="CJ234" s="153"/>
      <c r="CK234" s="145">
        <f>(Table7[[#This Row],[R_AC (mW)]]+Table7[[#This Row],[R_SR (mW)]]+Table7[[#This Row],[Inductor Loss (mW)]])/10^3</f>
        <v>1.0350189524999995</v>
      </c>
      <c r="CL234" s="145" t="e">
        <f ca="1">Table7[[#This Row],[Total (mW) C]]/10^3</f>
        <v>#NAME?</v>
      </c>
      <c r="CM234" s="145" t="e">
        <f ca="1">Table7[[#This Row],[Total Sense Loss C]]+Table7[[#This Row],[Total MOSFET Loss C]]</f>
        <v>#NAME?</v>
      </c>
      <c r="CN234" s="149" t="e">
        <f ca="1">IF(Table7[[#This Row],[POUT (W)]]=0,0,(Table7[[#This Row],[POUT (W)]])/(Table7[[#This Row],[POUT (W)]]+Table7[[#This Row],[Total Power Loss (W) C]]))*100</f>
        <v>#NAME?</v>
      </c>
      <c r="CO234" s="153"/>
      <c r="CP234" s="149">
        <f>IF(MOSFET_S=Custom_MOSFET,Table7[[#This Row],[Total Sense Loss C]],Table7[[#This Row],[Total Sense Loss]])</f>
        <v>1.0350189524999995</v>
      </c>
      <c r="CQ234" s="149" t="e">
        <f ca="1">IF(MOSFET_S=Custom_MOSFET,Table7[[#This Row],[Total MOSFET Loss C]],Table7[[#This Row],[Total MOSFET Loss]])</f>
        <v>#NAME?</v>
      </c>
      <c r="CR234" s="149" t="e">
        <f ca="1">IF(MOSFET_S=Custom_MOSFET,Table7[[#This Row],[Efficiency C]],Table7[[#This Row],[Efficiency]])</f>
        <v>#NAME?</v>
      </c>
      <c r="CS234" s="153"/>
      <c r="CT234" s="149">
        <f>IF(MOSFET_S=Compare_MOSFET, Table7[[#This Row],[Total Sense Loss C]], -100)</f>
        <v>-100</v>
      </c>
      <c r="CU234" s="149">
        <f>IF(MOSFET_S=Compare_MOSFET, Table7[[#This Row],[Total MOSFET Loss C]], -100)</f>
        <v>-100</v>
      </c>
      <c r="CV234" s="149">
        <f>IF(MOSFET_S=Compare_MOSFET, Table7[[#This Row],[Efficiency C]], -100)</f>
        <v>-100</v>
      </c>
      <c r="CW234" s="153"/>
      <c r="CX234" s="149">
        <f ca="1">IF(Save_Sel=CLR_Save,  Table7[[#This Row],[Total Sense Loss P1]], Table7[[#This Row],[Total Sense Loss P1 Saved]])</f>
        <v>0.867920625</v>
      </c>
      <c r="CY234" s="149">
        <f ca="1">IF(Save_Sel=CLR_Save,  Table7[[#This Row],[Total MOSFET Loss P1]], Table7[[#This Row],[Total MOSFET Loss P1 Saved]] )</f>
        <v>2.1649231813987191</v>
      </c>
      <c r="CZ234" s="149">
        <f ca="1">IF(Save_Sel=CLR_Save, Table7[[#This Row],[Efficiency P1]], Table7[[#This Row],[Efficiency P1 Saved]])</f>
        <v>93.913966021723823</v>
      </c>
      <c r="DA234" s="153"/>
      <c r="DB234" s="149">
        <f ca="1">IF(Save_Sel=CLR_Save,  Table7[[#This Row],[Total Sense Loss P2]], Table7[[#This Row],[Total Sense Loss P2 Saved]])</f>
        <v>0.867920625</v>
      </c>
      <c r="DC234" s="149">
        <f ca="1">IF(Save_Sel=CLR_Save,  Table7[[#This Row],[Total MOSFET Loss P2]], Table7[[#This Row],[Total MOSFET Loss P2 Saved]] )</f>
        <v>1.503719977133303</v>
      </c>
      <c r="DD234" s="149">
        <f ca="1">IF(Save_Sel=CLR_Save, Table7[[#This Row],[Efficiency P2]], Table7[[#This Row],[Efficiency P2 Saved]])</f>
        <v>95.176812135834226</v>
      </c>
      <c r="DE234" s="153"/>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row>
    <row r="235" spans="1:165" x14ac:dyDescent="0.2">
      <c r="A235" s="67"/>
      <c r="B235" s="67"/>
      <c r="C235" s="67"/>
      <c r="D235" s="67"/>
      <c r="E235" s="67"/>
      <c r="F235" s="67"/>
      <c r="G235" s="67"/>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43">
        <f t="shared" si="54"/>
        <v>79</v>
      </c>
      <c r="AG235" s="143">
        <f t="shared" si="53"/>
        <v>7.9</v>
      </c>
      <c r="AH235" s="144">
        <f t="shared" si="42"/>
        <v>189.60000000000002</v>
      </c>
      <c r="AI235" s="145">
        <f t="shared" si="43"/>
        <v>0.16376306620209058</v>
      </c>
      <c r="AJ235" s="145">
        <f t="shared" si="44"/>
        <v>9.4470833333333335</v>
      </c>
      <c r="AK235" s="145" t="e">
        <f t="shared" si="40"/>
        <v>#NAME?</v>
      </c>
      <c r="AL235" s="145" t="e">
        <f t="shared" si="41"/>
        <v>#NAME?</v>
      </c>
      <c r="AM235" s="146"/>
      <c r="AN235" s="145" t="e">
        <f>MAX(0,Table7[[#This Row],[I_L]]-0.5*Table7[[#This Row],[I_L pkpk]])</f>
        <v>#NAME?</v>
      </c>
      <c r="AO235" s="145" t="e">
        <f>Table7[[#This Row],[I_L]]+0.5*Table7[[#This Row],[I_L pkpk]]</f>
        <v>#NAME?</v>
      </c>
      <c r="AP235" s="145" t="e">
        <f ca="1">IF(VACnom&gt;Vbat, (VGS_S-(TI_MOSFET_S_VTH_H_BU+Table7[[#This Row],[I_L]]/TI_MOSFET_S_gFS_H_BU))/3.4, (VGS_S-(TI_MOSFET_S_VTH_L_BO+Table7[[#This Row],[I_L]]/TI_MOSFET_S_gFS_L_BO))/3.4 )</f>
        <v>#REF!</v>
      </c>
      <c r="AQ235" s="145" t="e">
        <f ca="1">IF(VACnom&gt;Vbat, ((TI_MOSFET_S_VTH_H_BU+Table7[[#This Row],[I_L]]/TI_MOSFET_S_gFS_H_BU))/1, ((TI_MOSFET_S_VTH_L_BO+Table7[[#This Row],[I_L]]/TI_MOSFET_S_gFS_L_BO))/1 )</f>
        <v>#REF!</v>
      </c>
      <c r="AR235" s="145" t="e">
        <f ca="1">IF(VACnom&gt;Vbat, (TI_MOSFET_S_QGD_H_BU+TI_MOSFET_S_QGS_H_BU)*10^-9/Table7[[#This Row],[Ion (A)]], (TI_MOSFET_S_QGD_L_BO+TI_MOSFET_S_QGS_L_BO)*10^-9/Table7[[#This Row],[Ion (A)]])/10^-9</f>
        <v>#REF!</v>
      </c>
      <c r="AS235" s="145" t="e">
        <f ca="1">IF(VACnom&gt;Vbat, (TI_MOSFET_S_QGD_H_BU+TI_MOSFET_S_QGS_H_BU)*10^-9/Table7[[#This Row],[Ioff (A)]], (TI_MOSFET_S_QGD_L_BO+TI_MOSFET_S_QGS_L_BO)*10^-9/Table7[[#This Row],[Ioff (A)]])/10^-9</f>
        <v>#REF!</v>
      </c>
      <c r="AT235" s="145" t="e">
        <f ca="1" xml:space="preserve"> 0.5*VACnom*Table7[[#This Row],[Ivalley (A)]]*Table7[[#This Row],[ton (ns)]]*10^-9*Fsw*10^3+0.5*VACnom*Table7[[#This Row],[Ipeak (A)]]*Table7[[#This Row],[toff (ns)]]*10^-9*Fsw*10^3/10^-3</f>
        <v>#NAME?</v>
      </c>
      <c r="AU235" s="145" t="e">
        <f t="shared" ca="1" si="45"/>
        <v>#REF!</v>
      </c>
      <c r="AV235" s="145" t="e">
        <f t="shared" ca="1" si="46"/>
        <v>#REF!</v>
      </c>
      <c r="AW235" s="145" t="e">
        <f t="shared" ca="1" si="47"/>
        <v>#REF!</v>
      </c>
      <c r="AX235" s="145" t="e">
        <f ca="1">IF(VACnom&gt;Vbat, TI_MOSFET_S_VSD_L_BU*Table7[[#This Row],[Ivalley (A)]]*Fsw*10^3*40*10^-9+TI_MOSFET_S_VSD_L_BU*Table7[[#This Row],[Ipeak (A)]]*Fsw*10^3*30*10^-9, TI_MOSFET_S_VSD_H_BO*Table7[[#This Row],[Ivalley (A)]]*Fsw*10^3*40*10^-9+TI_MOSFET_S_VSD_H_BO*Table7[[#This Row],[Ipeak (A)]]*Fsw*10^3*30*10^-9)/10^-3</f>
        <v>#REF!</v>
      </c>
      <c r="AY235" s="145" t="e">
        <f t="shared" ca="1" si="48"/>
        <v>#REF!</v>
      </c>
      <c r="AZ235" s="145" t="e">
        <f ca="1">IF(VACnom&lt;Vbat, Table7[[#This Row],[Duty Cycle]]*Table7[[#This Row],[I_L RMS]]^2*TI_MOSFET_S_RDSON_H_BU*10^-3, (1-Table7[[#This Row],[Duty Cycle]])*Table7[[#This Row],[I_L RMS]]^2*TI_MOSFET_S_RDSON_H_BO*10^-3)/10^-3</f>
        <v>#NAME?</v>
      </c>
      <c r="BA235" s="145" t="e">
        <f ca="1">IF(VACnom&gt;Vbat, Table7[[#This Row],[PIV (mW)]]+Table7[[#This Row],[Pqoss (mW)]]+Table7[[#This Row],[Pgate_top (mW)]], Table7[[#This Row],[PRR (mW)]]+Table7[[#This Row],[Pdead (mW)]]+Table7[[#This Row],[Pgate_top (mW)]])</f>
        <v>#REF!</v>
      </c>
      <c r="BB235" s="145" t="e">
        <f ca="1">Table7[[#This Row],[Pcon_top (mW)]]+Table7[[#This Row],[Psw_top (mW)]]</f>
        <v>#NAME?</v>
      </c>
      <c r="BC235" s="145" t="e">
        <f ca="1">IF(VACnom&gt;Vbat, (1-Table7[[#This Row],[Duty Cycle]])*Table7[[#This Row],[I_L RMS]]^2*TI_MOSFET_S_RDSON_L_BU*10^-3, Table7[[#This Row],[Duty Cycle]]*Table7[[#This Row],[I_L RMS]]^2*TI_MOSFET_S_RDSON_L_BO*10^-3)/10^-3</f>
        <v>#NAME?</v>
      </c>
      <c r="BD235" s="145" t="e">
        <f ca="1">IF(VACnom&gt;Vbat, Table7[[#This Row],[PRR (mW)]]+Table7[[#This Row],[Pdead (mW)]]+Table7[[#This Row],[Pgate_bottom (mW)]], Table7[[#This Row],[PIV (mW)]]+Table7[[#This Row],[Pqoss (mW)]]+Table7[[#This Row],[Pgate_bottom (mW)]])</f>
        <v>#NAME?</v>
      </c>
      <c r="BE235" s="147" t="e">
        <f ca="1">Table7[[#This Row],[Pcon_bottom (mW)]]+Table7[[#This Row],[Psw_bottom (mW)]]</f>
        <v>#NAME?</v>
      </c>
      <c r="BF235" s="145" t="e">
        <f ca="1">Table7[[#This Row],[Pbottom (mW)]]+Table7[[#This Row],[Ptop (mW)]]</f>
        <v>#NAME?</v>
      </c>
      <c r="BG235" s="142"/>
      <c r="BH235" s="145" t="e">
        <f>MAX(0,Table7[[#This Row],[I_L]]-0.5*Table7[[#This Row],[I_L pkpk]])</f>
        <v>#NAME?</v>
      </c>
      <c r="BI235" s="145" t="e">
        <f>Table7[[#This Row],[I_L]]+0.5*Table7[[#This Row],[I_L pkpk]]</f>
        <v>#NAME?</v>
      </c>
      <c r="BJ235" s="145">
        <f>IF(VACnom&gt;Vbat, (VGS_S-(C_MOSFET_S_VTH_H_BU+Table7[[#This Row],[I_L]]/C_MOSFET_S_gFS_H_BU))/3.4, (VGS_S-(C_MOSFET_S_VTH_L_BO+Table7[[#This Row],[I_L]]/C_MOSFET_S_gFS_L_BO))/3.4 )</f>
        <v>2.3344174836601308</v>
      </c>
      <c r="BK235" s="145">
        <f>IF(VACnom&gt;Vbat, ((C_MOSFET_S_VTH_H_BU+Table7[[#This Row],[I_L]]/C_MOSFET_S_gFS_H_BU))/1, ((C_MOSFET_S_VTH_L_BO+Table7[[#This Row],[I_L]]/C_MOSFET_S_gFS_L_BO))/1 )</f>
        <v>2.0629805555555554</v>
      </c>
      <c r="BL235" s="145">
        <f>IF(VACnom&gt;Vbat, (C_MOSFET_S_QGD_H_BU+C_MOSFET_S_QGS_H_BU)*10^-9/Table7[[#This Row],[Ion (A) C]], (C_MOSFET_S_QGD_L_BO+C_MOSFET_S_QGS_L_BO)*10^-9/Table7[[#This Row],[Ion (A) C]])/10^-9</f>
        <v>2.7844205440959326</v>
      </c>
      <c r="BM235" s="145">
        <f>IF(VACnom&gt;Vbat, (C_MOSFET_S_QGD_H_BU+C_MOSFET_S_QGS_H_BU)*10^-9/Table7[[#This Row],[Ioff (A) C]], (C_MOSFET_S_QGD_L_BO+C_MOSFET_S_QGS_L_BO)*10^-9/Table7[[#This Row],[Ioff (A) C]])/10^-9</f>
        <v>3.1507810301438184</v>
      </c>
      <c r="BN235" s="145" t="e">
        <f xml:space="preserve"> 0.5*VACnom*Table7[[#This Row],[Ivalley (A) C]]*Table7[[#This Row],[ton (ns) C]]*10^-9*Fsw*10^3+0.5*VACnom*Table7[[#This Row],[Ipeak (A) C]]*Table7[[#This Row],[toff (ns) C]]*10^-9*Fsw*10^3/10^-3</f>
        <v>#NAME?</v>
      </c>
      <c r="BO235" s="145">
        <f t="shared" si="49"/>
        <v>259.2</v>
      </c>
      <c r="BP235" s="145" t="e">
        <f t="shared" ca="1" si="50"/>
        <v>#REF!</v>
      </c>
      <c r="BQ235" s="145">
        <f t="shared" si="51"/>
        <v>475.2</v>
      </c>
      <c r="BR235" s="145" t="e">
        <f>IF(VACnom&gt;Vbat, C_MOSFET_S_VSD_L_BU*Table7[[#This Row],[Ivalley (A) C]]*Fsw*10^3*40*10^-9+C_MOSFET_S_VSD_L_BU*Table7[[#This Row],[Ipeak (A) C]]*Fsw*10^3*30*10^-9, C_MOSFET_S_VSD_H_BO*Table7[[#This Row],[Ivalley (A) C]]*Fsw*10^3*40*10^-9+C_MOSFET_S_VSD_H_BO*Table7[[#This Row],[Ipeak (A) C]]*Fsw*10^3*30*10^-9)/10^-3</f>
        <v>#NAME?</v>
      </c>
      <c r="BS235" s="145" t="e">
        <f t="shared" ca="1" si="52"/>
        <v>#REF!</v>
      </c>
      <c r="BT235" s="145" t="e">
        <f>IF(VACnom&lt;Vbat, Table7[[#This Row],[Duty Cycle]]*Table7[[#This Row],[I_L RMS]]^2*C_MOSFET_S_RDSON_H_BU*10^-3, (1-Table7[[#This Row],[Duty Cycle]])*Table7[[#This Row],[I_L RMS]]^2*C_MOSFET_S_RDSON_H_BO*10^-3)/10^-3</f>
        <v>#NAME?</v>
      </c>
      <c r="BU235" s="145" t="e">
        <f ca="1">IF(VACnom&gt;Vbat, Table7[[#This Row],[PIV (mW) C]]+Table7[[#This Row],[PQoss (mW) C]]+Table7[[#This Row],[Pgate_top (mW) C]], Table7[[#This Row],[PRR (mW) C]]+Table7[[#This Row],[Pdead (mW) C]]+Table7[[#This Row],[Pgate_top (mW) C]])</f>
        <v>#NAME?</v>
      </c>
      <c r="BV235" s="145" t="e">
        <f ca="1">Table7[[#This Row],[Pcon_top (mW) C]]+Table7[[#This Row],[Psw_top (mW) C]]</f>
        <v>#NAME?</v>
      </c>
      <c r="BW235" s="145" t="e">
        <f ca="1">IF(VACnom&gt;Vbat, (1-Table7[[#This Row],[Duty Cycle]])*Table7[[#This Row],[I_L RMS]]^2*C_MOSFET_S_RDSON_L_BU*10^-3, Table7[[#This Row],[Duty Cycle]]*Table7[[#This Row],[I_L RMS]]^2*C_MOSFET_S_RDSON_L_BO*10^-3)/10^-3</f>
        <v>#NAME?</v>
      </c>
      <c r="BX235" s="145" t="e">
        <f ca="1">IF(VACnom&gt;Vbat, Table7[[#This Row],[PRR (mW) C]]+Table7[[#This Row],[Pdead (mW) C]]+Table7[[#This Row],[Pgate_bottom (mW) C]], Table7[[#This Row],[PIV (mW) C]]+Table7[[#This Row],[PQoss (mW) C]]+Table7[[#This Row],[Pgate_bottom (mW) C]])</f>
        <v>#NAME?</v>
      </c>
      <c r="BY235" s="145" t="e">
        <f ca="1">Table7[[#This Row],[Pcon_bottom (mW) C]]+Table7[[#This Row],[Psw_bottom (mV) C]]</f>
        <v>#NAME?</v>
      </c>
      <c r="BZ235" s="145" t="e">
        <f ca="1">Table7[[#This Row],[Pbottom (mW) C]]+Table7[[#This Row],[Ptop (mW) C]]</f>
        <v>#NAME?</v>
      </c>
      <c r="CA235" s="148"/>
      <c r="CB235" s="144">
        <f>(RAC_SNS*10^-3*(Table7[[#This Row],[IOUT (A)]]*Vbat/VACnom)^2/10^-3)</f>
        <v>446.23691753472224</v>
      </c>
      <c r="CC235" s="144">
        <f>(RBAT_SNS*10^-3*Table7[[#This Row],[IOUT (A)]]^2)/10^-3</f>
        <v>312.05000000000007</v>
      </c>
      <c r="CD235" s="144">
        <f>IF(VACnom&gt;Vbat,(L_DRC*10^-3*(Table7[[#This Row],[IOUT (A)]])^2/10^-3),(L_DRC*10^-3*(Table7[[#This Row],[IOUT (A)]]*Vbat/VACnom)^2/10^-3))</f>
        <v>303.44110392361114</v>
      </c>
      <c r="CE235" s="152"/>
      <c r="CF235" s="145">
        <f>(Table7[[#This Row],[R_AC (mW)]]+Table7[[#This Row],[R_SR (mW)]]+Table7[[#This Row],[Inductor Loss (mW)]])/10^3</f>
        <v>1.0617280214583333</v>
      </c>
      <c r="CG235" s="145" t="e">
        <f ca="1">Table7[[#This Row],[Total TI (mW)]]/10^3</f>
        <v>#NAME?</v>
      </c>
      <c r="CH235" s="145" t="e">
        <f ca="1">Table7[[#This Row],[Total Sense Loss]]+Table7[[#This Row],[Total MOSFET Loss]]</f>
        <v>#NAME?</v>
      </c>
      <c r="CI235" s="149" t="e">
        <f ca="1">IF(Table7[[#This Row],[POUT (W)]]=0,0,(Table7[[#This Row],[POUT (W)]])/(Table7[[#This Row],[POUT (W)]]+Table7[[#This Row],[Total Power Loss (W)]]))*100</f>
        <v>#NAME?</v>
      </c>
      <c r="CJ235" s="153"/>
      <c r="CK235" s="145">
        <f>(Table7[[#This Row],[R_AC (mW)]]+Table7[[#This Row],[R_SR (mW)]]+Table7[[#This Row],[Inductor Loss (mW)]])/10^3</f>
        <v>1.0617280214583333</v>
      </c>
      <c r="CL235" s="145" t="e">
        <f ca="1">Table7[[#This Row],[Total (mW) C]]/10^3</f>
        <v>#NAME?</v>
      </c>
      <c r="CM235" s="145" t="e">
        <f ca="1">Table7[[#This Row],[Total Sense Loss C]]+Table7[[#This Row],[Total MOSFET Loss C]]</f>
        <v>#NAME?</v>
      </c>
      <c r="CN235" s="149" t="e">
        <f ca="1">IF(Table7[[#This Row],[POUT (W)]]=0,0,(Table7[[#This Row],[POUT (W)]])/(Table7[[#This Row],[POUT (W)]]+Table7[[#This Row],[Total Power Loss (W) C]]))*100</f>
        <v>#NAME?</v>
      </c>
      <c r="CO235" s="153"/>
      <c r="CP235" s="149">
        <f>IF(MOSFET_S=Custom_MOSFET,Table7[[#This Row],[Total Sense Loss C]],Table7[[#This Row],[Total Sense Loss]])</f>
        <v>1.0617280214583333</v>
      </c>
      <c r="CQ235" s="149" t="e">
        <f ca="1">IF(MOSFET_S=Custom_MOSFET,Table7[[#This Row],[Total MOSFET Loss C]],Table7[[#This Row],[Total MOSFET Loss]])</f>
        <v>#NAME?</v>
      </c>
      <c r="CR235" s="149" t="e">
        <f ca="1">IF(MOSFET_S=Custom_MOSFET,Table7[[#This Row],[Efficiency C]],Table7[[#This Row],[Efficiency]])</f>
        <v>#NAME?</v>
      </c>
      <c r="CS235" s="153"/>
      <c r="CT235" s="149">
        <f>IF(MOSFET_S=Compare_MOSFET, Table7[[#This Row],[Total Sense Loss C]], -100)</f>
        <v>-100</v>
      </c>
      <c r="CU235" s="149">
        <f>IF(MOSFET_S=Compare_MOSFET, Table7[[#This Row],[Total MOSFET Loss C]], -100)</f>
        <v>-100</v>
      </c>
      <c r="CV235" s="149">
        <f>IF(MOSFET_S=Compare_MOSFET, Table7[[#This Row],[Efficiency C]], -100)</f>
        <v>-100</v>
      </c>
      <c r="CW235" s="153"/>
      <c r="CX235" s="149">
        <f ca="1">IF(Save_Sel=CLR_Save,  Table7[[#This Row],[Total Sense Loss P1]], Table7[[#This Row],[Total Sense Loss P1 Saved]])</f>
        <v>0.89031765625000026</v>
      </c>
      <c r="CY235" s="149">
        <f ca="1">IF(Save_Sel=CLR_Save,  Table7[[#This Row],[Total MOSFET Loss P1]], Table7[[#This Row],[Total MOSFET Loss P1 Saved]] )</f>
        <v>2.1761138283147829</v>
      </c>
      <c r="CZ235" s="149">
        <f ca="1">IF(Save_Sel=CLR_Save, Table7[[#This Row],[Efficiency P1]], Table7[[#This Row],[Efficiency P1 Saved]])</f>
        <v>93.923819468981776</v>
      </c>
      <c r="DA235" s="153"/>
      <c r="DB235" s="149">
        <f ca="1">IF(Save_Sel=CLR_Save,  Table7[[#This Row],[Total Sense Loss P2]], Table7[[#This Row],[Total Sense Loss P2 Saved]])</f>
        <v>0.89031765625000026</v>
      </c>
      <c r="DC235" s="149">
        <f ca="1">IF(Save_Sel=CLR_Save,  Table7[[#This Row],[Total MOSFET Loss P2]], Table7[[#This Row],[Total MOSFET Loss P2 Saved]] )</f>
        <v>1.5138990470173976</v>
      </c>
      <c r="DD235" s="149">
        <f ca="1">IF(Save_Sel=CLR_Save, Table7[[#This Row],[Efficiency P2]], Table7[[#This Row],[Efficiency P2 Saved]])</f>
        <v>95.172664359743536</v>
      </c>
      <c r="DE235" s="153"/>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row>
    <row r="236" spans="1:165" x14ac:dyDescent="0.2">
      <c r="A236" s="67"/>
      <c r="B236" s="67"/>
      <c r="C236" s="67"/>
      <c r="D236" s="67"/>
      <c r="E236" s="67"/>
      <c r="F236" s="67"/>
      <c r="G236" s="67"/>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43">
        <f t="shared" si="54"/>
        <v>80</v>
      </c>
      <c r="AG236" s="143">
        <f t="shared" si="53"/>
        <v>8</v>
      </c>
      <c r="AH236" s="144">
        <f t="shared" si="42"/>
        <v>192</v>
      </c>
      <c r="AI236" s="145">
        <f t="shared" si="43"/>
        <v>0.16376306620209058</v>
      </c>
      <c r="AJ236" s="145">
        <f t="shared" si="44"/>
        <v>9.5666666666666664</v>
      </c>
      <c r="AK236" s="145" t="e">
        <f t="shared" si="40"/>
        <v>#NAME?</v>
      </c>
      <c r="AL236" s="145" t="e">
        <f t="shared" si="41"/>
        <v>#NAME?</v>
      </c>
      <c r="AM236" s="146"/>
      <c r="AN236" s="145" t="e">
        <f>MAX(0,Table7[[#This Row],[I_L]]-0.5*Table7[[#This Row],[I_L pkpk]])</f>
        <v>#NAME?</v>
      </c>
      <c r="AO236" s="145" t="e">
        <f>Table7[[#This Row],[I_L]]+0.5*Table7[[#This Row],[I_L pkpk]]</f>
        <v>#NAME?</v>
      </c>
      <c r="AP236" s="145" t="e">
        <f ca="1">IF(VACnom&gt;Vbat, (VGS_S-(TI_MOSFET_S_VTH_H_BU+Table7[[#This Row],[I_L]]/TI_MOSFET_S_gFS_H_BU))/3.4, (VGS_S-(TI_MOSFET_S_VTH_L_BO+Table7[[#This Row],[I_L]]/TI_MOSFET_S_gFS_L_BO))/3.4 )</f>
        <v>#REF!</v>
      </c>
      <c r="AQ236" s="145" t="e">
        <f ca="1">IF(VACnom&gt;Vbat, ((TI_MOSFET_S_VTH_H_BU+Table7[[#This Row],[I_L]]/TI_MOSFET_S_gFS_H_BU))/1, ((TI_MOSFET_S_VTH_L_BO+Table7[[#This Row],[I_L]]/TI_MOSFET_S_gFS_L_BO))/1 )</f>
        <v>#REF!</v>
      </c>
      <c r="AR236" s="145" t="e">
        <f ca="1">IF(VACnom&gt;Vbat, (TI_MOSFET_S_QGD_H_BU+TI_MOSFET_S_QGS_H_BU)*10^-9/Table7[[#This Row],[Ion (A)]], (TI_MOSFET_S_QGD_L_BO+TI_MOSFET_S_QGS_L_BO)*10^-9/Table7[[#This Row],[Ion (A)]])/10^-9</f>
        <v>#REF!</v>
      </c>
      <c r="AS236" s="145" t="e">
        <f ca="1">IF(VACnom&gt;Vbat, (TI_MOSFET_S_QGD_H_BU+TI_MOSFET_S_QGS_H_BU)*10^-9/Table7[[#This Row],[Ioff (A)]], (TI_MOSFET_S_QGD_L_BO+TI_MOSFET_S_QGS_L_BO)*10^-9/Table7[[#This Row],[Ioff (A)]])/10^-9</f>
        <v>#REF!</v>
      </c>
      <c r="AT236" s="145" t="e">
        <f ca="1" xml:space="preserve"> 0.5*VACnom*Table7[[#This Row],[Ivalley (A)]]*Table7[[#This Row],[ton (ns)]]*10^-9*Fsw*10^3+0.5*VACnom*Table7[[#This Row],[Ipeak (A)]]*Table7[[#This Row],[toff (ns)]]*10^-9*Fsw*10^3/10^-3</f>
        <v>#NAME?</v>
      </c>
      <c r="AU236" s="145" t="e">
        <f t="shared" ca="1" si="45"/>
        <v>#REF!</v>
      </c>
      <c r="AV236" s="145" t="e">
        <f t="shared" ca="1" si="46"/>
        <v>#REF!</v>
      </c>
      <c r="AW236" s="145" t="e">
        <f t="shared" ca="1" si="47"/>
        <v>#REF!</v>
      </c>
      <c r="AX236" s="145" t="e">
        <f ca="1">IF(VACnom&gt;Vbat, TI_MOSFET_S_VSD_L_BU*Table7[[#This Row],[Ivalley (A)]]*Fsw*10^3*40*10^-9+TI_MOSFET_S_VSD_L_BU*Table7[[#This Row],[Ipeak (A)]]*Fsw*10^3*30*10^-9, TI_MOSFET_S_VSD_H_BO*Table7[[#This Row],[Ivalley (A)]]*Fsw*10^3*40*10^-9+TI_MOSFET_S_VSD_H_BO*Table7[[#This Row],[Ipeak (A)]]*Fsw*10^3*30*10^-9)/10^-3</f>
        <v>#REF!</v>
      </c>
      <c r="AY236" s="145" t="e">
        <f t="shared" ca="1" si="48"/>
        <v>#REF!</v>
      </c>
      <c r="AZ236" s="145" t="e">
        <f ca="1">IF(VACnom&lt;Vbat, Table7[[#This Row],[Duty Cycle]]*Table7[[#This Row],[I_L RMS]]^2*TI_MOSFET_S_RDSON_H_BU*10^-3, (1-Table7[[#This Row],[Duty Cycle]])*Table7[[#This Row],[I_L RMS]]^2*TI_MOSFET_S_RDSON_H_BO*10^-3)/10^-3</f>
        <v>#NAME?</v>
      </c>
      <c r="BA236" s="145" t="e">
        <f ca="1">IF(VACnom&gt;Vbat, Table7[[#This Row],[PIV (mW)]]+Table7[[#This Row],[Pqoss (mW)]]+Table7[[#This Row],[Pgate_top (mW)]], Table7[[#This Row],[PRR (mW)]]+Table7[[#This Row],[Pdead (mW)]]+Table7[[#This Row],[Pgate_top (mW)]])</f>
        <v>#REF!</v>
      </c>
      <c r="BB236" s="145" t="e">
        <f ca="1">Table7[[#This Row],[Pcon_top (mW)]]+Table7[[#This Row],[Psw_top (mW)]]</f>
        <v>#NAME?</v>
      </c>
      <c r="BC236" s="145" t="e">
        <f ca="1">IF(VACnom&gt;Vbat, (1-Table7[[#This Row],[Duty Cycle]])*Table7[[#This Row],[I_L RMS]]^2*TI_MOSFET_S_RDSON_L_BU*10^-3, Table7[[#This Row],[Duty Cycle]]*Table7[[#This Row],[I_L RMS]]^2*TI_MOSFET_S_RDSON_L_BO*10^-3)/10^-3</f>
        <v>#NAME?</v>
      </c>
      <c r="BD236" s="145" t="e">
        <f ca="1">IF(VACnom&gt;Vbat, Table7[[#This Row],[PRR (mW)]]+Table7[[#This Row],[Pdead (mW)]]+Table7[[#This Row],[Pgate_bottom (mW)]], Table7[[#This Row],[PIV (mW)]]+Table7[[#This Row],[Pqoss (mW)]]+Table7[[#This Row],[Pgate_bottom (mW)]])</f>
        <v>#NAME?</v>
      </c>
      <c r="BE236" s="147" t="e">
        <f ca="1">Table7[[#This Row],[Pcon_bottom (mW)]]+Table7[[#This Row],[Psw_bottom (mW)]]</f>
        <v>#NAME?</v>
      </c>
      <c r="BF236" s="145" t="e">
        <f ca="1">Table7[[#This Row],[Pbottom (mW)]]+Table7[[#This Row],[Ptop (mW)]]</f>
        <v>#NAME?</v>
      </c>
      <c r="BG236" s="142"/>
      <c r="BH236" s="145" t="e">
        <f>MAX(0,Table7[[#This Row],[I_L]]-0.5*Table7[[#This Row],[I_L pkpk]])</f>
        <v>#NAME?</v>
      </c>
      <c r="BI236" s="145" t="e">
        <f>Table7[[#This Row],[I_L]]+0.5*Table7[[#This Row],[I_L pkpk]]</f>
        <v>#NAME?</v>
      </c>
      <c r="BJ236" s="145">
        <f>IF(VACnom&gt;Vbat, (VGS_S-(C_MOSFET_S_VTH_H_BU+Table7[[#This Row],[I_L]]/C_MOSFET_S_gFS_H_BU))/3.4, (VGS_S-(C_MOSFET_S_VTH_L_BO+Table7[[#This Row],[I_L]]/C_MOSFET_S_gFS_L_BO))/3.4 )</f>
        <v>2.3341830065359477</v>
      </c>
      <c r="BK236" s="145">
        <f>IF(VACnom&gt;Vbat, ((C_MOSFET_S_VTH_H_BU+Table7[[#This Row],[I_L]]/C_MOSFET_S_gFS_H_BU))/1, ((C_MOSFET_S_VTH_L_BO+Table7[[#This Row],[I_L]]/C_MOSFET_S_gFS_L_BO))/1 )</f>
        <v>2.0637777777777777</v>
      </c>
      <c r="BL236" s="145">
        <f>IF(VACnom&gt;Vbat, (C_MOSFET_S_QGD_H_BU+C_MOSFET_S_QGS_H_BU)*10^-9/Table7[[#This Row],[Ion (A) C]], (C_MOSFET_S_QGD_L_BO+C_MOSFET_S_QGS_L_BO)*10^-9/Table7[[#This Row],[Ion (A) C]])/10^-9</f>
        <v>2.7847002492089712</v>
      </c>
      <c r="BM236" s="145">
        <f>IF(VACnom&gt;Vbat, (C_MOSFET_S_QGD_H_BU+C_MOSFET_S_QGS_H_BU)*10^-9/Table7[[#This Row],[Ioff (A) C]], (C_MOSFET_S_QGD_L_BO+C_MOSFET_S_QGS_L_BO)*10^-9/Table7[[#This Row],[Ioff (A) C]])/10^-9</f>
        <v>3.1495639065360184</v>
      </c>
      <c r="BN236" s="145" t="e">
        <f xml:space="preserve"> 0.5*VACnom*Table7[[#This Row],[Ivalley (A) C]]*Table7[[#This Row],[ton (ns) C]]*10^-9*Fsw*10^3+0.5*VACnom*Table7[[#This Row],[Ipeak (A) C]]*Table7[[#This Row],[toff (ns) C]]*10^-9*Fsw*10^3/10^-3</f>
        <v>#NAME?</v>
      </c>
      <c r="BO236" s="145">
        <f t="shared" si="49"/>
        <v>259.2</v>
      </c>
      <c r="BP236" s="145" t="e">
        <f t="shared" ca="1" si="50"/>
        <v>#REF!</v>
      </c>
      <c r="BQ236" s="145">
        <f t="shared" si="51"/>
        <v>475.2</v>
      </c>
      <c r="BR236" s="145" t="e">
        <f>IF(VACnom&gt;Vbat, C_MOSFET_S_VSD_L_BU*Table7[[#This Row],[Ivalley (A) C]]*Fsw*10^3*40*10^-9+C_MOSFET_S_VSD_L_BU*Table7[[#This Row],[Ipeak (A) C]]*Fsw*10^3*30*10^-9, C_MOSFET_S_VSD_H_BO*Table7[[#This Row],[Ivalley (A) C]]*Fsw*10^3*40*10^-9+C_MOSFET_S_VSD_H_BO*Table7[[#This Row],[Ipeak (A) C]]*Fsw*10^3*30*10^-9)/10^-3</f>
        <v>#NAME?</v>
      </c>
      <c r="BS236" s="145" t="e">
        <f t="shared" ca="1" si="52"/>
        <v>#REF!</v>
      </c>
      <c r="BT236" s="145" t="e">
        <f>IF(VACnom&lt;Vbat, Table7[[#This Row],[Duty Cycle]]*Table7[[#This Row],[I_L RMS]]^2*C_MOSFET_S_RDSON_H_BU*10^-3, (1-Table7[[#This Row],[Duty Cycle]])*Table7[[#This Row],[I_L RMS]]^2*C_MOSFET_S_RDSON_H_BO*10^-3)/10^-3</f>
        <v>#NAME?</v>
      </c>
      <c r="BU236" s="145" t="e">
        <f ca="1">IF(VACnom&gt;Vbat, Table7[[#This Row],[PIV (mW) C]]+Table7[[#This Row],[PQoss (mW) C]]+Table7[[#This Row],[Pgate_top (mW) C]], Table7[[#This Row],[PRR (mW) C]]+Table7[[#This Row],[Pdead (mW) C]]+Table7[[#This Row],[Pgate_top (mW) C]])</f>
        <v>#NAME?</v>
      </c>
      <c r="BV236" s="145" t="e">
        <f ca="1">Table7[[#This Row],[Pcon_top (mW) C]]+Table7[[#This Row],[Psw_top (mW) C]]</f>
        <v>#NAME?</v>
      </c>
      <c r="BW236" s="145" t="e">
        <f ca="1">IF(VACnom&gt;Vbat, (1-Table7[[#This Row],[Duty Cycle]])*Table7[[#This Row],[I_L RMS]]^2*C_MOSFET_S_RDSON_L_BU*10^-3, Table7[[#This Row],[Duty Cycle]]*Table7[[#This Row],[I_L RMS]]^2*C_MOSFET_S_RDSON_L_BO*10^-3)/10^-3</f>
        <v>#NAME?</v>
      </c>
      <c r="BX236" s="145" t="e">
        <f ca="1">IF(VACnom&gt;Vbat, Table7[[#This Row],[PRR (mW) C]]+Table7[[#This Row],[Pdead (mW) C]]+Table7[[#This Row],[Pgate_bottom (mW) C]], Table7[[#This Row],[PIV (mW) C]]+Table7[[#This Row],[PQoss (mW) C]]+Table7[[#This Row],[Pgate_bottom (mW) C]])</f>
        <v>#NAME?</v>
      </c>
      <c r="BY236" s="145" t="e">
        <f ca="1">Table7[[#This Row],[Pcon_bottom (mW) C]]+Table7[[#This Row],[Psw_bottom (mV) C]]</f>
        <v>#NAME?</v>
      </c>
      <c r="BZ236" s="145" t="e">
        <f ca="1">Table7[[#This Row],[Pbottom (mW) C]]+Table7[[#This Row],[Ptop (mW) C]]</f>
        <v>#NAME?</v>
      </c>
      <c r="CA236" s="148"/>
      <c r="CB236" s="144">
        <f>(RAC_SNS*10^-3*(Table7[[#This Row],[IOUT (A)]]*Vbat/VACnom)^2/10^-3)</f>
        <v>457.60555555555555</v>
      </c>
      <c r="CC236" s="144">
        <f>(RBAT_SNS*10^-3*Table7[[#This Row],[IOUT (A)]]^2)/10^-3</f>
        <v>320</v>
      </c>
      <c r="CD236" s="144">
        <f>IF(VACnom&gt;Vbat,(L_DRC*10^-3*(Table7[[#This Row],[IOUT (A)]])^2/10^-3),(L_DRC*10^-3*(Table7[[#This Row],[IOUT (A)]]*Vbat/VACnom)^2/10^-3))</f>
        <v>311.17177777777778</v>
      </c>
      <c r="CE236" s="152"/>
      <c r="CF236" s="145">
        <f>(Table7[[#This Row],[R_AC (mW)]]+Table7[[#This Row],[R_SR (mW)]]+Table7[[#This Row],[Inductor Loss (mW)]])/10^3</f>
        <v>1.0887773333333335</v>
      </c>
      <c r="CG236" s="145" t="e">
        <f ca="1">Table7[[#This Row],[Total TI (mW)]]/10^3</f>
        <v>#NAME?</v>
      </c>
      <c r="CH236" s="145" t="e">
        <f ca="1">Table7[[#This Row],[Total Sense Loss]]+Table7[[#This Row],[Total MOSFET Loss]]</f>
        <v>#NAME?</v>
      </c>
      <c r="CI236" s="149" t="e">
        <f ca="1">IF(Table7[[#This Row],[POUT (W)]]=0,0,(Table7[[#This Row],[POUT (W)]])/(Table7[[#This Row],[POUT (W)]]+Table7[[#This Row],[Total Power Loss (W)]]))*100</f>
        <v>#NAME?</v>
      </c>
      <c r="CJ236" s="153"/>
      <c r="CK236" s="145">
        <f>(Table7[[#This Row],[R_AC (mW)]]+Table7[[#This Row],[R_SR (mW)]]+Table7[[#This Row],[Inductor Loss (mW)]])/10^3</f>
        <v>1.0887773333333335</v>
      </c>
      <c r="CL236" s="145" t="e">
        <f ca="1">Table7[[#This Row],[Total (mW) C]]/10^3</f>
        <v>#NAME?</v>
      </c>
      <c r="CM236" s="145" t="e">
        <f ca="1">Table7[[#This Row],[Total Sense Loss C]]+Table7[[#This Row],[Total MOSFET Loss C]]</f>
        <v>#NAME?</v>
      </c>
      <c r="CN236" s="149" t="e">
        <f ca="1">IF(Table7[[#This Row],[POUT (W)]]=0,0,(Table7[[#This Row],[POUT (W)]])/(Table7[[#This Row],[POUT (W)]]+Table7[[#This Row],[Total Power Loss (W) C]]))*100</f>
        <v>#NAME?</v>
      </c>
      <c r="CO236" s="153"/>
      <c r="CP236" s="149">
        <f>IF(MOSFET_S=Custom_MOSFET,Table7[[#This Row],[Total Sense Loss C]],Table7[[#This Row],[Total Sense Loss]])</f>
        <v>1.0887773333333335</v>
      </c>
      <c r="CQ236" s="149" t="e">
        <f ca="1">IF(MOSFET_S=Custom_MOSFET,Table7[[#This Row],[Total MOSFET Loss C]],Table7[[#This Row],[Total MOSFET Loss]])</f>
        <v>#NAME?</v>
      </c>
      <c r="CR236" s="149" t="e">
        <f ca="1">IF(MOSFET_S=Custom_MOSFET,Table7[[#This Row],[Efficiency C]],Table7[[#This Row],[Efficiency]])</f>
        <v>#NAME?</v>
      </c>
      <c r="CS236" s="153"/>
      <c r="CT236" s="149">
        <f>IF(MOSFET_S=Compare_MOSFET, Table7[[#This Row],[Total Sense Loss C]], -100)</f>
        <v>-100</v>
      </c>
      <c r="CU236" s="149">
        <f>IF(MOSFET_S=Compare_MOSFET, Table7[[#This Row],[Total MOSFET Loss C]], -100)</f>
        <v>-100</v>
      </c>
      <c r="CV236" s="149">
        <f>IF(MOSFET_S=Compare_MOSFET, Table7[[#This Row],[Efficiency C]], -100)</f>
        <v>-100</v>
      </c>
      <c r="CW236" s="153"/>
      <c r="CX236" s="149">
        <f ca="1">IF(Save_Sel=CLR_Save,  Table7[[#This Row],[Total Sense Loss P1]], Table7[[#This Row],[Total Sense Loss P1 Saved]])</f>
        <v>0.91300000000000003</v>
      </c>
      <c r="CY236" s="149">
        <f ca="1">IF(Save_Sel=CLR_Save,  Table7[[#This Row],[Total MOSFET Loss P1]], Table7[[#This Row],[Total MOSFET Loss P1 Saved]] )</f>
        <v>2.1873474364437233</v>
      </c>
      <c r="CZ236" s="149">
        <f ca="1">IF(Save_Sel=CLR_Save, Table7[[#This Row],[Efficiency P1]], Table7[[#This Row],[Efficiency P1 Saved]])</f>
        <v>93.932825133332415</v>
      </c>
      <c r="DA236" s="153"/>
      <c r="DB236" s="149">
        <f ca="1">IF(Save_Sel=CLR_Save,  Table7[[#This Row],[Total Sense Loss P2]], Table7[[#This Row],[Total Sense Loss P2 Saved]])</f>
        <v>0.91300000000000003</v>
      </c>
      <c r="DC236" s="149">
        <f ca="1">IF(Save_Sel=CLR_Save,  Table7[[#This Row],[Total MOSFET Loss P2]], Table7[[#This Row],[Total MOSFET Loss P2 Saved]] )</f>
        <v>1.5241572957070684</v>
      </c>
      <c r="DD236" s="149">
        <f ca="1">IF(Save_Sel=CLR_Save, Table7[[#This Row],[Efficiency P2]], Table7[[#This Row],[Efficiency P2 Saved]])</f>
        <v>95.167932876513433</v>
      </c>
      <c r="DE236" s="153"/>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row>
    <row r="237" spans="1:165" x14ac:dyDescent="0.2">
      <c r="A237" s="67"/>
      <c r="B237" s="67"/>
      <c r="C237" s="67"/>
      <c r="D237" s="67"/>
      <c r="E237" s="67"/>
      <c r="F237" s="67"/>
      <c r="G237" s="67"/>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43">
        <f t="shared" si="54"/>
        <v>81</v>
      </c>
      <c r="AG237" s="143">
        <f t="shared" si="53"/>
        <v>8.1</v>
      </c>
      <c r="AH237" s="144">
        <f t="shared" si="42"/>
        <v>194.39999999999998</v>
      </c>
      <c r="AI237" s="145">
        <f t="shared" si="43"/>
        <v>0.16376306620209058</v>
      </c>
      <c r="AJ237" s="145">
        <f t="shared" si="44"/>
        <v>9.6862499999999994</v>
      </c>
      <c r="AK237" s="145" t="e">
        <f t="shared" si="40"/>
        <v>#NAME?</v>
      </c>
      <c r="AL237" s="145" t="e">
        <f t="shared" si="41"/>
        <v>#NAME?</v>
      </c>
      <c r="AM237" s="146"/>
      <c r="AN237" s="145" t="e">
        <f>MAX(0,Table7[[#This Row],[I_L]]-0.5*Table7[[#This Row],[I_L pkpk]])</f>
        <v>#NAME?</v>
      </c>
      <c r="AO237" s="145" t="e">
        <f>Table7[[#This Row],[I_L]]+0.5*Table7[[#This Row],[I_L pkpk]]</f>
        <v>#NAME?</v>
      </c>
      <c r="AP237" s="145" t="e">
        <f ca="1">IF(VACnom&gt;Vbat, (VGS_S-(TI_MOSFET_S_VTH_H_BU+Table7[[#This Row],[I_L]]/TI_MOSFET_S_gFS_H_BU))/3.4, (VGS_S-(TI_MOSFET_S_VTH_L_BO+Table7[[#This Row],[I_L]]/TI_MOSFET_S_gFS_L_BO))/3.4 )</f>
        <v>#REF!</v>
      </c>
      <c r="AQ237" s="145" t="e">
        <f ca="1">IF(VACnom&gt;Vbat, ((TI_MOSFET_S_VTH_H_BU+Table7[[#This Row],[I_L]]/TI_MOSFET_S_gFS_H_BU))/1, ((TI_MOSFET_S_VTH_L_BO+Table7[[#This Row],[I_L]]/TI_MOSFET_S_gFS_L_BO))/1 )</f>
        <v>#REF!</v>
      </c>
      <c r="AR237" s="145" t="e">
        <f ca="1">IF(VACnom&gt;Vbat, (TI_MOSFET_S_QGD_H_BU+TI_MOSFET_S_QGS_H_BU)*10^-9/Table7[[#This Row],[Ion (A)]], (TI_MOSFET_S_QGD_L_BO+TI_MOSFET_S_QGS_L_BO)*10^-9/Table7[[#This Row],[Ion (A)]])/10^-9</f>
        <v>#REF!</v>
      </c>
      <c r="AS237" s="145" t="e">
        <f ca="1">IF(VACnom&gt;Vbat, (TI_MOSFET_S_QGD_H_BU+TI_MOSFET_S_QGS_H_BU)*10^-9/Table7[[#This Row],[Ioff (A)]], (TI_MOSFET_S_QGD_L_BO+TI_MOSFET_S_QGS_L_BO)*10^-9/Table7[[#This Row],[Ioff (A)]])/10^-9</f>
        <v>#REF!</v>
      </c>
      <c r="AT237" s="145" t="e">
        <f ca="1" xml:space="preserve"> 0.5*VACnom*Table7[[#This Row],[Ivalley (A)]]*Table7[[#This Row],[ton (ns)]]*10^-9*Fsw*10^3+0.5*VACnom*Table7[[#This Row],[Ipeak (A)]]*Table7[[#This Row],[toff (ns)]]*10^-9*Fsw*10^3/10^-3</f>
        <v>#NAME?</v>
      </c>
      <c r="AU237" s="145" t="e">
        <f t="shared" ca="1" si="45"/>
        <v>#REF!</v>
      </c>
      <c r="AV237" s="145" t="e">
        <f t="shared" ca="1" si="46"/>
        <v>#REF!</v>
      </c>
      <c r="AW237" s="145" t="e">
        <f t="shared" ca="1" si="47"/>
        <v>#REF!</v>
      </c>
      <c r="AX237" s="145" t="e">
        <f ca="1">IF(VACnom&gt;Vbat, TI_MOSFET_S_VSD_L_BU*Table7[[#This Row],[Ivalley (A)]]*Fsw*10^3*40*10^-9+TI_MOSFET_S_VSD_L_BU*Table7[[#This Row],[Ipeak (A)]]*Fsw*10^3*30*10^-9, TI_MOSFET_S_VSD_H_BO*Table7[[#This Row],[Ivalley (A)]]*Fsw*10^3*40*10^-9+TI_MOSFET_S_VSD_H_BO*Table7[[#This Row],[Ipeak (A)]]*Fsw*10^3*30*10^-9)/10^-3</f>
        <v>#REF!</v>
      </c>
      <c r="AY237" s="145" t="e">
        <f t="shared" ca="1" si="48"/>
        <v>#REF!</v>
      </c>
      <c r="AZ237" s="145" t="e">
        <f ca="1">IF(VACnom&lt;Vbat, Table7[[#This Row],[Duty Cycle]]*Table7[[#This Row],[I_L RMS]]^2*TI_MOSFET_S_RDSON_H_BU*10^-3, (1-Table7[[#This Row],[Duty Cycle]])*Table7[[#This Row],[I_L RMS]]^2*TI_MOSFET_S_RDSON_H_BO*10^-3)/10^-3</f>
        <v>#NAME?</v>
      </c>
      <c r="BA237" s="145" t="e">
        <f ca="1">IF(VACnom&gt;Vbat, Table7[[#This Row],[PIV (mW)]]+Table7[[#This Row],[Pqoss (mW)]]+Table7[[#This Row],[Pgate_top (mW)]], Table7[[#This Row],[PRR (mW)]]+Table7[[#This Row],[Pdead (mW)]]+Table7[[#This Row],[Pgate_top (mW)]])</f>
        <v>#REF!</v>
      </c>
      <c r="BB237" s="145" t="e">
        <f ca="1">Table7[[#This Row],[Pcon_top (mW)]]+Table7[[#This Row],[Psw_top (mW)]]</f>
        <v>#NAME?</v>
      </c>
      <c r="BC237" s="145" t="e">
        <f ca="1">IF(VACnom&gt;Vbat, (1-Table7[[#This Row],[Duty Cycle]])*Table7[[#This Row],[I_L RMS]]^2*TI_MOSFET_S_RDSON_L_BU*10^-3, Table7[[#This Row],[Duty Cycle]]*Table7[[#This Row],[I_L RMS]]^2*TI_MOSFET_S_RDSON_L_BO*10^-3)/10^-3</f>
        <v>#NAME?</v>
      </c>
      <c r="BD237" s="145" t="e">
        <f ca="1">IF(VACnom&gt;Vbat, Table7[[#This Row],[PRR (mW)]]+Table7[[#This Row],[Pdead (mW)]]+Table7[[#This Row],[Pgate_bottom (mW)]], Table7[[#This Row],[PIV (mW)]]+Table7[[#This Row],[Pqoss (mW)]]+Table7[[#This Row],[Pgate_bottom (mW)]])</f>
        <v>#NAME?</v>
      </c>
      <c r="BE237" s="147" t="e">
        <f ca="1">Table7[[#This Row],[Pcon_bottom (mW)]]+Table7[[#This Row],[Psw_bottom (mW)]]</f>
        <v>#NAME?</v>
      </c>
      <c r="BF237" s="145" t="e">
        <f ca="1">Table7[[#This Row],[Pbottom (mW)]]+Table7[[#This Row],[Ptop (mW)]]</f>
        <v>#NAME?</v>
      </c>
      <c r="BG237" s="142"/>
      <c r="BH237" s="145" t="e">
        <f>MAX(0,Table7[[#This Row],[I_L]]-0.5*Table7[[#This Row],[I_L pkpk]])</f>
        <v>#NAME?</v>
      </c>
      <c r="BI237" s="145" t="e">
        <f>Table7[[#This Row],[I_L]]+0.5*Table7[[#This Row],[I_L pkpk]]</f>
        <v>#NAME?</v>
      </c>
      <c r="BJ237" s="145">
        <f>IF(VACnom&gt;Vbat, (VGS_S-(C_MOSFET_S_VTH_H_BU+Table7[[#This Row],[I_L]]/C_MOSFET_S_gFS_H_BU))/3.4, (VGS_S-(C_MOSFET_S_VTH_L_BO+Table7[[#This Row],[I_L]]/C_MOSFET_S_gFS_L_BO))/3.4 )</f>
        <v>2.333948529411765</v>
      </c>
      <c r="BK237" s="145">
        <f>IF(VACnom&gt;Vbat, ((C_MOSFET_S_VTH_H_BU+Table7[[#This Row],[I_L]]/C_MOSFET_S_gFS_H_BU))/1, ((C_MOSFET_S_VTH_L_BO+Table7[[#This Row],[I_L]]/C_MOSFET_S_gFS_L_BO))/1 )</f>
        <v>2.064575</v>
      </c>
      <c r="BL237" s="145">
        <f>IF(VACnom&gt;Vbat, (C_MOSFET_S_QGD_H_BU+C_MOSFET_S_QGS_H_BU)*10^-9/Table7[[#This Row],[Ion (A) C]], (C_MOSFET_S_QGD_L_BO+C_MOSFET_S_QGS_L_BO)*10^-9/Table7[[#This Row],[Ion (A) C]])/10^-9</f>
        <v>2.7849800105224354</v>
      </c>
      <c r="BM237" s="145">
        <f>IF(VACnom&gt;Vbat, (C_MOSFET_S_QGD_H_BU+C_MOSFET_S_QGS_H_BU)*10^-9/Table7[[#This Row],[Ioff (A) C]], (C_MOSFET_S_QGD_L_BO+C_MOSFET_S_QGS_L_BO)*10^-9/Table7[[#This Row],[Ioff (A) C]])/10^-9</f>
        <v>3.1483477228969643</v>
      </c>
      <c r="BN237" s="145" t="e">
        <f xml:space="preserve"> 0.5*VACnom*Table7[[#This Row],[Ivalley (A) C]]*Table7[[#This Row],[ton (ns) C]]*10^-9*Fsw*10^3+0.5*VACnom*Table7[[#This Row],[Ipeak (A) C]]*Table7[[#This Row],[toff (ns) C]]*10^-9*Fsw*10^3/10^-3</f>
        <v>#NAME?</v>
      </c>
      <c r="BO237" s="145">
        <f t="shared" si="49"/>
        <v>259.2</v>
      </c>
      <c r="BP237" s="145" t="e">
        <f t="shared" ca="1" si="50"/>
        <v>#REF!</v>
      </c>
      <c r="BQ237" s="145">
        <f t="shared" si="51"/>
        <v>475.2</v>
      </c>
      <c r="BR237" s="145" t="e">
        <f>IF(VACnom&gt;Vbat, C_MOSFET_S_VSD_L_BU*Table7[[#This Row],[Ivalley (A) C]]*Fsw*10^3*40*10^-9+C_MOSFET_S_VSD_L_BU*Table7[[#This Row],[Ipeak (A) C]]*Fsw*10^3*30*10^-9, C_MOSFET_S_VSD_H_BO*Table7[[#This Row],[Ivalley (A) C]]*Fsw*10^3*40*10^-9+C_MOSFET_S_VSD_H_BO*Table7[[#This Row],[Ipeak (A) C]]*Fsw*10^3*30*10^-9)/10^-3</f>
        <v>#NAME?</v>
      </c>
      <c r="BS237" s="145" t="e">
        <f t="shared" ca="1" si="52"/>
        <v>#REF!</v>
      </c>
      <c r="BT237" s="145" t="e">
        <f>IF(VACnom&lt;Vbat, Table7[[#This Row],[Duty Cycle]]*Table7[[#This Row],[I_L RMS]]^2*C_MOSFET_S_RDSON_H_BU*10^-3, (1-Table7[[#This Row],[Duty Cycle]])*Table7[[#This Row],[I_L RMS]]^2*C_MOSFET_S_RDSON_H_BO*10^-3)/10^-3</f>
        <v>#NAME?</v>
      </c>
      <c r="BU237" s="145" t="e">
        <f ca="1">IF(VACnom&gt;Vbat, Table7[[#This Row],[PIV (mW) C]]+Table7[[#This Row],[PQoss (mW) C]]+Table7[[#This Row],[Pgate_top (mW) C]], Table7[[#This Row],[PRR (mW) C]]+Table7[[#This Row],[Pdead (mW) C]]+Table7[[#This Row],[Pgate_top (mW) C]])</f>
        <v>#NAME?</v>
      </c>
      <c r="BV237" s="145" t="e">
        <f ca="1">Table7[[#This Row],[Pcon_top (mW) C]]+Table7[[#This Row],[Psw_top (mW) C]]</f>
        <v>#NAME?</v>
      </c>
      <c r="BW237" s="145" t="e">
        <f ca="1">IF(VACnom&gt;Vbat, (1-Table7[[#This Row],[Duty Cycle]])*Table7[[#This Row],[I_L RMS]]^2*C_MOSFET_S_RDSON_L_BU*10^-3, Table7[[#This Row],[Duty Cycle]]*Table7[[#This Row],[I_L RMS]]^2*C_MOSFET_S_RDSON_L_BO*10^-3)/10^-3</f>
        <v>#NAME?</v>
      </c>
      <c r="BX237" s="145" t="e">
        <f ca="1">IF(VACnom&gt;Vbat, Table7[[#This Row],[PRR (mW) C]]+Table7[[#This Row],[Pdead (mW) C]]+Table7[[#This Row],[Pgate_bottom (mW) C]], Table7[[#This Row],[PIV (mW) C]]+Table7[[#This Row],[PQoss (mW) C]]+Table7[[#This Row],[Pgate_bottom (mW) C]])</f>
        <v>#NAME?</v>
      </c>
      <c r="BY237" s="145" t="e">
        <f ca="1">Table7[[#This Row],[Pcon_bottom (mW) C]]+Table7[[#This Row],[Psw_bottom (mV) C]]</f>
        <v>#NAME?</v>
      </c>
      <c r="BZ237" s="145" t="e">
        <f ca="1">Table7[[#This Row],[Pbottom (mW) C]]+Table7[[#This Row],[Ptop (mW) C]]</f>
        <v>#NAME?</v>
      </c>
      <c r="CA237" s="148"/>
      <c r="CB237" s="144">
        <f>(RAC_SNS*10^-3*(Table7[[#This Row],[IOUT (A)]]*Vbat/VACnom)^2/10^-3)</f>
        <v>469.11719531249997</v>
      </c>
      <c r="CC237" s="144">
        <f>(RBAT_SNS*10^-3*Table7[[#This Row],[IOUT (A)]]^2)/10^-3</f>
        <v>328.05</v>
      </c>
      <c r="CD237" s="144">
        <f>IF(VACnom&gt;Vbat,(L_DRC*10^-3*(Table7[[#This Row],[IOUT (A)]])^2/10^-3),(L_DRC*10^-3*(Table7[[#This Row],[IOUT (A)]]*Vbat/VACnom)^2/10^-3))</f>
        <v>318.99969281249997</v>
      </c>
      <c r="CE237" s="152"/>
      <c r="CF237" s="145">
        <f>(Table7[[#This Row],[R_AC (mW)]]+Table7[[#This Row],[R_SR (mW)]]+Table7[[#This Row],[Inductor Loss (mW)]])/10^3</f>
        <v>1.116166888125</v>
      </c>
      <c r="CG237" s="145" t="e">
        <f ca="1">Table7[[#This Row],[Total TI (mW)]]/10^3</f>
        <v>#NAME?</v>
      </c>
      <c r="CH237" s="145" t="e">
        <f ca="1">Table7[[#This Row],[Total Sense Loss]]+Table7[[#This Row],[Total MOSFET Loss]]</f>
        <v>#NAME?</v>
      </c>
      <c r="CI237" s="149" t="e">
        <f ca="1">IF(Table7[[#This Row],[POUT (W)]]=0,0,(Table7[[#This Row],[POUT (W)]])/(Table7[[#This Row],[POUT (W)]]+Table7[[#This Row],[Total Power Loss (W)]]))*100</f>
        <v>#NAME?</v>
      </c>
      <c r="CJ237" s="153"/>
      <c r="CK237" s="145">
        <f>(Table7[[#This Row],[R_AC (mW)]]+Table7[[#This Row],[R_SR (mW)]]+Table7[[#This Row],[Inductor Loss (mW)]])/10^3</f>
        <v>1.116166888125</v>
      </c>
      <c r="CL237" s="145" t="e">
        <f ca="1">Table7[[#This Row],[Total (mW) C]]/10^3</f>
        <v>#NAME?</v>
      </c>
      <c r="CM237" s="145" t="e">
        <f ca="1">Table7[[#This Row],[Total Sense Loss C]]+Table7[[#This Row],[Total MOSFET Loss C]]</f>
        <v>#NAME?</v>
      </c>
      <c r="CN237" s="149" t="e">
        <f ca="1">IF(Table7[[#This Row],[POUT (W)]]=0,0,(Table7[[#This Row],[POUT (W)]])/(Table7[[#This Row],[POUT (W)]]+Table7[[#This Row],[Total Power Loss (W) C]]))*100</f>
        <v>#NAME?</v>
      </c>
      <c r="CO237" s="153"/>
      <c r="CP237" s="149">
        <f>IF(MOSFET_S=Custom_MOSFET,Table7[[#This Row],[Total Sense Loss C]],Table7[[#This Row],[Total Sense Loss]])</f>
        <v>1.116166888125</v>
      </c>
      <c r="CQ237" s="149" t="e">
        <f ca="1">IF(MOSFET_S=Custom_MOSFET,Table7[[#This Row],[Total MOSFET Loss C]],Table7[[#This Row],[Total MOSFET Loss]])</f>
        <v>#NAME?</v>
      </c>
      <c r="CR237" s="149" t="e">
        <f ca="1">IF(MOSFET_S=Custom_MOSFET,Table7[[#This Row],[Efficiency C]],Table7[[#This Row],[Efficiency]])</f>
        <v>#NAME?</v>
      </c>
      <c r="CS237" s="153"/>
      <c r="CT237" s="149">
        <f>IF(MOSFET_S=Compare_MOSFET, Table7[[#This Row],[Total Sense Loss C]], -100)</f>
        <v>-100</v>
      </c>
      <c r="CU237" s="149">
        <f>IF(MOSFET_S=Compare_MOSFET, Table7[[#This Row],[Total MOSFET Loss C]], -100)</f>
        <v>-100</v>
      </c>
      <c r="CV237" s="149">
        <f>IF(MOSFET_S=Compare_MOSFET, Table7[[#This Row],[Efficiency C]], -100)</f>
        <v>-100</v>
      </c>
      <c r="CW237" s="153"/>
      <c r="CX237" s="149">
        <f ca="1">IF(Save_Sel=CLR_Save,  Table7[[#This Row],[Total Sense Loss P1]], Table7[[#This Row],[Total Sense Loss P1 Saved]])</f>
        <v>0.93596765624999989</v>
      </c>
      <c r="CY237" s="149">
        <f ca="1">IF(Save_Sel=CLR_Save,  Table7[[#This Row],[Total MOSFET Loss P1]], Table7[[#This Row],[Total MOSFET Loss P1 Saved]] )</f>
        <v>2.1986240098611596</v>
      </c>
      <c r="CZ237" s="149">
        <f ca="1">IF(Save_Sel=CLR_Save, Table7[[#This Row],[Efficiency P1]], Table7[[#This Row],[Efficiency P1 Saved]])</f>
        <v>93.941014000184936</v>
      </c>
      <c r="DA237" s="153"/>
      <c r="DB237" s="149">
        <f ca="1">IF(Save_Sel=CLR_Save,  Table7[[#This Row],[Total Sense Loss P2]], Table7[[#This Row],[Total Sense Loss P2 Saved]])</f>
        <v>0.93596765624999989</v>
      </c>
      <c r="DC237" s="149">
        <f ca="1">IF(Save_Sel=CLR_Save,  Table7[[#This Row],[Total MOSFET Loss P2]], Table7[[#This Row],[Total MOSFET Loss P2 Saved]] )</f>
        <v>1.5344947236793718</v>
      </c>
      <c r="DD237" s="149">
        <f ca="1">IF(Save_Sel=CLR_Save, Table7[[#This Row],[Efficiency P2]], Table7[[#This Row],[Efficiency P2 Saved]])</f>
        <v>95.16263948904394</v>
      </c>
      <c r="DE237" s="153"/>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row>
    <row r="238" spans="1:165" x14ac:dyDescent="0.2">
      <c r="A238" s="67"/>
      <c r="B238" s="67"/>
      <c r="C238" s="67"/>
      <c r="D238" s="67"/>
      <c r="E238" s="67"/>
      <c r="F238" s="67"/>
      <c r="G238" s="67"/>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43">
        <f t="shared" si="54"/>
        <v>82</v>
      </c>
      <c r="AG238" s="143">
        <f t="shared" si="53"/>
        <v>8.1999999999999993</v>
      </c>
      <c r="AH238" s="144">
        <f t="shared" si="42"/>
        <v>196.79999999999998</v>
      </c>
      <c r="AI238" s="145">
        <f t="shared" si="43"/>
        <v>0.16376306620209058</v>
      </c>
      <c r="AJ238" s="145">
        <f t="shared" si="44"/>
        <v>9.8058333333333323</v>
      </c>
      <c r="AK238" s="145" t="e">
        <f t="shared" si="40"/>
        <v>#NAME?</v>
      </c>
      <c r="AL238" s="145" t="e">
        <f t="shared" si="41"/>
        <v>#NAME?</v>
      </c>
      <c r="AM238" s="146"/>
      <c r="AN238" s="145" t="e">
        <f>MAX(0,Table7[[#This Row],[I_L]]-0.5*Table7[[#This Row],[I_L pkpk]])</f>
        <v>#NAME?</v>
      </c>
      <c r="AO238" s="145" t="e">
        <f>Table7[[#This Row],[I_L]]+0.5*Table7[[#This Row],[I_L pkpk]]</f>
        <v>#NAME?</v>
      </c>
      <c r="AP238" s="145" t="e">
        <f ca="1">IF(VACnom&gt;Vbat, (VGS_S-(TI_MOSFET_S_VTH_H_BU+Table7[[#This Row],[I_L]]/TI_MOSFET_S_gFS_H_BU))/3.4, (VGS_S-(TI_MOSFET_S_VTH_L_BO+Table7[[#This Row],[I_L]]/TI_MOSFET_S_gFS_L_BO))/3.4 )</f>
        <v>#REF!</v>
      </c>
      <c r="AQ238" s="145" t="e">
        <f ca="1">IF(VACnom&gt;Vbat, ((TI_MOSFET_S_VTH_H_BU+Table7[[#This Row],[I_L]]/TI_MOSFET_S_gFS_H_BU))/1, ((TI_MOSFET_S_VTH_L_BO+Table7[[#This Row],[I_L]]/TI_MOSFET_S_gFS_L_BO))/1 )</f>
        <v>#REF!</v>
      </c>
      <c r="AR238" s="145" t="e">
        <f ca="1">IF(VACnom&gt;Vbat, (TI_MOSFET_S_QGD_H_BU+TI_MOSFET_S_QGS_H_BU)*10^-9/Table7[[#This Row],[Ion (A)]], (TI_MOSFET_S_QGD_L_BO+TI_MOSFET_S_QGS_L_BO)*10^-9/Table7[[#This Row],[Ion (A)]])/10^-9</f>
        <v>#REF!</v>
      </c>
      <c r="AS238" s="145" t="e">
        <f ca="1">IF(VACnom&gt;Vbat, (TI_MOSFET_S_QGD_H_BU+TI_MOSFET_S_QGS_H_BU)*10^-9/Table7[[#This Row],[Ioff (A)]], (TI_MOSFET_S_QGD_L_BO+TI_MOSFET_S_QGS_L_BO)*10^-9/Table7[[#This Row],[Ioff (A)]])/10^-9</f>
        <v>#REF!</v>
      </c>
      <c r="AT238" s="145" t="e">
        <f ca="1" xml:space="preserve"> 0.5*VACnom*Table7[[#This Row],[Ivalley (A)]]*Table7[[#This Row],[ton (ns)]]*10^-9*Fsw*10^3+0.5*VACnom*Table7[[#This Row],[Ipeak (A)]]*Table7[[#This Row],[toff (ns)]]*10^-9*Fsw*10^3/10^-3</f>
        <v>#NAME?</v>
      </c>
      <c r="AU238" s="145" t="e">
        <f t="shared" ca="1" si="45"/>
        <v>#REF!</v>
      </c>
      <c r="AV238" s="145" t="e">
        <f t="shared" ca="1" si="46"/>
        <v>#REF!</v>
      </c>
      <c r="AW238" s="145" t="e">
        <f t="shared" ca="1" si="47"/>
        <v>#REF!</v>
      </c>
      <c r="AX238" s="145" t="e">
        <f ca="1">IF(VACnom&gt;Vbat, TI_MOSFET_S_VSD_L_BU*Table7[[#This Row],[Ivalley (A)]]*Fsw*10^3*40*10^-9+TI_MOSFET_S_VSD_L_BU*Table7[[#This Row],[Ipeak (A)]]*Fsw*10^3*30*10^-9, TI_MOSFET_S_VSD_H_BO*Table7[[#This Row],[Ivalley (A)]]*Fsw*10^3*40*10^-9+TI_MOSFET_S_VSD_H_BO*Table7[[#This Row],[Ipeak (A)]]*Fsw*10^3*30*10^-9)/10^-3</f>
        <v>#REF!</v>
      </c>
      <c r="AY238" s="145" t="e">
        <f t="shared" ca="1" si="48"/>
        <v>#REF!</v>
      </c>
      <c r="AZ238" s="145" t="e">
        <f ca="1">IF(VACnom&lt;Vbat, Table7[[#This Row],[Duty Cycle]]*Table7[[#This Row],[I_L RMS]]^2*TI_MOSFET_S_RDSON_H_BU*10^-3, (1-Table7[[#This Row],[Duty Cycle]])*Table7[[#This Row],[I_L RMS]]^2*TI_MOSFET_S_RDSON_H_BO*10^-3)/10^-3</f>
        <v>#NAME?</v>
      </c>
      <c r="BA238" s="145" t="e">
        <f ca="1">IF(VACnom&gt;Vbat, Table7[[#This Row],[PIV (mW)]]+Table7[[#This Row],[Pqoss (mW)]]+Table7[[#This Row],[Pgate_top (mW)]], Table7[[#This Row],[PRR (mW)]]+Table7[[#This Row],[Pdead (mW)]]+Table7[[#This Row],[Pgate_top (mW)]])</f>
        <v>#REF!</v>
      </c>
      <c r="BB238" s="145" t="e">
        <f ca="1">Table7[[#This Row],[Pcon_top (mW)]]+Table7[[#This Row],[Psw_top (mW)]]</f>
        <v>#NAME?</v>
      </c>
      <c r="BC238" s="145" t="e">
        <f ca="1">IF(VACnom&gt;Vbat, (1-Table7[[#This Row],[Duty Cycle]])*Table7[[#This Row],[I_L RMS]]^2*TI_MOSFET_S_RDSON_L_BU*10^-3, Table7[[#This Row],[Duty Cycle]]*Table7[[#This Row],[I_L RMS]]^2*TI_MOSFET_S_RDSON_L_BO*10^-3)/10^-3</f>
        <v>#NAME?</v>
      </c>
      <c r="BD238" s="145" t="e">
        <f ca="1">IF(VACnom&gt;Vbat, Table7[[#This Row],[PRR (mW)]]+Table7[[#This Row],[Pdead (mW)]]+Table7[[#This Row],[Pgate_bottom (mW)]], Table7[[#This Row],[PIV (mW)]]+Table7[[#This Row],[Pqoss (mW)]]+Table7[[#This Row],[Pgate_bottom (mW)]])</f>
        <v>#NAME?</v>
      </c>
      <c r="BE238" s="147" t="e">
        <f ca="1">Table7[[#This Row],[Pcon_bottom (mW)]]+Table7[[#This Row],[Psw_bottom (mW)]]</f>
        <v>#NAME?</v>
      </c>
      <c r="BF238" s="145" t="e">
        <f ca="1">Table7[[#This Row],[Pbottom (mW)]]+Table7[[#This Row],[Ptop (mW)]]</f>
        <v>#NAME?</v>
      </c>
      <c r="BG238" s="142"/>
      <c r="BH238" s="145" t="e">
        <f>MAX(0,Table7[[#This Row],[I_L]]-0.5*Table7[[#This Row],[I_L pkpk]])</f>
        <v>#NAME?</v>
      </c>
      <c r="BI238" s="145" t="e">
        <f>Table7[[#This Row],[I_L]]+0.5*Table7[[#This Row],[I_L pkpk]]</f>
        <v>#NAME?</v>
      </c>
      <c r="BJ238" s="145">
        <f>IF(VACnom&gt;Vbat, (VGS_S-(C_MOSFET_S_VTH_H_BU+Table7[[#This Row],[I_L]]/C_MOSFET_S_gFS_H_BU))/3.4, (VGS_S-(C_MOSFET_S_VTH_L_BO+Table7[[#This Row],[I_L]]/C_MOSFET_S_gFS_L_BO))/3.4 )</f>
        <v>2.3337140522875814</v>
      </c>
      <c r="BK238" s="145">
        <f>IF(VACnom&gt;Vbat, ((C_MOSFET_S_VTH_H_BU+Table7[[#This Row],[I_L]]/C_MOSFET_S_gFS_H_BU))/1, ((C_MOSFET_S_VTH_L_BO+Table7[[#This Row],[I_L]]/C_MOSFET_S_gFS_L_BO))/1 )</f>
        <v>2.0653722222222224</v>
      </c>
      <c r="BL238" s="145">
        <f>IF(VACnom&gt;Vbat, (C_MOSFET_S_QGD_H_BU+C_MOSFET_S_QGS_H_BU)*10^-9/Table7[[#This Row],[Ion (A) C]], (C_MOSFET_S_QGD_L_BO+C_MOSFET_S_QGS_L_BO)*10^-9/Table7[[#This Row],[Ion (A) C]])/10^-9</f>
        <v>2.7852598280532659</v>
      </c>
      <c r="BM238" s="145">
        <f>IF(VACnom&gt;Vbat, (C_MOSFET_S_QGD_H_BU+C_MOSFET_S_QGS_H_BU)*10^-9/Table7[[#This Row],[Ioff (A) C]], (C_MOSFET_S_QGD_L_BO+C_MOSFET_S_QGS_L_BO)*10^-9/Table7[[#This Row],[Ioff (A) C]])/10^-9</f>
        <v>3.1471324781381882</v>
      </c>
      <c r="BN238" s="145" t="e">
        <f xml:space="preserve"> 0.5*VACnom*Table7[[#This Row],[Ivalley (A) C]]*Table7[[#This Row],[ton (ns) C]]*10^-9*Fsw*10^3+0.5*VACnom*Table7[[#This Row],[Ipeak (A) C]]*Table7[[#This Row],[toff (ns) C]]*10^-9*Fsw*10^3/10^-3</f>
        <v>#NAME?</v>
      </c>
      <c r="BO238" s="145">
        <f t="shared" si="49"/>
        <v>259.2</v>
      </c>
      <c r="BP238" s="145" t="e">
        <f t="shared" ca="1" si="50"/>
        <v>#REF!</v>
      </c>
      <c r="BQ238" s="145">
        <f t="shared" si="51"/>
        <v>475.2</v>
      </c>
      <c r="BR238" s="145" t="e">
        <f>IF(VACnom&gt;Vbat, C_MOSFET_S_VSD_L_BU*Table7[[#This Row],[Ivalley (A) C]]*Fsw*10^3*40*10^-9+C_MOSFET_S_VSD_L_BU*Table7[[#This Row],[Ipeak (A) C]]*Fsw*10^3*30*10^-9, C_MOSFET_S_VSD_H_BO*Table7[[#This Row],[Ivalley (A) C]]*Fsw*10^3*40*10^-9+C_MOSFET_S_VSD_H_BO*Table7[[#This Row],[Ipeak (A) C]]*Fsw*10^3*30*10^-9)/10^-3</f>
        <v>#NAME?</v>
      </c>
      <c r="BS238" s="145" t="e">
        <f t="shared" ca="1" si="52"/>
        <v>#REF!</v>
      </c>
      <c r="BT238" s="145" t="e">
        <f>IF(VACnom&lt;Vbat, Table7[[#This Row],[Duty Cycle]]*Table7[[#This Row],[I_L RMS]]^2*C_MOSFET_S_RDSON_H_BU*10^-3, (1-Table7[[#This Row],[Duty Cycle]])*Table7[[#This Row],[I_L RMS]]^2*C_MOSFET_S_RDSON_H_BO*10^-3)/10^-3</f>
        <v>#NAME?</v>
      </c>
      <c r="BU238" s="145" t="e">
        <f ca="1">IF(VACnom&gt;Vbat, Table7[[#This Row],[PIV (mW) C]]+Table7[[#This Row],[PQoss (mW) C]]+Table7[[#This Row],[Pgate_top (mW) C]], Table7[[#This Row],[PRR (mW) C]]+Table7[[#This Row],[Pdead (mW) C]]+Table7[[#This Row],[Pgate_top (mW) C]])</f>
        <v>#NAME?</v>
      </c>
      <c r="BV238" s="145" t="e">
        <f ca="1">Table7[[#This Row],[Pcon_top (mW) C]]+Table7[[#This Row],[Psw_top (mW) C]]</f>
        <v>#NAME?</v>
      </c>
      <c r="BW238" s="145" t="e">
        <f ca="1">IF(VACnom&gt;Vbat, (1-Table7[[#This Row],[Duty Cycle]])*Table7[[#This Row],[I_L RMS]]^2*C_MOSFET_S_RDSON_L_BU*10^-3, Table7[[#This Row],[Duty Cycle]]*Table7[[#This Row],[I_L RMS]]^2*C_MOSFET_S_RDSON_L_BO*10^-3)/10^-3</f>
        <v>#NAME?</v>
      </c>
      <c r="BX238" s="145" t="e">
        <f ca="1">IF(VACnom&gt;Vbat, Table7[[#This Row],[PRR (mW) C]]+Table7[[#This Row],[Pdead (mW) C]]+Table7[[#This Row],[Pgate_bottom (mW) C]], Table7[[#This Row],[PIV (mW) C]]+Table7[[#This Row],[PQoss (mW) C]]+Table7[[#This Row],[Pgate_bottom (mW) C]])</f>
        <v>#NAME?</v>
      </c>
      <c r="BY238" s="145" t="e">
        <f ca="1">Table7[[#This Row],[Pcon_bottom (mW) C]]+Table7[[#This Row],[Psw_bottom (mV) C]]</f>
        <v>#NAME?</v>
      </c>
      <c r="BZ238" s="145" t="e">
        <f ca="1">Table7[[#This Row],[Pbottom (mW) C]]+Table7[[#This Row],[Ptop (mW) C]]</f>
        <v>#NAME?</v>
      </c>
      <c r="CA238" s="148"/>
      <c r="CB238" s="144">
        <f>(RAC_SNS*10^-3*(Table7[[#This Row],[IOUT (A)]]*Vbat/VACnom)^2/10^-3)</f>
        <v>480.77183680555538</v>
      </c>
      <c r="CC238" s="144">
        <f>(RBAT_SNS*10^-3*Table7[[#This Row],[IOUT (A)]]^2)/10^-3</f>
        <v>336.2</v>
      </c>
      <c r="CD238" s="144">
        <f>IF(VACnom&gt;Vbat,(L_DRC*10^-3*(Table7[[#This Row],[IOUT (A)]])^2/10^-3),(L_DRC*10^-3*(Table7[[#This Row],[IOUT (A)]]*Vbat/VACnom)^2/10^-3))</f>
        <v>326.92484902777767</v>
      </c>
      <c r="CE238" s="152"/>
      <c r="CF238" s="145">
        <f>(Table7[[#This Row],[R_AC (mW)]]+Table7[[#This Row],[R_SR (mW)]]+Table7[[#This Row],[Inductor Loss (mW)]])/10^3</f>
        <v>1.1438966858333328</v>
      </c>
      <c r="CG238" s="145" t="e">
        <f ca="1">Table7[[#This Row],[Total TI (mW)]]/10^3</f>
        <v>#NAME?</v>
      </c>
      <c r="CH238" s="145" t="e">
        <f ca="1">Table7[[#This Row],[Total Sense Loss]]+Table7[[#This Row],[Total MOSFET Loss]]</f>
        <v>#NAME?</v>
      </c>
      <c r="CI238" s="149" t="e">
        <f ca="1">IF(Table7[[#This Row],[POUT (W)]]=0,0,(Table7[[#This Row],[POUT (W)]])/(Table7[[#This Row],[POUT (W)]]+Table7[[#This Row],[Total Power Loss (W)]]))*100</f>
        <v>#NAME?</v>
      </c>
      <c r="CJ238" s="153"/>
      <c r="CK238" s="145">
        <f>(Table7[[#This Row],[R_AC (mW)]]+Table7[[#This Row],[R_SR (mW)]]+Table7[[#This Row],[Inductor Loss (mW)]])/10^3</f>
        <v>1.1438966858333328</v>
      </c>
      <c r="CL238" s="145" t="e">
        <f ca="1">Table7[[#This Row],[Total (mW) C]]/10^3</f>
        <v>#NAME?</v>
      </c>
      <c r="CM238" s="145" t="e">
        <f ca="1">Table7[[#This Row],[Total Sense Loss C]]+Table7[[#This Row],[Total MOSFET Loss C]]</f>
        <v>#NAME?</v>
      </c>
      <c r="CN238" s="149" t="e">
        <f ca="1">IF(Table7[[#This Row],[POUT (W)]]=0,0,(Table7[[#This Row],[POUT (W)]])/(Table7[[#This Row],[POUT (W)]]+Table7[[#This Row],[Total Power Loss (W) C]]))*100</f>
        <v>#NAME?</v>
      </c>
      <c r="CO238" s="153"/>
      <c r="CP238" s="149">
        <f>IF(MOSFET_S=Custom_MOSFET,Table7[[#This Row],[Total Sense Loss C]],Table7[[#This Row],[Total Sense Loss]])</f>
        <v>1.1438966858333328</v>
      </c>
      <c r="CQ238" s="149" t="e">
        <f ca="1">IF(MOSFET_S=Custom_MOSFET,Table7[[#This Row],[Total MOSFET Loss C]],Table7[[#This Row],[Total MOSFET Loss]])</f>
        <v>#NAME?</v>
      </c>
      <c r="CR238" s="149" t="e">
        <f ca="1">IF(MOSFET_S=Custom_MOSFET,Table7[[#This Row],[Efficiency C]],Table7[[#This Row],[Efficiency]])</f>
        <v>#NAME?</v>
      </c>
      <c r="CS238" s="153"/>
      <c r="CT238" s="149">
        <f>IF(MOSFET_S=Compare_MOSFET, Table7[[#This Row],[Total Sense Loss C]], -100)</f>
        <v>-100</v>
      </c>
      <c r="CU238" s="149">
        <f>IF(MOSFET_S=Compare_MOSFET, Table7[[#This Row],[Total MOSFET Loss C]], -100)</f>
        <v>-100</v>
      </c>
      <c r="CV238" s="149">
        <f>IF(MOSFET_S=Compare_MOSFET, Table7[[#This Row],[Efficiency C]], -100)</f>
        <v>-100</v>
      </c>
      <c r="CW238" s="153"/>
      <c r="CX238" s="149">
        <f ca="1">IF(Save_Sel=CLR_Save,  Table7[[#This Row],[Total Sense Loss P1]], Table7[[#This Row],[Total Sense Loss P1 Saved]])</f>
        <v>0.95922062499999994</v>
      </c>
      <c r="CY238" s="149">
        <f ca="1">IF(Save_Sel=CLR_Save,  Table7[[#This Row],[Total MOSFET Loss P1]], Table7[[#This Row],[Total MOSFET Loss P1 Saved]] )</f>
        <v>2.2099435526366418</v>
      </c>
      <c r="CZ238" s="149">
        <f ca="1">IF(Save_Sel=CLR_Save, Table7[[#This Row],[Efficiency P1]], Table7[[#This Row],[Efficiency P1 Saved]])</f>
        <v>93.948415585005691</v>
      </c>
      <c r="DA238" s="153"/>
      <c r="DB238" s="149">
        <f ca="1">IF(Save_Sel=CLR_Save,  Table7[[#This Row],[Total Sense Loss P2]], Table7[[#This Row],[Total Sense Loss P2 Saved]])</f>
        <v>0.95922062499999994</v>
      </c>
      <c r="DC238" s="149">
        <f ca="1">IF(Save_Sel=CLR_Save,  Table7[[#This Row],[Total MOSFET Loss P2]], Table7[[#This Row],[Total MOSFET Loss P2 Saved]] )</f>
        <v>1.5449113314108227</v>
      </c>
      <c r="DD238" s="149">
        <f ca="1">IF(Save_Sel=CLR_Save, Table7[[#This Row],[Efficiency P2]], Table7[[#This Row],[Efficiency P2 Saved]])</f>
        <v>95.156804956087583</v>
      </c>
      <c r="DE238" s="153"/>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row>
    <row r="239" spans="1:165" x14ac:dyDescent="0.2">
      <c r="A239" s="67"/>
      <c r="B239" s="67"/>
      <c r="C239" s="67"/>
      <c r="D239" s="67"/>
      <c r="E239" s="67"/>
      <c r="F239" s="67"/>
      <c r="G239" s="67"/>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43">
        <f t="shared" si="54"/>
        <v>83</v>
      </c>
      <c r="AG239" s="143">
        <f t="shared" si="53"/>
        <v>8.3000000000000007</v>
      </c>
      <c r="AH239" s="144">
        <f t="shared" si="42"/>
        <v>199.20000000000002</v>
      </c>
      <c r="AI239" s="145">
        <f t="shared" si="43"/>
        <v>0.16376306620209058</v>
      </c>
      <c r="AJ239" s="145">
        <f t="shared" si="44"/>
        <v>9.925416666666667</v>
      </c>
      <c r="AK239" s="145" t="e">
        <f t="shared" si="40"/>
        <v>#NAME?</v>
      </c>
      <c r="AL239" s="145" t="e">
        <f t="shared" si="41"/>
        <v>#NAME?</v>
      </c>
      <c r="AM239" s="146"/>
      <c r="AN239" s="145" t="e">
        <f>MAX(0,Table7[[#This Row],[I_L]]-0.5*Table7[[#This Row],[I_L pkpk]])</f>
        <v>#NAME?</v>
      </c>
      <c r="AO239" s="145" t="e">
        <f>Table7[[#This Row],[I_L]]+0.5*Table7[[#This Row],[I_L pkpk]]</f>
        <v>#NAME?</v>
      </c>
      <c r="AP239" s="145" t="e">
        <f ca="1">IF(VACnom&gt;Vbat, (VGS_S-(TI_MOSFET_S_VTH_H_BU+Table7[[#This Row],[I_L]]/TI_MOSFET_S_gFS_H_BU))/3.4, (VGS_S-(TI_MOSFET_S_VTH_L_BO+Table7[[#This Row],[I_L]]/TI_MOSFET_S_gFS_L_BO))/3.4 )</f>
        <v>#REF!</v>
      </c>
      <c r="AQ239" s="145" t="e">
        <f ca="1">IF(VACnom&gt;Vbat, ((TI_MOSFET_S_VTH_H_BU+Table7[[#This Row],[I_L]]/TI_MOSFET_S_gFS_H_BU))/1, ((TI_MOSFET_S_VTH_L_BO+Table7[[#This Row],[I_L]]/TI_MOSFET_S_gFS_L_BO))/1 )</f>
        <v>#REF!</v>
      </c>
      <c r="AR239" s="145" t="e">
        <f ca="1">IF(VACnom&gt;Vbat, (TI_MOSFET_S_QGD_H_BU+TI_MOSFET_S_QGS_H_BU)*10^-9/Table7[[#This Row],[Ion (A)]], (TI_MOSFET_S_QGD_L_BO+TI_MOSFET_S_QGS_L_BO)*10^-9/Table7[[#This Row],[Ion (A)]])/10^-9</f>
        <v>#REF!</v>
      </c>
      <c r="AS239" s="145" t="e">
        <f ca="1">IF(VACnom&gt;Vbat, (TI_MOSFET_S_QGD_H_BU+TI_MOSFET_S_QGS_H_BU)*10^-9/Table7[[#This Row],[Ioff (A)]], (TI_MOSFET_S_QGD_L_BO+TI_MOSFET_S_QGS_L_BO)*10^-9/Table7[[#This Row],[Ioff (A)]])/10^-9</f>
        <v>#REF!</v>
      </c>
      <c r="AT239" s="145" t="e">
        <f ca="1" xml:space="preserve"> 0.5*VACnom*Table7[[#This Row],[Ivalley (A)]]*Table7[[#This Row],[ton (ns)]]*10^-9*Fsw*10^3+0.5*VACnom*Table7[[#This Row],[Ipeak (A)]]*Table7[[#This Row],[toff (ns)]]*10^-9*Fsw*10^3/10^-3</f>
        <v>#NAME?</v>
      </c>
      <c r="AU239" s="145" t="e">
        <f t="shared" ca="1" si="45"/>
        <v>#REF!</v>
      </c>
      <c r="AV239" s="145" t="e">
        <f t="shared" ca="1" si="46"/>
        <v>#REF!</v>
      </c>
      <c r="AW239" s="145" t="e">
        <f t="shared" ca="1" si="47"/>
        <v>#REF!</v>
      </c>
      <c r="AX239" s="145" t="e">
        <f ca="1">IF(VACnom&gt;Vbat, TI_MOSFET_S_VSD_L_BU*Table7[[#This Row],[Ivalley (A)]]*Fsw*10^3*40*10^-9+TI_MOSFET_S_VSD_L_BU*Table7[[#This Row],[Ipeak (A)]]*Fsw*10^3*30*10^-9, TI_MOSFET_S_VSD_H_BO*Table7[[#This Row],[Ivalley (A)]]*Fsw*10^3*40*10^-9+TI_MOSFET_S_VSD_H_BO*Table7[[#This Row],[Ipeak (A)]]*Fsw*10^3*30*10^-9)/10^-3</f>
        <v>#REF!</v>
      </c>
      <c r="AY239" s="145" t="e">
        <f t="shared" ca="1" si="48"/>
        <v>#REF!</v>
      </c>
      <c r="AZ239" s="145" t="e">
        <f ca="1">IF(VACnom&lt;Vbat, Table7[[#This Row],[Duty Cycle]]*Table7[[#This Row],[I_L RMS]]^2*TI_MOSFET_S_RDSON_H_BU*10^-3, (1-Table7[[#This Row],[Duty Cycle]])*Table7[[#This Row],[I_L RMS]]^2*TI_MOSFET_S_RDSON_H_BO*10^-3)/10^-3</f>
        <v>#NAME?</v>
      </c>
      <c r="BA239" s="145" t="e">
        <f ca="1">IF(VACnom&gt;Vbat, Table7[[#This Row],[PIV (mW)]]+Table7[[#This Row],[Pqoss (mW)]]+Table7[[#This Row],[Pgate_top (mW)]], Table7[[#This Row],[PRR (mW)]]+Table7[[#This Row],[Pdead (mW)]]+Table7[[#This Row],[Pgate_top (mW)]])</f>
        <v>#REF!</v>
      </c>
      <c r="BB239" s="145" t="e">
        <f ca="1">Table7[[#This Row],[Pcon_top (mW)]]+Table7[[#This Row],[Psw_top (mW)]]</f>
        <v>#NAME?</v>
      </c>
      <c r="BC239" s="145" t="e">
        <f ca="1">IF(VACnom&gt;Vbat, (1-Table7[[#This Row],[Duty Cycle]])*Table7[[#This Row],[I_L RMS]]^2*TI_MOSFET_S_RDSON_L_BU*10^-3, Table7[[#This Row],[Duty Cycle]]*Table7[[#This Row],[I_L RMS]]^2*TI_MOSFET_S_RDSON_L_BO*10^-3)/10^-3</f>
        <v>#NAME?</v>
      </c>
      <c r="BD239" s="145" t="e">
        <f ca="1">IF(VACnom&gt;Vbat, Table7[[#This Row],[PRR (mW)]]+Table7[[#This Row],[Pdead (mW)]]+Table7[[#This Row],[Pgate_bottom (mW)]], Table7[[#This Row],[PIV (mW)]]+Table7[[#This Row],[Pqoss (mW)]]+Table7[[#This Row],[Pgate_bottom (mW)]])</f>
        <v>#NAME?</v>
      </c>
      <c r="BE239" s="147" t="e">
        <f ca="1">Table7[[#This Row],[Pcon_bottom (mW)]]+Table7[[#This Row],[Psw_bottom (mW)]]</f>
        <v>#NAME?</v>
      </c>
      <c r="BF239" s="145" t="e">
        <f ca="1">Table7[[#This Row],[Pbottom (mW)]]+Table7[[#This Row],[Ptop (mW)]]</f>
        <v>#NAME?</v>
      </c>
      <c r="BG239" s="142"/>
      <c r="BH239" s="145" t="e">
        <f>MAX(0,Table7[[#This Row],[I_L]]-0.5*Table7[[#This Row],[I_L pkpk]])</f>
        <v>#NAME?</v>
      </c>
      <c r="BI239" s="145" t="e">
        <f>Table7[[#This Row],[I_L]]+0.5*Table7[[#This Row],[I_L pkpk]]</f>
        <v>#NAME?</v>
      </c>
      <c r="BJ239" s="145">
        <f>IF(VACnom&gt;Vbat, (VGS_S-(C_MOSFET_S_VTH_H_BU+Table7[[#This Row],[I_L]]/C_MOSFET_S_gFS_H_BU))/3.4, (VGS_S-(C_MOSFET_S_VTH_L_BO+Table7[[#This Row],[I_L]]/C_MOSFET_S_gFS_L_BO))/3.4 )</f>
        <v>2.3334795751633988</v>
      </c>
      <c r="BK239" s="145">
        <f>IF(VACnom&gt;Vbat, ((C_MOSFET_S_VTH_H_BU+Table7[[#This Row],[I_L]]/C_MOSFET_S_gFS_H_BU))/1, ((C_MOSFET_S_VTH_L_BO+Table7[[#This Row],[I_L]]/C_MOSFET_S_gFS_L_BO))/1 )</f>
        <v>2.0661694444444443</v>
      </c>
      <c r="BL239" s="145">
        <f>IF(VACnom&gt;Vbat, (C_MOSFET_S_QGD_H_BU+C_MOSFET_S_QGS_H_BU)*10^-9/Table7[[#This Row],[Ion (A) C]], (C_MOSFET_S_QGD_L_BO+C_MOSFET_S_QGS_L_BO)*10^-9/Table7[[#This Row],[Ion (A) C]])/10^-9</f>
        <v>2.7855397018184083</v>
      </c>
      <c r="BM239" s="145">
        <f>IF(VACnom&gt;Vbat, (C_MOSFET_S_QGD_H_BU+C_MOSFET_S_QGS_H_BU)*10^-9/Table7[[#This Row],[Ioff (A) C]], (C_MOSFET_S_QGD_L_BO+C_MOSFET_S_QGS_L_BO)*10^-9/Table7[[#This Row],[Ioff (A) C]])/10^-9</f>
        <v>3.1459181711729034</v>
      </c>
      <c r="BN239" s="145" t="e">
        <f xml:space="preserve"> 0.5*VACnom*Table7[[#This Row],[Ivalley (A) C]]*Table7[[#This Row],[ton (ns) C]]*10^-9*Fsw*10^3+0.5*VACnom*Table7[[#This Row],[Ipeak (A) C]]*Table7[[#This Row],[toff (ns) C]]*10^-9*Fsw*10^3/10^-3</f>
        <v>#NAME?</v>
      </c>
      <c r="BO239" s="145">
        <f t="shared" si="49"/>
        <v>259.2</v>
      </c>
      <c r="BP239" s="145" t="e">
        <f t="shared" ca="1" si="50"/>
        <v>#REF!</v>
      </c>
      <c r="BQ239" s="145">
        <f t="shared" si="51"/>
        <v>475.2</v>
      </c>
      <c r="BR239" s="145" t="e">
        <f>IF(VACnom&gt;Vbat, C_MOSFET_S_VSD_L_BU*Table7[[#This Row],[Ivalley (A) C]]*Fsw*10^3*40*10^-9+C_MOSFET_S_VSD_L_BU*Table7[[#This Row],[Ipeak (A) C]]*Fsw*10^3*30*10^-9, C_MOSFET_S_VSD_H_BO*Table7[[#This Row],[Ivalley (A) C]]*Fsw*10^3*40*10^-9+C_MOSFET_S_VSD_H_BO*Table7[[#This Row],[Ipeak (A) C]]*Fsw*10^3*30*10^-9)/10^-3</f>
        <v>#NAME?</v>
      </c>
      <c r="BS239" s="145" t="e">
        <f t="shared" ca="1" si="52"/>
        <v>#REF!</v>
      </c>
      <c r="BT239" s="145" t="e">
        <f>IF(VACnom&lt;Vbat, Table7[[#This Row],[Duty Cycle]]*Table7[[#This Row],[I_L RMS]]^2*C_MOSFET_S_RDSON_H_BU*10^-3, (1-Table7[[#This Row],[Duty Cycle]])*Table7[[#This Row],[I_L RMS]]^2*C_MOSFET_S_RDSON_H_BO*10^-3)/10^-3</f>
        <v>#NAME?</v>
      </c>
      <c r="BU239" s="145" t="e">
        <f ca="1">IF(VACnom&gt;Vbat, Table7[[#This Row],[PIV (mW) C]]+Table7[[#This Row],[PQoss (mW) C]]+Table7[[#This Row],[Pgate_top (mW) C]], Table7[[#This Row],[PRR (mW) C]]+Table7[[#This Row],[Pdead (mW) C]]+Table7[[#This Row],[Pgate_top (mW) C]])</f>
        <v>#NAME?</v>
      </c>
      <c r="BV239" s="145" t="e">
        <f ca="1">Table7[[#This Row],[Pcon_top (mW) C]]+Table7[[#This Row],[Psw_top (mW) C]]</f>
        <v>#NAME?</v>
      </c>
      <c r="BW239" s="145" t="e">
        <f ca="1">IF(VACnom&gt;Vbat, (1-Table7[[#This Row],[Duty Cycle]])*Table7[[#This Row],[I_L RMS]]^2*C_MOSFET_S_RDSON_L_BU*10^-3, Table7[[#This Row],[Duty Cycle]]*Table7[[#This Row],[I_L RMS]]^2*C_MOSFET_S_RDSON_L_BO*10^-3)/10^-3</f>
        <v>#NAME?</v>
      </c>
      <c r="BX239" s="145" t="e">
        <f ca="1">IF(VACnom&gt;Vbat, Table7[[#This Row],[PRR (mW) C]]+Table7[[#This Row],[Pdead (mW) C]]+Table7[[#This Row],[Pgate_bottom (mW) C]], Table7[[#This Row],[PIV (mW) C]]+Table7[[#This Row],[PQoss (mW) C]]+Table7[[#This Row],[Pgate_bottom (mW) C]])</f>
        <v>#NAME?</v>
      </c>
      <c r="BY239" s="145" t="e">
        <f ca="1">Table7[[#This Row],[Pcon_bottom (mW) C]]+Table7[[#This Row],[Psw_bottom (mV) C]]</f>
        <v>#NAME?</v>
      </c>
      <c r="BZ239" s="145" t="e">
        <f ca="1">Table7[[#This Row],[Pbottom (mW) C]]+Table7[[#This Row],[Ptop (mW) C]]</f>
        <v>#NAME?</v>
      </c>
      <c r="CA239" s="148"/>
      <c r="CB239" s="144">
        <f>(RAC_SNS*10^-3*(Table7[[#This Row],[IOUT (A)]]*Vbat/VACnom)^2/10^-3)</f>
        <v>492.56948003472229</v>
      </c>
      <c r="CC239" s="144">
        <f>(RBAT_SNS*10^-3*Table7[[#This Row],[IOUT (A)]]^2)/10^-3</f>
        <v>344.4500000000001</v>
      </c>
      <c r="CD239" s="144">
        <f>IF(VACnom&gt;Vbat,(L_DRC*10^-3*(Table7[[#This Row],[IOUT (A)]])^2/10^-3),(L_DRC*10^-3*(Table7[[#This Row],[IOUT (A)]]*Vbat/VACnom)^2/10^-3))</f>
        <v>334.94724642361109</v>
      </c>
      <c r="CE239" s="152"/>
      <c r="CF239" s="145">
        <f>(Table7[[#This Row],[R_AC (mW)]]+Table7[[#This Row],[R_SR (mW)]]+Table7[[#This Row],[Inductor Loss (mW)]])/10^3</f>
        <v>1.1719667264583336</v>
      </c>
      <c r="CG239" s="145" t="e">
        <f ca="1">Table7[[#This Row],[Total TI (mW)]]/10^3</f>
        <v>#NAME?</v>
      </c>
      <c r="CH239" s="145" t="e">
        <f ca="1">Table7[[#This Row],[Total Sense Loss]]+Table7[[#This Row],[Total MOSFET Loss]]</f>
        <v>#NAME?</v>
      </c>
      <c r="CI239" s="149" t="e">
        <f ca="1">IF(Table7[[#This Row],[POUT (W)]]=0,0,(Table7[[#This Row],[POUT (W)]])/(Table7[[#This Row],[POUT (W)]]+Table7[[#This Row],[Total Power Loss (W)]]))*100</f>
        <v>#NAME?</v>
      </c>
      <c r="CJ239" s="153"/>
      <c r="CK239" s="145">
        <f>(Table7[[#This Row],[R_AC (mW)]]+Table7[[#This Row],[R_SR (mW)]]+Table7[[#This Row],[Inductor Loss (mW)]])/10^3</f>
        <v>1.1719667264583336</v>
      </c>
      <c r="CL239" s="145" t="e">
        <f ca="1">Table7[[#This Row],[Total (mW) C]]/10^3</f>
        <v>#NAME?</v>
      </c>
      <c r="CM239" s="145" t="e">
        <f ca="1">Table7[[#This Row],[Total Sense Loss C]]+Table7[[#This Row],[Total MOSFET Loss C]]</f>
        <v>#NAME?</v>
      </c>
      <c r="CN239" s="149" t="e">
        <f ca="1">IF(Table7[[#This Row],[POUT (W)]]=0,0,(Table7[[#This Row],[POUT (W)]])/(Table7[[#This Row],[POUT (W)]]+Table7[[#This Row],[Total Power Loss (W) C]]))*100</f>
        <v>#NAME?</v>
      </c>
      <c r="CO239" s="153"/>
      <c r="CP239" s="149">
        <f>IF(MOSFET_S=Custom_MOSFET,Table7[[#This Row],[Total Sense Loss C]],Table7[[#This Row],[Total Sense Loss]])</f>
        <v>1.1719667264583336</v>
      </c>
      <c r="CQ239" s="149" t="e">
        <f ca="1">IF(MOSFET_S=Custom_MOSFET,Table7[[#This Row],[Total MOSFET Loss C]],Table7[[#This Row],[Total MOSFET Loss]])</f>
        <v>#NAME?</v>
      </c>
      <c r="CR239" s="149" t="e">
        <f ca="1">IF(MOSFET_S=Custom_MOSFET,Table7[[#This Row],[Efficiency C]],Table7[[#This Row],[Efficiency]])</f>
        <v>#NAME?</v>
      </c>
      <c r="CS239" s="153"/>
      <c r="CT239" s="149">
        <f>IF(MOSFET_S=Compare_MOSFET, Table7[[#This Row],[Total Sense Loss C]], -100)</f>
        <v>-100</v>
      </c>
      <c r="CU239" s="149">
        <f>IF(MOSFET_S=Compare_MOSFET, Table7[[#This Row],[Total MOSFET Loss C]], -100)</f>
        <v>-100</v>
      </c>
      <c r="CV239" s="149">
        <f>IF(MOSFET_S=Compare_MOSFET, Table7[[#This Row],[Efficiency C]], -100)</f>
        <v>-100</v>
      </c>
      <c r="CW239" s="153"/>
      <c r="CX239" s="149">
        <f ca="1">IF(Save_Sel=CLR_Save,  Table7[[#This Row],[Total Sense Loss P1]], Table7[[#This Row],[Total Sense Loss P1 Saved]])</f>
        <v>0.98275890625000006</v>
      </c>
      <c r="CY239" s="149">
        <f ca="1">IF(Save_Sel=CLR_Save,  Table7[[#This Row],[Total MOSFET Loss P1]], Table7[[#This Row],[Total MOSFET Loss P1 Saved]] )</f>
        <v>2.2213060688336665</v>
      </c>
      <c r="CZ239" s="149">
        <f ca="1">IF(Save_Sel=CLR_Save, Table7[[#This Row],[Efficiency P1]], Table7[[#This Row],[Efficiency P1 Saved]])</f>
        <v>93.955058019437104</v>
      </c>
      <c r="DA239" s="153"/>
      <c r="DB239" s="149">
        <f ca="1">IF(Save_Sel=CLR_Save,  Table7[[#This Row],[Total Sense Loss P2]], Table7[[#This Row],[Total Sense Loss P2 Saved]])</f>
        <v>0.98275890625000006</v>
      </c>
      <c r="DC239" s="149">
        <f ca="1">IF(Save_Sel=CLR_Save,  Table7[[#This Row],[Total MOSFET Loss P2]], Table7[[#This Row],[Total MOSFET Loss P2 Saved]] )</f>
        <v>1.5554071193773948</v>
      </c>
      <c r="DD239" s="149">
        <f ca="1">IF(Save_Sel=CLR_Save, Table7[[#This Row],[Efficiency P2]], Table7[[#This Row],[Efficiency P2 Saved]])</f>
        <v>95.150449053976047</v>
      </c>
      <c r="DE239" s="153"/>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row>
    <row r="240" spans="1:165" x14ac:dyDescent="0.2">
      <c r="A240" s="67"/>
      <c r="B240" s="67"/>
      <c r="C240" s="67"/>
      <c r="D240" s="67"/>
      <c r="E240" s="67"/>
      <c r="F240" s="67"/>
      <c r="G240" s="67"/>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43">
        <f t="shared" si="54"/>
        <v>84</v>
      </c>
      <c r="AG240" s="143">
        <f t="shared" si="53"/>
        <v>8.4</v>
      </c>
      <c r="AH240" s="144">
        <f t="shared" si="42"/>
        <v>201.60000000000002</v>
      </c>
      <c r="AI240" s="145">
        <f t="shared" si="43"/>
        <v>0.16376306620209058</v>
      </c>
      <c r="AJ240" s="145">
        <f t="shared" si="44"/>
        <v>10.045</v>
      </c>
      <c r="AK240" s="145" t="e">
        <f t="shared" si="40"/>
        <v>#NAME?</v>
      </c>
      <c r="AL240" s="145" t="e">
        <f t="shared" si="41"/>
        <v>#NAME?</v>
      </c>
      <c r="AM240" s="146"/>
      <c r="AN240" s="145" t="e">
        <f>MAX(0,Table7[[#This Row],[I_L]]-0.5*Table7[[#This Row],[I_L pkpk]])</f>
        <v>#NAME?</v>
      </c>
      <c r="AO240" s="145" t="e">
        <f>Table7[[#This Row],[I_L]]+0.5*Table7[[#This Row],[I_L pkpk]]</f>
        <v>#NAME?</v>
      </c>
      <c r="AP240" s="145" t="e">
        <f ca="1">IF(VACnom&gt;Vbat, (VGS_S-(TI_MOSFET_S_VTH_H_BU+Table7[[#This Row],[I_L]]/TI_MOSFET_S_gFS_H_BU))/3.4, (VGS_S-(TI_MOSFET_S_VTH_L_BO+Table7[[#This Row],[I_L]]/TI_MOSFET_S_gFS_L_BO))/3.4 )</f>
        <v>#REF!</v>
      </c>
      <c r="AQ240" s="145" t="e">
        <f ca="1">IF(VACnom&gt;Vbat, ((TI_MOSFET_S_VTH_H_BU+Table7[[#This Row],[I_L]]/TI_MOSFET_S_gFS_H_BU))/1, ((TI_MOSFET_S_VTH_L_BO+Table7[[#This Row],[I_L]]/TI_MOSFET_S_gFS_L_BO))/1 )</f>
        <v>#REF!</v>
      </c>
      <c r="AR240" s="145" t="e">
        <f ca="1">IF(VACnom&gt;Vbat, (TI_MOSFET_S_QGD_H_BU+TI_MOSFET_S_QGS_H_BU)*10^-9/Table7[[#This Row],[Ion (A)]], (TI_MOSFET_S_QGD_L_BO+TI_MOSFET_S_QGS_L_BO)*10^-9/Table7[[#This Row],[Ion (A)]])/10^-9</f>
        <v>#REF!</v>
      </c>
      <c r="AS240" s="145" t="e">
        <f ca="1">IF(VACnom&gt;Vbat, (TI_MOSFET_S_QGD_H_BU+TI_MOSFET_S_QGS_H_BU)*10^-9/Table7[[#This Row],[Ioff (A)]], (TI_MOSFET_S_QGD_L_BO+TI_MOSFET_S_QGS_L_BO)*10^-9/Table7[[#This Row],[Ioff (A)]])/10^-9</f>
        <v>#REF!</v>
      </c>
      <c r="AT240" s="145" t="e">
        <f ca="1" xml:space="preserve"> 0.5*VACnom*Table7[[#This Row],[Ivalley (A)]]*Table7[[#This Row],[ton (ns)]]*10^-9*Fsw*10^3+0.5*VACnom*Table7[[#This Row],[Ipeak (A)]]*Table7[[#This Row],[toff (ns)]]*10^-9*Fsw*10^3/10^-3</f>
        <v>#NAME?</v>
      </c>
      <c r="AU240" s="145" t="e">
        <f t="shared" ca="1" si="45"/>
        <v>#REF!</v>
      </c>
      <c r="AV240" s="145" t="e">
        <f t="shared" ca="1" si="46"/>
        <v>#REF!</v>
      </c>
      <c r="AW240" s="145" t="e">
        <f t="shared" ca="1" si="47"/>
        <v>#REF!</v>
      </c>
      <c r="AX240" s="145" t="e">
        <f ca="1">IF(VACnom&gt;Vbat, TI_MOSFET_S_VSD_L_BU*Table7[[#This Row],[Ivalley (A)]]*Fsw*10^3*40*10^-9+TI_MOSFET_S_VSD_L_BU*Table7[[#This Row],[Ipeak (A)]]*Fsw*10^3*30*10^-9, TI_MOSFET_S_VSD_H_BO*Table7[[#This Row],[Ivalley (A)]]*Fsw*10^3*40*10^-9+TI_MOSFET_S_VSD_H_BO*Table7[[#This Row],[Ipeak (A)]]*Fsw*10^3*30*10^-9)/10^-3</f>
        <v>#REF!</v>
      </c>
      <c r="AY240" s="145" t="e">
        <f t="shared" ca="1" si="48"/>
        <v>#REF!</v>
      </c>
      <c r="AZ240" s="145" t="e">
        <f ca="1">IF(VACnom&lt;Vbat, Table7[[#This Row],[Duty Cycle]]*Table7[[#This Row],[I_L RMS]]^2*TI_MOSFET_S_RDSON_H_BU*10^-3, (1-Table7[[#This Row],[Duty Cycle]])*Table7[[#This Row],[I_L RMS]]^2*TI_MOSFET_S_RDSON_H_BO*10^-3)/10^-3</f>
        <v>#NAME?</v>
      </c>
      <c r="BA240" s="145" t="e">
        <f ca="1">IF(VACnom&gt;Vbat, Table7[[#This Row],[PIV (mW)]]+Table7[[#This Row],[Pqoss (mW)]]+Table7[[#This Row],[Pgate_top (mW)]], Table7[[#This Row],[PRR (mW)]]+Table7[[#This Row],[Pdead (mW)]]+Table7[[#This Row],[Pgate_top (mW)]])</f>
        <v>#REF!</v>
      </c>
      <c r="BB240" s="145" t="e">
        <f ca="1">Table7[[#This Row],[Pcon_top (mW)]]+Table7[[#This Row],[Psw_top (mW)]]</f>
        <v>#NAME?</v>
      </c>
      <c r="BC240" s="145" t="e">
        <f ca="1">IF(VACnom&gt;Vbat, (1-Table7[[#This Row],[Duty Cycle]])*Table7[[#This Row],[I_L RMS]]^2*TI_MOSFET_S_RDSON_L_BU*10^-3, Table7[[#This Row],[Duty Cycle]]*Table7[[#This Row],[I_L RMS]]^2*TI_MOSFET_S_RDSON_L_BO*10^-3)/10^-3</f>
        <v>#NAME?</v>
      </c>
      <c r="BD240" s="145" t="e">
        <f ca="1">IF(VACnom&gt;Vbat, Table7[[#This Row],[PRR (mW)]]+Table7[[#This Row],[Pdead (mW)]]+Table7[[#This Row],[Pgate_bottom (mW)]], Table7[[#This Row],[PIV (mW)]]+Table7[[#This Row],[Pqoss (mW)]]+Table7[[#This Row],[Pgate_bottom (mW)]])</f>
        <v>#NAME?</v>
      </c>
      <c r="BE240" s="147" t="e">
        <f ca="1">Table7[[#This Row],[Pcon_bottom (mW)]]+Table7[[#This Row],[Psw_bottom (mW)]]</f>
        <v>#NAME?</v>
      </c>
      <c r="BF240" s="145" t="e">
        <f ca="1">Table7[[#This Row],[Pbottom (mW)]]+Table7[[#This Row],[Ptop (mW)]]</f>
        <v>#NAME?</v>
      </c>
      <c r="BG240" s="142"/>
      <c r="BH240" s="145" t="e">
        <f>MAX(0,Table7[[#This Row],[I_L]]-0.5*Table7[[#This Row],[I_L pkpk]])</f>
        <v>#NAME?</v>
      </c>
      <c r="BI240" s="145" t="e">
        <f>Table7[[#This Row],[I_L]]+0.5*Table7[[#This Row],[I_L pkpk]]</f>
        <v>#NAME?</v>
      </c>
      <c r="BJ240" s="145">
        <f>IF(VACnom&gt;Vbat, (VGS_S-(C_MOSFET_S_VTH_H_BU+Table7[[#This Row],[I_L]]/C_MOSFET_S_gFS_H_BU))/3.4, (VGS_S-(C_MOSFET_S_VTH_L_BO+Table7[[#This Row],[I_L]]/C_MOSFET_S_gFS_L_BO))/3.4 )</f>
        <v>2.3332450980392156</v>
      </c>
      <c r="BK240" s="145">
        <f>IF(VACnom&gt;Vbat, ((C_MOSFET_S_VTH_H_BU+Table7[[#This Row],[I_L]]/C_MOSFET_S_gFS_H_BU))/1, ((C_MOSFET_S_VTH_L_BO+Table7[[#This Row],[I_L]]/C_MOSFET_S_gFS_L_BO))/1 )</f>
        <v>2.0669666666666666</v>
      </c>
      <c r="BL240" s="145">
        <f>IF(VACnom&gt;Vbat, (C_MOSFET_S_QGD_H_BU+C_MOSFET_S_QGS_H_BU)*10^-9/Table7[[#This Row],[Ion (A) C]], (C_MOSFET_S_QGD_L_BO+C_MOSFET_S_QGS_L_BO)*10^-9/Table7[[#This Row],[Ion (A) C]])/10^-9</f>
        <v>2.785819631834817</v>
      </c>
      <c r="BM240" s="145">
        <f>IF(VACnom&gt;Vbat, (C_MOSFET_S_QGD_H_BU+C_MOSFET_S_QGS_H_BU)*10^-9/Table7[[#This Row],[Ioff (A) C]], (C_MOSFET_S_QGD_L_BO+C_MOSFET_S_QGS_L_BO)*10^-9/Table7[[#This Row],[Ioff (A) C]])/10^-9</f>
        <v>3.1447048009159961</v>
      </c>
      <c r="BN240" s="145" t="e">
        <f xml:space="preserve"> 0.5*VACnom*Table7[[#This Row],[Ivalley (A) C]]*Table7[[#This Row],[ton (ns) C]]*10^-9*Fsw*10^3+0.5*VACnom*Table7[[#This Row],[Ipeak (A) C]]*Table7[[#This Row],[toff (ns) C]]*10^-9*Fsw*10^3/10^-3</f>
        <v>#NAME?</v>
      </c>
      <c r="BO240" s="145">
        <f t="shared" si="49"/>
        <v>259.2</v>
      </c>
      <c r="BP240" s="145" t="e">
        <f t="shared" ca="1" si="50"/>
        <v>#REF!</v>
      </c>
      <c r="BQ240" s="145">
        <f t="shared" si="51"/>
        <v>475.2</v>
      </c>
      <c r="BR240" s="145" t="e">
        <f>IF(VACnom&gt;Vbat, C_MOSFET_S_VSD_L_BU*Table7[[#This Row],[Ivalley (A) C]]*Fsw*10^3*40*10^-9+C_MOSFET_S_VSD_L_BU*Table7[[#This Row],[Ipeak (A) C]]*Fsw*10^3*30*10^-9, C_MOSFET_S_VSD_H_BO*Table7[[#This Row],[Ivalley (A) C]]*Fsw*10^3*40*10^-9+C_MOSFET_S_VSD_H_BO*Table7[[#This Row],[Ipeak (A) C]]*Fsw*10^3*30*10^-9)/10^-3</f>
        <v>#NAME?</v>
      </c>
      <c r="BS240" s="145" t="e">
        <f t="shared" ca="1" si="52"/>
        <v>#REF!</v>
      </c>
      <c r="BT240" s="145" t="e">
        <f>IF(VACnom&lt;Vbat, Table7[[#This Row],[Duty Cycle]]*Table7[[#This Row],[I_L RMS]]^2*C_MOSFET_S_RDSON_H_BU*10^-3, (1-Table7[[#This Row],[Duty Cycle]])*Table7[[#This Row],[I_L RMS]]^2*C_MOSFET_S_RDSON_H_BO*10^-3)/10^-3</f>
        <v>#NAME?</v>
      </c>
      <c r="BU240" s="145" t="e">
        <f ca="1">IF(VACnom&gt;Vbat, Table7[[#This Row],[PIV (mW) C]]+Table7[[#This Row],[PQoss (mW) C]]+Table7[[#This Row],[Pgate_top (mW) C]], Table7[[#This Row],[PRR (mW) C]]+Table7[[#This Row],[Pdead (mW) C]]+Table7[[#This Row],[Pgate_top (mW) C]])</f>
        <v>#NAME?</v>
      </c>
      <c r="BV240" s="145" t="e">
        <f ca="1">Table7[[#This Row],[Pcon_top (mW) C]]+Table7[[#This Row],[Psw_top (mW) C]]</f>
        <v>#NAME?</v>
      </c>
      <c r="BW240" s="145" t="e">
        <f ca="1">IF(VACnom&gt;Vbat, (1-Table7[[#This Row],[Duty Cycle]])*Table7[[#This Row],[I_L RMS]]^2*C_MOSFET_S_RDSON_L_BU*10^-3, Table7[[#This Row],[Duty Cycle]]*Table7[[#This Row],[I_L RMS]]^2*C_MOSFET_S_RDSON_L_BO*10^-3)/10^-3</f>
        <v>#NAME?</v>
      </c>
      <c r="BX240" s="145" t="e">
        <f ca="1">IF(VACnom&gt;Vbat, Table7[[#This Row],[PRR (mW) C]]+Table7[[#This Row],[Pdead (mW) C]]+Table7[[#This Row],[Pgate_bottom (mW) C]], Table7[[#This Row],[PIV (mW) C]]+Table7[[#This Row],[PQoss (mW) C]]+Table7[[#This Row],[Pgate_bottom (mW) C]])</f>
        <v>#NAME?</v>
      </c>
      <c r="BY240" s="145" t="e">
        <f ca="1">Table7[[#This Row],[Pcon_bottom (mW) C]]+Table7[[#This Row],[Psw_bottom (mV) C]]</f>
        <v>#NAME?</v>
      </c>
      <c r="BZ240" s="145" t="e">
        <f ca="1">Table7[[#This Row],[Pbottom (mW) C]]+Table7[[#This Row],[Ptop (mW) C]]</f>
        <v>#NAME?</v>
      </c>
      <c r="CA240" s="148"/>
      <c r="CB240" s="144">
        <f>(RAC_SNS*10^-3*(Table7[[#This Row],[IOUT (A)]]*Vbat/VACnom)^2/10^-3)</f>
        <v>504.51012500000002</v>
      </c>
      <c r="CC240" s="144">
        <f>(RBAT_SNS*10^-3*Table7[[#This Row],[IOUT (A)]]^2)/10^-3</f>
        <v>352.8</v>
      </c>
      <c r="CD240" s="144">
        <f>IF(VACnom&gt;Vbat,(L_DRC*10^-3*(Table7[[#This Row],[IOUT (A)]])^2/10^-3),(L_DRC*10^-3*(Table7[[#This Row],[IOUT (A)]]*Vbat/VACnom)^2/10^-3))</f>
        <v>343.06688499999996</v>
      </c>
      <c r="CE240" s="152"/>
      <c r="CF240" s="145">
        <f>(Table7[[#This Row],[R_AC (mW)]]+Table7[[#This Row],[R_SR (mW)]]+Table7[[#This Row],[Inductor Loss (mW)]])/10^3</f>
        <v>1.20037701</v>
      </c>
      <c r="CG240" s="145" t="e">
        <f ca="1">Table7[[#This Row],[Total TI (mW)]]/10^3</f>
        <v>#NAME?</v>
      </c>
      <c r="CH240" s="145" t="e">
        <f ca="1">Table7[[#This Row],[Total Sense Loss]]+Table7[[#This Row],[Total MOSFET Loss]]</f>
        <v>#NAME?</v>
      </c>
      <c r="CI240" s="149" t="e">
        <f ca="1">IF(Table7[[#This Row],[POUT (W)]]=0,0,(Table7[[#This Row],[POUT (W)]])/(Table7[[#This Row],[POUT (W)]]+Table7[[#This Row],[Total Power Loss (W)]]))*100</f>
        <v>#NAME?</v>
      </c>
      <c r="CJ240" s="153"/>
      <c r="CK240" s="145">
        <f>(Table7[[#This Row],[R_AC (mW)]]+Table7[[#This Row],[R_SR (mW)]]+Table7[[#This Row],[Inductor Loss (mW)]])/10^3</f>
        <v>1.20037701</v>
      </c>
      <c r="CL240" s="145" t="e">
        <f ca="1">Table7[[#This Row],[Total (mW) C]]/10^3</f>
        <v>#NAME?</v>
      </c>
      <c r="CM240" s="145" t="e">
        <f ca="1">Table7[[#This Row],[Total Sense Loss C]]+Table7[[#This Row],[Total MOSFET Loss C]]</f>
        <v>#NAME?</v>
      </c>
      <c r="CN240" s="149" t="e">
        <f ca="1">IF(Table7[[#This Row],[POUT (W)]]=0,0,(Table7[[#This Row],[POUT (W)]])/(Table7[[#This Row],[POUT (W)]]+Table7[[#This Row],[Total Power Loss (W) C]]))*100</f>
        <v>#NAME?</v>
      </c>
      <c r="CO240" s="153"/>
      <c r="CP240" s="149">
        <f>IF(MOSFET_S=Custom_MOSFET,Table7[[#This Row],[Total Sense Loss C]],Table7[[#This Row],[Total Sense Loss]])</f>
        <v>1.20037701</v>
      </c>
      <c r="CQ240" s="149" t="e">
        <f ca="1">IF(MOSFET_S=Custom_MOSFET,Table7[[#This Row],[Total MOSFET Loss C]],Table7[[#This Row],[Total MOSFET Loss]])</f>
        <v>#NAME?</v>
      </c>
      <c r="CR240" s="149" t="e">
        <f ca="1">IF(MOSFET_S=Custom_MOSFET,Table7[[#This Row],[Efficiency C]],Table7[[#This Row],[Efficiency]])</f>
        <v>#NAME?</v>
      </c>
      <c r="CS240" s="153"/>
      <c r="CT240" s="149">
        <f>IF(MOSFET_S=Compare_MOSFET, Table7[[#This Row],[Total Sense Loss C]], -100)</f>
        <v>-100</v>
      </c>
      <c r="CU240" s="149">
        <f>IF(MOSFET_S=Compare_MOSFET, Table7[[#This Row],[Total MOSFET Loss C]], -100)</f>
        <v>-100</v>
      </c>
      <c r="CV240" s="149">
        <f>IF(MOSFET_S=Compare_MOSFET, Table7[[#This Row],[Efficiency C]], -100)</f>
        <v>-100</v>
      </c>
      <c r="CW240" s="153"/>
      <c r="CX240" s="149">
        <f ca="1">IF(Save_Sel=CLR_Save,  Table7[[#This Row],[Total Sense Loss P1]], Table7[[#This Row],[Total Sense Loss P1 Saved]])</f>
        <v>1.0065825000000002</v>
      </c>
      <c r="CY240" s="149">
        <f ca="1">IF(Save_Sel=CLR_Save,  Table7[[#This Row],[Total MOSFET Loss P1]], Table7[[#This Row],[Total MOSFET Loss P1 Saved]] )</f>
        <v>2.2327115625096821</v>
      </c>
      <c r="CZ240" s="149">
        <f ca="1">IF(Save_Sel=CLR_Save, Table7[[#This Row],[Efficiency P1]], Table7[[#This Row],[Efficiency P1 Saved]])</f>
        <v>93.960968131432338</v>
      </c>
      <c r="DA240" s="153"/>
      <c r="DB240" s="149">
        <f ca="1">IF(Save_Sel=CLR_Save,  Table7[[#This Row],[Total Sense Loss P2]], Table7[[#This Row],[Total Sense Loss P2 Saved]])</f>
        <v>1.0065825000000002</v>
      </c>
      <c r="DC240" s="149">
        <f ca="1">IF(Save_Sel=CLR_Save,  Table7[[#This Row],[Total MOSFET Loss P2]], Table7[[#This Row],[Total MOSFET Loss P2 Saved]] )</f>
        <v>1.5659820880545217</v>
      </c>
      <c r="DD240" s="149">
        <f ca="1">IF(Save_Sel=CLR_Save, Table7[[#This Row],[Efficiency P2]], Table7[[#This Row],[Efficiency P2 Saved]])</f>
        <v>95.143590634019176</v>
      </c>
      <c r="DE240" s="153"/>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row>
    <row r="241" spans="1:165" x14ac:dyDescent="0.2">
      <c r="A241" s="67"/>
      <c r="B241" s="67"/>
      <c r="C241" s="67"/>
      <c r="D241" s="67"/>
      <c r="E241" s="67"/>
      <c r="F241" s="67"/>
      <c r="G241" s="67"/>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43">
        <f t="shared" si="54"/>
        <v>85</v>
      </c>
      <c r="AG241" s="143">
        <f t="shared" si="53"/>
        <v>8.5</v>
      </c>
      <c r="AH241" s="144">
        <f t="shared" si="42"/>
        <v>204</v>
      </c>
      <c r="AI241" s="145">
        <f t="shared" si="43"/>
        <v>0.16376306620209058</v>
      </c>
      <c r="AJ241" s="145">
        <f t="shared" si="44"/>
        <v>10.164583333333333</v>
      </c>
      <c r="AK241" s="145" t="e">
        <f t="shared" si="40"/>
        <v>#NAME?</v>
      </c>
      <c r="AL241" s="145" t="e">
        <f t="shared" si="41"/>
        <v>#NAME?</v>
      </c>
      <c r="AM241" s="146"/>
      <c r="AN241" s="145" t="e">
        <f>MAX(0,Table7[[#This Row],[I_L]]-0.5*Table7[[#This Row],[I_L pkpk]])</f>
        <v>#NAME?</v>
      </c>
      <c r="AO241" s="145" t="e">
        <f>Table7[[#This Row],[I_L]]+0.5*Table7[[#This Row],[I_L pkpk]]</f>
        <v>#NAME?</v>
      </c>
      <c r="AP241" s="145" t="e">
        <f ca="1">IF(VACnom&gt;Vbat, (VGS_S-(TI_MOSFET_S_VTH_H_BU+Table7[[#This Row],[I_L]]/TI_MOSFET_S_gFS_H_BU))/3.4, (VGS_S-(TI_MOSFET_S_VTH_L_BO+Table7[[#This Row],[I_L]]/TI_MOSFET_S_gFS_L_BO))/3.4 )</f>
        <v>#REF!</v>
      </c>
      <c r="AQ241" s="145" t="e">
        <f ca="1">IF(VACnom&gt;Vbat, ((TI_MOSFET_S_VTH_H_BU+Table7[[#This Row],[I_L]]/TI_MOSFET_S_gFS_H_BU))/1, ((TI_MOSFET_S_VTH_L_BO+Table7[[#This Row],[I_L]]/TI_MOSFET_S_gFS_L_BO))/1 )</f>
        <v>#REF!</v>
      </c>
      <c r="AR241" s="145" t="e">
        <f ca="1">IF(VACnom&gt;Vbat, (TI_MOSFET_S_QGD_H_BU+TI_MOSFET_S_QGS_H_BU)*10^-9/Table7[[#This Row],[Ion (A)]], (TI_MOSFET_S_QGD_L_BO+TI_MOSFET_S_QGS_L_BO)*10^-9/Table7[[#This Row],[Ion (A)]])/10^-9</f>
        <v>#REF!</v>
      </c>
      <c r="AS241" s="145" t="e">
        <f ca="1">IF(VACnom&gt;Vbat, (TI_MOSFET_S_QGD_H_BU+TI_MOSFET_S_QGS_H_BU)*10^-9/Table7[[#This Row],[Ioff (A)]], (TI_MOSFET_S_QGD_L_BO+TI_MOSFET_S_QGS_L_BO)*10^-9/Table7[[#This Row],[Ioff (A)]])/10^-9</f>
        <v>#REF!</v>
      </c>
      <c r="AT241" s="145" t="e">
        <f ca="1" xml:space="preserve"> 0.5*VACnom*Table7[[#This Row],[Ivalley (A)]]*Table7[[#This Row],[ton (ns)]]*10^-9*Fsw*10^3+0.5*VACnom*Table7[[#This Row],[Ipeak (A)]]*Table7[[#This Row],[toff (ns)]]*10^-9*Fsw*10^3/10^-3</f>
        <v>#NAME?</v>
      </c>
      <c r="AU241" s="145" t="e">
        <f t="shared" ca="1" si="45"/>
        <v>#REF!</v>
      </c>
      <c r="AV241" s="145" t="e">
        <f t="shared" ca="1" si="46"/>
        <v>#REF!</v>
      </c>
      <c r="AW241" s="145" t="e">
        <f t="shared" ca="1" si="47"/>
        <v>#REF!</v>
      </c>
      <c r="AX241" s="145" t="e">
        <f ca="1">IF(VACnom&gt;Vbat, TI_MOSFET_S_VSD_L_BU*Table7[[#This Row],[Ivalley (A)]]*Fsw*10^3*40*10^-9+TI_MOSFET_S_VSD_L_BU*Table7[[#This Row],[Ipeak (A)]]*Fsw*10^3*30*10^-9, TI_MOSFET_S_VSD_H_BO*Table7[[#This Row],[Ivalley (A)]]*Fsw*10^3*40*10^-9+TI_MOSFET_S_VSD_H_BO*Table7[[#This Row],[Ipeak (A)]]*Fsw*10^3*30*10^-9)/10^-3</f>
        <v>#REF!</v>
      </c>
      <c r="AY241" s="145" t="e">
        <f t="shared" ca="1" si="48"/>
        <v>#REF!</v>
      </c>
      <c r="AZ241" s="145" t="e">
        <f ca="1">IF(VACnom&lt;Vbat, Table7[[#This Row],[Duty Cycle]]*Table7[[#This Row],[I_L RMS]]^2*TI_MOSFET_S_RDSON_H_BU*10^-3, (1-Table7[[#This Row],[Duty Cycle]])*Table7[[#This Row],[I_L RMS]]^2*TI_MOSFET_S_RDSON_H_BO*10^-3)/10^-3</f>
        <v>#NAME?</v>
      </c>
      <c r="BA241" s="145" t="e">
        <f ca="1">IF(VACnom&gt;Vbat, Table7[[#This Row],[PIV (mW)]]+Table7[[#This Row],[Pqoss (mW)]]+Table7[[#This Row],[Pgate_top (mW)]], Table7[[#This Row],[PRR (mW)]]+Table7[[#This Row],[Pdead (mW)]]+Table7[[#This Row],[Pgate_top (mW)]])</f>
        <v>#REF!</v>
      </c>
      <c r="BB241" s="145" t="e">
        <f ca="1">Table7[[#This Row],[Pcon_top (mW)]]+Table7[[#This Row],[Psw_top (mW)]]</f>
        <v>#NAME?</v>
      </c>
      <c r="BC241" s="145" t="e">
        <f ca="1">IF(VACnom&gt;Vbat, (1-Table7[[#This Row],[Duty Cycle]])*Table7[[#This Row],[I_L RMS]]^2*TI_MOSFET_S_RDSON_L_BU*10^-3, Table7[[#This Row],[Duty Cycle]]*Table7[[#This Row],[I_L RMS]]^2*TI_MOSFET_S_RDSON_L_BO*10^-3)/10^-3</f>
        <v>#NAME?</v>
      </c>
      <c r="BD241" s="145" t="e">
        <f ca="1">IF(VACnom&gt;Vbat, Table7[[#This Row],[PRR (mW)]]+Table7[[#This Row],[Pdead (mW)]]+Table7[[#This Row],[Pgate_bottom (mW)]], Table7[[#This Row],[PIV (mW)]]+Table7[[#This Row],[Pqoss (mW)]]+Table7[[#This Row],[Pgate_bottom (mW)]])</f>
        <v>#NAME?</v>
      </c>
      <c r="BE241" s="147" t="e">
        <f ca="1">Table7[[#This Row],[Pcon_bottom (mW)]]+Table7[[#This Row],[Psw_bottom (mW)]]</f>
        <v>#NAME?</v>
      </c>
      <c r="BF241" s="145" t="e">
        <f ca="1">Table7[[#This Row],[Pbottom (mW)]]+Table7[[#This Row],[Ptop (mW)]]</f>
        <v>#NAME?</v>
      </c>
      <c r="BG241" s="142"/>
      <c r="BH241" s="145" t="e">
        <f>MAX(0,Table7[[#This Row],[I_L]]-0.5*Table7[[#This Row],[I_L pkpk]])</f>
        <v>#NAME?</v>
      </c>
      <c r="BI241" s="145" t="e">
        <f>Table7[[#This Row],[I_L]]+0.5*Table7[[#This Row],[I_L pkpk]]</f>
        <v>#NAME?</v>
      </c>
      <c r="BJ241" s="145">
        <f>IF(VACnom&gt;Vbat, (VGS_S-(C_MOSFET_S_VTH_H_BU+Table7[[#This Row],[I_L]]/C_MOSFET_S_gFS_H_BU))/3.4, (VGS_S-(C_MOSFET_S_VTH_L_BO+Table7[[#This Row],[I_L]]/C_MOSFET_S_gFS_L_BO))/3.4 )</f>
        <v>2.3330106209150325</v>
      </c>
      <c r="BK241" s="145">
        <f>IF(VACnom&gt;Vbat, ((C_MOSFET_S_VTH_H_BU+Table7[[#This Row],[I_L]]/C_MOSFET_S_gFS_H_BU))/1, ((C_MOSFET_S_VTH_L_BO+Table7[[#This Row],[I_L]]/C_MOSFET_S_gFS_L_BO))/1 )</f>
        <v>2.067763888888889</v>
      </c>
      <c r="BL241" s="145">
        <f>IF(VACnom&gt;Vbat, (C_MOSFET_S_QGD_H_BU+C_MOSFET_S_QGS_H_BU)*10^-9/Table7[[#This Row],[Ion (A) C]], (C_MOSFET_S_QGD_L_BO+C_MOSFET_S_QGS_L_BO)*10^-9/Table7[[#This Row],[Ion (A) C]])/10^-9</f>
        <v>2.7860996181194526</v>
      </c>
      <c r="BM241" s="145">
        <f>IF(VACnom&gt;Vbat, (C_MOSFET_S_QGD_H_BU+C_MOSFET_S_QGS_H_BU)*10^-9/Table7[[#This Row],[Ioff (A) C]], (C_MOSFET_S_QGD_L_BO+C_MOSFET_S_QGS_L_BO)*10^-9/Table7[[#This Row],[Ioff (A) C]])/10^-9</f>
        <v>3.1434923662840295</v>
      </c>
      <c r="BN241" s="145" t="e">
        <f xml:space="preserve"> 0.5*VACnom*Table7[[#This Row],[Ivalley (A) C]]*Table7[[#This Row],[ton (ns) C]]*10^-9*Fsw*10^3+0.5*VACnom*Table7[[#This Row],[Ipeak (A) C]]*Table7[[#This Row],[toff (ns) C]]*10^-9*Fsw*10^3/10^-3</f>
        <v>#NAME?</v>
      </c>
      <c r="BO241" s="145">
        <f t="shared" si="49"/>
        <v>259.2</v>
      </c>
      <c r="BP241" s="145" t="e">
        <f t="shared" ca="1" si="50"/>
        <v>#REF!</v>
      </c>
      <c r="BQ241" s="145">
        <f t="shared" si="51"/>
        <v>475.2</v>
      </c>
      <c r="BR241" s="145" t="e">
        <f>IF(VACnom&gt;Vbat, C_MOSFET_S_VSD_L_BU*Table7[[#This Row],[Ivalley (A) C]]*Fsw*10^3*40*10^-9+C_MOSFET_S_VSD_L_BU*Table7[[#This Row],[Ipeak (A) C]]*Fsw*10^3*30*10^-9, C_MOSFET_S_VSD_H_BO*Table7[[#This Row],[Ivalley (A) C]]*Fsw*10^3*40*10^-9+C_MOSFET_S_VSD_H_BO*Table7[[#This Row],[Ipeak (A) C]]*Fsw*10^3*30*10^-9)/10^-3</f>
        <v>#NAME?</v>
      </c>
      <c r="BS241" s="145" t="e">
        <f t="shared" ca="1" si="52"/>
        <v>#REF!</v>
      </c>
      <c r="BT241" s="145" t="e">
        <f>IF(VACnom&lt;Vbat, Table7[[#This Row],[Duty Cycle]]*Table7[[#This Row],[I_L RMS]]^2*C_MOSFET_S_RDSON_H_BU*10^-3, (1-Table7[[#This Row],[Duty Cycle]])*Table7[[#This Row],[I_L RMS]]^2*C_MOSFET_S_RDSON_H_BO*10^-3)/10^-3</f>
        <v>#NAME?</v>
      </c>
      <c r="BU241" s="145" t="e">
        <f ca="1">IF(VACnom&gt;Vbat, Table7[[#This Row],[PIV (mW) C]]+Table7[[#This Row],[PQoss (mW) C]]+Table7[[#This Row],[Pgate_top (mW) C]], Table7[[#This Row],[PRR (mW) C]]+Table7[[#This Row],[Pdead (mW) C]]+Table7[[#This Row],[Pgate_top (mW) C]])</f>
        <v>#NAME?</v>
      </c>
      <c r="BV241" s="145" t="e">
        <f ca="1">Table7[[#This Row],[Pcon_top (mW) C]]+Table7[[#This Row],[Psw_top (mW) C]]</f>
        <v>#NAME?</v>
      </c>
      <c r="BW241" s="145" t="e">
        <f ca="1">IF(VACnom&gt;Vbat, (1-Table7[[#This Row],[Duty Cycle]])*Table7[[#This Row],[I_L RMS]]^2*C_MOSFET_S_RDSON_L_BU*10^-3, Table7[[#This Row],[Duty Cycle]]*Table7[[#This Row],[I_L RMS]]^2*C_MOSFET_S_RDSON_L_BO*10^-3)/10^-3</f>
        <v>#NAME?</v>
      </c>
      <c r="BX241" s="145" t="e">
        <f ca="1">IF(VACnom&gt;Vbat, Table7[[#This Row],[PRR (mW) C]]+Table7[[#This Row],[Pdead (mW) C]]+Table7[[#This Row],[Pgate_bottom (mW) C]], Table7[[#This Row],[PIV (mW) C]]+Table7[[#This Row],[PQoss (mW) C]]+Table7[[#This Row],[Pgate_bottom (mW) C]])</f>
        <v>#NAME?</v>
      </c>
      <c r="BY241" s="145" t="e">
        <f ca="1">Table7[[#This Row],[Pcon_bottom (mW) C]]+Table7[[#This Row],[Psw_bottom (mV) C]]</f>
        <v>#NAME?</v>
      </c>
      <c r="BZ241" s="145" t="e">
        <f ca="1">Table7[[#This Row],[Pbottom (mW) C]]+Table7[[#This Row],[Ptop (mW) C]]</f>
        <v>#NAME?</v>
      </c>
      <c r="CA241" s="148"/>
      <c r="CB241" s="144">
        <f>(RAC_SNS*10^-3*(Table7[[#This Row],[IOUT (A)]]*Vbat/VACnom)^2/10^-3)</f>
        <v>516.59377170138885</v>
      </c>
      <c r="CC241" s="144">
        <f>(RBAT_SNS*10^-3*Table7[[#This Row],[IOUT (A)]]^2)/10^-3</f>
        <v>361.25</v>
      </c>
      <c r="CD241" s="144">
        <f>IF(VACnom&gt;Vbat,(L_DRC*10^-3*(Table7[[#This Row],[IOUT (A)]])^2/10^-3),(L_DRC*10^-3*(Table7[[#This Row],[IOUT (A)]]*Vbat/VACnom)^2/10^-3))</f>
        <v>351.28376475694438</v>
      </c>
      <c r="CE241" s="152"/>
      <c r="CF241" s="145">
        <f>(Table7[[#This Row],[R_AC (mW)]]+Table7[[#This Row],[R_SR (mW)]]+Table7[[#This Row],[Inductor Loss (mW)]])/10^3</f>
        <v>1.2291275364583332</v>
      </c>
      <c r="CG241" s="145" t="e">
        <f ca="1">Table7[[#This Row],[Total TI (mW)]]/10^3</f>
        <v>#NAME?</v>
      </c>
      <c r="CH241" s="145" t="e">
        <f ca="1">Table7[[#This Row],[Total Sense Loss]]+Table7[[#This Row],[Total MOSFET Loss]]</f>
        <v>#NAME?</v>
      </c>
      <c r="CI241" s="149" t="e">
        <f ca="1">IF(Table7[[#This Row],[POUT (W)]]=0,0,(Table7[[#This Row],[POUT (W)]])/(Table7[[#This Row],[POUT (W)]]+Table7[[#This Row],[Total Power Loss (W)]]))*100</f>
        <v>#NAME?</v>
      </c>
      <c r="CJ241" s="153"/>
      <c r="CK241" s="145">
        <f>(Table7[[#This Row],[R_AC (mW)]]+Table7[[#This Row],[R_SR (mW)]]+Table7[[#This Row],[Inductor Loss (mW)]])/10^3</f>
        <v>1.2291275364583332</v>
      </c>
      <c r="CL241" s="145" t="e">
        <f ca="1">Table7[[#This Row],[Total (mW) C]]/10^3</f>
        <v>#NAME?</v>
      </c>
      <c r="CM241" s="145" t="e">
        <f ca="1">Table7[[#This Row],[Total Sense Loss C]]+Table7[[#This Row],[Total MOSFET Loss C]]</f>
        <v>#NAME?</v>
      </c>
      <c r="CN241" s="149" t="e">
        <f ca="1">IF(Table7[[#This Row],[POUT (W)]]=0,0,(Table7[[#This Row],[POUT (W)]])/(Table7[[#This Row],[POUT (W)]]+Table7[[#This Row],[Total Power Loss (W) C]]))*100</f>
        <v>#NAME?</v>
      </c>
      <c r="CO241" s="153"/>
      <c r="CP241" s="149">
        <f>IF(MOSFET_S=Custom_MOSFET,Table7[[#This Row],[Total Sense Loss C]],Table7[[#This Row],[Total Sense Loss]])</f>
        <v>1.2291275364583332</v>
      </c>
      <c r="CQ241" s="149" t="e">
        <f ca="1">IF(MOSFET_S=Custom_MOSFET,Table7[[#This Row],[Total MOSFET Loss C]],Table7[[#This Row],[Total MOSFET Loss]])</f>
        <v>#NAME?</v>
      </c>
      <c r="CR241" s="149" t="e">
        <f ca="1">IF(MOSFET_S=Custom_MOSFET,Table7[[#This Row],[Efficiency C]],Table7[[#This Row],[Efficiency]])</f>
        <v>#NAME?</v>
      </c>
      <c r="CS241" s="153"/>
      <c r="CT241" s="149">
        <f>IF(MOSFET_S=Compare_MOSFET, Table7[[#This Row],[Total Sense Loss C]], -100)</f>
        <v>-100</v>
      </c>
      <c r="CU241" s="149">
        <f>IF(MOSFET_S=Compare_MOSFET, Table7[[#This Row],[Total MOSFET Loss C]], -100)</f>
        <v>-100</v>
      </c>
      <c r="CV241" s="149">
        <f>IF(MOSFET_S=Compare_MOSFET, Table7[[#This Row],[Efficiency C]], -100)</f>
        <v>-100</v>
      </c>
      <c r="CW241" s="153"/>
      <c r="CX241" s="149">
        <f ca="1">IF(Save_Sel=CLR_Save,  Table7[[#This Row],[Total Sense Loss P1]], Table7[[#This Row],[Total Sense Loss P1 Saved]])</f>
        <v>1.0306914062500001</v>
      </c>
      <c r="CY241" s="149">
        <f ca="1">IF(Save_Sel=CLR_Save,  Table7[[#This Row],[Total MOSFET Loss P1]], Table7[[#This Row],[Total MOSFET Loss P1 Saved]] )</f>
        <v>2.2441600377161048</v>
      </c>
      <c r="CZ241" s="149">
        <f ca="1">IF(Save_Sel=CLR_Save, Table7[[#This Row],[Efficiency P1]], Table7[[#This Row],[Efficiency P1 Saved]])</f>
        <v>93.966171519885052</v>
      </c>
      <c r="DA241" s="153"/>
      <c r="DB241" s="149">
        <f ca="1">IF(Save_Sel=CLR_Save,  Table7[[#This Row],[Total Sense Loss P2]], Table7[[#This Row],[Total Sense Loss P2 Saved]])</f>
        <v>1.0306914062500001</v>
      </c>
      <c r="DC241" s="149">
        <f ca="1">IF(Save_Sel=CLR_Save,  Table7[[#This Row],[Total MOSFET Loss P2]], Table7[[#This Row],[Total MOSFET Loss P2 Saved]] )</f>
        <v>1.5766362379170986</v>
      </c>
      <c r="DD241" s="149">
        <f ca="1">IF(Save_Sel=CLR_Save, Table7[[#This Row],[Efficiency P2]], Table7[[#This Row],[Efficiency P2 Saved]])</f>
        <v>95.136247675926072</v>
      </c>
      <c r="DE241" s="153"/>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row>
    <row r="242" spans="1:165" x14ac:dyDescent="0.2">
      <c r="A242" s="67"/>
      <c r="B242" s="67"/>
      <c r="C242" s="67"/>
      <c r="D242" s="67"/>
      <c r="E242" s="67"/>
      <c r="F242" s="67"/>
      <c r="G242" s="67"/>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43">
        <f t="shared" si="54"/>
        <v>86</v>
      </c>
      <c r="AG242" s="143">
        <f t="shared" si="53"/>
        <v>8.6</v>
      </c>
      <c r="AH242" s="144">
        <f t="shared" si="42"/>
        <v>206.39999999999998</v>
      </c>
      <c r="AI242" s="145">
        <f t="shared" si="43"/>
        <v>0.16376306620209058</v>
      </c>
      <c r="AJ242" s="145">
        <f t="shared" si="44"/>
        <v>10.284166666666666</v>
      </c>
      <c r="AK242" s="145" t="e">
        <f t="shared" si="40"/>
        <v>#NAME?</v>
      </c>
      <c r="AL242" s="145" t="e">
        <f t="shared" si="41"/>
        <v>#NAME?</v>
      </c>
      <c r="AM242" s="146"/>
      <c r="AN242" s="145" t="e">
        <f>MAX(0,Table7[[#This Row],[I_L]]-0.5*Table7[[#This Row],[I_L pkpk]])</f>
        <v>#NAME?</v>
      </c>
      <c r="AO242" s="145" t="e">
        <f>Table7[[#This Row],[I_L]]+0.5*Table7[[#This Row],[I_L pkpk]]</f>
        <v>#NAME?</v>
      </c>
      <c r="AP242" s="145" t="e">
        <f ca="1">IF(VACnom&gt;Vbat, (VGS_S-(TI_MOSFET_S_VTH_H_BU+Table7[[#This Row],[I_L]]/TI_MOSFET_S_gFS_H_BU))/3.4, (VGS_S-(TI_MOSFET_S_VTH_L_BO+Table7[[#This Row],[I_L]]/TI_MOSFET_S_gFS_L_BO))/3.4 )</f>
        <v>#REF!</v>
      </c>
      <c r="AQ242" s="145" t="e">
        <f ca="1">IF(VACnom&gt;Vbat, ((TI_MOSFET_S_VTH_H_BU+Table7[[#This Row],[I_L]]/TI_MOSFET_S_gFS_H_BU))/1, ((TI_MOSFET_S_VTH_L_BO+Table7[[#This Row],[I_L]]/TI_MOSFET_S_gFS_L_BO))/1 )</f>
        <v>#REF!</v>
      </c>
      <c r="AR242" s="145" t="e">
        <f ca="1">IF(VACnom&gt;Vbat, (TI_MOSFET_S_QGD_H_BU+TI_MOSFET_S_QGS_H_BU)*10^-9/Table7[[#This Row],[Ion (A)]], (TI_MOSFET_S_QGD_L_BO+TI_MOSFET_S_QGS_L_BO)*10^-9/Table7[[#This Row],[Ion (A)]])/10^-9</f>
        <v>#REF!</v>
      </c>
      <c r="AS242" s="145" t="e">
        <f ca="1">IF(VACnom&gt;Vbat, (TI_MOSFET_S_QGD_H_BU+TI_MOSFET_S_QGS_H_BU)*10^-9/Table7[[#This Row],[Ioff (A)]], (TI_MOSFET_S_QGD_L_BO+TI_MOSFET_S_QGS_L_BO)*10^-9/Table7[[#This Row],[Ioff (A)]])/10^-9</f>
        <v>#REF!</v>
      </c>
      <c r="AT242" s="145" t="e">
        <f ca="1" xml:space="preserve"> 0.5*VACnom*Table7[[#This Row],[Ivalley (A)]]*Table7[[#This Row],[ton (ns)]]*10^-9*Fsw*10^3+0.5*VACnom*Table7[[#This Row],[Ipeak (A)]]*Table7[[#This Row],[toff (ns)]]*10^-9*Fsw*10^3/10^-3</f>
        <v>#NAME?</v>
      </c>
      <c r="AU242" s="145" t="e">
        <f t="shared" ca="1" si="45"/>
        <v>#REF!</v>
      </c>
      <c r="AV242" s="145" t="e">
        <f t="shared" ca="1" si="46"/>
        <v>#REF!</v>
      </c>
      <c r="AW242" s="145" t="e">
        <f t="shared" ca="1" si="47"/>
        <v>#REF!</v>
      </c>
      <c r="AX242" s="145" t="e">
        <f ca="1">IF(VACnom&gt;Vbat, TI_MOSFET_S_VSD_L_BU*Table7[[#This Row],[Ivalley (A)]]*Fsw*10^3*40*10^-9+TI_MOSFET_S_VSD_L_BU*Table7[[#This Row],[Ipeak (A)]]*Fsw*10^3*30*10^-9, TI_MOSFET_S_VSD_H_BO*Table7[[#This Row],[Ivalley (A)]]*Fsw*10^3*40*10^-9+TI_MOSFET_S_VSD_H_BO*Table7[[#This Row],[Ipeak (A)]]*Fsw*10^3*30*10^-9)/10^-3</f>
        <v>#REF!</v>
      </c>
      <c r="AY242" s="145" t="e">
        <f t="shared" ca="1" si="48"/>
        <v>#REF!</v>
      </c>
      <c r="AZ242" s="145" t="e">
        <f ca="1">IF(VACnom&lt;Vbat, Table7[[#This Row],[Duty Cycle]]*Table7[[#This Row],[I_L RMS]]^2*TI_MOSFET_S_RDSON_H_BU*10^-3, (1-Table7[[#This Row],[Duty Cycle]])*Table7[[#This Row],[I_L RMS]]^2*TI_MOSFET_S_RDSON_H_BO*10^-3)/10^-3</f>
        <v>#NAME?</v>
      </c>
      <c r="BA242" s="145" t="e">
        <f ca="1">IF(VACnom&gt;Vbat, Table7[[#This Row],[PIV (mW)]]+Table7[[#This Row],[Pqoss (mW)]]+Table7[[#This Row],[Pgate_top (mW)]], Table7[[#This Row],[PRR (mW)]]+Table7[[#This Row],[Pdead (mW)]]+Table7[[#This Row],[Pgate_top (mW)]])</f>
        <v>#REF!</v>
      </c>
      <c r="BB242" s="145" t="e">
        <f ca="1">Table7[[#This Row],[Pcon_top (mW)]]+Table7[[#This Row],[Psw_top (mW)]]</f>
        <v>#NAME?</v>
      </c>
      <c r="BC242" s="145" t="e">
        <f ca="1">IF(VACnom&gt;Vbat, (1-Table7[[#This Row],[Duty Cycle]])*Table7[[#This Row],[I_L RMS]]^2*TI_MOSFET_S_RDSON_L_BU*10^-3, Table7[[#This Row],[Duty Cycle]]*Table7[[#This Row],[I_L RMS]]^2*TI_MOSFET_S_RDSON_L_BO*10^-3)/10^-3</f>
        <v>#NAME?</v>
      </c>
      <c r="BD242" s="145" t="e">
        <f ca="1">IF(VACnom&gt;Vbat, Table7[[#This Row],[PRR (mW)]]+Table7[[#This Row],[Pdead (mW)]]+Table7[[#This Row],[Pgate_bottom (mW)]], Table7[[#This Row],[PIV (mW)]]+Table7[[#This Row],[Pqoss (mW)]]+Table7[[#This Row],[Pgate_bottom (mW)]])</f>
        <v>#NAME?</v>
      </c>
      <c r="BE242" s="147" t="e">
        <f ca="1">Table7[[#This Row],[Pcon_bottom (mW)]]+Table7[[#This Row],[Psw_bottom (mW)]]</f>
        <v>#NAME?</v>
      </c>
      <c r="BF242" s="145" t="e">
        <f ca="1">Table7[[#This Row],[Pbottom (mW)]]+Table7[[#This Row],[Ptop (mW)]]</f>
        <v>#NAME?</v>
      </c>
      <c r="BG242" s="142"/>
      <c r="BH242" s="145" t="e">
        <f>MAX(0,Table7[[#This Row],[I_L]]-0.5*Table7[[#This Row],[I_L pkpk]])</f>
        <v>#NAME?</v>
      </c>
      <c r="BI242" s="145" t="e">
        <f>Table7[[#This Row],[I_L]]+0.5*Table7[[#This Row],[I_L pkpk]]</f>
        <v>#NAME?</v>
      </c>
      <c r="BJ242" s="145">
        <f>IF(VACnom&gt;Vbat, (VGS_S-(C_MOSFET_S_VTH_H_BU+Table7[[#This Row],[I_L]]/C_MOSFET_S_gFS_H_BU))/3.4, (VGS_S-(C_MOSFET_S_VTH_L_BO+Table7[[#This Row],[I_L]]/C_MOSFET_S_gFS_L_BO))/3.4 )</f>
        <v>2.3327761437908499</v>
      </c>
      <c r="BK242" s="145">
        <f>IF(VACnom&gt;Vbat, ((C_MOSFET_S_VTH_H_BU+Table7[[#This Row],[I_L]]/C_MOSFET_S_gFS_H_BU))/1, ((C_MOSFET_S_VTH_L_BO+Table7[[#This Row],[I_L]]/C_MOSFET_S_gFS_L_BO))/1 )</f>
        <v>2.0685611111111113</v>
      </c>
      <c r="BL242" s="145">
        <f>IF(VACnom&gt;Vbat, (C_MOSFET_S_QGD_H_BU+C_MOSFET_S_QGS_H_BU)*10^-9/Table7[[#This Row],[Ion (A) C]], (C_MOSFET_S_QGD_L_BO+C_MOSFET_S_QGS_L_BO)*10^-9/Table7[[#This Row],[Ion (A) C]])/10^-9</f>
        <v>2.7863796606892821</v>
      </c>
      <c r="BM242" s="145">
        <f>IF(VACnom&gt;Vbat, (C_MOSFET_S_QGD_H_BU+C_MOSFET_S_QGS_H_BU)*10^-9/Table7[[#This Row],[Ioff (A) C]], (C_MOSFET_S_QGD_L_BO+C_MOSFET_S_QGS_L_BO)*10^-9/Table7[[#This Row],[Ioff (A) C]])/10^-9</f>
        <v>3.1422808661952346</v>
      </c>
      <c r="BN242" s="145" t="e">
        <f xml:space="preserve"> 0.5*VACnom*Table7[[#This Row],[Ivalley (A) C]]*Table7[[#This Row],[ton (ns) C]]*10^-9*Fsw*10^3+0.5*VACnom*Table7[[#This Row],[Ipeak (A) C]]*Table7[[#This Row],[toff (ns) C]]*10^-9*Fsw*10^3/10^-3</f>
        <v>#NAME?</v>
      </c>
      <c r="BO242" s="145">
        <f t="shared" si="49"/>
        <v>259.2</v>
      </c>
      <c r="BP242" s="145" t="e">
        <f t="shared" ca="1" si="50"/>
        <v>#REF!</v>
      </c>
      <c r="BQ242" s="145">
        <f t="shared" si="51"/>
        <v>475.2</v>
      </c>
      <c r="BR242" s="145" t="e">
        <f>IF(VACnom&gt;Vbat, C_MOSFET_S_VSD_L_BU*Table7[[#This Row],[Ivalley (A) C]]*Fsw*10^3*40*10^-9+C_MOSFET_S_VSD_L_BU*Table7[[#This Row],[Ipeak (A) C]]*Fsw*10^3*30*10^-9, C_MOSFET_S_VSD_H_BO*Table7[[#This Row],[Ivalley (A) C]]*Fsw*10^3*40*10^-9+C_MOSFET_S_VSD_H_BO*Table7[[#This Row],[Ipeak (A) C]]*Fsw*10^3*30*10^-9)/10^-3</f>
        <v>#NAME?</v>
      </c>
      <c r="BS242" s="145" t="e">
        <f t="shared" ca="1" si="52"/>
        <v>#REF!</v>
      </c>
      <c r="BT242" s="145" t="e">
        <f>IF(VACnom&lt;Vbat, Table7[[#This Row],[Duty Cycle]]*Table7[[#This Row],[I_L RMS]]^2*C_MOSFET_S_RDSON_H_BU*10^-3, (1-Table7[[#This Row],[Duty Cycle]])*Table7[[#This Row],[I_L RMS]]^2*C_MOSFET_S_RDSON_H_BO*10^-3)/10^-3</f>
        <v>#NAME?</v>
      </c>
      <c r="BU242" s="145" t="e">
        <f ca="1">IF(VACnom&gt;Vbat, Table7[[#This Row],[PIV (mW) C]]+Table7[[#This Row],[PQoss (mW) C]]+Table7[[#This Row],[Pgate_top (mW) C]], Table7[[#This Row],[PRR (mW) C]]+Table7[[#This Row],[Pdead (mW) C]]+Table7[[#This Row],[Pgate_top (mW) C]])</f>
        <v>#NAME?</v>
      </c>
      <c r="BV242" s="145" t="e">
        <f ca="1">Table7[[#This Row],[Pcon_top (mW) C]]+Table7[[#This Row],[Psw_top (mW) C]]</f>
        <v>#NAME?</v>
      </c>
      <c r="BW242" s="145" t="e">
        <f ca="1">IF(VACnom&gt;Vbat, (1-Table7[[#This Row],[Duty Cycle]])*Table7[[#This Row],[I_L RMS]]^2*C_MOSFET_S_RDSON_L_BU*10^-3, Table7[[#This Row],[Duty Cycle]]*Table7[[#This Row],[I_L RMS]]^2*C_MOSFET_S_RDSON_L_BO*10^-3)/10^-3</f>
        <v>#NAME?</v>
      </c>
      <c r="BX242" s="145" t="e">
        <f ca="1">IF(VACnom&gt;Vbat, Table7[[#This Row],[PRR (mW) C]]+Table7[[#This Row],[Pdead (mW) C]]+Table7[[#This Row],[Pgate_bottom (mW) C]], Table7[[#This Row],[PIV (mW) C]]+Table7[[#This Row],[PQoss (mW) C]]+Table7[[#This Row],[Pgate_bottom (mW) C]])</f>
        <v>#NAME?</v>
      </c>
      <c r="BY242" s="145" t="e">
        <f ca="1">Table7[[#This Row],[Pcon_bottom (mW) C]]+Table7[[#This Row],[Psw_bottom (mV) C]]</f>
        <v>#NAME?</v>
      </c>
      <c r="BZ242" s="145" t="e">
        <f ca="1">Table7[[#This Row],[Pbottom (mW) C]]+Table7[[#This Row],[Ptop (mW) C]]</f>
        <v>#NAME?</v>
      </c>
      <c r="CA242" s="148"/>
      <c r="CB242" s="144">
        <f>(RAC_SNS*10^-3*(Table7[[#This Row],[IOUT (A)]]*Vbat/VACnom)^2/10^-3)</f>
        <v>528.82042013888872</v>
      </c>
      <c r="CC242" s="144">
        <f>(RBAT_SNS*10^-3*Table7[[#This Row],[IOUT (A)]]^2)/10^-3</f>
        <v>369.79999999999995</v>
      </c>
      <c r="CD242" s="144">
        <f>IF(VACnom&gt;Vbat,(L_DRC*10^-3*(Table7[[#This Row],[IOUT (A)]])^2/10^-3),(L_DRC*10^-3*(Table7[[#This Row],[IOUT (A)]]*Vbat/VACnom)^2/10^-3))</f>
        <v>359.59788569444436</v>
      </c>
      <c r="CE242" s="152"/>
      <c r="CF242" s="145">
        <f>(Table7[[#This Row],[R_AC (mW)]]+Table7[[#This Row],[R_SR (mW)]]+Table7[[#This Row],[Inductor Loss (mW)]])/10^3</f>
        <v>1.2582183058333329</v>
      </c>
      <c r="CG242" s="145" t="e">
        <f ca="1">Table7[[#This Row],[Total TI (mW)]]/10^3</f>
        <v>#NAME?</v>
      </c>
      <c r="CH242" s="145" t="e">
        <f ca="1">Table7[[#This Row],[Total Sense Loss]]+Table7[[#This Row],[Total MOSFET Loss]]</f>
        <v>#NAME?</v>
      </c>
      <c r="CI242" s="149" t="e">
        <f ca="1">IF(Table7[[#This Row],[POUT (W)]]=0,0,(Table7[[#This Row],[POUT (W)]])/(Table7[[#This Row],[POUT (W)]]+Table7[[#This Row],[Total Power Loss (W)]]))*100</f>
        <v>#NAME?</v>
      </c>
      <c r="CJ242" s="153"/>
      <c r="CK242" s="145">
        <f>(Table7[[#This Row],[R_AC (mW)]]+Table7[[#This Row],[R_SR (mW)]]+Table7[[#This Row],[Inductor Loss (mW)]])/10^3</f>
        <v>1.2582183058333329</v>
      </c>
      <c r="CL242" s="145" t="e">
        <f ca="1">Table7[[#This Row],[Total (mW) C]]/10^3</f>
        <v>#NAME?</v>
      </c>
      <c r="CM242" s="145" t="e">
        <f ca="1">Table7[[#This Row],[Total Sense Loss C]]+Table7[[#This Row],[Total MOSFET Loss C]]</f>
        <v>#NAME?</v>
      </c>
      <c r="CN242" s="149" t="e">
        <f ca="1">IF(Table7[[#This Row],[POUT (W)]]=0,0,(Table7[[#This Row],[POUT (W)]])/(Table7[[#This Row],[POUT (W)]]+Table7[[#This Row],[Total Power Loss (W) C]]))*100</f>
        <v>#NAME?</v>
      </c>
      <c r="CO242" s="153"/>
      <c r="CP242" s="149">
        <f>IF(MOSFET_S=Custom_MOSFET,Table7[[#This Row],[Total Sense Loss C]],Table7[[#This Row],[Total Sense Loss]])</f>
        <v>1.2582183058333329</v>
      </c>
      <c r="CQ242" s="149" t="e">
        <f ca="1">IF(MOSFET_S=Custom_MOSFET,Table7[[#This Row],[Total MOSFET Loss C]],Table7[[#This Row],[Total MOSFET Loss]])</f>
        <v>#NAME?</v>
      </c>
      <c r="CR242" s="149" t="e">
        <f ca="1">IF(MOSFET_S=Custom_MOSFET,Table7[[#This Row],[Efficiency C]],Table7[[#This Row],[Efficiency]])</f>
        <v>#NAME?</v>
      </c>
      <c r="CS242" s="153"/>
      <c r="CT242" s="149">
        <f>IF(MOSFET_S=Compare_MOSFET, Table7[[#This Row],[Total Sense Loss C]], -100)</f>
        <v>-100</v>
      </c>
      <c r="CU242" s="149">
        <f>IF(MOSFET_S=Compare_MOSFET, Table7[[#This Row],[Total MOSFET Loss C]], -100)</f>
        <v>-100</v>
      </c>
      <c r="CV242" s="149">
        <f>IF(MOSFET_S=Compare_MOSFET, Table7[[#This Row],[Efficiency C]], -100)</f>
        <v>-100</v>
      </c>
      <c r="CW242" s="153"/>
      <c r="CX242" s="149">
        <f ca="1">IF(Save_Sel=CLR_Save,  Table7[[#This Row],[Total Sense Loss P1]], Table7[[#This Row],[Total Sense Loss P1 Saved]])</f>
        <v>1.055085625</v>
      </c>
      <c r="CY242" s="149">
        <f ca="1">IF(Save_Sel=CLR_Save,  Table7[[#This Row],[Total MOSFET Loss P1]], Table7[[#This Row],[Total MOSFET Loss P1 Saved]] )</f>
        <v>2.2556514984983278</v>
      </c>
      <c r="CZ242" s="149">
        <f ca="1">IF(Save_Sel=CLR_Save, Table7[[#This Row],[Efficiency P1]], Table7[[#This Row],[Efficiency P1 Saved]])</f>
        <v>93.970692624190718</v>
      </c>
      <c r="DA242" s="153"/>
      <c r="DB242" s="149">
        <f ca="1">IF(Save_Sel=CLR_Save,  Table7[[#This Row],[Total Sense Loss P2]], Table7[[#This Row],[Total Sense Loss P2 Saved]])</f>
        <v>1.055085625</v>
      </c>
      <c r="DC242" s="149">
        <f ca="1">IF(Save_Sel=CLR_Save,  Table7[[#This Row],[Total MOSFET Loss P2]], Table7[[#This Row],[Total MOSFET Loss P2 Saved]] )</f>
        <v>1.5873695694394814</v>
      </c>
      <c r="DD242" s="149">
        <f ca="1">IF(Save_Sel=CLR_Save, Table7[[#This Row],[Efficiency P2]], Table7[[#This Row],[Efficiency P2 Saved]])</f>
        <v>95.128437337566609</v>
      </c>
      <c r="DE242" s="153"/>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row>
    <row r="243" spans="1:165" x14ac:dyDescent="0.2">
      <c r="A243" s="67"/>
      <c r="B243" s="67"/>
      <c r="C243" s="67"/>
      <c r="D243" s="67"/>
      <c r="E243" s="67"/>
      <c r="F243" s="67"/>
      <c r="G243" s="67"/>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43">
        <f t="shared" si="54"/>
        <v>87</v>
      </c>
      <c r="AG243" s="143">
        <f t="shared" si="53"/>
        <v>8.6999999999999993</v>
      </c>
      <c r="AH243" s="144">
        <f t="shared" si="42"/>
        <v>208.79999999999998</v>
      </c>
      <c r="AI243" s="145">
        <f t="shared" si="43"/>
        <v>0.16376306620209058</v>
      </c>
      <c r="AJ243" s="145">
        <f t="shared" si="44"/>
        <v>10.403749999999999</v>
      </c>
      <c r="AK243" s="145" t="e">
        <f t="shared" si="40"/>
        <v>#NAME?</v>
      </c>
      <c r="AL243" s="145" t="e">
        <f t="shared" si="41"/>
        <v>#NAME?</v>
      </c>
      <c r="AM243" s="146"/>
      <c r="AN243" s="145" t="e">
        <f>MAX(0,Table7[[#This Row],[I_L]]-0.5*Table7[[#This Row],[I_L pkpk]])</f>
        <v>#NAME?</v>
      </c>
      <c r="AO243" s="145" t="e">
        <f>Table7[[#This Row],[I_L]]+0.5*Table7[[#This Row],[I_L pkpk]]</f>
        <v>#NAME?</v>
      </c>
      <c r="AP243" s="145" t="e">
        <f ca="1">IF(VACnom&gt;Vbat, (VGS_S-(TI_MOSFET_S_VTH_H_BU+Table7[[#This Row],[I_L]]/TI_MOSFET_S_gFS_H_BU))/3.4, (VGS_S-(TI_MOSFET_S_VTH_L_BO+Table7[[#This Row],[I_L]]/TI_MOSFET_S_gFS_L_BO))/3.4 )</f>
        <v>#REF!</v>
      </c>
      <c r="AQ243" s="145" t="e">
        <f ca="1">IF(VACnom&gt;Vbat, ((TI_MOSFET_S_VTH_H_BU+Table7[[#This Row],[I_L]]/TI_MOSFET_S_gFS_H_BU))/1, ((TI_MOSFET_S_VTH_L_BO+Table7[[#This Row],[I_L]]/TI_MOSFET_S_gFS_L_BO))/1 )</f>
        <v>#REF!</v>
      </c>
      <c r="AR243" s="145" t="e">
        <f ca="1">IF(VACnom&gt;Vbat, (TI_MOSFET_S_QGD_H_BU+TI_MOSFET_S_QGS_H_BU)*10^-9/Table7[[#This Row],[Ion (A)]], (TI_MOSFET_S_QGD_L_BO+TI_MOSFET_S_QGS_L_BO)*10^-9/Table7[[#This Row],[Ion (A)]])/10^-9</f>
        <v>#REF!</v>
      </c>
      <c r="AS243" s="145" t="e">
        <f ca="1">IF(VACnom&gt;Vbat, (TI_MOSFET_S_QGD_H_BU+TI_MOSFET_S_QGS_H_BU)*10^-9/Table7[[#This Row],[Ioff (A)]], (TI_MOSFET_S_QGD_L_BO+TI_MOSFET_S_QGS_L_BO)*10^-9/Table7[[#This Row],[Ioff (A)]])/10^-9</f>
        <v>#REF!</v>
      </c>
      <c r="AT243" s="145" t="e">
        <f ca="1" xml:space="preserve"> 0.5*VACnom*Table7[[#This Row],[Ivalley (A)]]*Table7[[#This Row],[ton (ns)]]*10^-9*Fsw*10^3+0.5*VACnom*Table7[[#This Row],[Ipeak (A)]]*Table7[[#This Row],[toff (ns)]]*10^-9*Fsw*10^3/10^-3</f>
        <v>#NAME?</v>
      </c>
      <c r="AU243" s="145" t="e">
        <f t="shared" ca="1" si="45"/>
        <v>#REF!</v>
      </c>
      <c r="AV243" s="145" t="e">
        <f t="shared" ca="1" si="46"/>
        <v>#REF!</v>
      </c>
      <c r="AW243" s="145" t="e">
        <f t="shared" ca="1" si="47"/>
        <v>#REF!</v>
      </c>
      <c r="AX243" s="145" t="e">
        <f ca="1">IF(VACnom&gt;Vbat, TI_MOSFET_S_VSD_L_BU*Table7[[#This Row],[Ivalley (A)]]*Fsw*10^3*40*10^-9+TI_MOSFET_S_VSD_L_BU*Table7[[#This Row],[Ipeak (A)]]*Fsw*10^3*30*10^-9, TI_MOSFET_S_VSD_H_BO*Table7[[#This Row],[Ivalley (A)]]*Fsw*10^3*40*10^-9+TI_MOSFET_S_VSD_H_BO*Table7[[#This Row],[Ipeak (A)]]*Fsw*10^3*30*10^-9)/10^-3</f>
        <v>#REF!</v>
      </c>
      <c r="AY243" s="145" t="e">
        <f t="shared" ca="1" si="48"/>
        <v>#REF!</v>
      </c>
      <c r="AZ243" s="145" t="e">
        <f ca="1">IF(VACnom&lt;Vbat, Table7[[#This Row],[Duty Cycle]]*Table7[[#This Row],[I_L RMS]]^2*TI_MOSFET_S_RDSON_H_BU*10^-3, (1-Table7[[#This Row],[Duty Cycle]])*Table7[[#This Row],[I_L RMS]]^2*TI_MOSFET_S_RDSON_H_BO*10^-3)/10^-3</f>
        <v>#NAME?</v>
      </c>
      <c r="BA243" s="145" t="e">
        <f ca="1">IF(VACnom&gt;Vbat, Table7[[#This Row],[PIV (mW)]]+Table7[[#This Row],[Pqoss (mW)]]+Table7[[#This Row],[Pgate_top (mW)]], Table7[[#This Row],[PRR (mW)]]+Table7[[#This Row],[Pdead (mW)]]+Table7[[#This Row],[Pgate_top (mW)]])</f>
        <v>#REF!</v>
      </c>
      <c r="BB243" s="145" t="e">
        <f ca="1">Table7[[#This Row],[Pcon_top (mW)]]+Table7[[#This Row],[Psw_top (mW)]]</f>
        <v>#NAME?</v>
      </c>
      <c r="BC243" s="145" t="e">
        <f ca="1">IF(VACnom&gt;Vbat, (1-Table7[[#This Row],[Duty Cycle]])*Table7[[#This Row],[I_L RMS]]^2*TI_MOSFET_S_RDSON_L_BU*10^-3, Table7[[#This Row],[Duty Cycle]]*Table7[[#This Row],[I_L RMS]]^2*TI_MOSFET_S_RDSON_L_BO*10^-3)/10^-3</f>
        <v>#NAME?</v>
      </c>
      <c r="BD243" s="145" t="e">
        <f ca="1">IF(VACnom&gt;Vbat, Table7[[#This Row],[PRR (mW)]]+Table7[[#This Row],[Pdead (mW)]]+Table7[[#This Row],[Pgate_bottom (mW)]], Table7[[#This Row],[PIV (mW)]]+Table7[[#This Row],[Pqoss (mW)]]+Table7[[#This Row],[Pgate_bottom (mW)]])</f>
        <v>#NAME?</v>
      </c>
      <c r="BE243" s="147" t="e">
        <f ca="1">Table7[[#This Row],[Pcon_bottom (mW)]]+Table7[[#This Row],[Psw_bottom (mW)]]</f>
        <v>#NAME?</v>
      </c>
      <c r="BF243" s="145" t="e">
        <f ca="1">Table7[[#This Row],[Pbottom (mW)]]+Table7[[#This Row],[Ptop (mW)]]</f>
        <v>#NAME?</v>
      </c>
      <c r="BG243" s="142"/>
      <c r="BH243" s="145" t="e">
        <f>MAX(0,Table7[[#This Row],[I_L]]-0.5*Table7[[#This Row],[I_L pkpk]])</f>
        <v>#NAME?</v>
      </c>
      <c r="BI243" s="145" t="e">
        <f>Table7[[#This Row],[I_L]]+0.5*Table7[[#This Row],[I_L pkpk]]</f>
        <v>#NAME?</v>
      </c>
      <c r="BJ243" s="145">
        <f>IF(VACnom&gt;Vbat, (VGS_S-(C_MOSFET_S_VTH_H_BU+Table7[[#This Row],[I_L]]/C_MOSFET_S_gFS_H_BU))/3.4, (VGS_S-(C_MOSFET_S_VTH_L_BO+Table7[[#This Row],[I_L]]/C_MOSFET_S_gFS_L_BO))/3.4 )</f>
        <v>2.3325416666666667</v>
      </c>
      <c r="BK243" s="145">
        <f>IF(VACnom&gt;Vbat, ((C_MOSFET_S_VTH_H_BU+Table7[[#This Row],[I_L]]/C_MOSFET_S_gFS_H_BU))/1, ((C_MOSFET_S_VTH_L_BO+Table7[[#This Row],[I_L]]/C_MOSFET_S_gFS_L_BO))/1 )</f>
        <v>2.0693583333333332</v>
      </c>
      <c r="BL243" s="145">
        <f>IF(VACnom&gt;Vbat, (C_MOSFET_S_QGD_H_BU+C_MOSFET_S_QGS_H_BU)*10^-9/Table7[[#This Row],[Ion (A) C]], (C_MOSFET_S_QGD_L_BO+C_MOSFET_S_QGS_L_BO)*10^-9/Table7[[#This Row],[Ion (A) C]])/10^-9</f>
        <v>2.7866597595612794</v>
      </c>
      <c r="BM243" s="145">
        <f>IF(VACnom&gt;Vbat, (C_MOSFET_S_QGD_H_BU+C_MOSFET_S_QGS_H_BU)*10^-9/Table7[[#This Row],[Ioff (A) C]], (C_MOSFET_S_QGD_L_BO+C_MOSFET_S_QGS_L_BO)*10^-9/Table7[[#This Row],[Ioff (A) C]])/10^-9</f>
        <v>3.1410702995695128</v>
      </c>
      <c r="BN243" s="145" t="e">
        <f xml:space="preserve"> 0.5*VACnom*Table7[[#This Row],[Ivalley (A) C]]*Table7[[#This Row],[ton (ns) C]]*10^-9*Fsw*10^3+0.5*VACnom*Table7[[#This Row],[Ipeak (A) C]]*Table7[[#This Row],[toff (ns) C]]*10^-9*Fsw*10^3/10^-3</f>
        <v>#NAME?</v>
      </c>
      <c r="BO243" s="145">
        <f t="shared" si="49"/>
        <v>259.2</v>
      </c>
      <c r="BP243" s="145" t="e">
        <f t="shared" ca="1" si="50"/>
        <v>#REF!</v>
      </c>
      <c r="BQ243" s="145">
        <f t="shared" si="51"/>
        <v>475.2</v>
      </c>
      <c r="BR243" s="145" t="e">
        <f>IF(VACnom&gt;Vbat, C_MOSFET_S_VSD_L_BU*Table7[[#This Row],[Ivalley (A) C]]*Fsw*10^3*40*10^-9+C_MOSFET_S_VSD_L_BU*Table7[[#This Row],[Ipeak (A) C]]*Fsw*10^3*30*10^-9, C_MOSFET_S_VSD_H_BO*Table7[[#This Row],[Ivalley (A) C]]*Fsw*10^3*40*10^-9+C_MOSFET_S_VSD_H_BO*Table7[[#This Row],[Ipeak (A) C]]*Fsw*10^3*30*10^-9)/10^-3</f>
        <v>#NAME?</v>
      </c>
      <c r="BS243" s="145" t="e">
        <f t="shared" ca="1" si="52"/>
        <v>#REF!</v>
      </c>
      <c r="BT243" s="145" t="e">
        <f>IF(VACnom&lt;Vbat, Table7[[#This Row],[Duty Cycle]]*Table7[[#This Row],[I_L RMS]]^2*C_MOSFET_S_RDSON_H_BU*10^-3, (1-Table7[[#This Row],[Duty Cycle]])*Table7[[#This Row],[I_L RMS]]^2*C_MOSFET_S_RDSON_H_BO*10^-3)/10^-3</f>
        <v>#NAME?</v>
      </c>
      <c r="BU243" s="145" t="e">
        <f ca="1">IF(VACnom&gt;Vbat, Table7[[#This Row],[PIV (mW) C]]+Table7[[#This Row],[PQoss (mW) C]]+Table7[[#This Row],[Pgate_top (mW) C]], Table7[[#This Row],[PRR (mW) C]]+Table7[[#This Row],[Pdead (mW) C]]+Table7[[#This Row],[Pgate_top (mW) C]])</f>
        <v>#NAME?</v>
      </c>
      <c r="BV243" s="145" t="e">
        <f ca="1">Table7[[#This Row],[Pcon_top (mW) C]]+Table7[[#This Row],[Psw_top (mW) C]]</f>
        <v>#NAME?</v>
      </c>
      <c r="BW243" s="145" t="e">
        <f ca="1">IF(VACnom&gt;Vbat, (1-Table7[[#This Row],[Duty Cycle]])*Table7[[#This Row],[I_L RMS]]^2*C_MOSFET_S_RDSON_L_BU*10^-3, Table7[[#This Row],[Duty Cycle]]*Table7[[#This Row],[I_L RMS]]^2*C_MOSFET_S_RDSON_L_BO*10^-3)/10^-3</f>
        <v>#NAME?</v>
      </c>
      <c r="BX243" s="145" t="e">
        <f ca="1">IF(VACnom&gt;Vbat, Table7[[#This Row],[PRR (mW) C]]+Table7[[#This Row],[Pdead (mW) C]]+Table7[[#This Row],[Pgate_bottom (mW) C]], Table7[[#This Row],[PIV (mW) C]]+Table7[[#This Row],[PQoss (mW) C]]+Table7[[#This Row],[Pgate_bottom (mW) C]])</f>
        <v>#NAME?</v>
      </c>
      <c r="BY243" s="145" t="e">
        <f ca="1">Table7[[#This Row],[Pcon_bottom (mW) C]]+Table7[[#This Row],[Psw_bottom (mV) C]]</f>
        <v>#NAME?</v>
      </c>
      <c r="BZ243" s="145" t="e">
        <f ca="1">Table7[[#This Row],[Pbottom (mW) C]]+Table7[[#This Row],[Ptop (mW) C]]</f>
        <v>#NAME?</v>
      </c>
      <c r="CA243" s="148"/>
      <c r="CB243" s="144">
        <f>(RAC_SNS*10^-3*(Table7[[#This Row],[IOUT (A)]]*Vbat/VACnom)^2/10^-3)</f>
        <v>541.19007031249987</v>
      </c>
      <c r="CC243" s="144">
        <f>(RBAT_SNS*10^-3*Table7[[#This Row],[IOUT (A)]]^2)/10^-3</f>
        <v>378.44999999999993</v>
      </c>
      <c r="CD243" s="144">
        <f>IF(VACnom&gt;Vbat,(L_DRC*10^-3*(Table7[[#This Row],[IOUT (A)]])^2/10^-3),(L_DRC*10^-3*(Table7[[#This Row],[IOUT (A)]]*Vbat/VACnom)^2/10^-3))</f>
        <v>368.00924781249989</v>
      </c>
      <c r="CE243" s="152"/>
      <c r="CF243" s="145">
        <f>(Table7[[#This Row],[R_AC (mW)]]+Table7[[#This Row],[R_SR (mW)]]+Table7[[#This Row],[Inductor Loss (mW)]])/10^3</f>
        <v>1.2876493181249997</v>
      </c>
      <c r="CG243" s="145" t="e">
        <f ca="1">Table7[[#This Row],[Total TI (mW)]]/10^3</f>
        <v>#NAME?</v>
      </c>
      <c r="CH243" s="145" t="e">
        <f ca="1">Table7[[#This Row],[Total Sense Loss]]+Table7[[#This Row],[Total MOSFET Loss]]</f>
        <v>#NAME?</v>
      </c>
      <c r="CI243" s="149" t="e">
        <f ca="1">IF(Table7[[#This Row],[POUT (W)]]=0,0,(Table7[[#This Row],[POUT (W)]])/(Table7[[#This Row],[POUT (W)]]+Table7[[#This Row],[Total Power Loss (W)]]))*100</f>
        <v>#NAME?</v>
      </c>
      <c r="CJ243" s="153"/>
      <c r="CK243" s="145">
        <f>(Table7[[#This Row],[R_AC (mW)]]+Table7[[#This Row],[R_SR (mW)]]+Table7[[#This Row],[Inductor Loss (mW)]])/10^3</f>
        <v>1.2876493181249997</v>
      </c>
      <c r="CL243" s="145" t="e">
        <f ca="1">Table7[[#This Row],[Total (mW) C]]/10^3</f>
        <v>#NAME?</v>
      </c>
      <c r="CM243" s="145" t="e">
        <f ca="1">Table7[[#This Row],[Total Sense Loss C]]+Table7[[#This Row],[Total MOSFET Loss C]]</f>
        <v>#NAME?</v>
      </c>
      <c r="CN243" s="149" t="e">
        <f ca="1">IF(Table7[[#This Row],[POUT (W)]]=0,0,(Table7[[#This Row],[POUT (W)]])/(Table7[[#This Row],[POUT (W)]]+Table7[[#This Row],[Total Power Loss (W) C]]))*100</f>
        <v>#NAME?</v>
      </c>
      <c r="CO243" s="153"/>
      <c r="CP243" s="149">
        <f>IF(MOSFET_S=Custom_MOSFET,Table7[[#This Row],[Total Sense Loss C]],Table7[[#This Row],[Total Sense Loss]])</f>
        <v>1.2876493181249997</v>
      </c>
      <c r="CQ243" s="149" t="e">
        <f ca="1">IF(MOSFET_S=Custom_MOSFET,Table7[[#This Row],[Total MOSFET Loss C]],Table7[[#This Row],[Total MOSFET Loss]])</f>
        <v>#NAME?</v>
      </c>
      <c r="CR243" s="149" t="e">
        <f ca="1">IF(MOSFET_S=Custom_MOSFET,Table7[[#This Row],[Efficiency C]],Table7[[#This Row],[Efficiency]])</f>
        <v>#NAME?</v>
      </c>
      <c r="CS243" s="153"/>
      <c r="CT243" s="149">
        <f>IF(MOSFET_S=Compare_MOSFET, Table7[[#This Row],[Total Sense Loss C]], -100)</f>
        <v>-100</v>
      </c>
      <c r="CU243" s="149">
        <f>IF(MOSFET_S=Compare_MOSFET, Table7[[#This Row],[Total MOSFET Loss C]], -100)</f>
        <v>-100</v>
      </c>
      <c r="CV243" s="149">
        <f>IF(MOSFET_S=Compare_MOSFET, Table7[[#This Row],[Efficiency C]], -100)</f>
        <v>-100</v>
      </c>
      <c r="CW243" s="153"/>
      <c r="CX243" s="149">
        <f ca="1">IF(Save_Sel=CLR_Save,  Table7[[#This Row],[Total Sense Loss P1]], Table7[[#This Row],[Total Sense Loss P1 Saved]])</f>
        <v>1.0797651562499999</v>
      </c>
      <c r="CY243" s="149">
        <f ca="1">IF(Save_Sel=CLR_Save,  Table7[[#This Row],[Total MOSFET Loss P1]], Table7[[#This Row],[Total MOSFET Loss P1 Saved]] )</f>
        <v>2.2671859488957344</v>
      </c>
      <c r="CZ243" s="149">
        <f ca="1">IF(Save_Sel=CLR_Save, Table7[[#This Row],[Efficiency P1]], Table7[[#This Row],[Efficiency P1 Saved]])</f>
        <v>93.97455478913642</v>
      </c>
      <c r="DA243" s="153"/>
      <c r="DB243" s="149">
        <f ca="1">IF(Save_Sel=CLR_Save,  Table7[[#This Row],[Total Sense Loss P2]], Table7[[#This Row],[Total Sense Loss P2 Saved]])</f>
        <v>1.0797651562499999</v>
      </c>
      <c r="DC243" s="149">
        <f ca="1">IF(Save_Sel=CLR_Save,  Table7[[#This Row],[Total MOSFET Loss P2]], Table7[[#This Row],[Total MOSFET Loss P2 Saved]] )</f>
        <v>1.5981820830954889</v>
      </c>
      <c r="DD243" s="149">
        <f ca="1">IF(Save_Sel=CLR_Save, Table7[[#This Row],[Efficiency P2]], Table7[[#This Row],[Efficiency P2 Saved]])</f>
        <v>95.120176001361983</v>
      </c>
      <c r="DE243" s="153"/>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row>
    <row r="244" spans="1:165" x14ac:dyDescent="0.2">
      <c r="A244" s="67"/>
      <c r="B244" s="67"/>
      <c r="C244" s="67"/>
      <c r="D244" s="67"/>
      <c r="E244" s="67"/>
      <c r="F244" s="67"/>
      <c r="G244" s="67"/>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43">
        <f t="shared" si="54"/>
        <v>88</v>
      </c>
      <c r="AG244" s="143">
        <f t="shared" si="53"/>
        <v>8.8000000000000007</v>
      </c>
      <c r="AH244" s="144">
        <f t="shared" si="42"/>
        <v>211.20000000000002</v>
      </c>
      <c r="AI244" s="145">
        <f t="shared" si="43"/>
        <v>0.16376306620209058</v>
      </c>
      <c r="AJ244" s="145">
        <f t="shared" si="44"/>
        <v>10.523333333333333</v>
      </c>
      <c r="AK244" s="145" t="e">
        <f t="shared" si="40"/>
        <v>#NAME?</v>
      </c>
      <c r="AL244" s="145" t="e">
        <f t="shared" si="41"/>
        <v>#NAME?</v>
      </c>
      <c r="AM244" s="146"/>
      <c r="AN244" s="145" t="e">
        <f>MAX(0,Table7[[#This Row],[I_L]]-0.5*Table7[[#This Row],[I_L pkpk]])</f>
        <v>#NAME?</v>
      </c>
      <c r="AO244" s="145" t="e">
        <f>Table7[[#This Row],[I_L]]+0.5*Table7[[#This Row],[I_L pkpk]]</f>
        <v>#NAME?</v>
      </c>
      <c r="AP244" s="145" t="e">
        <f ca="1">IF(VACnom&gt;Vbat, (VGS_S-(TI_MOSFET_S_VTH_H_BU+Table7[[#This Row],[I_L]]/TI_MOSFET_S_gFS_H_BU))/3.4, (VGS_S-(TI_MOSFET_S_VTH_L_BO+Table7[[#This Row],[I_L]]/TI_MOSFET_S_gFS_L_BO))/3.4 )</f>
        <v>#REF!</v>
      </c>
      <c r="AQ244" s="145" t="e">
        <f ca="1">IF(VACnom&gt;Vbat, ((TI_MOSFET_S_VTH_H_BU+Table7[[#This Row],[I_L]]/TI_MOSFET_S_gFS_H_BU))/1, ((TI_MOSFET_S_VTH_L_BO+Table7[[#This Row],[I_L]]/TI_MOSFET_S_gFS_L_BO))/1 )</f>
        <v>#REF!</v>
      </c>
      <c r="AR244" s="145" t="e">
        <f ca="1">IF(VACnom&gt;Vbat, (TI_MOSFET_S_QGD_H_BU+TI_MOSFET_S_QGS_H_BU)*10^-9/Table7[[#This Row],[Ion (A)]], (TI_MOSFET_S_QGD_L_BO+TI_MOSFET_S_QGS_L_BO)*10^-9/Table7[[#This Row],[Ion (A)]])/10^-9</f>
        <v>#REF!</v>
      </c>
      <c r="AS244" s="145" t="e">
        <f ca="1">IF(VACnom&gt;Vbat, (TI_MOSFET_S_QGD_H_BU+TI_MOSFET_S_QGS_H_BU)*10^-9/Table7[[#This Row],[Ioff (A)]], (TI_MOSFET_S_QGD_L_BO+TI_MOSFET_S_QGS_L_BO)*10^-9/Table7[[#This Row],[Ioff (A)]])/10^-9</f>
        <v>#REF!</v>
      </c>
      <c r="AT244" s="145" t="e">
        <f ca="1" xml:space="preserve"> 0.5*VACnom*Table7[[#This Row],[Ivalley (A)]]*Table7[[#This Row],[ton (ns)]]*10^-9*Fsw*10^3+0.5*VACnom*Table7[[#This Row],[Ipeak (A)]]*Table7[[#This Row],[toff (ns)]]*10^-9*Fsw*10^3/10^-3</f>
        <v>#NAME?</v>
      </c>
      <c r="AU244" s="145" t="e">
        <f t="shared" ca="1" si="45"/>
        <v>#REF!</v>
      </c>
      <c r="AV244" s="145" t="e">
        <f t="shared" ca="1" si="46"/>
        <v>#REF!</v>
      </c>
      <c r="AW244" s="145" t="e">
        <f t="shared" ca="1" si="47"/>
        <v>#REF!</v>
      </c>
      <c r="AX244" s="145" t="e">
        <f ca="1">IF(VACnom&gt;Vbat, TI_MOSFET_S_VSD_L_BU*Table7[[#This Row],[Ivalley (A)]]*Fsw*10^3*40*10^-9+TI_MOSFET_S_VSD_L_BU*Table7[[#This Row],[Ipeak (A)]]*Fsw*10^3*30*10^-9, TI_MOSFET_S_VSD_H_BO*Table7[[#This Row],[Ivalley (A)]]*Fsw*10^3*40*10^-9+TI_MOSFET_S_VSD_H_BO*Table7[[#This Row],[Ipeak (A)]]*Fsw*10^3*30*10^-9)/10^-3</f>
        <v>#REF!</v>
      </c>
      <c r="AY244" s="145" t="e">
        <f t="shared" ca="1" si="48"/>
        <v>#REF!</v>
      </c>
      <c r="AZ244" s="145" t="e">
        <f ca="1">IF(VACnom&lt;Vbat, Table7[[#This Row],[Duty Cycle]]*Table7[[#This Row],[I_L RMS]]^2*TI_MOSFET_S_RDSON_H_BU*10^-3, (1-Table7[[#This Row],[Duty Cycle]])*Table7[[#This Row],[I_L RMS]]^2*TI_MOSFET_S_RDSON_H_BO*10^-3)/10^-3</f>
        <v>#NAME?</v>
      </c>
      <c r="BA244" s="145" t="e">
        <f ca="1">IF(VACnom&gt;Vbat, Table7[[#This Row],[PIV (mW)]]+Table7[[#This Row],[Pqoss (mW)]]+Table7[[#This Row],[Pgate_top (mW)]], Table7[[#This Row],[PRR (mW)]]+Table7[[#This Row],[Pdead (mW)]]+Table7[[#This Row],[Pgate_top (mW)]])</f>
        <v>#REF!</v>
      </c>
      <c r="BB244" s="145" t="e">
        <f ca="1">Table7[[#This Row],[Pcon_top (mW)]]+Table7[[#This Row],[Psw_top (mW)]]</f>
        <v>#NAME?</v>
      </c>
      <c r="BC244" s="145" t="e">
        <f ca="1">IF(VACnom&gt;Vbat, (1-Table7[[#This Row],[Duty Cycle]])*Table7[[#This Row],[I_L RMS]]^2*TI_MOSFET_S_RDSON_L_BU*10^-3, Table7[[#This Row],[Duty Cycle]]*Table7[[#This Row],[I_L RMS]]^2*TI_MOSFET_S_RDSON_L_BO*10^-3)/10^-3</f>
        <v>#NAME?</v>
      </c>
      <c r="BD244" s="145" t="e">
        <f ca="1">IF(VACnom&gt;Vbat, Table7[[#This Row],[PRR (mW)]]+Table7[[#This Row],[Pdead (mW)]]+Table7[[#This Row],[Pgate_bottom (mW)]], Table7[[#This Row],[PIV (mW)]]+Table7[[#This Row],[Pqoss (mW)]]+Table7[[#This Row],[Pgate_bottom (mW)]])</f>
        <v>#NAME?</v>
      </c>
      <c r="BE244" s="147" t="e">
        <f ca="1">Table7[[#This Row],[Pcon_bottom (mW)]]+Table7[[#This Row],[Psw_bottom (mW)]]</f>
        <v>#NAME?</v>
      </c>
      <c r="BF244" s="145" t="e">
        <f ca="1">Table7[[#This Row],[Pbottom (mW)]]+Table7[[#This Row],[Ptop (mW)]]</f>
        <v>#NAME?</v>
      </c>
      <c r="BG244" s="142"/>
      <c r="BH244" s="145" t="e">
        <f>MAX(0,Table7[[#This Row],[I_L]]-0.5*Table7[[#This Row],[I_L pkpk]])</f>
        <v>#NAME?</v>
      </c>
      <c r="BI244" s="145" t="e">
        <f>Table7[[#This Row],[I_L]]+0.5*Table7[[#This Row],[I_L pkpk]]</f>
        <v>#NAME?</v>
      </c>
      <c r="BJ244" s="145">
        <f>IF(VACnom&gt;Vbat, (VGS_S-(C_MOSFET_S_VTH_H_BU+Table7[[#This Row],[I_L]]/C_MOSFET_S_gFS_H_BU))/3.4, (VGS_S-(C_MOSFET_S_VTH_L_BO+Table7[[#This Row],[I_L]]/C_MOSFET_S_gFS_L_BO))/3.4 )</f>
        <v>2.3323071895424841</v>
      </c>
      <c r="BK244" s="145">
        <f>IF(VACnom&gt;Vbat, ((C_MOSFET_S_VTH_H_BU+Table7[[#This Row],[I_L]]/C_MOSFET_S_gFS_H_BU))/1, ((C_MOSFET_S_VTH_L_BO+Table7[[#This Row],[I_L]]/C_MOSFET_S_gFS_L_BO))/1 )</f>
        <v>2.0701555555555555</v>
      </c>
      <c r="BL244" s="145">
        <f>IF(VACnom&gt;Vbat, (C_MOSFET_S_QGD_H_BU+C_MOSFET_S_QGS_H_BU)*10^-9/Table7[[#This Row],[Ion (A) C]], (C_MOSFET_S_QGD_L_BO+C_MOSFET_S_QGS_L_BO)*10^-9/Table7[[#This Row],[Ion (A) C]])/10^-9</f>
        <v>2.7869399147524256</v>
      </c>
      <c r="BM244" s="145">
        <f>IF(VACnom&gt;Vbat, (C_MOSFET_S_QGD_H_BU+C_MOSFET_S_QGS_H_BU)*10^-9/Table7[[#This Row],[Ioff (A) C]], (C_MOSFET_S_QGD_L_BO+C_MOSFET_S_QGS_L_BO)*10^-9/Table7[[#This Row],[Ioff (A) C]])/10^-9</f>
        <v>3.139860665328424</v>
      </c>
      <c r="BN244" s="145" t="e">
        <f xml:space="preserve"> 0.5*VACnom*Table7[[#This Row],[Ivalley (A) C]]*Table7[[#This Row],[ton (ns) C]]*10^-9*Fsw*10^3+0.5*VACnom*Table7[[#This Row],[Ipeak (A) C]]*Table7[[#This Row],[toff (ns) C]]*10^-9*Fsw*10^3/10^-3</f>
        <v>#NAME?</v>
      </c>
      <c r="BO244" s="145">
        <f t="shared" si="49"/>
        <v>259.2</v>
      </c>
      <c r="BP244" s="145" t="e">
        <f t="shared" ca="1" si="50"/>
        <v>#REF!</v>
      </c>
      <c r="BQ244" s="145">
        <f t="shared" si="51"/>
        <v>475.2</v>
      </c>
      <c r="BR244" s="145" t="e">
        <f>IF(VACnom&gt;Vbat, C_MOSFET_S_VSD_L_BU*Table7[[#This Row],[Ivalley (A) C]]*Fsw*10^3*40*10^-9+C_MOSFET_S_VSD_L_BU*Table7[[#This Row],[Ipeak (A) C]]*Fsw*10^3*30*10^-9, C_MOSFET_S_VSD_H_BO*Table7[[#This Row],[Ivalley (A) C]]*Fsw*10^3*40*10^-9+C_MOSFET_S_VSD_H_BO*Table7[[#This Row],[Ipeak (A) C]]*Fsw*10^3*30*10^-9)/10^-3</f>
        <v>#NAME?</v>
      </c>
      <c r="BS244" s="145" t="e">
        <f t="shared" ca="1" si="52"/>
        <v>#REF!</v>
      </c>
      <c r="BT244" s="145" t="e">
        <f>IF(VACnom&lt;Vbat, Table7[[#This Row],[Duty Cycle]]*Table7[[#This Row],[I_L RMS]]^2*C_MOSFET_S_RDSON_H_BU*10^-3, (1-Table7[[#This Row],[Duty Cycle]])*Table7[[#This Row],[I_L RMS]]^2*C_MOSFET_S_RDSON_H_BO*10^-3)/10^-3</f>
        <v>#NAME?</v>
      </c>
      <c r="BU244" s="145" t="e">
        <f ca="1">IF(VACnom&gt;Vbat, Table7[[#This Row],[PIV (mW) C]]+Table7[[#This Row],[PQoss (mW) C]]+Table7[[#This Row],[Pgate_top (mW) C]], Table7[[#This Row],[PRR (mW) C]]+Table7[[#This Row],[Pdead (mW) C]]+Table7[[#This Row],[Pgate_top (mW) C]])</f>
        <v>#NAME?</v>
      </c>
      <c r="BV244" s="145" t="e">
        <f ca="1">Table7[[#This Row],[Pcon_top (mW) C]]+Table7[[#This Row],[Psw_top (mW) C]]</f>
        <v>#NAME?</v>
      </c>
      <c r="BW244" s="145" t="e">
        <f ca="1">IF(VACnom&gt;Vbat, (1-Table7[[#This Row],[Duty Cycle]])*Table7[[#This Row],[I_L RMS]]^2*C_MOSFET_S_RDSON_L_BU*10^-3, Table7[[#This Row],[Duty Cycle]]*Table7[[#This Row],[I_L RMS]]^2*C_MOSFET_S_RDSON_L_BO*10^-3)/10^-3</f>
        <v>#NAME?</v>
      </c>
      <c r="BX244" s="145" t="e">
        <f ca="1">IF(VACnom&gt;Vbat, Table7[[#This Row],[PRR (mW) C]]+Table7[[#This Row],[Pdead (mW) C]]+Table7[[#This Row],[Pgate_bottom (mW) C]], Table7[[#This Row],[PIV (mW) C]]+Table7[[#This Row],[PQoss (mW) C]]+Table7[[#This Row],[Pgate_bottom (mW) C]])</f>
        <v>#NAME?</v>
      </c>
      <c r="BY244" s="145" t="e">
        <f ca="1">Table7[[#This Row],[Pcon_bottom (mW) C]]+Table7[[#This Row],[Psw_bottom (mV) C]]</f>
        <v>#NAME?</v>
      </c>
      <c r="BZ244" s="145" t="e">
        <f ca="1">Table7[[#This Row],[Pbottom (mW) C]]+Table7[[#This Row],[Ptop (mW) C]]</f>
        <v>#NAME?</v>
      </c>
      <c r="CA244" s="148"/>
      <c r="CB244" s="144">
        <f>(RAC_SNS*10^-3*(Table7[[#This Row],[IOUT (A)]]*Vbat/VACnom)^2/10^-3)</f>
        <v>553.70272222222229</v>
      </c>
      <c r="CC244" s="144">
        <f>(RBAT_SNS*10^-3*Table7[[#This Row],[IOUT (A)]]^2)/10^-3</f>
        <v>387.20000000000005</v>
      </c>
      <c r="CD244" s="144">
        <f>IF(VACnom&gt;Vbat,(L_DRC*10^-3*(Table7[[#This Row],[IOUT (A)]])^2/10^-3),(L_DRC*10^-3*(Table7[[#This Row],[IOUT (A)]]*Vbat/VACnom)^2/10^-3))</f>
        <v>376.5178511111111</v>
      </c>
      <c r="CE244" s="152"/>
      <c r="CF244" s="145">
        <f>(Table7[[#This Row],[R_AC (mW)]]+Table7[[#This Row],[R_SR (mW)]]+Table7[[#This Row],[Inductor Loss (mW)]])/10^3</f>
        <v>1.3174205733333333</v>
      </c>
      <c r="CG244" s="145" t="e">
        <f ca="1">Table7[[#This Row],[Total TI (mW)]]/10^3</f>
        <v>#NAME?</v>
      </c>
      <c r="CH244" s="145" t="e">
        <f ca="1">Table7[[#This Row],[Total Sense Loss]]+Table7[[#This Row],[Total MOSFET Loss]]</f>
        <v>#NAME?</v>
      </c>
      <c r="CI244" s="149" t="e">
        <f ca="1">IF(Table7[[#This Row],[POUT (W)]]=0,0,(Table7[[#This Row],[POUT (W)]])/(Table7[[#This Row],[POUT (W)]]+Table7[[#This Row],[Total Power Loss (W)]]))*100</f>
        <v>#NAME?</v>
      </c>
      <c r="CJ244" s="153"/>
      <c r="CK244" s="145">
        <f>(Table7[[#This Row],[R_AC (mW)]]+Table7[[#This Row],[R_SR (mW)]]+Table7[[#This Row],[Inductor Loss (mW)]])/10^3</f>
        <v>1.3174205733333333</v>
      </c>
      <c r="CL244" s="145" t="e">
        <f ca="1">Table7[[#This Row],[Total (mW) C]]/10^3</f>
        <v>#NAME?</v>
      </c>
      <c r="CM244" s="145" t="e">
        <f ca="1">Table7[[#This Row],[Total Sense Loss C]]+Table7[[#This Row],[Total MOSFET Loss C]]</f>
        <v>#NAME?</v>
      </c>
      <c r="CN244" s="149" t="e">
        <f ca="1">IF(Table7[[#This Row],[POUT (W)]]=0,0,(Table7[[#This Row],[POUT (W)]])/(Table7[[#This Row],[POUT (W)]]+Table7[[#This Row],[Total Power Loss (W) C]]))*100</f>
        <v>#NAME?</v>
      </c>
      <c r="CO244" s="153"/>
      <c r="CP244" s="149">
        <f>IF(MOSFET_S=Custom_MOSFET,Table7[[#This Row],[Total Sense Loss C]],Table7[[#This Row],[Total Sense Loss]])</f>
        <v>1.3174205733333333</v>
      </c>
      <c r="CQ244" s="149" t="e">
        <f ca="1">IF(MOSFET_S=Custom_MOSFET,Table7[[#This Row],[Total MOSFET Loss C]],Table7[[#This Row],[Total MOSFET Loss]])</f>
        <v>#NAME?</v>
      </c>
      <c r="CR244" s="149" t="e">
        <f ca="1">IF(MOSFET_S=Custom_MOSFET,Table7[[#This Row],[Efficiency C]],Table7[[#This Row],[Efficiency]])</f>
        <v>#NAME?</v>
      </c>
      <c r="CS244" s="153"/>
      <c r="CT244" s="149">
        <f>IF(MOSFET_S=Compare_MOSFET, Table7[[#This Row],[Total Sense Loss C]], -100)</f>
        <v>-100</v>
      </c>
      <c r="CU244" s="149">
        <f>IF(MOSFET_S=Compare_MOSFET, Table7[[#This Row],[Total MOSFET Loss C]], -100)</f>
        <v>-100</v>
      </c>
      <c r="CV244" s="149">
        <f>IF(MOSFET_S=Compare_MOSFET, Table7[[#This Row],[Efficiency C]], -100)</f>
        <v>-100</v>
      </c>
      <c r="CW244" s="153"/>
      <c r="CX244" s="149">
        <f ca="1">IF(Save_Sel=CLR_Save,  Table7[[#This Row],[Total Sense Loss P1]], Table7[[#This Row],[Total Sense Loss P1 Saved]])</f>
        <v>1.1047300000000002</v>
      </c>
      <c r="CY244" s="149">
        <f ca="1">IF(Save_Sel=CLR_Save,  Table7[[#This Row],[Total MOSFET Loss P1]], Table7[[#This Row],[Total MOSFET Loss P1 Saved]] )</f>
        <v>2.2787633929417059</v>
      </c>
      <c r="CZ244" s="149">
        <f ca="1">IF(Save_Sel=CLR_Save, Table7[[#This Row],[Efficiency P1]], Table7[[#This Row],[Efficiency P1 Saved]])</f>
        <v>93.977780325481191</v>
      </c>
      <c r="DA244" s="153"/>
      <c r="DB244" s="149">
        <f ca="1">IF(Save_Sel=CLR_Save,  Table7[[#This Row],[Total Sense Loss P2]], Table7[[#This Row],[Total Sense Loss P2 Saved]])</f>
        <v>1.1047300000000002</v>
      </c>
      <c r="DC244" s="149">
        <f ca="1">IF(Save_Sel=CLR_Save,  Table7[[#This Row],[Total MOSFET Loss P2]], Table7[[#This Row],[Total MOSFET Loss P2 Saved]] )</f>
        <v>1.6090737793584031</v>
      </c>
      <c r="DD244" s="149">
        <f ca="1">IF(Save_Sel=CLR_Save, Table7[[#This Row],[Efficiency P2]], Table7[[#This Row],[Efficiency P2 Saved]])</f>
        <v>95.111479317568453</v>
      </c>
      <c r="DE244" s="153"/>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row>
    <row r="245" spans="1:165" x14ac:dyDescent="0.2">
      <c r="A245" s="67"/>
      <c r="B245" s="67"/>
      <c r="C245" s="67"/>
      <c r="D245" s="67"/>
      <c r="E245" s="67"/>
      <c r="F245" s="67"/>
      <c r="G245" s="67"/>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43">
        <f t="shared" si="54"/>
        <v>89</v>
      </c>
      <c r="AG245" s="143">
        <f t="shared" si="53"/>
        <v>8.9</v>
      </c>
      <c r="AH245" s="144">
        <f t="shared" si="42"/>
        <v>213.60000000000002</v>
      </c>
      <c r="AI245" s="145">
        <f t="shared" si="43"/>
        <v>0.16376306620209058</v>
      </c>
      <c r="AJ245" s="145">
        <f t="shared" si="44"/>
        <v>10.642916666666666</v>
      </c>
      <c r="AK245" s="145" t="e">
        <f t="shared" si="40"/>
        <v>#NAME?</v>
      </c>
      <c r="AL245" s="145" t="e">
        <f t="shared" si="41"/>
        <v>#NAME?</v>
      </c>
      <c r="AM245" s="146"/>
      <c r="AN245" s="145" t="e">
        <f>MAX(0,Table7[[#This Row],[I_L]]-0.5*Table7[[#This Row],[I_L pkpk]])</f>
        <v>#NAME?</v>
      </c>
      <c r="AO245" s="145" t="e">
        <f>Table7[[#This Row],[I_L]]+0.5*Table7[[#This Row],[I_L pkpk]]</f>
        <v>#NAME?</v>
      </c>
      <c r="AP245" s="145" t="e">
        <f ca="1">IF(VACnom&gt;Vbat, (VGS_S-(TI_MOSFET_S_VTH_H_BU+Table7[[#This Row],[I_L]]/TI_MOSFET_S_gFS_H_BU))/3.4, (VGS_S-(TI_MOSFET_S_VTH_L_BO+Table7[[#This Row],[I_L]]/TI_MOSFET_S_gFS_L_BO))/3.4 )</f>
        <v>#REF!</v>
      </c>
      <c r="AQ245" s="145" t="e">
        <f ca="1">IF(VACnom&gt;Vbat, ((TI_MOSFET_S_VTH_H_BU+Table7[[#This Row],[I_L]]/TI_MOSFET_S_gFS_H_BU))/1, ((TI_MOSFET_S_VTH_L_BO+Table7[[#This Row],[I_L]]/TI_MOSFET_S_gFS_L_BO))/1 )</f>
        <v>#REF!</v>
      </c>
      <c r="AR245" s="145" t="e">
        <f ca="1">IF(VACnom&gt;Vbat, (TI_MOSFET_S_QGD_H_BU+TI_MOSFET_S_QGS_H_BU)*10^-9/Table7[[#This Row],[Ion (A)]], (TI_MOSFET_S_QGD_L_BO+TI_MOSFET_S_QGS_L_BO)*10^-9/Table7[[#This Row],[Ion (A)]])/10^-9</f>
        <v>#REF!</v>
      </c>
      <c r="AS245" s="145" t="e">
        <f ca="1">IF(VACnom&gt;Vbat, (TI_MOSFET_S_QGD_H_BU+TI_MOSFET_S_QGS_H_BU)*10^-9/Table7[[#This Row],[Ioff (A)]], (TI_MOSFET_S_QGD_L_BO+TI_MOSFET_S_QGS_L_BO)*10^-9/Table7[[#This Row],[Ioff (A)]])/10^-9</f>
        <v>#REF!</v>
      </c>
      <c r="AT245" s="145" t="e">
        <f ca="1" xml:space="preserve"> 0.5*VACnom*Table7[[#This Row],[Ivalley (A)]]*Table7[[#This Row],[ton (ns)]]*10^-9*Fsw*10^3+0.5*VACnom*Table7[[#This Row],[Ipeak (A)]]*Table7[[#This Row],[toff (ns)]]*10^-9*Fsw*10^3/10^-3</f>
        <v>#NAME?</v>
      </c>
      <c r="AU245" s="145" t="e">
        <f t="shared" ca="1" si="45"/>
        <v>#REF!</v>
      </c>
      <c r="AV245" s="145" t="e">
        <f t="shared" ca="1" si="46"/>
        <v>#REF!</v>
      </c>
      <c r="AW245" s="145" t="e">
        <f t="shared" ca="1" si="47"/>
        <v>#REF!</v>
      </c>
      <c r="AX245" s="145" t="e">
        <f ca="1">IF(VACnom&gt;Vbat, TI_MOSFET_S_VSD_L_BU*Table7[[#This Row],[Ivalley (A)]]*Fsw*10^3*40*10^-9+TI_MOSFET_S_VSD_L_BU*Table7[[#This Row],[Ipeak (A)]]*Fsw*10^3*30*10^-9, TI_MOSFET_S_VSD_H_BO*Table7[[#This Row],[Ivalley (A)]]*Fsw*10^3*40*10^-9+TI_MOSFET_S_VSD_H_BO*Table7[[#This Row],[Ipeak (A)]]*Fsw*10^3*30*10^-9)/10^-3</f>
        <v>#REF!</v>
      </c>
      <c r="AY245" s="145" t="e">
        <f t="shared" ca="1" si="48"/>
        <v>#REF!</v>
      </c>
      <c r="AZ245" s="145" t="e">
        <f ca="1">IF(VACnom&lt;Vbat, Table7[[#This Row],[Duty Cycle]]*Table7[[#This Row],[I_L RMS]]^2*TI_MOSFET_S_RDSON_H_BU*10^-3, (1-Table7[[#This Row],[Duty Cycle]])*Table7[[#This Row],[I_L RMS]]^2*TI_MOSFET_S_RDSON_H_BO*10^-3)/10^-3</f>
        <v>#NAME?</v>
      </c>
      <c r="BA245" s="145" t="e">
        <f ca="1">IF(VACnom&gt;Vbat, Table7[[#This Row],[PIV (mW)]]+Table7[[#This Row],[Pqoss (mW)]]+Table7[[#This Row],[Pgate_top (mW)]], Table7[[#This Row],[PRR (mW)]]+Table7[[#This Row],[Pdead (mW)]]+Table7[[#This Row],[Pgate_top (mW)]])</f>
        <v>#REF!</v>
      </c>
      <c r="BB245" s="145" t="e">
        <f ca="1">Table7[[#This Row],[Pcon_top (mW)]]+Table7[[#This Row],[Psw_top (mW)]]</f>
        <v>#NAME?</v>
      </c>
      <c r="BC245" s="145" t="e">
        <f ca="1">IF(VACnom&gt;Vbat, (1-Table7[[#This Row],[Duty Cycle]])*Table7[[#This Row],[I_L RMS]]^2*TI_MOSFET_S_RDSON_L_BU*10^-3, Table7[[#This Row],[Duty Cycle]]*Table7[[#This Row],[I_L RMS]]^2*TI_MOSFET_S_RDSON_L_BO*10^-3)/10^-3</f>
        <v>#NAME?</v>
      </c>
      <c r="BD245" s="145" t="e">
        <f ca="1">IF(VACnom&gt;Vbat, Table7[[#This Row],[PRR (mW)]]+Table7[[#This Row],[Pdead (mW)]]+Table7[[#This Row],[Pgate_bottom (mW)]], Table7[[#This Row],[PIV (mW)]]+Table7[[#This Row],[Pqoss (mW)]]+Table7[[#This Row],[Pgate_bottom (mW)]])</f>
        <v>#NAME?</v>
      </c>
      <c r="BE245" s="147" t="e">
        <f ca="1">Table7[[#This Row],[Pcon_bottom (mW)]]+Table7[[#This Row],[Psw_bottom (mW)]]</f>
        <v>#NAME?</v>
      </c>
      <c r="BF245" s="145" t="e">
        <f ca="1">Table7[[#This Row],[Pbottom (mW)]]+Table7[[#This Row],[Ptop (mW)]]</f>
        <v>#NAME?</v>
      </c>
      <c r="BG245" s="142"/>
      <c r="BH245" s="145" t="e">
        <f>MAX(0,Table7[[#This Row],[I_L]]-0.5*Table7[[#This Row],[I_L pkpk]])</f>
        <v>#NAME?</v>
      </c>
      <c r="BI245" s="145" t="e">
        <f>Table7[[#This Row],[I_L]]+0.5*Table7[[#This Row],[I_L pkpk]]</f>
        <v>#NAME?</v>
      </c>
      <c r="BJ245" s="145">
        <f>IF(VACnom&gt;Vbat, (VGS_S-(C_MOSFET_S_VTH_H_BU+Table7[[#This Row],[I_L]]/C_MOSFET_S_gFS_H_BU))/3.4, (VGS_S-(C_MOSFET_S_VTH_L_BO+Table7[[#This Row],[I_L]]/C_MOSFET_S_gFS_L_BO))/3.4 )</f>
        <v>2.3320727124183005</v>
      </c>
      <c r="BK245" s="145">
        <f>IF(VACnom&gt;Vbat, ((C_MOSFET_S_VTH_H_BU+Table7[[#This Row],[I_L]]/C_MOSFET_S_gFS_H_BU))/1, ((C_MOSFET_S_VTH_L_BO+Table7[[#This Row],[I_L]]/C_MOSFET_S_gFS_L_BO))/1 )</f>
        <v>2.0709527777777779</v>
      </c>
      <c r="BL245" s="145">
        <f>IF(VACnom&gt;Vbat, (C_MOSFET_S_QGD_H_BU+C_MOSFET_S_QGS_H_BU)*10^-9/Table7[[#This Row],[Ion (A) C]], (C_MOSFET_S_QGD_L_BO+C_MOSFET_S_QGS_L_BO)*10^-9/Table7[[#This Row],[Ion (A) C]])/10^-9</f>
        <v>2.7872201262797094</v>
      </c>
      <c r="BM245" s="145">
        <f>IF(VACnom&gt;Vbat, (C_MOSFET_S_QGD_H_BU+C_MOSFET_S_QGS_H_BU)*10^-9/Table7[[#This Row],[Ioff (A) C]], (C_MOSFET_S_QGD_L_BO+C_MOSFET_S_QGS_L_BO)*10^-9/Table7[[#This Row],[Ioff (A) C]])/10^-9</f>
        <v>3.1386519623951936</v>
      </c>
      <c r="BN245" s="145" t="e">
        <f xml:space="preserve"> 0.5*VACnom*Table7[[#This Row],[Ivalley (A) C]]*Table7[[#This Row],[ton (ns) C]]*10^-9*Fsw*10^3+0.5*VACnom*Table7[[#This Row],[Ipeak (A) C]]*Table7[[#This Row],[toff (ns) C]]*10^-9*Fsw*10^3/10^-3</f>
        <v>#NAME?</v>
      </c>
      <c r="BO245" s="145">
        <f t="shared" si="49"/>
        <v>259.2</v>
      </c>
      <c r="BP245" s="145" t="e">
        <f t="shared" ca="1" si="50"/>
        <v>#REF!</v>
      </c>
      <c r="BQ245" s="145">
        <f t="shared" si="51"/>
        <v>475.2</v>
      </c>
      <c r="BR245" s="145" t="e">
        <f>IF(VACnom&gt;Vbat, C_MOSFET_S_VSD_L_BU*Table7[[#This Row],[Ivalley (A) C]]*Fsw*10^3*40*10^-9+C_MOSFET_S_VSD_L_BU*Table7[[#This Row],[Ipeak (A) C]]*Fsw*10^3*30*10^-9, C_MOSFET_S_VSD_H_BO*Table7[[#This Row],[Ivalley (A) C]]*Fsw*10^3*40*10^-9+C_MOSFET_S_VSD_H_BO*Table7[[#This Row],[Ipeak (A) C]]*Fsw*10^3*30*10^-9)/10^-3</f>
        <v>#NAME?</v>
      </c>
      <c r="BS245" s="145" t="e">
        <f t="shared" ca="1" si="52"/>
        <v>#REF!</v>
      </c>
      <c r="BT245" s="145" t="e">
        <f>IF(VACnom&lt;Vbat, Table7[[#This Row],[Duty Cycle]]*Table7[[#This Row],[I_L RMS]]^2*C_MOSFET_S_RDSON_H_BU*10^-3, (1-Table7[[#This Row],[Duty Cycle]])*Table7[[#This Row],[I_L RMS]]^2*C_MOSFET_S_RDSON_H_BO*10^-3)/10^-3</f>
        <v>#NAME?</v>
      </c>
      <c r="BU245" s="145" t="e">
        <f ca="1">IF(VACnom&gt;Vbat, Table7[[#This Row],[PIV (mW) C]]+Table7[[#This Row],[PQoss (mW) C]]+Table7[[#This Row],[Pgate_top (mW) C]], Table7[[#This Row],[PRR (mW) C]]+Table7[[#This Row],[Pdead (mW) C]]+Table7[[#This Row],[Pgate_top (mW) C]])</f>
        <v>#NAME?</v>
      </c>
      <c r="BV245" s="145" t="e">
        <f ca="1">Table7[[#This Row],[Pcon_top (mW) C]]+Table7[[#This Row],[Psw_top (mW) C]]</f>
        <v>#NAME?</v>
      </c>
      <c r="BW245" s="145" t="e">
        <f ca="1">IF(VACnom&gt;Vbat, (1-Table7[[#This Row],[Duty Cycle]])*Table7[[#This Row],[I_L RMS]]^2*C_MOSFET_S_RDSON_L_BU*10^-3, Table7[[#This Row],[Duty Cycle]]*Table7[[#This Row],[I_L RMS]]^2*C_MOSFET_S_RDSON_L_BO*10^-3)/10^-3</f>
        <v>#NAME?</v>
      </c>
      <c r="BX245" s="145" t="e">
        <f ca="1">IF(VACnom&gt;Vbat, Table7[[#This Row],[PRR (mW) C]]+Table7[[#This Row],[Pdead (mW) C]]+Table7[[#This Row],[Pgate_bottom (mW) C]], Table7[[#This Row],[PIV (mW) C]]+Table7[[#This Row],[PQoss (mW) C]]+Table7[[#This Row],[Pgate_bottom (mW) C]])</f>
        <v>#NAME?</v>
      </c>
      <c r="BY245" s="145" t="e">
        <f ca="1">Table7[[#This Row],[Pcon_bottom (mW) C]]+Table7[[#This Row],[Psw_bottom (mV) C]]</f>
        <v>#NAME?</v>
      </c>
      <c r="BZ245" s="145" t="e">
        <f ca="1">Table7[[#This Row],[Pbottom (mW) C]]+Table7[[#This Row],[Ptop (mW) C]]</f>
        <v>#NAME?</v>
      </c>
      <c r="CA245" s="148"/>
      <c r="CB245" s="144">
        <f>(RAC_SNS*10^-3*(Table7[[#This Row],[IOUT (A)]]*Vbat/VACnom)^2/10^-3)</f>
        <v>566.35837586805542</v>
      </c>
      <c r="CC245" s="144">
        <f>(RBAT_SNS*10^-3*Table7[[#This Row],[IOUT (A)]]^2)/10^-3</f>
        <v>396.05000000000007</v>
      </c>
      <c r="CD245" s="144">
        <f>IF(VACnom&gt;Vbat,(L_DRC*10^-3*(Table7[[#This Row],[IOUT (A)]])^2/10^-3),(L_DRC*10^-3*(Table7[[#This Row],[IOUT (A)]]*Vbat/VACnom)^2/10^-3))</f>
        <v>385.12369559027769</v>
      </c>
      <c r="CE245" s="152"/>
      <c r="CF245" s="145">
        <f>(Table7[[#This Row],[R_AC (mW)]]+Table7[[#This Row],[R_SR (mW)]]+Table7[[#This Row],[Inductor Loss (mW)]])/10^3</f>
        <v>1.3475320714583332</v>
      </c>
      <c r="CG245" s="145" t="e">
        <f ca="1">Table7[[#This Row],[Total TI (mW)]]/10^3</f>
        <v>#NAME?</v>
      </c>
      <c r="CH245" s="145" t="e">
        <f ca="1">Table7[[#This Row],[Total Sense Loss]]+Table7[[#This Row],[Total MOSFET Loss]]</f>
        <v>#NAME?</v>
      </c>
      <c r="CI245" s="149" t="e">
        <f ca="1">IF(Table7[[#This Row],[POUT (W)]]=0,0,(Table7[[#This Row],[POUT (W)]])/(Table7[[#This Row],[POUT (W)]]+Table7[[#This Row],[Total Power Loss (W)]]))*100</f>
        <v>#NAME?</v>
      </c>
      <c r="CJ245" s="153"/>
      <c r="CK245" s="145">
        <f>(Table7[[#This Row],[R_AC (mW)]]+Table7[[#This Row],[R_SR (mW)]]+Table7[[#This Row],[Inductor Loss (mW)]])/10^3</f>
        <v>1.3475320714583332</v>
      </c>
      <c r="CL245" s="145" t="e">
        <f ca="1">Table7[[#This Row],[Total (mW) C]]/10^3</f>
        <v>#NAME?</v>
      </c>
      <c r="CM245" s="145" t="e">
        <f ca="1">Table7[[#This Row],[Total Sense Loss C]]+Table7[[#This Row],[Total MOSFET Loss C]]</f>
        <v>#NAME?</v>
      </c>
      <c r="CN245" s="149" t="e">
        <f ca="1">IF(Table7[[#This Row],[POUT (W)]]=0,0,(Table7[[#This Row],[POUT (W)]])/(Table7[[#This Row],[POUT (W)]]+Table7[[#This Row],[Total Power Loss (W) C]]))*100</f>
        <v>#NAME?</v>
      </c>
      <c r="CO245" s="153"/>
      <c r="CP245" s="149">
        <f>IF(MOSFET_S=Custom_MOSFET,Table7[[#This Row],[Total Sense Loss C]],Table7[[#This Row],[Total Sense Loss]])</f>
        <v>1.3475320714583332</v>
      </c>
      <c r="CQ245" s="149" t="e">
        <f ca="1">IF(MOSFET_S=Custom_MOSFET,Table7[[#This Row],[Total MOSFET Loss C]],Table7[[#This Row],[Total MOSFET Loss]])</f>
        <v>#NAME?</v>
      </c>
      <c r="CR245" s="149" t="e">
        <f ca="1">IF(MOSFET_S=Custom_MOSFET,Table7[[#This Row],[Efficiency C]],Table7[[#This Row],[Efficiency]])</f>
        <v>#NAME?</v>
      </c>
      <c r="CS245" s="153"/>
      <c r="CT245" s="149">
        <f>IF(MOSFET_S=Compare_MOSFET, Table7[[#This Row],[Total Sense Loss C]], -100)</f>
        <v>-100</v>
      </c>
      <c r="CU245" s="149">
        <f>IF(MOSFET_S=Compare_MOSFET, Table7[[#This Row],[Total MOSFET Loss C]], -100)</f>
        <v>-100</v>
      </c>
      <c r="CV245" s="149">
        <f>IF(MOSFET_S=Compare_MOSFET, Table7[[#This Row],[Efficiency C]], -100)</f>
        <v>-100</v>
      </c>
      <c r="CW245" s="153"/>
      <c r="CX245" s="149">
        <f ca="1">IF(Save_Sel=CLR_Save,  Table7[[#This Row],[Total Sense Loss P1]], Table7[[#This Row],[Total Sense Loss P1 Saved]])</f>
        <v>1.1299801562500003</v>
      </c>
      <c r="CY245" s="149">
        <f ca="1">IF(Save_Sel=CLR_Save,  Table7[[#This Row],[Total MOSFET Loss P1]], Table7[[#This Row],[Total MOSFET Loss P1 Saved]] )</f>
        <v>2.2903838346636358</v>
      </c>
      <c r="CZ245" s="149">
        <f ca="1">IF(Save_Sel=CLR_Save, Table7[[#This Row],[Efficiency P1]], Table7[[#This Row],[Efficiency P1 Saved]])</f>
        <v>93.980390566557091</v>
      </c>
      <c r="DA245" s="153"/>
      <c r="DB245" s="149">
        <f ca="1">IF(Save_Sel=CLR_Save,  Table7[[#This Row],[Total Sense Loss P2]], Table7[[#This Row],[Total Sense Loss P2 Saved]])</f>
        <v>1.1299801562500003</v>
      </c>
      <c r="DC245" s="149">
        <f ca="1">IF(Save_Sel=CLR_Save,  Table7[[#This Row],[Total MOSFET Loss P2]], Table7[[#This Row],[Total MOSFET Loss P2 Saved]] )</f>
        <v>1.6200446587009687</v>
      </c>
      <c r="DD245" s="149">
        <f ca="1">IF(Save_Sel=CLR_Save, Table7[[#This Row],[Efficiency P2]], Table7[[#This Row],[Efficiency P2 Saved]])</f>
        <v>95.102362244693566</v>
      </c>
      <c r="DE245" s="153"/>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row>
    <row r="246" spans="1:165" x14ac:dyDescent="0.2">
      <c r="A246" s="67"/>
      <c r="B246" s="67"/>
      <c r="C246" s="67"/>
      <c r="D246" s="67"/>
      <c r="E246" s="67"/>
      <c r="F246" s="67"/>
      <c r="G246" s="67"/>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43">
        <f t="shared" si="54"/>
        <v>90</v>
      </c>
      <c r="AG246" s="143">
        <f t="shared" si="53"/>
        <v>9</v>
      </c>
      <c r="AH246" s="144">
        <f t="shared" si="42"/>
        <v>216</v>
      </c>
      <c r="AI246" s="145">
        <f t="shared" si="43"/>
        <v>0.16376306620209058</v>
      </c>
      <c r="AJ246" s="145">
        <f t="shared" si="44"/>
        <v>10.762499999999999</v>
      </c>
      <c r="AK246" s="145" t="e">
        <f t="shared" si="40"/>
        <v>#NAME?</v>
      </c>
      <c r="AL246" s="145" t="e">
        <f t="shared" si="41"/>
        <v>#NAME?</v>
      </c>
      <c r="AM246" s="146"/>
      <c r="AN246" s="145" t="e">
        <f>MAX(0,Table7[[#This Row],[I_L]]-0.5*Table7[[#This Row],[I_L pkpk]])</f>
        <v>#NAME?</v>
      </c>
      <c r="AO246" s="145" t="e">
        <f>Table7[[#This Row],[I_L]]+0.5*Table7[[#This Row],[I_L pkpk]]</f>
        <v>#NAME?</v>
      </c>
      <c r="AP246" s="145" t="e">
        <f ca="1">IF(VACnom&gt;Vbat, (VGS_S-(TI_MOSFET_S_VTH_H_BU+Table7[[#This Row],[I_L]]/TI_MOSFET_S_gFS_H_BU))/3.4, (VGS_S-(TI_MOSFET_S_VTH_L_BO+Table7[[#This Row],[I_L]]/TI_MOSFET_S_gFS_L_BO))/3.4 )</f>
        <v>#REF!</v>
      </c>
      <c r="AQ246" s="145" t="e">
        <f ca="1">IF(VACnom&gt;Vbat, ((TI_MOSFET_S_VTH_H_BU+Table7[[#This Row],[I_L]]/TI_MOSFET_S_gFS_H_BU))/1, ((TI_MOSFET_S_VTH_L_BO+Table7[[#This Row],[I_L]]/TI_MOSFET_S_gFS_L_BO))/1 )</f>
        <v>#REF!</v>
      </c>
      <c r="AR246" s="145" t="e">
        <f ca="1">IF(VACnom&gt;Vbat, (TI_MOSFET_S_QGD_H_BU+TI_MOSFET_S_QGS_H_BU)*10^-9/Table7[[#This Row],[Ion (A)]], (TI_MOSFET_S_QGD_L_BO+TI_MOSFET_S_QGS_L_BO)*10^-9/Table7[[#This Row],[Ion (A)]])/10^-9</f>
        <v>#REF!</v>
      </c>
      <c r="AS246" s="145" t="e">
        <f ca="1">IF(VACnom&gt;Vbat, (TI_MOSFET_S_QGD_H_BU+TI_MOSFET_S_QGS_H_BU)*10^-9/Table7[[#This Row],[Ioff (A)]], (TI_MOSFET_S_QGD_L_BO+TI_MOSFET_S_QGS_L_BO)*10^-9/Table7[[#This Row],[Ioff (A)]])/10^-9</f>
        <v>#REF!</v>
      </c>
      <c r="AT246" s="145" t="e">
        <f ca="1" xml:space="preserve"> 0.5*VACnom*Table7[[#This Row],[Ivalley (A)]]*Table7[[#This Row],[ton (ns)]]*10^-9*Fsw*10^3+0.5*VACnom*Table7[[#This Row],[Ipeak (A)]]*Table7[[#This Row],[toff (ns)]]*10^-9*Fsw*10^3/10^-3</f>
        <v>#NAME?</v>
      </c>
      <c r="AU246" s="145" t="e">
        <f t="shared" ca="1" si="45"/>
        <v>#REF!</v>
      </c>
      <c r="AV246" s="145" t="e">
        <f t="shared" ca="1" si="46"/>
        <v>#REF!</v>
      </c>
      <c r="AW246" s="145" t="e">
        <f t="shared" ca="1" si="47"/>
        <v>#REF!</v>
      </c>
      <c r="AX246" s="145" t="e">
        <f ca="1">IF(VACnom&gt;Vbat, TI_MOSFET_S_VSD_L_BU*Table7[[#This Row],[Ivalley (A)]]*Fsw*10^3*40*10^-9+TI_MOSFET_S_VSD_L_BU*Table7[[#This Row],[Ipeak (A)]]*Fsw*10^3*30*10^-9, TI_MOSFET_S_VSD_H_BO*Table7[[#This Row],[Ivalley (A)]]*Fsw*10^3*40*10^-9+TI_MOSFET_S_VSD_H_BO*Table7[[#This Row],[Ipeak (A)]]*Fsw*10^3*30*10^-9)/10^-3</f>
        <v>#REF!</v>
      </c>
      <c r="AY246" s="145" t="e">
        <f t="shared" ca="1" si="48"/>
        <v>#REF!</v>
      </c>
      <c r="AZ246" s="145" t="e">
        <f ca="1">IF(VACnom&lt;Vbat, Table7[[#This Row],[Duty Cycle]]*Table7[[#This Row],[I_L RMS]]^2*TI_MOSFET_S_RDSON_H_BU*10^-3, (1-Table7[[#This Row],[Duty Cycle]])*Table7[[#This Row],[I_L RMS]]^2*TI_MOSFET_S_RDSON_H_BO*10^-3)/10^-3</f>
        <v>#NAME?</v>
      </c>
      <c r="BA246" s="145" t="e">
        <f ca="1">IF(VACnom&gt;Vbat, Table7[[#This Row],[PIV (mW)]]+Table7[[#This Row],[Pqoss (mW)]]+Table7[[#This Row],[Pgate_top (mW)]], Table7[[#This Row],[PRR (mW)]]+Table7[[#This Row],[Pdead (mW)]]+Table7[[#This Row],[Pgate_top (mW)]])</f>
        <v>#REF!</v>
      </c>
      <c r="BB246" s="145" t="e">
        <f ca="1">Table7[[#This Row],[Pcon_top (mW)]]+Table7[[#This Row],[Psw_top (mW)]]</f>
        <v>#NAME?</v>
      </c>
      <c r="BC246" s="145" t="e">
        <f ca="1">IF(VACnom&gt;Vbat, (1-Table7[[#This Row],[Duty Cycle]])*Table7[[#This Row],[I_L RMS]]^2*TI_MOSFET_S_RDSON_L_BU*10^-3, Table7[[#This Row],[Duty Cycle]]*Table7[[#This Row],[I_L RMS]]^2*TI_MOSFET_S_RDSON_L_BO*10^-3)/10^-3</f>
        <v>#NAME?</v>
      </c>
      <c r="BD246" s="145" t="e">
        <f ca="1">IF(VACnom&gt;Vbat, Table7[[#This Row],[PRR (mW)]]+Table7[[#This Row],[Pdead (mW)]]+Table7[[#This Row],[Pgate_bottom (mW)]], Table7[[#This Row],[PIV (mW)]]+Table7[[#This Row],[Pqoss (mW)]]+Table7[[#This Row],[Pgate_bottom (mW)]])</f>
        <v>#NAME?</v>
      </c>
      <c r="BE246" s="147" t="e">
        <f ca="1">Table7[[#This Row],[Pcon_bottom (mW)]]+Table7[[#This Row],[Psw_bottom (mW)]]</f>
        <v>#NAME?</v>
      </c>
      <c r="BF246" s="145" t="e">
        <f ca="1">Table7[[#This Row],[Pbottom (mW)]]+Table7[[#This Row],[Ptop (mW)]]</f>
        <v>#NAME?</v>
      </c>
      <c r="BG246" s="142"/>
      <c r="BH246" s="145" t="e">
        <f>MAX(0,Table7[[#This Row],[I_L]]-0.5*Table7[[#This Row],[I_L pkpk]])</f>
        <v>#NAME?</v>
      </c>
      <c r="BI246" s="145" t="e">
        <f>Table7[[#This Row],[I_L]]+0.5*Table7[[#This Row],[I_L pkpk]]</f>
        <v>#NAME?</v>
      </c>
      <c r="BJ246" s="145">
        <f>IF(VACnom&gt;Vbat, (VGS_S-(C_MOSFET_S_VTH_H_BU+Table7[[#This Row],[I_L]]/C_MOSFET_S_gFS_H_BU))/3.4, (VGS_S-(C_MOSFET_S_VTH_L_BO+Table7[[#This Row],[I_L]]/C_MOSFET_S_gFS_L_BO))/3.4 )</f>
        <v>2.3318382352941178</v>
      </c>
      <c r="BK246" s="145">
        <f>IF(VACnom&gt;Vbat, ((C_MOSFET_S_VTH_H_BU+Table7[[#This Row],[I_L]]/C_MOSFET_S_gFS_H_BU))/1, ((C_MOSFET_S_VTH_L_BO+Table7[[#This Row],[I_L]]/C_MOSFET_S_gFS_L_BO))/1 )</f>
        <v>2.0717500000000002</v>
      </c>
      <c r="BL246" s="145">
        <f>IF(VACnom&gt;Vbat, (C_MOSFET_S_QGD_H_BU+C_MOSFET_S_QGS_H_BU)*10^-9/Table7[[#This Row],[Ion (A) C]], (C_MOSFET_S_QGD_L_BO+C_MOSFET_S_QGS_L_BO)*10^-9/Table7[[#This Row],[Ion (A) C]])/10^-9</f>
        <v>2.7875003941601233</v>
      </c>
      <c r="BM246" s="145">
        <f>IF(VACnom&gt;Vbat, (C_MOSFET_S_QGD_H_BU+C_MOSFET_S_QGS_H_BU)*10^-9/Table7[[#This Row],[Ioff (A) C]], (C_MOSFET_S_QGD_L_BO+C_MOSFET_S_QGS_L_BO)*10^-9/Table7[[#This Row],[Ioff (A) C]])/10^-9</f>
        <v>3.1374441896947021</v>
      </c>
      <c r="BN246" s="145" t="e">
        <f xml:space="preserve"> 0.5*VACnom*Table7[[#This Row],[Ivalley (A) C]]*Table7[[#This Row],[ton (ns) C]]*10^-9*Fsw*10^3+0.5*VACnom*Table7[[#This Row],[Ipeak (A) C]]*Table7[[#This Row],[toff (ns) C]]*10^-9*Fsw*10^3/10^-3</f>
        <v>#NAME?</v>
      </c>
      <c r="BO246" s="145">
        <f t="shared" si="49"/>
        <v>259.2</v>
      </c>
      <c r="BP246" s="145" t="e">
        <f t="shared" ca="1" si="50"/>
        <v>#REF!</v>
      </c>
      <c r="BQ246" s="145">
        <f t="shared" si="51"/>
        <v>475.2</v>
      </c>
      <c r="BR246" s="145" t="e">
        <f>IF(VACnom&gt;Vbat, C_MOSFET_S_VSD_L_BU*Table7[[#This Row],[Ivalley (A) C]]*Fsw*10^3*40*10^-9+C_MOSFET_S_VSD_L_BU*Table7[[#This Row],[Ipeak (A) C]]*Fsw*10^3*30*10^-9, C_MOSFET_S_VSD_H_BO*Table7[[#This Row],[Ivalley (A) C]]*Fsw*10^3*40*10^-9+C_MOSFET_S_VSD_H_BO*Table7[[#This Row],[Ipeak (A) C]]*Fsw*10^3*30*10^-9)/10^-3</f>
        <v>#NAME?</v>
      </c>
      <c r="BS246" s="145" t="e">
        <f t="shared" ca="1" si="52"/>
        <v>#REF!</v>
      </c>
      <c r="BT246" s="145" t="e">
        <f>IF(VACnom&lt;Vbat, Table7[[#This Row],[Duty Cycle]]*Table7[[#This Row],[I_L RMS]]^2*C_MOSFET_S_RDSON_H_BU*10^-3, (1-Table7[[#This Row],[Duty Cycle]])*Table7[[#This Row],[I_L RMS]]^2*C_MOSFET_S_RDSON_H_BO*10^-3)/10^-3</f>
        <v>#NAME?</v>
      </c>
      <c r="BU246" s="145" t="e">
        <f ca="1">IF(VACnom&gt;Vbat, Table7[[#This Row],[PIV (mW) C]]+Table7[[#This Row],[PQoss (mW) C]]+Table7[[#This Row],[Pgate_top (mW) C]], Table7[[#This Row],[PRR (mW) C]]+Table7[[#This Row],[Pdead (mW) C]]+Table7[[#This Row],[Pgate_top (mW) C]])</f>
        <v>#NAME?</v>
      </c>
      <c r="BV246" s="145" t="e">
        <f ca="1">Table7[[#This Row],[Pcon_top (mW) C]]+Table7[[#This Row],[Psw_top (mW) C]]</f>
        <v>#NAME?</v>
      </c>
      <c r="BW246" s="145" t="e">
        <f ca="1">IF(VACnom&gt;Vbat, (1-Table7[[#This Row],[Duty Cycle]])*Table7[[#This Row],[I_L RMS]]^2*C_MOSFET_S_RDSON_L_BU*10^-3, Table7[[#This Row],[Duty Cycle]]*Table7[[#This Row],[I_L RMS]]^2*C_MOSFET_S_RDSON_L_BO*10^-3)/10^-3</f>
        <v>#NAME?</v>
      </c>
      <c r="BX246" s="145" t="e">
        <f ca="1">IF(VACnom&gt;Vbat, Table7[[#This Row],[PRR (mW) C]]+Table7[[#This Row],[Pdead (mW) C]]+Table7[[#This Row],[Pgate_bottom (mW) C]], Table7[[#This Row],[PIV (mW) C]]+Table7[[#This Row],[PQoss (mW) C]]+Table7[[#This Row],[Pgate_bottom (mW) C]])</f>
        <v>#NAME?</v>
      </c>
      <c r="BY246" s="145" t="e">
        <f ca="1">Table7[[#This Row],[Pcon_bottom (mW) C]]+Table7[[#This Row],[Psw_bottom (mV) C]]</f>
        <v>#NAME?</v>
      </c>
      <c r="BZ246" s="145" t="e">
        <f ca="1">Table7[[#This Row],[Pbottom (mW) C]]+Table7[[#This Row],[Ptop (mW) C]]</f>
        <v>#NAME?</v>
      </c>
      <c r="CA246" s="148"/>
      <c r="CB246" s="144">
        <f>(RAC_SNS*10^-3*(Table7[[#This Row],[IOUT (A)]]*Vbat/VACnom)^2/10^-3)</f>
        <v>579.15703125000016</v>
      </c>
      <c r="CC246" s="144">
        <f>(RBAT_SNS*10^-3*Table7[[#This Row],[IOUT (A)]]^2)/10^-3</f>
        <v>405</v>
      </c>
      <c r="CD246" s="144">
        <f>IF(VACnom&gt;Vbat,(L_DRC*10^-3*(Table7[[#This Row],[IOUT (A)]])^2/10^-3),(L_DRC*10^-3*(Table7[[#This Row],[IOUT (A)]]*Vbat/VACnom)^2/10^-3))</f>
        <v>393.82678125000007</v>
      </c>
      <c r="CE246" s="152"/>
      <c r="CF246" s="145">
        <f>(Table7[[#This Row],[R_AC (mW)]]+Table7[[#This Row],[R_SR (mW)]]+Table7[[#This Row],[Inductor Loss (mW)]])/10^3</f>
        <v>1.3779838125000001</v>
      </c>
      <c r="CG246" s="145" t="e">
        <f ca="1">Table7[[#This Row],[Total TI (mW)]]/10^3</f>
        <v>#NAME?</v>
      </c>
      <c r="CH246" s="145" t="e">
        <f ca="1">Table7[[#This Row],[Total Sense Loss]]+Table7[[#This Row],[Total MOSFET Loss]]</f>
        <v>#NAME?</v>
      </c>
      <c r="CI246" s="149" t="e">
        <f ca="1">IF(Table7[[#This Row],[POUT (W)]]=0,0,(Table7[[#This Row],[POUT (W)]])/(Table7[[#This Row],[POUT (W)]]+Table7[[#This Row],[Total Power Loss (W)]]))*100</f>
        <v>#NAME?</v>
      </c>
      <c r="CJ246" s="153"/>
      <c r="CK246" s="145">
        <f>(Table7[[#This Row],[R_AC (mW)]]+Table7[[#This Row],[R_SR (mW)]]+Table7[[#This Row],[Inductor Loss (mW)]])/10^3</f>
        <v>1.3779838125000001</v>
      </c>
      <c r="CL246" s="145" t="e">
        <f ca="1">Table7[[#This Row],[Total (mW) C]]/10^3</f>
        <v>#NAME?</v>
      </c>
      <c r="CM246" s="145" t="e">
        <f ca="1">Table7[[#This Row],[Total Sense Loss C]]+Table7[[#This Row],[Total MOSFET Loss C]]</f>
        <v>#NAME?</v>
      </c>
      <c r="CN246" s="149" t="e">
        <f ca="1">IF(Table7[[#This Row],[POUT (W)]]=0,0,(Table7[[#This Row],[POUT (W)]])/(Table7[[#This Row],[POUT (W)]]+Table7[[#This Row],[Total Power Loss (W) C]]))*100</f>
        <v>#NAME?</v>
      </c>
      <c r="CO246" s="153"/>
      <c r="CP246" s="149">
        <f>IF(MOSFET_S=Custom_MOSFET,Table7[[#This Row],[Total Sense Loss C]],Table7[[#This Row],[Total Sense Loss]])</f>
        <v>1.3779838125000001</v>
      </c>
      <c r="CQ246" s="149" t="e">
        <f ca="1">IF(MOSFET_S=Custom_MOSFET,Table7[[#This Row],[Total MOSFET Loss C]],Table7[[#This Row],[Total MOSFET Loss]])</f>
        <v>#NAME?</v>
      </c>
      <c r="CR246" s="149" t="e">
        <f ca="1">IF(MOSFET_S=Custom_MOSFET,Table7[[#This Row],[Efficiency C]],Table7[[#This Row],[Efficiency]])</f>
        <v>#NAME?</v>
      </c>
      <c r="CS246" s="153"/>
      <c r="CT246" s="149">
        <f>IF(MOSFET_S=Compare_MOSFET, Table7[[#This Row],[Total Sense Loss C]], -100)</f>
        <v>-100</v>
      </c>
      <c r="CU246" s="149">
        <f>IF(MOSFET_S=Compare_MOSFET, Table7[[#This Row],[Total MOSFET Loss C]], -100)</f>
        <v>-100</v>
      </c>
      <c r="CV246" s="149">
        <f>IF(MOSFET_S=Compare_MOSFET, Table7[[#This Row],[Efficiency C]], -100)</f>
        <v>-100</v>
      </c>
      <c r="CW246" s="153"/>
      <c r="CX246" s="149">
        <f ca="1">IF(Save_Sel=CLR_Save,  Table7[[#This Row],[Total Sense Loss P1]], Table7[[#This Row],[Total Sense Loss P1 Saved]])</f>
        <v>1.155515625</v>
      </c>
      <c r="CY246" s="149">
        <f ca="1">IF(Save_Sel=CLR_Save,  Table7[[#This Row],[Total MOSFET Loss P1]], Table7[[#This Row],[Total MOSFET Loss P1 Saved]] )</f>
        <v>2.3020472780829397</v>
      </c>
      <c r="CZ246" s="149">
        <f ca="1">IF(Save_Sel=CLR_Save, Table7[[#This Row],[Efficiency P1]], Table7[[#This Row],[Efficiency P1 Saved]])</f>
        <v>93.982405921192637</v>
      </c>
      <c r="DA246" s="153"/>
      <c r="DB246" s="149">
        <f ca="1">IF(Save_Sel=CLR_Save,  Table7[[#This Row],[Total Sense Loss P2]], Table7[[#This Row],[Total Sense Loss P2 Saved]])</f>
        <v>1.155515625</v>
      </c>
      <c r="DC246" s="149">
        <f ca="1">IF(Save_Sel=CLR_Save,  Table7[[#This Row],[Total MOSFET Loss P2]], Table7[[#This Row],[Total MOSFET Loss P2 Saved]] )</f>
        <v>1.6310947215953966</v>
      </c>
      <c r="DD246" s="149">
        <f ca="1">IF(Save_Sel=CLR_Save, Table7[[#This Row],[Efficiency P2]], Table7[[#This Row],[Efficiency P2 Saved]])</f>
        <v>95.092839087264764</v>
      </c>
      <c r="DE246" s="153"/>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row>
    <row r="247" spans="1:165" x14ac:dyDescent="0.2">
      <c r="A247" s="67"/>
      <c r="B247" s="67"/>
      <c r="C247" s="67"/>
      <c r="D247" s="67"/>
      <c r="E247" s="67"/>
      <c r="F247" s="67"/>
      <c r="G247" s="67"/>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43">
        <f t="shared" si="54"/>
        <v>91</v>
      </c>
      <c r="AG247" s="143">
        <f t="shared" si="53"/>
        <v>9.1</v>
      </c>
      <c r="AH247" s="144">
        <f t="shared" si="42"/>
        <v>218.39999999999998</v>
      </c>
      <c r="AI247" s="145">
        <f t="shared" si="43"/>
        <v>0.16376306620209058</v>
      </c>
      <c r="AJ247" s="145">
        <f t="shared" si="44"/>
        <v>10.882083333333332</v>
      </c>
      <c r="AK247" s="145" t="e">
        <f t="shared" si="40"/>
        <v>#NAME?</v>
      </c>
      <c r="AL247" s="145" t="e">
        <f t="shared" si="41"/>
        <v>#NAME?</v>
      </c>
      <c r="AM247" s="146"/>
      <c r="AN247" s="145" t="e">
        <f>MAX(0,Table7[[#This Row],[I_L]]-0.5*Table7[[#This Row],[I_L pkpk]])</f>
        <v>#NAME?</v>
      </c>
      <c r="AO247" s="145" t="e">
        <f>Table7[[#This Row],[I_L]]+0.5*Table7[[#This Row],[I_L pkpk]]</f>
        <v>#NAME?</v>
      </c>
      <c r="AP247" s="145" t="e">
        <f ca="1">IF(VACnom&gt;Vbat, (VGS_S-(TI_MOSFET_S_VTH_H_BU+Table7[[#This Row],[I_L]]/TI_MOSFET_S_gFS_H_BU))/3.4, (VGS_S-(TI_MOSFET_S_VTH_L_BO+Table7[[#This Row],[I_L]]/TI_MOSFET_S_gFS_L_BO))/3.4 )</f>
        <v>#REF!</v>
      </c>
      <c r="AQ247" s="145" t="e">
        <f ca="1">IF(VACnom&gt;Vbat, ((TI_MOSFET_S_VTH_H_BU+Table7[[#This Row],[I_L]]/TI_MOSFET_S_gFS_H_BU))/1, ((TI_MOSFET_S_VTH_L_BO+Table7[[#This Row],[I_L]]/TI_MOSFET_S_gFS_L_BO))/1 )</f>
        <v>#REF!</v>
      </c>
      <c r="AR247" s="145" t="e">
        <f ca="1">IF(VACnom&gt;Vbat, (TI_MOSFET_S_QGD_H_BU+TI_MOSFET_S_QGS_H_BU)*10^-9/Table7[[#This Row],[Ion (A)]], (TI_MOSFET_S_QGD_L_BO+TI_MOSFET_S_QGS_L_BO)*10^-9/Table7[[#This Row],[Ion (A)]])/10^-9</f>
        <v>#REF!</v>
      </c>
      <c r="AS247" s="145" t="e">
        <f ca="1">IF(VACnom&gt;Vbat, (TI_MOSFET_S_QGD_H_BU+TI_MOSFET_S_QGS_H_BU)*10^-9/Table7[[#This Row],[Ioff (A)]], (TI_MOSFET_S_QGD_L_BO+TI_MOSFET_S_QGS_L_BO)*10^-9/Table7[[#This Row],[Ioff (A)]])/10^-9</f>
        <v>#REF!</v>
      </c>
      <c r="AT247" s="145" t="e">
        <f ca="1" xml:space="preserve"> 0.5*VACnom*Table7[[#This Row],[Ivalley (A)]]*Table7[[#This Row],[ton (ns)]]*10^-9*Fsw*10^3+0.5*VACnom*Table7[[#This Row],[Ipeak (A)]]*Table7[[#This Row],[toff (ns)]]*10^-9*Fsw*10^3/10^-3</f>
        <v>#NAME?</v>
      </c>
      <c r="AU247" s="145" t="e">
        <f t="shared" ca="1" si="45"/>
        <v>#REF!</v>
      </c>
      <c r="AV247" s="145" t="e">
        <f t="shared" ca="1" si="46"/>
        <v>#REF!</v>
      </c>
      <c r="AW247" s="145" t="e">
        <f t="shared" ca="1" si="47"/>
        <v>#REF!</v>
      </c>
      <c r="AX247" s="145" t="e">
        <f ca="1">IF(VACnom&gt;Vbat, TI_MOSFET_S_VSD_L_BU*Table7[[#This Row],[Ivalley (A)]]*Fsw*10^3*40*10^-9+TI_MOSFET_S_VSD_L_BU*Table7[[#This Row],[Ipeak (A)]]*Fsw*10^3*30*10^-9, TI_MOSFET_S_VSD_H_BO*Table7[[#This Row],[Ivalley (A)]]*Fsw*10^3*40*10^-9+TI_MOSFET_S_VSD_H_BO*Table7[[#This Row],[Ipeak (A)]]*Fsw*10^3*30*10^-9)/10^-3</f>
        <v>#REF!</v>
      </c>
      <c r="AY247" s="145" t="e">
        <f t="shared" ca="1" si="48"/>
        <v>#REF!</v>
      </c>
      <c r="AZ247" s="145" t="e">
        <f ca="1">IF(VACnom&lt;Vbat, Table7[[#This Row],[Duty Cycle]]*Table7[[#This Row],[I_L RMS]]^2*TI_MOSFET_S_RDSON_H_BU*10^-3, (1-Table7[[#This Row],[Duty Cycle]])*Table7[[#This Row],[I_L RMS]]^2*TI_MOSFET_S_RDSON_H_BO*10^-3)/10^-3</f>
        <v>#NAME?</v>
      </c>
      <c r="BA247" s="145" t="e">
        <f ca="1">IF(VACnom&gt;Vbat, Table7[[#This Row],[PIV (mW)]]+Table7[[#This Row],[Pqoss (mW)]]+Table7[[#This Row],[Pgate_top (mW)]], Table7[[#This Row],[PRR (mW)]]+Table7[[#This Row],[Pdead (mW)]]+Table7[[#This Row],[Pgate_top (mW)]])</f>
        <v>#REF!</v>
      </c>
      <c r="BB247" s="145" t="e">
        <f ca="1">Table7[[#This Row],[Pcon_top (mW)]]+Table7[[#This Row],[Psw_top (mW)]]</f>
        <v>#NAME?</v>
      </c>
      <c r="BC247" s="145" t="e">
        <f ca="1">IF(VACnom&gt;Vbat, (1-Table7[[#This Row],[Duty Cycle]])*Table7[[#This Row],[I_L RMS]]^2*TI_MOSFET_S_RDSON_L_BU*10^-3, Table7[[#This Row],[Duty Cycle]]*Table7[[#This Row],[I_L RMS]]^2*TI_MOSFET_S_RDSON_L_BO*10^-3)/10^-3</f>
        <v>#NAME?</v>
      </c>
      <c r="BD247" s="145" t="e">
        <f ca="1">IF(VACnom&gt;Vbat, Table7[[#This Row],[PRR (mW)]]+Table7[[#This Row],[Pdead (mW)]]+Table7[[#This Row],[Pgate_bottom (mW)]], Table7[[#This Row],[PIV (mW)]]+Table7[[#This Row],[Pqoss (mW)]]+Table7[[#This Row],[Pgate_bottom (mW)]])</f>
        <v>#NAME?</v>
      </c>
      <c r="BE247" s="147" t="e">
        <f ca="1">Table7[[#This Row],[Pcon_bottom (mW)]]+Table7[[#This Row],[Psw_bottom (mW)]]</f>
        <v>#NAME?</v>
      </c>
      <c r="BF247" s="145" t="e">
        <f ca="1">Table7[[#This Row],[Pbottom (mW)]]+Table7[[#This Row],[Ptop (mW)]]</f>
        <v>#NAME?</v>
      </c>
      <c r="BG247" s="142"/>
      <c r="BH247" s="145" t="e">
        <f>MAX(0,Table7[[#This Row],[I_L]]-0.5*Table7[[#This Row],[I_L pkpk]])</f>
        <v>#NAME?</v>
      </c>
      <c r="BI247" s="145" t="e">
        <f>Table7[[#This Row],[I_L]]+0.5*Table7[[#This Row],[I_L pkpk]]</f>
        <v>#NAME?</v>
      </c>
      <c r="BJ247" s="145">
        <f>IF(VACnom&gt;Vbat, (VGS_S-(C_MOSFET_S_VTH_H_BU+Table7[[#This Row],[I_L]]/C_MOSFET_S_gFS_H_BU))/3.4, (VGS_S-(C_MOSFET_S_VTH_L_BO+Table7[[#This Row],[I_L]]/C_MOSFET_S_gFS_L_BO))/3.4 )</f>
        <v>2.3316037581699347</v>
      </c>
      <c r="BK247" s="145">
        <f>IF(VACnom&gt;Vbat, ((C_MOSFET_S_VTH_H_BU+Table7[[#This Row],[I_L]]/C_MOSFET_S_gFS_H_BU))/1, ((C_MOSFET_S_VTH_L_BO+Table7[[#This Row],[I_L]]/C_MOSFET_S_gFS_L_BO))/1 )</f>
        <v>2.0725472222222221</v>
      </c>
      <c r="BL247" s="145">
        <f>IF(VACnom&gt;Vbat, (C_MOSFET_S_QGD_H_BU+C_MOSFET_S_QGS_H_BU)*10^-9/Table7[[#This Row],[Ion (A) C]], (C_MOSFET_S_QGD_L_BO+C_MOSFET_S_QGS_L_BO)*10^-9/Table7[[#This Row],[Ion (A) C]])/10^-9</f>
        <v>2.7877807184106707</v>
      </c>
      <c r="BM247" s="145">
        <f>IF(VACnom&gt;Vbat, (C_MOSFET_S_QGD_H_BU+C_MOSFET_S_QGS_H_BU)*10^-9/Table7[[#This Row],[Ioff (A) C]], (C_MOSFET_S_QGD_L_BO+C_MOSFET_S_QGS_L_BO)*10^-9/Table7[[#This Row],[Ioff (A) C]])/10^-9</f>
        <v>3.1362373461534854</v>
      </c>
      <c r="BN247" s="145" t="e">
        <f xml:space="preserve"> 0.5*VACnom*Table7[[#This Row],[Ivalley (A) C]]*Table7[[#This Row],[ton (ns) C]]*10^-9*Fsw*10^3+0.5*VACnom*Table7[[#This Row],[Ipeak (A) C]]*Table7[[#This Row],[toff (ns) C]]*10^-9*Fsw*10^3/10^-3</f>
        <v>#NAME?</v>
      </c>
      <c r="BO247" s="145">
        <f t="shared" si="49"/>
        <v>259.2</v>
      </c>
      <c r="BP247" s="145" t="e">
        <f t="shared" ca="1" si="50"/>
        <v>#REF!</v>
      </c>
      <c r="BQ247" s="145">
        <f t="shared" si="51"/>
        <v>475.2</v>
      </c>
      <c r="BR247" s="145" t="e">
        <f>IF(VACnom&gt;Vbat, C_MOSFET_S_VSD_L_BU*Table7[[#This Row],[Ivalley (A) C]]*Fsw*10^3*40*10^-9+C_MOSFET_S_VSD_L_BU*Table7[[#This Row],[Ipeak (A) C]]*Fsw*10^3*30*10^-9, C_MOSFET_S_VSD_H_BO*Table7[[#This Row],[Ivalley (A) C]]*Fsw*10^3*40*10^-9+C_MOSFET_S_VSD_H_BO*Table7[[#This Row],[Ipeak (A) C]]*Fsw*10^3*30*10^-9)/10^-3</f>
        <v>#NAME?</v>
      </c>
      <c r="BS247" s="145" t="e">
        <f t="shared" ca="1" si="52"/>
        <v>#REF!</v>
      </c>
      <c r="BT247" s="145" t="e">
        <f>IF(VACnom&lt;Vbat, Table7[[#This Row],[Duty Cycle]]*Table7[[#This Row],[I_L RMS]]^2*C_MOSFET_S_RDSON_H_BU*10^-3, (1-Table7[[#This Row],[Duty Cycle]])*Table7[[#This Row],[I_L RMS]]^2*C_MOSFET_S_RDSON_H_BO*10^-3)/10^-3</f>
        <v>#NAME?</v>
      </c>
      <c r="BU247" s="145" t="e">
        <f ca="1">IF(VACnom&gt;Vbat, Table7[[#This Row],[PIV (mW) C]]+Table7[[#This Row],[PQoss (mW) C]]+Table7[[#This Row],[Pgate_top (mW) C]], Table7[[#This Row],[PRR (mW) C]]+Table7[[#This Row],[Pdead (mW) C]]+Table7[[#This Row],[Pgate_top (mW) C]])</f>
        <v>#NAME?</v>
      </c>
      <c r="BV247" s="145" t="e">
        <f ca="1">Table7[[#This Row],[Pcon_top (mW) C]]+Table7[[#This Row],[Psw_top (mW) C]]</f>
        <v>#NAME?</v>
      </c>
      <c r="BW247" s="145" t="e">
        <f ca="1">IF(VACnom&gt;Vbat, (1-Table7[[#This Row],[Duty Cycle]])*Table7[[#This Row],[I_L RMS]]^2*C_MOSFET_S_RDSON_L_BU*10^-3, Table7[[#This Row],[Duty Cycle]]*Table7[[#This Row],[I_L RMS]]^2*C_MOSFET_S_RDSON_L_BO*10^-3)/10^-3</f>
        <v>#NAME?</v>
      </c>
      <c r="BX247" s="145" t="e">
        <f ca="1">IF(VACnom&gt;Vbat, Table7[[#This Row],[PRR (mW) C]]+Table7[[#This Row],[Pdead (mW) C]]+Table7[[#This Row],[Pgate_bottom (mW) C]], Table7[[#This Row],[PIV (mW) C]]+Table7[[#This Row],[PQoss (mW) C]]+Table7[[#This Row],[Pgate_bottom (mW) C]])</f>
        <v>#NAME?</v>
      </c>
      <c r="BY247" s="145" t="e">
        <f ca="1">Table7[[#This Row],[Pcon_bottom (mW) C]]+Table7[[#This Row],[Psw_bottom (mV) C]]</f>
        <v>#NAME?</v>
      </c>
      <c r="BZ247" s="145" t="e">
        <f ca="1">Table7[[#This Row],[Pbottom (mW) C]]+Table7[[#This Row],[Ptop (mW) C]]</f>
        <v>#NAME?</v>
      </c>
      <c r="CA247" s="148"/>
      <c r="CB247" s="144">
        <f>(RAC_SNS*10^-3*(Table7[[#This Row],[IOUT (A)]]*Vbat/VACnom)^2/10^-3)</f>
        <v>592.09868836805549</v>
      </c>
      <c r="CC247" s="144">
        <f>(RBAT_SNS*10^-3*Table7[[#This Row],[IOUT (A)]]^2)/10^-3</f>
        <v>414.04999999999995</v>
      </c>
      <c r="CD247" s="144">
        <f>IF(VACnom&gt;Vbat,(L_DRC*10^-3*(Table7[[#This Row],[IOUT (A)]])^2/10^-3),(L_DRC*10^-3*(Table7[[#This Row],[IOUT (A)]]*Vbat/VACnom)^2/10^-3))</f>
        <v>402.6271080902776</v>
      </c>
      <c r="CE247" s="152"/>
      <c r="CF247" s="145">
        <f>(Table7[[#This Row],[R_AC (mW)]]+Table7[[#This Row],[R_SR (mW)]]+Table7[[#This Row],[Inductor Loss (mW)]])/10^3</f>
        <v>1.408775796458333</v>
      </c>
      <c r="CG247" s="145" t="e">
        <f ca="1">Table7[[#This Row],[Total TI (mW)]]/10^3</f>
        <v>#NAME?</v>
      </c>
      <c r="CH247" s="145" t="e">
        <f ca="1">Table7[[#This Row],[Total Sense Loss]]+Table7[[#This Row],[Total MOSFET Loss]]</f>
        <v>#NAME?</v>
      </c>
      <c r="CI247" s="149" t="e">
        <f ca="1">IF(Table7[[#This Row],[POUT (W)]]=0,0,(Table7[[#This Row],[POUT (W)]])/(Table7[[#This Row],[POUT (W)]]+Table7[[#This Row],[Total Power Loss (W)]]))*100</f>
        <v>#NAME?</v>
      </c>
      <c r="CJ247" s="153"/>
      <c r="CK247" s="145">
        <f>(Table7[[#This Row],[R_AC (mW)]]+Table7[[#This Row],[R_SR (mW)]]+Table7[[#This Row],[Inductor Loss (mW)]])/10^3</f>
        <v>1.408775796458333</v>
      </c>
      <c r="CL247" s="145" t="e">
        <f ca="1">Table7[[#This Row],[Total (mW) C]]/10^3</f>
        <v>#NAME?</v>
      </c>
      <c r="CM247" s="145" t="e">
        <f ca="1">Table7[[#This Row],[Total Sense Loss C]]+Table7[[#This Row],[Total MOSFET Loss C]]</f>
        <v>#NAME?</v>
      </c>
      <c r="CN247" s="149" t="e">
        <f ca="1">IF(Table7[[#This Row],[POUT (W)]]=0,0,(Table7[[#This Row],[POUT (W)]])/(Table7[[#This Row],[POUT (W)]]+Table7[[#This Row],[Total Power Loss (W) C]]))*100</f>
        <v>#NAME?</v>
      </c>
      <c r="CO247" s="153"/>
      <c r="CP247" s="149">
        <f>IF(MOSFET_S=Custom_MOSFET,Table7[[#This Row],[Total Sense Loss C]],Table7[[#This Row],[Total Sense Loss]])</f>
        <v>1.408775796458333</v>
      </c>
      <c r="CQ247" s="149" t="e">
        <f ca="1">IF(MOSFET_S=Custom_MOSFET,Table7[[#This Row],[Total MOSFET Loss C]],Table7[[#This Row],[Total MOSFET Loss]])</f>
        <v>#NAME?</v>
      </c>
      <c r="CR247" s="149" t="e">
        <f ca="1">IF(MOSFET_S=Custom_MOSFET,Table7[[#This Row],[Efficiency C]],Table7[[#This Row],[Efficiency]])</f>
        <v>#NAME?</v>
      </c>
      <c r="CS247" s="153"/>
      <c r="CT247" s="149">
        <f>IF(MOSFET_S=Compare_MOSFET, Table7[[#This Row],[Total Sense Loss C]], -100)</f>
        <v>-100</v>
      </c>
      <c r="CU247" s="149">
        <f>IF(MOSFET_S=Compare_MOSFET, Table7[[#This Row],[Total MOSFET Loss C]], -100)</f>
        <v>-100</v>
      </c>
      <c r="CV247" s="149">
        <f>IF(MOSFET_S=Compare_MOSFET, Table7[[#This Row],[Efficiency C]], -100)</f>
        <v>-100</v>
      </c>
      <c r="CW247" s="153"/>
      <c r="CX247" s="149">
        <f ca="1">IF(Save_Sel=CLR_Save,  Table7[[#This Row],[Total Sense Loss P1]], Table7[[#This Row],[Total Sense Loss P1 Saved]])</f>
        <v>1.18133640625</v>
      </c>
      <c r="CY247" s="149">
        <f ca="1">IF(Save_Sel=CLR_Save,  Table7[[#This Row],[Total MOSFET Loss P1]], Table7[[#This Row],[Total MOSFET Loss P1 Saved]] )</f>
        <v>2.3137537272150666</v>
      </c>
      <c r="CZ247" s="149">
        <f ca="1">IF(Save_Sel=CLR_Save, Table7[[#This Row],[Efficiency P1]], Table7[[#This Row],[Efficiency P1 Saved]])</f>
        <v>93.983845923234469</v>
      </c>
      <c r="DA247" s="153"/>
      <c r="DB247" s="149">
        <f ca="1">IF(Save_Sel=CLR_Save,  Table7[[#This Row],[Total Sense Loss P2]], Table7[[#This Row],[Total Sense Loss P2 Saved]])</f>
        <v>1.18133640625</v>
      </c>
      <c r="DC247" s="149">
        <f ca="1">IF(Save_Sel=CLR_Save,  Table7[[#This Row],[Total MOSFET Loss P2]], Table7[[#This Row],[Total MOSFET Loss P2 Saved]] )</f>
        <v>1.6422239685133622</v>
      </c>
      <c r="DD247" s="149">
        <f ca="1">IF(Save_Sel=CLR_Save, Table7[[#This Row],[Efficiency P2]], Table7[[#This Row],[Efficiency P2 Saved]])</f>
        <v>95.082923531150001</v>
      </c>
      <c r="DE247" s="153"/>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row>
    <row r="248" spans="1:165" x14ac:dyDescent="0.2">
      <c r="A248" s="67"/>
      <c r="B248" s="67"/>
      <c r="C248" s="67"/>
      <c r="D248" s="67"/>
      <c r="E248" s="67"/>
      <c r="F248" s="67"/>
      <c r="G248" s="67"/>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43">
        <f t="shared" si="54"/>
        <v>92</v>
      </c>
      <c r="AG248" s="143">
        <f t="shared" si="53"/>
        <v>9.1999999999999993</v>
      </c>
      <c r="AH248" s="144">
        <f t="shared" si="42"/>
        <v>220.79999999999998</v>
      </c>
      <c r="AI248" s="145">
        <f t="shared" si="43"/>
        <v>0.16376306620209058</v>
      </c>
      <c r="AJ248" s="145">
        <f t="shared" si="44"/>
        <v>11.001666666666665</v>
      </c>
      <c r="AK248" s="145" t="e">
        <f t="shared" si="40"/>
        <v>#NAME?</v>
      </c>
      <c r="AL248" s="145" t="e">
        <f t="shared" si="41"/>
        <v>#NAME?</v>
      </c>
      <c r="AM248" s="146"/>
      <c r="AN248" s="145" t="e">
        <f>MAX(0,Table7[[#This Row],[I_L]]-0.5*Table7[[#This Row],[I_L pkpk]])</f>
        <v>#NAME?</v>
      </c>
      <c r="AO248" s="145" t="e">
        <f>Table7[[#This Row],[I_L]]+0.5*Table7[[#This Row],[I_L pkpk]]</f>
        <v>#NAME?</v>
      </c>
      <c r="AP248" s="145" t="e">
        <f ca="1">IF(VACnom&gt;Vbat, (VGS_S-(TI_MOSFET_S_VTH_H_BU+Table7[[#This Row],[I_L]]/TI_MOSFET_S_gFS_H_BU))/3.4, (VGS_S-(TI_MOSFET_S_VTH_L_BO+Table7[[#This Row],[I_L]]/TI_MOSFET_S_gFS_L_BO))/3.4 )</f>
        <v>#REF!</v>
      </c>
      <c r="AQ248" s="145" t="e">
        <f ca="1">IF(VACnom&gt;Vbat, ((TI_MOSFET_S_VTH_H_BU+Table7[[#This Row],[I_L]]/TI_MOSFET_S_gFS_H_BU))/1, ((TI_MOSFET_S_VTH_L_BO+Table7[[#This Row],[I_L]]/TI_MOSFET_S_gFS_L_BO))/1 )</f>
        <v>#REF!</v>
      </c>
      <c r="AR248" s="145" t="e">
        <f ca="1">IF(VACnom&gt;Vbat, (TI_MOSFET_S_QGD_H_BU+TI_MOSFET_S_QGS_H_BU)*10^-9/Table7[[#This Row],[Ion (A)]], (TI_MOSFET_S_QGD_L_BO+TI_MOSFET_S_QGS_L_BO)*10^-9/Table7[[#This Row],[Ion (A)]])/10^-9</f>
        <v>#REF!</v>
      </c>
      <c r="AS248" s="145" t="e">
        <f ca="1">IF(VACnom&gt;Vbat, (TI_MOSFET_S_QGD_H_BU+TI_MOSFET_S_QGS_H_BU)*10^-9/Table7[[#This Row],[Ioff (A)]], (TI_MOSFET_S_QGD_L_BO+TI_MOSFET_S_QGS_L_BO)*10^-9/Table7[[#This Row],[Ioff (A)]])/10^-9</f>
        <v>#REF!</v>
      </c>
      <c r="AT248" s="145" t="e">
        <f ca="1" xml:space="preserve"> 0.5*VACnom*Table7[[#This Row],[Ivalley (A)]]*Table7[[#This Row],[ton (ns)]]*10^-9*Fsw*10^3+0.5*VACnom*Table7[[#This Row],[Ipeak (A)]]*Table7[[#This Row],[toff (ns)]]*10^-9*Fsw*10^3/10^-3</f>
        <v>#NAME?</v>
      </c>
      <c r="AU248" s="145" t="e">
        <f t="shared" ca="1" si="45"/>
        <v>#REF!</v>
      </c>
      <c r="AV248" s="145" t="e">
        <f t="shared" ca="1" si="46"/>
        <v>#REF!</v>
      </c>
      <c r="AW248" s="145" t="e">
        <f t="shared" ca="1" si="47"/>
        <v>#REF!</v>
      </c>
      <c r="AX248" s="145" t="e">
        <f ca="1">IF(VACnom&gt;Vbat, TI_MOSFET_S_VSD_L_BU*Table7[[#This Row],[Ivalley (A)]]*Fsw*10^3*40*10^-9+TI_MOSFET_S_VSD_L_BU*Table7[[#This Row],[Ipeak (A)]]*Fsw*10^3*30*10^-9, TI_MOSFET_S_VSD_H_BO*Table7[[#This Row],[Ivalley (A)]]*Fsw*10^3*40*10^-9+TI_MOSFET_S_VSD_H_BO*Table7[[#This Row],[Ipeak (A)]]*Fsw*10^3*30*10^-9)/10^-3</f>
        <v>#REF!</v>
      </c>
      <c r="AY248" s="145" t="e">
        <f t="shared" ca="1" si="48"/>
        <v>#REF!</v>
      </c>
      <c r="AZ248" s="145" t="e">
        <f ca="1">IF(VACnom&lt;Vbat, Table7[[#This Row],[Duty Cycle]]*Table7[[#This Row],[I_L RMS]]^2*TI_MOSFET_S_RDSON_H_BU*10^-3, (1-Table7[[#This Row],[Duty Cycle]])*Table7[[#This Row],[I_L RMS]]^2*TI_MOSFET_S_RDSON_H_BO*10^-3)/10^-3</f>
        <v>#NAME?</v>
      </c>
      <c r="BA248" s="145" t="e">
        <f ca="1">IF(VACnom&gt;Vbat, Table7[[#This Row],[PIV (mW)]]+Table7[[#This Row],[Pqoss (mW)]]+Table7[[#This Row],[Pgate_top (mW)]], Table7[[#This Row],[PRR (mW)]]+Table7[[#This Row],[Pdead (mW)]]+Table7[[#This Row],[Pgate_top (mW)]])</f>
        <v>#REF!</v>
      </c>
      <c r="BB248" s="145" t="e">
        <f ca="1">Table7[[#This Row],[Pcon_top (mW)]]+Table7[[#This Row],[Psw_top (mW)]]</f>
        <v>#NAME?</v>
      </c>
      <c r="BC248" s="145" t="e">
        <f ca="1">IF(VACnom&gt;Vbat, (1-Table7[[#This Row],[Duty Cycle]])*Table7[[#This Row],[I_L RMS]]^2*TI_MOSFET_S_RDSON_L_BU*10^-3, Table7[[#This Row],[Duty Cycle]]*Table7[[#This Row],[I_L RMS]]^2*TI_MOSFET_S_RDSON_L_BO*10^-3)/10^-3</f>
        <v>#NAME?</v>
      </c>
      <c r="BD248" s="145" t="e">
        <f ca="1">IF(VACnom&gt;Vbat, Table7[[#This Row],[PRR (mW)]]+Table7[[#This Row],[Pdead (mW)]]+Table7[[#This Row],[Pgate_bottom (mW)]], Table7[[#This Row],[PIV (mW)]]+Table7[[#This Row],[Pqoss (mW)]]+Table7[[#This Row],[Pgate_bottom (mW)]])</f>
        <v>#NAME?</v>
      </c>
      <c r="BE248" s="147" t="e">
        <f ca="1">Table7[[#This Row],[Pcon_bottom (mW)]]+Table7[[#This Row],[Psw_bottom (mW)]]</f>
        <v>#NAME?</v>
      </c>
      <c r="BF248" s="145" t="e">
        <f ca="1">Table7[[#This Row],[Pbottom (mW)]]+Table7[[#This Row],[Ptop (mW)]]</f>
        <v>#NAME?</v>
      </c>
      <c r="BG248" s="142"/>
      <c r="BH248" s="145" t="e">
        <f>MAX(0,Table7[[#This Row],[I_L]]-0.5*Table7[[#This Row],[I_L pkpk]])</f>
        <v>#NAME?</v>
      </c>
      <c r="BI248" s="145" t="e">
        <f>Table7[[#This Row],[I_L]]+0.5*Table7[[#This Row],[I_L pkpk]]</f>
        <v>#NAME?</v>
      </c>
      <c r="BJ248" s="145">
        <f>IF(VACnom&gt;Vbat, (VGS_S-(C_MOSFET_S_VTH_H_BU+Table7[[#This Row],[I_L]]/C_MOSFET_S_gFS_H_BU))/3.4, (VGS_S-(C_MOSFET_S_VTH_L_BO+Table7[[#This Row],[I_L]]/C_MOSFET_S_gFS_L_BO))/3.4 )</f>
        <v>2.3313692810457516</v>
      </c>
      <c r="BK248" s="145">
        <f>IF(VACnom&gt;Vbat, ((C_MOSFET_S_VTH_H_BU+Table7[[#This Row],[I_L]]/C_MOSFET_S_gFS_H_BU))/1, ((C_MOSFET_S_VTH_L_BO+Table7[[#This Row],[I_L]]/C_MOSFET_S_gFS_L_BO))/1 )</f>
        <v>2.0733444444444444</v>
      </c>
      <c r="BL248" s="145">
        <f>IF(VACnom&gt;Vbat, (C_MOSFET_S_QGD_H_BU+C_MOSFET_S_QGS_H_BU)*10^-9/Table7[[#This Row],[Ion (A) C]], (C_MOSFET_S_QGD_L_BO+C_MOSFET_S_QGS_L_BO)*10^-9/Table7[[#This Row],[Ion (A) C]])/10^-9</f>
        <v>2.7880610990483587</v>
      </c>
      <c r="BM248" s="145">
        <f>IF(VACnom&gt;Vbat, (C_MOSFET_S_QGD_H_BU+C_MOSFET_S_QGS_H_BU)*10^-9/Table7[[#This Row],[Ioff (A) C]], (C_MOSFET_S_QGD_L_BO+C_MOSFET_S_QGS_L_BO)*10^-9/Table7[[#This Row],[Ioff (A) C]])/10^-9</f>
        <v>3.1350314306997284</v>
      </c>
      <c r="BN248" s="145" t="e">
        <f xml:space="preserve"> 0.5*VACnom*Table7[[#This Row],[Ivalley (A) C]]*Table7[[#This Row],[ton (ns) C]]*10^-9*Fsw*10^3+0.5*VACnom*Table7[[#This Row],[Ipeak (A) C]]*Table7[[#This Row],[toff (ns) C]]*10^-9*Fsw*10^3/10^-3</f>
        <v>#NAME?</v>
      </c>
      <c r="BO248" s="145">
        <f t="shared" si="49"/>
        <v>259.2</v>
      </c>
      <c r="BP248" s="145" t="e">
        <f t="shared" ca="1" si="50"/>
        <v>#REF!</v>
      </c>
      <c r="BQ248" s="145">
        <f t="shared" si="51"/>
        <v>475.2</v>
      </c>
      <c r="BR248" s="145" t="e">
        <f>IF(VACnom&gt;Vbat, C_MOSFET_S_VSD_L_BU*Table7[[#This Row],[Ivalley (A) C]]*Fsw*10^3*40*10^-9+C_MOSFET_S_VSD_L_BU*Table7[[#This Row],[Ipeak (A) C]]*Fsw*10^3*30*10^-9, C_MOSFET_S_VSD_H_BO*Table7[[#This Row],[Ivalley (A) C]]*Fsw*10^3*40*10^-9+C_MOSFET_S_VSD_H_BO*Table7[[#This Row],[Ipeak (A) C]]*Fsw*10^3*30*10^-9)/10^-3</f>
        <v>#NAME?</v>
      </c>
      <c r="BS248" s="145" t="e">
        <f t="shared" ca="1" si="52"/>
        <v>#REF!</v>
      </c>
      <c r="BT248" s="145" t="e">
        <f>IF(VACnom&lt;Vbat, Table7[[#This Row],[Duty Cycle]]*Table7[[#This Row],[I_L RMS]]^2*C_MOSFET_S_RDSON_H_BU*10^-3, (1-Table7[[#This Row],[Duty Cycle]])*Table7[[#This Row],[I_L RMS]]^2*C_MOSFET_S_RDSON_H_BO*10^-3)/10^-3</f>
        <v>#NAME?</v>
      </c>
      <c r="BU248" s="145" t="e">
        <f ca="1">IF(VACnom&gt;Vbat, Table7[[#This Row],[PIV (mW) C]]+Table7[[#This Row],[PQoss (mW) C]]+Table7[[#This Row],[Pgate_top (mW) C]], Table7[[#This Row],[PRR (mW) C]]+Table7[[#This Row],[Pdead (mW) C]]+Table7[[#This Row],[Pgate_top (mW) C]])</f>
        <v>#NAME?</v>
      </c>
      <c r="BV248" s="145" t="e">
        <f ca="1">Table7[[#This Row],[Pcon_top (mW) C]]+Table7[[#This Row],[Psw_top (mW) C]]</f>
        <v>#NAME?</v>
      </c>
      <c r="BW248" s="145" t="e">
        <f ca="1">IF(VACnom&gt;Vbat, (1-Table7[[#This Row],[Duty Cycle]])*Table7[[#This Row],[I_L RMS]]^2*C_MOSFET_S_RDSON_L_BU*10^-3, Table7[[#This Row],[Duty Cycle]]*Table7[[#This Row],[I_L RMS]]^2*C_MOSFET_S_RDSON_L_BO*10^-3)/10^-3</f>
        <v>#NAME?</v>
      </c>
      <c r="BX248" s="145" t="e">
        <f ca="1">IF(VACnom&gt;Vbat, Table7[[#This Row],[PRR (mW) C]]+Table7[[#This Row],[Pdead (mW) C]]+Table7[[#This Row],[Pgate_bottom (mW) C]], Table7[[#This Row],[PIV (mW) C]]+Table7[[#This Row],[PQoss (mW) C]]+Table7[[#This Row],[Pgate_bottom (mW) C]])</f>
        <v>#NAME?</v>
      </c>
      <c r="BY248" s="145" t="e">
        <f ca="1">Table7[[#This Row],[Pcon_bottom (mW) C]]+Table7[[#This Row],[Psw_bottom (mV) C]]</f>
        <v>#NAME?</v>
      </c>
      <c r="BZ248" s="145" t="e">
        <f ca="1">Table7[[#This Row],[Pbottom (mW) C]]+Table7[[#This Row],[Ptop (mW) C]]</f>
        <v>#NAME?</v>
      </c>
      <c r="CA248" s="148"/>
      <c r="CB248" s="144">
        <f>(RAC_SNS*10^-3*(Table7[[#This Row],[IOUT (A)]]*Vbat/VACnom)^2/10^-3)</f>
        <v>605.1833472222221</v>
      </c>
      <c r="CC248" s="144">
        <f>(RBAT_SNS*10^-3*Table7[[#This Row],[IOUT (A)]]^2)/10^-3</f>
        <v>423.19999999999993</v>
      </c>
      <c r="CD248" s="144">
        <f>IF(VACnom&gt;Vbat,(L_DRC*10^-3*(Table7[[#This Row],[IOUT (A)]])^2/10^-3),(L_DRC*10^-3*(Table7[[#This Row],[IOUT (A)]]*Vbat/VACnom)^2/10^-3))</f>
        <v>411.52467611111098</v>
      </c>
      <c r="CE248" s="152"/>
      <c r="CF248" s="145">
        <f>(Table7[[#This Row],[R_AC (mW)]]+Table7[[#This Row],[R_SR (mW)]]+Table7[[#This Row],[Inductor Loss (mW)]])/10^3</f>
        <v>1.439908023333333</v>
      </c>
      <c r="CG248" s="145" t="e">
        <f ca="1">Table7[[#This Row],[Total TI (mW)]]/10^3</f>
        <v>#NAME?</v>
      </c>
      <c r="CH248" s="145" t="e">
        <f ca="1">Table7[[#This Row],[Total Sense Loss]]+Table7[[#This Row],[Total MOSFET Loss]]</f>
        <v>#NAME?</v>
      </c>
      <c r="CI248" s="149" t="e">
        <f ca="1">IF(Table7[[#This Row],[POUT (W)]]=0,0,(Table7[[#This Row],[POUT (W)]])/(Table7[[#This Row],[POUT (W)]]+Table7[[#This Row],[Total Power Loss (W)]]))*100</f>
        <v>#NAME?</v>
      </c>
      <c r="CJ248" s="153"/>
      <c r="CK248" s="145">
        <f>(Table7[[#This Row],[R_AC (mW)]]+Table7[[#This Row],[R_SR (mW)]]+Table7[[#This Row],[Inductor Loss (mW)]])/10^3</f>
        <v>1.439908023333333</v>
      </c>
      <c r="CL248" s="145" t="e">
        <f ca="1">Table7[[#This Row],[Total (mW) C]]/10^3</f>
        <v>#NAME?</v>
      </c>
      <c r="CM248" s="145" t="e">
        <f ca="1">Table7[[#This Row],[Total Sense Loss C]]+Table7[[#This Row],[Total MOSFET Loss C]]</f>
        <v>#NAME?</v>
      </c>
      <c r="CN248" s="149" t="e">
        <f ca="1">IF(Table7[[#This Row],[POUT (W)]]=0,0,(Table7[[#This Row],[POUT (W)]])/(Table7[[#This Row],[POUT (W)]]+Table7[[#This Row],[Total Power Loss (W) C]]))*100</f>
        <v>#NAME?</v>
      </c>
      <c r="CO248" s="153"/>
      <c r="CP248" s="149">
        <f>IF(MOSFET_S=Custom_MOSFET,Table7[[#This Row],[Total Sense Loss C]],Table7[[#This Row],[Total Sense Loss]])</f>
        <v>1.439908023333333</v>
      </c>
      <c r="CQ248" s="149" t="e">
        <f ca="1">IF(MOSFET_S=Custom_MOSFET,Table7[[#This Row],[Total MOSFET Loss C]],Table7[[#This Row],[Total MOSFET Loss]])</f>
        <v>#NAME?</v>
      </c>
      <c r="CR248" s="149" t="e">
        <f ca="1">IF(MOSFET_S=Custom_MOSFET,Table7[[#This Row],[Efficiency C]],Table7[[#This Row],[Efficiency]])</f>
        <v>#NAME?</v>
      </c>
      <c r="CS248" s="153"/>
      <c r="CT248" s="149">
        <f>IF(MOSFET_S=Compare_MOSFET, Table7[[#This Row],[Total Sense Loss C]], -100)</f>
        <v>-100</v>
      </c>
      <c r="CU248" s="149">
        <f>IF(MOSFET_S=Compare_MOSFET, Table7[[#This Row],[Total MOSFET Loss C]], -100)</f>
        <v>-100</v>
      </c>
      <c r="CV248" s="149">
        <f>IF(MOSFET_S=Compare_MOSFET, Table7[[#This Row],[Efficiency C]], -100)</f>
        <v>-100</v>
      </c>
      <c r="CW248" s="153"/>
      <c r="CX248" s="149">
        <f ca="1">IF(Save_Sel=CLR_Save,  Table7[[#This Row],[Total Sense Loss P1]], Table7[[#This Row],[Total Sense Loss P1 Saved]])</f>
        <v>1.2074424999999998</v>
      </c>
      <c r="CY248" s="149">
        <f ca="1">IF(Save_Sel=CLR_Save,  Table7[[#This Row],[Total MOSFET Loss P1]], Table7[[#This Row],[Total MOSFET Loss P1 Saved]] )</f>
        <v>2.325503186069509</v>
      </c>
      <c r="CZ248" s="149">
        <f ca="1">IF(Save_Sel=CLR_Save, Table7[[#This Row],[Efficiency P1]], Table7[[#This Row],[Efficiency P1 Saved]])</f>
        <v>93.984729277919627</v>
      </c>
      <c r="DA248" s="153"/>
      <c r="DB248" s="149">
        <f ca="1">IF(Save_Sel=CLR_Save,  Table7[[#This Row],[Total Sense Loss P2]], Table7[[#This Row],[Total Sense Loss P2 Saved]])</f>
        <v>1.2074424999999998</v>
      </c>
      <c r="DC248" s="149">
        <f ca="1">IF(Save_Sel=CLR_Save,  Table7[[#This Row],[Total MOSFET Loss P2]], Table7[[#This Row],[Total MOSFET Loss P2 Saved]] )</f>
        <v>1.6534323999260072</v>
      </c>
      <c r="DD248" s="149">
        <f ca="1">IF(Save_Sel=CLR_Save, Table7[[#This Row],[Efficiency P2]], Table7[[#This Row],[Efficiency P2 Saved]])</f>
        <v>95.072628676613931</v>
      </c>
      <c r="DE248" s="153"/>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row>
    <row r="249" spans="1:165" x14ac:dyDescent="0.2">
      <c r="A249" s="67"/>
      <c r="B249" s="67"/>
      <c r="C249" s="67"/>
      <c r="D249" s="67"/>
      <c r="E249" s="67"/>
      <c r="F249" s="67"/>
      <c r="G249" s="67"/>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43">
        <f t="shared" si="54"/>
        <v>93</v>
      </c>
      <c r="AG249" s="143">
        <f t="shared" si="53"/>
        <v>9.3000000000000007</v>
      </c>
      <c r="AH249" s="144">
        <f t="shared" si="42"/>
        <v>223.20000000000002</v>
      </c>
      <c r="AI249" s="145">
        <f t="shared" si="43"/>
        <v>0.16376306620209058</v>
      </c>
      <c r="AJ249" s="145">
        <f t="shared" si="44"/>
        <v>11.12125</v>
      </c>
      <c r="AK249" s="145" t="e">
        <f t="shared" ref="AK249:AK256" si="55">Ipkpk_VACnom</f>
        <v>#NAME?</v>
      </c>
      <c r="AL249" s="145" t="e">
        <f t="shared" ref="AL249:AL256" si="56">SQRT(AJ249^2+AK249^2/12)</f>
        <v>#NAME?</v>
      </c>
      <c r="AM249" s="146"/>
      <c r="AN249" s="145" t="e">
        <f>MAX(0,Table7[[#This Row],[I_L]]-0.5*Table7[[#This Row],[I_L pkpk]])</f>
        <v>#NAME?</v>
      </c>
      <c r="AO249" s="145" t="e">
        <f>Table7[[#This Row],[I_L]]+0.5*Table7[[#This Row],[I_L pkpk]]</f>
        <v>#NAME?</v>
      </c>
      <c r="AP249" s="145" t="e">
        <f ca="1">IF(VACnom&gt;Vbat, (VGS_S-(TI_MOSFET_S_VTH_H_BU+Table7[[#This Row],[I_L]]/TI_MOSFET_S_gFS_H_BU))/3.4, (VGS_S-(TI_MOSFET_S_VTH_L_BO+Table7[[#This Row],[I_L]]/TI_MOSFET_S_gFS_L_BO))/3.4 )</f>
        <v>#REF!</v>
      </c>
      <c r="AQ249" s="145" t="e">
        <f ca="1">IF(VACnom&gt;Vbat, ((TI_MOSFET_S_VTH_H_BU+Table7[[#This Row],[I_L]]/TI_MOSFET_S_gFS_H_BU))/1, ((TI_MOSFET_S_VTH_L_BO+Table7[[#This Row],[I_L]]/TI_MOSFET_S_gFS_L_BO))/1 )</f>
        <v>#REF!</v>
      </c>
      <c r="AR249" s="145" t="e">
        <f ca="1">IF(VACnom&gt;Vbat, (TI_MOSFET_S_QGD_H_BU+TI_MOSFET_S_QGS_H_BU)*10^-9/Table7[[#This Row],[Ion (A)]], (TI_MOSFET_S_QGD_L_BO+TI_MOSFET_S_QGS_L_BO)*10^-9/Table7[[#This Row],[Ion (A)]])/10^-9</f>
        <v>#REF!</v>
      </c>
      <c r="AS249" s="145" t="e">
        <f ca="1">IF(VACnom&gt;Vbat, (TI_MOSFET_S_QGD_H_BU+TI_MOSFET_S_QGS_H_BU)*10^-9/Table7[[#This Row],[Ioff (A)]], (TI_MOSFET_S_QGD_L_BO+TI_MOSFET_S_QGS_L_BO)*10^-9/Table7[[#This Row],[Ioff (A)]])/10^-9</f>
        <v>#REF!</v>
      </c>
      <c r="AT249" s="145" t="e">
        <f ca="1" xml:space="preserve"> 0.5*VACnom*Table7[[#This Row],[Ivalley (A)]]*Table7[[#This Row],[ton (ns)]]*10^-9*Fsw*10^3+0.5*VACnom*Table7[[#This Row],[Ipeak (A)]]*Table7[[#This Row],[toff (ns)]]*10^-9*Fsw*10^3/10^-3</f>
        <v>#NAME?</v>
      </c>
      <c r="AU249" s="145" t="e">
        <f t="shared" ca="1" si="45"/>
        <v>#REF!</v>
      </c>
      <c r="AV249" s="145" t="e">
        <f t="shared" ca="1" si="46"/>
        <v>#REF!</v>
      </c>
      <c r="AW249" s="145" t="e">
        <f t="shared" ca="1" si="47"/>
        <v>#REF!</v>
      </c>
      <c r="AX249" s="145" t="e">
        <f ca="1">IF(VACnom&gt;Vbat, TI_MOSFET_S_VSD_L_BU*Table7[[#This Row],[Ivalley (A)]]*Fsw*10^3*40*10^-9+TI_MOSFET_S_VSD_L_BU*Table7[[#This Row],[Ipeak (A)]]*Fsw*10^3*30*10^-9, TI_MOSFET_S_VSD_H_BO*Table7[[#This Row],[Ivalley (A)]]*Fsw*10^3*40*10^-9+TI_MOSFET_S_VSD_H_BO*Table7[[#This Row],[Ipeak (A)]]*Fsw*10^3*30*10^-9)/10^-3</f>
        <v>#REF!</v>
      </c>
      <c r="AY249" s="145" t="e">
        <f t="shared" ca="1" si="48"/>
        <v>#REF!</v>
      </c>
      <c r="AZ249" s="145" t="e">
        <f ca="1">IF(VACnom&lt;Vbat, Table7[[#This Row],[Duty Cycle]]*Table7[[#This Row],[I_L RMS]]^2*TI_MOSFET_S_RDSON_H_BU*10^-3, (1-Table7[[#This Row],[Duty Cycle]])*Table7[[#This Row],[I_L RMS]]^2*TI_MOSFET_S_RDSON_H_BO*10^-3)/10^-3</f>
        <v>#NAME?</v>
      </c>
      <c r="BA249" s="145" t="e">
        <f ca="1">IF(VACnom&gt;Vbat, Table7[[#This Row],[PIV (mW)]]+Table7[[#This Row],[Pqoss (mW)]]+Table7[[#This Row],[Pgate_top (mW)]], Table7[[#This Row],[PRR (mW)]]+Table7[[#This Row],[Pdead (mW)]]+Table7[[#This Row],[Pgate_top (mW)]])</f>
        <v>#REF!</v>
      </c>
      <c r="BB249" s="145" t="e">
        <f ca="1">Table7[[#This Row],[Pcon_top (mW)]]+Table7[[#This Row],[Psw_top (mW)]]</f>
        <v>#NAME?</v>
      </c>
      <c r="BC249" s="145" t="e">
        <f ca="1">IF(VACnom&gt;Vbat, (1-Table7[[#This Row],[Duty Cycle]])*Table7[[#This Row],[I_L RMS]]^2*TI_MOSFET_S_RDSON_L_BU*10^-3, Table7[[#This Row],[Duty Cycle]]*Table7[[#This Row],[I_L RMS]]^2*TI_MOSFET_S_RDSON_L_BO*10^-3)/10^-3</f>
        <v>#NAME?</v>
      </c>
      <c r="BD249" s="145" t="e">
        <f ca="1">IF(VACnom&gt;Vbat, Table7[[#This Row],[PRR (mW)]]+Table7[[#This Row],[Pdead (mW)]]+Table7[[#This Row],[Pgate_bottom (mW)]], Table7[[#This Row],[PIV (mW)]]+Table7[[#This Row],[Pqoss (mW)]]+Table7[[#This Row],[Pgate_bottom (mW)]])</f>
        <v>#NAME?</v>
      </c>
      <c r="BE249" s="147" t="e">
        <f ca="1">Table7[[#This Row],[Pcon_bottom (mW)]]+Table7[[#This Row],[Psw_bottom (mW)]]</f>
        <v>#NAME?</v>
      </c>
      <c r="BF249" s="145" t="e">
        <f ca="1">Table7[[#This Row],[Pbottom (mW)]]+Table7[[#This Row],[Ptop (mW)]]</f>
        <v>#NAME?</v>
      </c>
      <c r="BG249" s="142"/>
      <c r="BH249" s="145" t="e">
        <f>MAX(0,Table7[[#This Row],[I_L]]-0.5*Table7[[#This Row],[I_L pkpk]])</f>
        <v>#NAME?</v>
      </c>
      <c r="BI249" s="145" t="e">
        <f>Table7[[#This Row],[I_L]]+0.5*Table7[[#This Row],[I_L pkpk]]</f>
        <v>#NAME?</v>
      </c>
      <c r="BJ249" s="145">
        <f>IF(VACnom&gt;Vbat, (VGS_S-(C_MOSFET_S_VTH_H_BU+Table7[[#This Row],[I_L]]/C_MOSFET_S_gFS_H_BU))/3.4, (VGS_S-(C_MOSFET_S_VTH_L_BO+Table7[[#This Row],[I_L]]/C_MOSFET_S_gFS_L_BO))/3.4 )</f>
        <v>2.3311348039215685</v>
      </c>
      <c r="BK249" s="145">
        <f>IF(VACnom&gt;Vbat, ((C_MOSFET_S_VTH_H_BU+Table7[[#This Row],[I_L]]/C_MOSFET_S_gFS_H_BU))/1, ((C_MOSFET_S_VTH_L_BO+Table7[[#This Row],[I_L]]/C_MOSFET_S_gFS_L_BO))/1 )</f>
        <v>2.0741416666666668</v>
      </c>
      <c r="BL249" s="145">
        <f>IF(VACnom&gt;Vbat, (C_MOSFET_S_QGD_H_BU+C_MOSFET_S_QGS_H_BU)*10^-9/Table7[[#This Row],[Ion (A) C]], (C_MOSFET_S_QGD_L_BO+C_MOSFET_S_QGS_L_BO)*10^-9/Table7[[#This Row],[Ion (A) C]])/10^-9</f>
        <v>2.7883415360902024</v>
      </c>
      <c r="BM249" s="145">
        <f>IF(VACnom&gt;Vbat, (C_MOSFET_S_QGD_H_BU+C_MOSFET_S_QGS_H_BU)*10^-9/Table7[[#This Row],[Ioff (A) C]], (C_MOSFET_S_QGD_L_BO+C_MOSFET_S_QGS_L_BO)*10^-9/Table7[[#This Row],[Ioff (A) C]])/10^-9</f>
        <v>3.1338264422632651</v>
      </c>
      <c r="BN249" s="145" t="e">
        <f xml:space="preserve"> 0.5*VACnom*Table7[[#This Row],[Ivalley (A) C]]*Table7[[#This Row],[ton (ns) C]]*10^-9*Fsw*10^3+0.5*VACnom*Table7[[#This Row],[Ipeak (A) C]]*Table7[[#This Row],[toff (ns) C]]*10^-9*Fsw*10^3/10^-3</f>
        <v>#NAME?</v>
      </c>
      <c r="BO249" s="145">
        <f t="shared" si="49"/>
        <v>259.2</v>
      </c>
      <c r="BP249" s="145" t="e">
        <f t="shared" ca="1" si="50"/>
        <v>#REF!</v>
      </c>
      <c r="BQ249" s="145">
        <f t="shared" si="51"/>
        <v>475.2</v>
      </c>
      <c r="BR249" s="145" t="e">
        <f>IF(VACnom&gt;Vbat, C_MOSFET_S_VSD_L_BU*Table7[[#This Row],[Ivalley (A) C]]*Fsw*10^3*40*10^-9+C_MOSFET_S_VSD_L_BU*Table7[[#This Row],[Ipeak (A) C]]*Fsw*10^3*30*10^-9, C_MOSFET_S_VSD_H_BO*Table7[[#This Row],[Ivalley (A) C]]*Fsw*10^3*40*10^-9+C_MOSFET_S_VSD_H_BO*Table7[[#This Row],[Ipeak (A) C]]*Fsw*10^3*30*10^-9)/10^-3</f>
        <v>#NAME?</v>
      </c>
      <c r="BS249" s="145" t="e">
        <f t="shared" ca="1" si="52"/>
        <v>#REF!</v>
      </c>
      <c r="BT249" s="145" t="e">
        <f>IF(VACnom&lt;Vbat, Table7[[#This Row],[Duty Cycle]]*Table7[[#This Row],[I_L RMS]]^2*C_MOSFET_S_RDSON_H_BU*10^-3, (1-Table7[[#This Row],[Duty Cycle]])*Table7[[#This Row],[I_L RMS]]^2*C_MOSFET_S_RDSON_H_BO*10^-3)/10^-3</f>
        <v>#NAME?</v>
      </c>
      <c r="BU249" s="145" t="e">
        <f ca="1">IF(VACnom&gt;Vbat, Table7[[#This Row],[PIV (mW) C]]+Table7[[#This Row],[PQoss (mW) C]]+Table7[[#This Row],[Pgate_top (mW) C]], Table7[[#This Row],[PRR (mW) C]]+Table7[[#This Row],[Pdead (mW) C]]+Table7[[#This Row],[Pgate_top (mW) C]])</f>
        <v>#NAME?</v>
      </c>
      <c r="BV249" s="145" t="e">
        <f ca="1">Table7[[#This Row],[Pcon_top (mW) C]]+Table7[[#This Row],[Psw_top (mW) C]]</f>
        <v>#NAME?</v>
      </c>
      <c r="BW249" s="145" t="e">
        <f ca="1">IF(VACnom&gt;Vbat, (1-Table7[[#This Row],[Duty Cycle]])*Table7[[#This Row],[I_L RMS]]^2*C_MOSFET_S_RDSON_L_BU*10^-3, Table7[[#This Row],[Duty Cycle]]*Table7[[#This Row],[I_L RMS]]^2*C_MOSFET_S_RDSON_L_BO*10^-3)/10^-3</f>
        <v>#NAME?</v>
      </c>
      <c r="BX249" s="145" t="e">
        <f ca="1">IF(VACnom&gt;Vbat, Table7[[#This Row],[PRR (mW) C]]+Table7[[#This Row],[Pdead (mW) C]]+Table7[[#This Row],[Pgate_bottom (mW) C]], Table7[[#This Row],[PIV (mW) C]]+Table7[[#This Row],[PQoss (mW) C]]+Table7[[#This Row],[Pgate_bottom (mW) C]])</f>
        <v>#NAME?</v>
      </c>
      <c r="BY249" s="145" t="e">
        <f ca="1">Table7[[#This Row],[Pcon_bottom (mW) C]]+Table7[[#This Row],[Psw_bottom (mV) C]]</f>
        <v>#NAME?</v>
      </c>
      <c r="BZ249" s="145" t="e">
        <f ca="1">Table7[[#This Row],[Pbottom (mW) C]]+Table7[[#This Row],[Ptop (mW) C]]</f>
        <v>#NAME?</v>
      </c>
      <c r="CA249" s="148"/>
      <c r="CB249" s="144">
        <f>(RAC_SNS*10^-3*(Table7[[#This Row],[IOUT (A)]]*Vbat/VACnom)^2/10^-3)</f>
        <v>618.4110078125002</v>
      </c>
      <c r="CC249" s="144">
        <f>(RBAT_SNS*10^-3*Table7[[#This Row],[IOUT (A)]]^2)/10^-3</f>
        <v>432.45000000000005</v>
      </c>
      <c r="CD249" s="144">
        <f>IF(VACnom&gt;Vbat,(L_DRC*10^-3*(Table7[[#This Row],[IOUT (A)]])^2/10^-3),(L_DRC*10^-3*(Table7[[#This Row],[IOUT (A)]]*Vbat/VACnom)^2/10^-3))</f>
        <v>420.51948531250008</v>
      </c>
      <c r="CE249" s="152"/>
      <c r="CF249" s="145">
        <f>(Table7[[#This Row],[R_AC (mW)]]+Table7[[#This Row],[R_SR (mW)]]+Table7[[#This Row],[Inductor Loss (mW)]])/10^3</f>
        <v>1.4713804931250003</v>
      </c>
      <c r="CG249" s="145" t="e">
        <f ca="1">Table7[[#This Row],[Total TI (mW)]]/10^3</f>
        <v>#NAME?</v>
      </c>
      <c r="CH249" s="145" t="e">
        <f ca="1">Table7[[#This Row],[Total Sense Loss]]+Table7[[#This Row],[Total MOSFET Loss]]</f>
        <v>#NAME?</v>
      </c>
      <c r="CI249" s="149" t="e">
        <f ca="1">IF(Table7[[#This Row],[POUT (W)]]=0,0,(Table7[[#This Row],[POUT (W)]])/(Table7[[#This Row],[POUT (W)]]+Table7[[#This Row],[Total Power Loss (W)]]))*100</f>
        <v>#NAME?</v>
      </c>
      <c r="CJ249" s="153"/>
      <c r="CK249" s="145">
        <f>(Table7[[#This Row],[R_AC (mW)]]+Table7[[#This Row],[R_SR (mW)]]+Table7[[#This Row],[Inductor Loss (mW)]])/10^3</f>
        <v>1.4713804931250003</v>
      </c>
      <c r="CL249" s="145" t="e">
        <f ca="1">Table7[[#This Row],[Total (mW) C]]/10^3</f>
        <v>#NAME?</v>
      </c>
      <c r="CM249" s="145" t="e">
        <f ca="1">Table7[[#This Row],[Total Sense Loss C]]+Table7[[#This Row],[Total MOSFET Loss C]]</f>
        <v>#NAME?</v>
      </c>
      <c r="CN249" s="149" t="e">
        <f ca="1">IF(Table7[[#This Row],[POUT (W)]]=0,0,(Table7[[#This Row],[POUT (W)]])/(Table7[[#This Row],[POUT (W)]]+Table7[[#This Row],[Total Power Loss (W) C]]))*100</f>
        <v>#NAME?</v>
      </c>
      <c r="CO249" s="153"/>
      <c r="CP249" s="149">
        <f>IF(MOSFET_S=Custom_MOSFET,Table7[[#This Row],[Total Sense Loss C]],Table7[[#This Row],[Total Sense Loss]])</f>
        <v>1.4713804931250003</v>
      </c>
      <c r="CQ249" s="149" t="e">
        <f ca="1">IF(MOSFET_S=Custom_MOSFET,Table7[[#This Row],[Total MOSFET Loss C]],Table7[[#This Row],[Total MOSFET Loss]])</f>
        <v>#NAME?</v>
      </c>
      <c r="CR249" s="149" t="e">
        <f ca="1">IF(MOSFET_S=Custom_MOSFET,Table7[[#This Row],[Efficiency C]],Table7[[#This Row],[Efficiency]])</f>
        <v>#NAME?</v>
      </c>
      <c r="CS249" s="153"/>
      <c r="CT249" s="149">
        <f>IF(MOSFET_S=Compare_MOSFET, Table7[[#This Row],[Total Sense Loss C]], -100)</f>
        <v>-100</v>
      </c>
      <c r="CU249" s="149">
        <f>IF(MOSFET_S=Compare_MOSFET, Table7[[#This Row],[Total MOSFET Loss C]], -100)</f>
        <v>-100</v>
      </c>
      <c r="CV249" s="149">
        <f>IF(MOSFET_S=Compare_MOSFET, Table7[[#This Row],[Efficiency C]], -100)</f>
        <v>-100</v>
      </c>
      <c r="CW249" s="153"/>
      <c r="CX249" s="149">
        <f ca="1">IF(Save_Sel=CLR_Save,  Table7[[#This Row],[Total Sense Loss P1]], Table7[[#This Row],[Total Sense Loss P1 Saved]])</f>
        <v>1.2338339062500003</v>
      </c>
      <c r="CY249" s="149">
        <f ca="1">IF(Save_Sel=CLR_Save,  Table7[[#This Row],[Total MOSFET Loss P1]], Table7[[#This Row],[Total MOSFET Loss P1 Saved]] )</f>
        <v>2.3372956586498157</v>
      </c>
      <c r="CZ249" s="149">
        <f ca="1">IF(Save_Sel=CLR_Save, Table7[[#This Row],[Efficiency P1]], Table7[[#This Row],[Efficiency P1 Saved]])</f>
        <v>93.985073905329457</v>
      </c>
      <c r="DA249" s="153"/>
      <c r="DB249" s="149">
        <f ca="1">IF(Save_Sel=CLR_Save,  Table7[[#This Row],[Total Sense Loss P2]], Table7[[#This Row],[Total Sense Loss P2 Saved]])</f>
        <v>1.2338339062500003</v>
      </c>
      <c r="DC249" s="149">
        <f ca="1">IF(Save_Sel=CLR_Save,  Table7[[#This Row],[Total MOSFET Loss P2]], Table7[[#This Row],[Total MOSFET Loss P2 Saved]] )</f>
        <v>1.6647200163039406</v>
      </c>
      <c r="DD249" s="149">
        <f ca="1">IF(Save_Sel=CLR_Save, Table7[[#This Row],[Efficiency P2]], Table7[[#This Row],[Efficiency P2 Saved]])</f>
        <v>95.061967069276946</v>
      </c>
      <c r="DE249" s="153"/>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row>
    <row r="250" spans="1:165" x14ac:dyDescent="0.2">
      <c r="A250" s="67"/>
      <c r="B250" s="67"/>
      <c r="C250" s="67"/>
      <c r="D250" s="67"/>
      <c r="E250" s="67"/>
      <c r="F250" s="67"/>
      <c r="G250" s="67"/>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43">
        <f t="shared" si="54"/>
        <v>94</v>
      </c>
      <c r="AG250" s="143">
        <f t="shared" si="53"/>
        <v>9.4</v>
      </c>
      <c r="AH250" s="144">
        <f t="shared" si="42"/>
        <v>225.60000000000002</v>
      </c>
      <c r="AI250" s="145">
        <f t="shared" si="43"/>
        <v>0.16376306620209058</v>
      </c>
      <c r="AJ250" s="145">
        <f t="shared" si="44"/>
        <v>11.240833333333333</v>
      </c>
      <c r="AK250" s="145" t="e">
        <f t="shared" si="55"/>
        <v>#NAME?</v>
      </c>
      <c r="AL250" s="145" t="e">
        <f t="shared" si="56"/>
        <v>#NAME?</v>
      </c>
      <c r="AM250" s="146"/>
      <c r="AN250" s="145" t="e">
        <f>MAX(0,Table7[[#This Row],[I_L]]-0.5*Table7[[#This Row],[I_L pkpk]])</f>
        <v>#NAME?</v>
      </c>
      <c r="AO250" s="145" t="e">
        <f>Table7[[#This Row],[I_L]]+0.5*Table7[[#This Row],[I_L pkpk]]</f>
        <v>#NAME?</v>
      </c>
      <c r="AP250" s="145" t="e">
        <f ca="1">IF(VACnom&gt;Vbat, (VGS_S-(TI_MOSFET_S_VTH_H_BU+Table7[[#This Row],[I_L]]/TI_MOSFET_S_gFS_H_BU))/3.4, (VGS_S-(TI_MOSFET_S_VTH_L_BO+Table7[[#This Row],[I_L]]/TI_MOSFET_S_gFS_L_BO))/3.4 )</f>
        <v>#REF!</v>
      </c>
      <c r="AQ250" s="145" t="e">
        <f ca="1">IF(VACnom&gt;Vbat, ((TI_MOSFET_S_VTH_H_BU+Table7[[#This Row],[I_L]]/TI_MOSFET_S_gFS_H_BU))/1, ((TI_MOSFET_S_VTH_L_BO+Table7[[#This Row],[I_L]]/TI_MOSFET_S_gFS_L_BO))/1 )</f>
        <v>#REF!</v>
      </c>
      <c r="AR250" s="145" t="e">
        <f ca="1">IF(VACnom&gt;Vbat, (TI_MOSFET_S_QGD_H_BU+TI_MOSFET_S_QGS_H_BU)*10^-9/Table7[[#This Row],[Ion (A)]], (TI_MOSFET_S_QGD_L_BO+TI_MOSFET_S_QGS_L_BO)*10^-9/Table7[[#This Row],[Ion (A)]])/10^-9</f>
        <v>#REF!</v>
      </c>
      <c r="AS250" s="145" t="e">
        <f ca="1">IF(VACnom&gt;Vbat, (TI_MOSFET_S_QGD_H_BU+TI_MOSFET_S_QGS_H_BU)*10^-9/Table7[[#This Row],[Ioff (A)]], (TI_MOSFET_S_QGD_L_BO+TI_MOSFET_S_QGS_L_BO)*10^-9/Table7[[#This Row],[Ioff (A)]])/10^-9</f>
        <v>#REF!</v>
      </c>
      <c r="AT250" s="145" t="e">
        <f ca="1" xml:space="preserve"> 0.5*VACnom*Table7[[#This Row],[Ivalley (A)]]*Table7[[#This Row],[ton (ns)]]*10^-9*Fsw*10^3+0.5*VACnom*Table7[[#This Row],[Ipeak (A)]]*Table7[[#This Row],[toff (ns)]]*10^-9*Fsw*10^3/10^-3</f>
        <v>#NAME?</v>
      </c>
      <c r="AU250" s="145" t="e">
        <f t="shared" ca="1" si="45"/>
        <v>#REF!</v>
      </c>
      <c r="AV250" s="145" t="e">
        <f t="shared" ca="1" si="46"/>
        <v>#REF!</v>
      </c>
      <c r="AW250" s="145" t="e">
        <f t="shared" ca="1" si="47"/>
        <v>#REF!</v>
      </c>
      <c r="AX250" s="145" t="e">
        <f ca="1">IF(VACnom&gt;Vbat, TI_MOSFET_S_VSD_L_BU*Table7[[#This Row],[Ivalley (A)]]*Fsw*10^3*40*10^-9+TI_MOSFET_S_VSD_L_BU*Table7[[#This Row],[Ipeak (A)]]*Fsw*10^3*30*10^-9, TI_MOSFET_S_VSD_H_BO*Table7[[#This Row],[Ivalley (A)]]*Fsw*10^3*40*10^-9+TI_MOSFET_S_VSD_H_BO*Table7[[#This Row],[Ipeak (A)]]*Fsw*10^3*30*10^-9)/10^-3</f>
        <v>#REF!</v>
      </c>
      <c r="AY250" s="145" t="e">
        <f t="shared" ca="1" si="48"/>
        <v>#REF!</v>
      </c>
      <c r="AZ250" s="145" t="e">
        <f ca="1">IF(VACnom&lt;Vbat, Table7[[#This Row],[Duty Cycle]]*Table7[[#This Row],[I_L RMS]]^2*TI_MOSFET_S_RDSON_H_BU*10^-3, (1-Table7[[#This Row],[Duty Cycle]])*Table7[[#This Row],[I_L RMS]]^2*TI_MOSFET_S_RDSON_H_BO*10^-3)/10^-3</f>
        <v>#NAME?</v>
      </c>
      <c r="BA250" s="145" t="e">
        <f ca="1">IF(VACnom&gt;Vbat, Table7[[#This Row],[PIV (mW)]]+Table7[[#This Row],[Pqoss (mW)]]+Table7[[#This Row],[Pgate_top (mW)]], Table7[[#This Row],[PRR (mW)]]+Table7[[#This Row],[Pdead (mW)]]+Table7[[#This Row],[Pgate_top (mW)]])</f>
        <v>#REF!</v>
      </c>
      <c r="BB250" s="145" t="e">
        <f ca="1">Table7[[#This Row],[Pcon_top (mW)]]+Table7[[#This Row],[Psw_top (mW)]]</f>
        <v>#NAME?</v>
      </c>
      <c r="BC250" s="145" t="e">
        <f ca="1">IF(VACnom&gt;Vbat, (1-Table7[[#This Row],[Duty Cycle]])*Table7[[#This Row],[I_L RMS]]^2*TI_MOSFET_S_RDSON_L_BU*10^-3, Table7[[#This Row],[Duty Cycle]]*Table7[[#This Row],[I_L RMS]]^2*TI_MOSFET_S_RDSON_L_BO*10^-3)/10^-3</f>
        <v>#NAME?</v>
      </c>
      <c r="BD250" s="145" t="e">
        <f ca="1">IF(VACnom&gt;Vbat, Table7[[#This Row],[PRR (mW)]]+Table7[[#This Row],[Pdead (mW)]]+Table7[[#This Row],[Pgate_bottom (mW)]], Table7[[#This Row],[PIV (mW)]]+Table7[[#This Row],[Pqoss (mW)]]+Table7[[#This Row],[Pgate_bottom (mW)]])</f>
        <v>#NAME?</v>
      </c>
      <c r="BE250" s="147" t="e">
        <f ca="1">Table7[[#This Row],[Pcon_bottom (mW)]]+Table7[[#This Row],[Psw_bottom (mW)]]</f>
        <v>#NAME?</v>
      </c>
      <c r="BF250" s="145" t="e">
        <f ca="1">Table7[[#This Row],[Pbottom (mW)]]+Table7[[#This Row],[Ptop (mW)]]</f>
        <v>#NAME?</v>
      </c>
      <c r="BG250" s="142"/>
      <c r="BH250" s="145" t="e">
        <f>MAX(0,Table7[[#This Row],[I_L]]-0.5*Table7[[#This Row],[I_L pkpk]])</f>
        <v>#NAME?</v>
      </c>
      <c r="BI250" s="145" t="e">
        <f>Table7[[#This Row],[I_L]]+0.5*Table7[[#This Row],[I_L pkpk]]</f>
        <v>#NAME?</v>
      </c>
      <c r="BJ250" s="145">
        <f>IF(VACnom&gt;Vbat, (VGS_S-(C_MOSFET_S_VTH_H_BU+Table7[[#This Row],[I_L]]/C_MOSFET_S_gFS_H_BU))/3.4, (VGS_S-(C_MOSFET_S_VTH_L_BO+Table7[[#This Row],[I_L]]/C_MOSFET_S_gFS_L_BO))/3.4 )</f>
        <v>2.3309003267973858</v>
      </c>
      <c r="BK250" s="145">
        <f>IF(VACnom&gt;Vbat, ((C_MOSFET_S_VTH_H_BU+Table7[[#This Row],[I_L]]/C_MOSFET_S_gFS_H_BU))/1, ((C_MOSFET_S_VTH_L_BO+Table7[[#This Row],[I_L]]/C_MOSFET_S_gFS_L_BO))/1 )</f>
        <v>2.0749388888888891</v>
      </c>
      <c r="BL250" s="145">
        <f>IF(VACnom&gt;Vbat, (C_MOSFET_S_QGD_H_BU+C_MOSFET_S_QGS_H_BU)*10^-9/Table7[[#This Row],[Ion (A) C]], (C_MOSFET_S_QGD_L_BO+C_MOSFET_S_QGS_L_BO)*10^-9/Table7[[#This Row],[Ion (A) C]])/10^-9</f>
        <v>2.7886220295532245</v>
      </c>
      <c r="BM250" s="145">
        <f>IF(VACnom&gt;Vbat, (C_MOSFET_S_QGD_H_BU+C_MOSFET_S_QGS_H_BU)*10^-9/Table7[[#This Row],[Ioff (A) C]], (C_MOSFET_S_QGD_L_BO+C_MOSFET_S_QGS_L_BO)*10^-9/Table7[[#This Row],[Ioff (A) C]])/10^-9</f>
        <v>3.1326223797755754</v>
      </c>
      <c r="BN250" s="145" t="e">
        <f xml:space="preserve"> 0.5*VACnom*Table7[[#This Row],[Ivalley (A) C]]*Table7[[#This Row],[ton (ns) C]]*10^-9*Fsw*10^3+0.5*VACnom*Table7[[#This Row],[Ipeak (A) C]]*Table7[[#This Row],[toff (ns) C]]*10^-9*Fsw*10^3/10^-3</f>
        <v>#NAME?</v>
      </c>
      <c r="BO250" s="145">
        <f t="shared" si="49"/>
        <v>259.2</v>
      </c>
      <c r="BP250" s="145" t="e">
        <f t="shared" ca="1" si="50"/>
        <v>#REF!</v>
      </c>
      <c r="BQ250" s="145">
        <f t="shared" si="51"/>
        <v>475.2</v>
      </c>
      <c r="BR250" s="145" t="e">
        <f>IF(VACnom&gt;Vbat, C_MOSFET_S_VSD_L_BU*Table7[[#This Row],[Ivalley (A) C]]*Fsw*10^3*40*10^-9+C_MOSFET_S_VSD_L_BU*Table7[[#This Row],[Ipeak (A) C]]*Fsw*10^3*30*10^-9, C_MOSFET_S_VSD_H_BO*Table7[[#This Row],[Ivalley (A) C]]*Fsw*10^3*40*10^-9+C_MOSFET_S_VSD_H_BO*Table7[[#This Row],[Ipeak (A) C]]*Fsw*10^3*30*10^-9)/10^-3</f>
        <v>#NAME?</v>
      </c>
      <c r="BS250" s="145" t="e">
        <f t="shared" ca="1" si="52"/>
        <v>#REF!</v>
      </c>
      <c r="BT250" s="145" t="e">
        <f>IF(VACnom&lt;Vbat, Table7[[#This Row],[Duty Cycle]]*Table7[[#This Row],[I_L RMS]]^2*C_MOSFET_S_RDSON_H_BU*10^-3, (1-Table7[[#This Row],[Duty Cycle]])*Table7[[#This Row],[I_L RMS]]^2*C_MOSFET_S_RDSON_H_BO*10^-3)/10^-3</f>
        <v>#NAME?</v>
      </c>
      <c r="BU250" s="145" t="e">
        <f ca="1">IF(VACnom&gt;Vbat, Table7[[#This Row],[PIV (mW) C]]+Table7[[#This Row],[PQoss (mW) C]]+Table7[[#This Row],[Pgate_top (mW) C]], Table7[[#This Row],[PRR (mW) C]]+Table7[[#This Row],[Pdead (mW) C]]+Table7[[#This Row],[Pgate_top (mW) C]])</f>
        <v>#NAME?</v>
      </c>
      <c r="BV250" s="145" t="e">
        <f ca="1">Table7[[#This Row],[Pcon_top (mW) C]]+Table7[[#This Row],[Psw_top (mW) C]]</f>
        <v>#NAME?</v>
      </c>
      <c r="BW250" s="145" t="e">
        <f ca="1">IF(VACnom&gt;Vbat, (1-Table7[[#This Row],[Duty Cycle]])*Table7[[#This Row],[I_L RMS]]^2*C_MOSFET_S_RDSON_L_BU*10^-3, Table7[[#This Row],[Duty Cycle]]*Table7[[#This Row],[I_L RMS]]^2*C_MOSFET_S_RDSON_L_BO*10^-3)/10^-3</f>
        <v>#NAME?</v>
      </c>
      <c r="BX250" s="145" t="e">
        <f ca="1">IF(VACnom&gt;Vbat, Table7[[#This Row],[PRR (mW) C]]+Table7[[#This Row],[Pdead (mW) C]]+Table7[[#This Row],[Pgate_bottom (mW) C]], Table7[[#This Row],[PIV (mW) C]]+Table7[[#This Row],[PQoss (mW) C]]+Table7[[#This Row],[Pgate_bottom (mW) C]])</f>
        <v>#NAME?</v>
      </c>
      <c r="BY250" s="145" t="e">
        <f ca="1">Table7[[#This Row],[Pcon_bottom (mW) C]]+Table7[[#This Row],[Psw_bottom (mV) C]]</f>
        <v>#NAME?</v>
      </c>
      <c r="BZ250" s="145" t="e">
        <f ca="1">Table7[[#This Row],[Pbottom (mW) C]]+Table7[[#This Row],[Ptop (mW) C]]</f>
        <v>#NAME?</v>
      </c>
      <c r="CA250" s="148"/>
      <c r="CB250" s="144">
        <f>(RAC_SNS*10^-3*(Table7[[#This Row],[IOUT (A)]]*Vbat/VACnom)^2/10^-3)</f>
        <v>631.78167013888913</v>
      </c>
      <c r="CC250" s="144">
        <f>(RBAT_SNS*10^-3*Table7[[#This Row],[IOUT (A)]]^2)/10^-3</f>
        <v>441.80000000000007</v>
      </c>
      <c r="CD250" s="144">
        <f>IF(VACnom&gt;Vbat,(L_DRC*10^-3*(Table7[[#This Row],[IOUT (A)]])^2/10^-3),(L_DRC*10^-3*(Table7[[#This Row],[IOUT (A)]]*Vbat/VACnom)^2/10^-3))</f>
        <v>429.61153569444446</v>
      </c>
      <c r="CE250" s="152"/>
      <c r="CF250" s="145">
        <f>(Table7[[#This Row],[R_AC (mW)]]+Table7[[#This Row],[R_SR (mW)]]+Table7[[#This Row],[Inductor Loss (mW)]])/10^3</f>
        <v>1.5031932058333337</v>
      </c>
      <c r="CG250" s="145" t="e">
        <f ca="1">Table7[[#This Row],[Total TI (mW)]]/10^3</f>
        <v>#NAME?</v>
      </c>
      <c r="CH250" s="145" t="e">
        <f ca="1">Table7[[#This Row],[Total Sense Loss]]+Table7[[#This Row],[Total MOSFET Loss]]</f>
        <v>#NAME?</v>
      </c>
      <c r="CI250" s="149" t="e">
        <f ca="1">IF(Table7[[#This Row],[POUT (W)]]=0,0,(Table7[[#This Row],[POUT (W)]])/(Table7[[#This Row],[POUT (W)]]+Table7[[#This Row],[Total Power Loss (W)]]))*100</f>
        <v>#NAME?</v>
      </c>
      <c r="CJ250" s="153"/>
      <c r="CK250" s="145">
        <f>(Table7[[#This Row],[R_AC (mW)]]+Table7[[#This Row],[R_SR (mW)]]+Table7[[#This Row],[Inductor Loss (mW)]])/10^3</f>
        <v>1.5031932058333337</v>
      </c>
      <c r="CL250" s="145" t="e">
        <f ca="1">Table7[[#This Row],[Total (mW) C]]/10^3</f>
        <v>#NAME?</v>
      </c>
      <c r="CM250" s="145" t="e">
        <f ca="1">Table7[[#This Row],[Total Sense Loss C]]+Table7[[#This Row],[Total MOSFET Loss C]]</f>
        <v>#NAME?</v>
      </c>
      <c r="CN250" s="149" t="e">
        <f ca="1">IF(Table7[[#This Row],[POUT (W)]]=0,0,(Table7[[#This Row],[POUT (W)]])/(Table7[[#This Row],[POUT (W)]]+Table7[[#This Row],[Total Power Loss (W) C]]))*100</f>
        <v>#NAME?</v>
      </c>
      <c r="CO250" s="153"/>
      <c r="CP250" s="149">
        <f>IF(MOSFET_S=Custom_MOSFET,Table7[[#This Row],[Total Sense Loss C]],Table7[[#This Row],[Total Sense Loss]])</f>
        <v>1.5031932058333337</v>
      </c>
      <c r="CQ250" s="149" t="e">
        <f ca="1">IF(MOSFET_S=Custom_MOSFET,Table7[[#This Row],[Total MOSFET Loss C]],Table7[[#This Row],[Total MOSFET Loss]])</f>
        <v>#NAME?</v>
      </c>
      <c r="CR250" s="149" t="e">
        <f ca="1">IF(MOSFET_S=Custom_MOSFET,Table7[[#This Row],[Efficiency C]],Table7[[#This Row],[Efficiency]])</f>
        <v>#NAME?</v>
      </c>
      <c r="CS250" s="153"/>
      <c r="CT250" s="149">
        <f>IF(MOSFET_S=Compare_MOSFET, Table7[[#This Row],[Total Sense Loss C]], -100)</f>
        <v>-100</v>
      </c>
      <c r="CU250" s="149">
        <f>IF(MOSFET_S=Compare_MOSFET, Table7[[#This Row],[Total MOSFET Loss C]], -100)</f>
        <v>-100</v>
      </c>
      <c r="CV250" s="149">
        <f>IF(MOSFET_S=Compare_MOSFET, Table7[[#This Row],[Efficiency C]], -100)</f>
        <v>-100</v>
      </c>
      <c r="CW250" s="153"/>
      <c r="CX250" s="149">
        <f ca="1">IF(Save_Sel=CLR_Save,  Table7[[#This Row],[Total Sense Loss P1]], Table7[[#This Row],[Total Sense Loss P1 Saved]])</f>
        <v>1.260510625</v>
      </c>
      <c r="CY250" s="149">
        <f ca="1">IF(Save_Sel=CLR_Save,  Table7[[#This Row],[Total MOSFET Loss P1]], Table7[[#This Row],[Total MOSFET Loss P1 Saved]] )</f>
        <v>2.349131148953604</v>
      </c>
      <c r="CZ250" s="149">
        <f ca="1">IF(Save_Sel=CLR_Save, Table7[[#This Row],[Efficiency P1]], Table7[[#This Row],[Efficiency P1 Saved]])</f>
        <v>93.984896981137595</v>
      </c>
      <c r="DA250" s="153"/>
      <c r="DB250" s="149">
        <f ca="1">IF(Save_Sel=CLR_Save,  Table7[[#This Row],[Total Sense Loss P2]], Table7[[#This Row],[Total Sense Loss P2 Saved]])</f>
        <v>1.260510625</v>
      </c>
      <c r="DC250" s="149">
        <f ca="1">IF(Save_Sel=CLR_Save,  Table7[[#This Row],[Total MOSFET Loss P2]], Table7[[#This Row],[Total MOSFET Loss P2 Saved]] )</f>
        <v>1.6760868181172384</v>
      </c>
      <c r="DD250" s="149">
        <f ca="1">IF(Save_Sel=CLR_Save, Table7[[#This Row],[Efficiency P2]], Table7[[#This Row],[Efficiency P2 Saved]])</f>
        <v>95.050950729130719</v>
      </c>
      <c r="DE250" s="153"/>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row>
    <row r="251" spans="1:165" x14ac:dyDescent="0.2">
      <c r="A251" s="67"/>
      <c r="B251" s="67"/>
      <c r="C251" s="67"/>
      <c r="D251" s="67"/>
      <c r="E251" s="67"/>
      <c r="F251" s="67"/>
      <c r="G251" s="67"/>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43">
        <f t="shared" si="54"/>
        <v>95</v>
      </c>
      <c r="AG251" s="143">
        <f t="shared" si="53"/>
        <v>9.5</v>
      </c>
      <c r="AH251" s="144">
        <f t="shared" si="42"/>
        <v>228</v>
      </c>
      <c r="AI251" s="145">
        <f t="shared" si="43"/>
        <v>0.16376306620209058</v>
      </c>
      <c r="AJ251" s="145">
        <f t="shared" si="44"/>
        <v>11.360416666666666</v>
      </c>
      <c r="AK251" s="145" t="e">
        <f t="shared" si="55"/>
        <v>#NAME?</v>
      </c>
      <c r="AL251" s="145" t="e">
        <f t="shared" si="56"/>
        <v>#NAME?</v>
      </c>
      <c r="AM251" s="146"/>
      <c r="AN251" s="145" t="e">
        <f>MAX(0,Table7[[#This Row],[I_L]]-0.5*Table7[[#This Row],[I_L pkpk]])</f>
        <v>#NAME?</v>
      </c>
      <c r="AO251" s="145" t="e">
        <f>Table7[[#This Row],[I_L]]+0.5*Table7[[#This Row],[I_L pkpk]]</f>
        <v>#NAME?</v>
      </c>
      <c r="AP251" s="145" t="e">
        <f ca="1">IF(VACnom&gt;Vbat, (VGS_S-(TI_MOSFET_S_VTH_H_BU+Table7[[#This Row],[I_L]]/TI_MOSFET_S_gFS_H_BU))/3.4, (VGS_S-(TI_MOSFET_S_VTH_L_BO+Table7[[#This Row],[I_L]]/TI_MOSFET_S_gFS_L_BO))/3.4 )</f>
        <v>#REF!</v>
      </c>
      <c r="AQ251" s="145" t="e">
        <f ca="1">IF(VACnom&gt;Vbat, ((TI_MOSFET_S_VTH_H_BU+Table7[[#This Row],[I_L]]/TI_MOSFET_S_gFS_H_BU))/1, ((TI_MOSFET_S_VTH_L_BO+Table7[[#This Row],[I_L]]/TI_MOSFET_S_gFS_L_BO))/1 )</f>
        <v>#REF!</v>
      </c>
      <c r="AR251" s="145" t="e">
        <f ca="1">IF(VACnom&gt;Vbat, (TI_MOSFET_S_QGD_H_BU+TI_MOSFET_S_QGS_H_BU)*10^-9/Table7[[#This Row],[Ion (A)]], (TI_MOSFET_S_QGD_L_BO+TI_MOSFET_S_QGS_L_BO)*10^-9/Table7[[#This Row],[Ion (A)]])/10^-9</f>
        <v>#REF!</v>
      </c>
      <c r="AS251" s="145" t="e">
        <f ca="1">IF(VACnom&gt;Vbat, (TI_MOSFET_S_QGD_H_BU+TI_MOSFET_S_QGS_H_BU)*10^-9/Table7[[#This Row],[Ioff (A)]], (TI_MOSFET_S_QGD_L_BO+TI_MOSFET_S_QGS_L_BO)*10^-9/Table7[[#This Row],[Ioff (A)]])/10^-9</f>
        <v>#REF!</v>
      </c>
      <c r="AT251" s="145" t="e">
        <f ca="1" xml:space="preserve"> 0.5*VACnom*Table7[[#This Row],[Ivalley (A)]]*Table7[[#This Row],[ton (ns)]]*10^-9*Fsw*10^3+0.5*VACnom*Table7[[#This Row],[Ipeak (A)]]*Table7[[#This Row],[toff (ns)]]*10^-9*Fsw*10^3/10^-3</f>
        <v>#NAME?</v>
      </c>
      <c r="AU251" s="145" t="e">
        <f t="shared" ca="1" si="45"/>
        <v>#REF!</v>
      </c>
      <c r="AV251" s="145" t="e">
        <f t="shared" ca="1" si="46"/>
        <v>#REF!</v>
      </c>
      <c r="AW251" s="145" t="e">
        <f t="shared" ca="1" si="47"/>
        <v>#REF!</v>
      </c>
      <c r="AX251" s="145" t="e">
        <f ca="1">IF(VACnom&gt;Vbat, TI_MOSFET_S_VSD_L_BU*Table7[[#This Row],[Ivalley (A)]]*Fsw*10^3*40*10^-9+TI_MOSFET_S_VSD_L_BU*Table7[[#This Row],[Ipeak (A)]]*Fsw*10^3*30*10^-9, TI_MOSFET_S_VSD_H_BO*Table7[[#This Row],[Ivalley (A)]]*Fsw*10^3*40*10^-9+TI_MOSFET_S_VSD_H_BO*Table7[[#This Row],[Ipeak (A)]]*Fsw*10^3*30*10^-9)/10^-3</f>
        <v>#REF!</v>
      </c>
      <c r="AY251" s="145" t="e">
        <f t="shared" ca="1" si="48"/>
        <v>#REF!</v>
      </c>
      <c r="AZ251" s="145" t="e">
        <f ca="1">IF(VACnom&lt;Vbat, Table7[[#This Row],[Duty Cycle]]*Table7[[#This Row],[I_L RMS]]^2*TI_MOSFET_S_RDSON_H_BU*10^-3, (1-Table7[[#This Row],[Duty Cycle]])*Table7[[#This Row],[I_L RMS]]^2*TI_MOSFET_S_RDSON_H_BO*10^-3)/10^-3</f>
        <v>#NAME?</v>
      </c>
      <c r="BA251" s="145" t="e">
        <f ca="1">IF(VACnom&gt;Vbat, Table7[[#This Row],[PIV (mW)]]+Table7[[#This Row],[Pqoss (mW)]]+Table7[[#This Row],[Pgate_top (mW)]], Table7[[#This Row],[PRR (mW)]]+Table7[[#This Row],[Pdead (mW)]]+Table7[[#This Row],[Pgate_top (mW)]])</f>
        <v>#REF!</v>
      </c>
      <c r="BB251" s="145" t="e">
        <f ca="1">Table7[[#This Row],[Pcon_top (mW)]]+Table7[[#This Row],[Psw_top (mW)]]</f>
        <v>#NAME?</v>
      </c>
      <c r="BC251" s="145" t="e">
        <f ca="1">IF(VACnom&gt;Vbat, (1-Table7[[#This Row],[Duty Cycle]])*Table7[[#This Row],[I_L RMS]]^2*TI_MOSFET_S_RDSON_L_BU*10^-3, Table7[[#This Row],[Duty Cycle]]*Table7[[#This Row],[I_L RMS]]^2*TI_MOSFET_S_RDSON_L_BO*10^-3)/10^-3</f>
        <v>#NAME?</v>
      </c>
      <c r="BD251" s="145" t="e">
        <f ca="1">IF(VACnom&gt;Vbat, Table7[[#This Row],[PRR (mW)]]+Table7[[#This Row],[Pdead (mW)]]+Table7[[#This Row],[Pgate_bottom (mW)]], Table7[[#This Row],[PIV (mW)]]+Table7[[#This Row],[Pqoss (mW)]]+Table7[[#This Row],[Pgate_bottom (mW)]])</f>
        <v>#NAME?</v>
      </c>
      <c r="BE251" s="147" t="e">
        <f ca="1">Table7[[#This Row],[Pcon_bottom (mW)]]+Table7[[#This Row],[Psw_bottom (mW)]]</f>
        <v>#NAME?</v>
      </c>
      <c r="BF251" s="145" t="e">
        <f ca="1">Table7[[#This Row],[Pbottom (mW)]]+Table7[[#This Row],[Ptop (mW)]]</f>
        <v>#NAME?</v>
      </c>
      <c r="BG251" s="142"/>
      <c r="BH251" s="145" t="e">
        <f>MAX(0,Table7[[#This Row],[I_L]]-0.5*Table7[[#This Row],[I_L pkpk]])</f>
        <v>#NAME?</v>
      </c>
      <c r="BI251" s="145" t="e">
        <f>Table7[[#This Row],[I_L]]+0.5*Table7[[#This Row],[I_L pkpk]]</f>
        <v>#NAME?</v>
      </c>
      <c r="BJ251" s="145">
        <f>IF(VACnom&gt;Vbat, (VGS_S-(C_MOSFET_S_VTH_H_BU+Table7[[#This Row],[I_L]]/C_MOSFET_S_gFS_H_BU))/3.4, (VGS_S-(C_MOSFET_S_VTH_L_BO+Table7[[#This Row],[I_L]]/C_MOSFET_S_gFS_L_BO))/3.4 )</f>
        <v>2.3306658496732027</v>
      </c>
      <c r="BK251" s="145">
        <f>IF(VACnom&gt;Vbat, ((C_MOSFET_S_VTH_H_BU+Table7[[#This Row],[I_L]]/C_MOSFET_S_gFS_H_BU))/1, ((C_MOSFET_S_VTH_L_BO+Table7[[#This Row],[I_L]]/C_MOSFET_S_gFS_L_BO))/1 )</f>
        <v>2.075736111111111</v>
      </c>
      <c r="BL251" s="145">
        <f>IF(VACnom&gt;Vbat, (C_MOSFET_S_QGD_H_BU+C_MOSFET_S_QGS_H_BU)*10^-9/Table7[[#This Row],[Ion (A) C]], (C_MOSFET_S_QGD_L_BO+C_MOSFET_S_QGS_L_BO)*10^-9/Table7[[#This Row],[Ion (A) C]])/10^-9</f>
        <v>2.7889025794544531</v>
      </c>
      <c r="BM251" s="145">
        <f>IF(VACnom&gt;Vbat, (C_MOSFET_S_QGD_H_BU+C_MOSFET_S_QGS_H_BU)*10^-9/Table7[[#This Row],[Ioff (A) C]], (C_MOSFET_S_QGD_L_BO+C_MOSFET_S_QGS_L_BO)*10^-9/Table7[[#This Row],[Ioff (A) C]])/10^-9</f>
        <v>3.1314192421697791</v>
      </c>
      <c r="BN251" s="145" t="e">
        <f xml:space="preserve"> 0.5*VACnom*Table7[[#This Row],[Ivalley (A) C]]*Table7[[#This Row],[ton (ns) C]]*10^-9*Fsw*10^3+0.5*VACnom*Table7[[#This Row],[Ipeak (A) C]]*Table7[[#This Row],[toff (ns) C]]*10^-9*Fsw*10^3/10^-3</f>
        <v>#NAME?</v>
      </c>
      <c r="BO251" s="145">
        <f t="shared" si="49"/>
        <v>259.2</v>
      </c>
      <c r="BP251" s="145" t="e">
        <f t="shared" ca="1" si="50"/>
        <v>#REF!</v>
      </c>
      <c r="BQ251" s="145">
        <f t="shared" si="51"/>
        <v>475.2</v>
      </c>
      <c r="BR251" s="145" t="e">
        <f>IF(VACnom&gt;Vbat, C_MOSFET_S_VSD_L_BU*Table7[[#This Row],[Ivalley (A) C]]*Fsw*10^3*40*10^-9+C_MOSFET_S_VSD_L_BU*Table7[[#This Row],[Ipeak (A) C]]*Fsw*10^3*30*10^-9, C_MOSFET_S_VSD_H_BO*Table7[[#This Row],[Ivalley (A) C]]*Fsw*10^3*40*10^-9+C_MOSFET_S_VSD_H_BO*Table7[[#This Row],[Ipeak (A) C]]*Fsw*10^3*30*10^-9)/10^-3</f>
        <v>#NAME?</v>
      </c>
      <c r="BS251" s="145" t="e">
        <f t="shared" ca="1" si="52"/>
        <v>#REF!</v>
      </c>
      <c r="BT251" s="145" t="e">
        <f>IF(VACnom&lt;Vbat, Table7[[#This Row],[Duty Cycle]]*Table7[[#This Row],[I_L RMS]]^2*C_MOSFET_S_RDSON_H_BU*10^-3, (1-Table7[[#This Row],[Duty Cycle]])*Table7[[#This Row],[I_L RMS]]^2*C_MOSFET_S_RDSON_H_BO*10^-3)/10^-3</f>
        <v>#NAME?</v>
      </c>
      <c r="BU251" s="145" t="e">
        <f ca="1">IF(VACnom&gt;Vbat, Table7[[#This Row],[PIV (mW) C]]+Table7[[#This Row],[PQoss (mW) C]]+Table7[[#This Row],[Pgate_top (mW) C]], Table7[[#This Row],[PRR (mW) C]]+Table7[[#This Row],[Pdead (mW) C]]+Table7[[#This Row],[Pgate_top (mW) C]])</f>
        <v>#NAME?</v>
      </c>
      <c r="BV251" s="145" t="e">
        <f ca="1">Table7[[#This Row],[Pcon_top (mW) C]]+Table7[[#This Row],[Psw_top (mW) C]]</f>
        <v>#NAME?</v>
      </c>
      <c r="BW251" s="145" t="e">
        <f ca="1">IF(VACnom&gt;Vbat, (1-Table7[[#This Row],[Duty Cycle]])*Table7[[#This Row],[I_L RMS]]^2*C_MOSFET_S_RDSON_L_BU*10^-3, Table7[[#This Row],[Duty Cycle]]*Table7[[#This Row],[I_L RMS]]^2*C_MOSFET_S_RDSON_L_BO*10^-3)/10^-3</f>
        <v>#NAME?</v>
      </c>
      <c r="BX251" s="145" t="e">
        <f ca="1">IF(VACnom&gt;Vbat, Table7[[#This Row],[PRR (mW) C]]+Table7[[#This Row],[Pdead (mW) C]]+Table7[[#This Row],[Pgate_bottom (mW) C]], Table7[[#This Row],[PIV (mW) C]]+Table7[[#This Row],[PQoss (mW) C]]+Table7[[#This Row],[Pgate_bottom (mW) C]])</f>
        <v>#NAME?</v>
      </c>
      <c r="BY251" s="145" t="e">
        <f ca="1">Table7[[#This Row],[Pcon_bottom (mW) C]]+Table7[[#This Row],[Psw_bottom (mV) C]]</f>
        <v>#NAME?</v>
      </c>
      <c r="BZ251" s="145" t="e">
        <f ca="1">Table7[[#This Row],[Pbottom (mW) C]]+Table7[[#This Row],[Ptop (mW) C]]</f>
        <v>#NAME?</v>
      </c>
      <c r="CA251" s="148"/>
      <c r="CB251" s="144">
        <f>(RAC_SNS*10^-3*(Table7[[#This Row],[IOUT (A)]]*Vbat/VACnom)^2/10^-3)</f>
        <v>645.29533420138875</v>
      </c>
      <c r="CC251" s="144">
        <f>(RBAT_SNS*10^-3*Table7[[#This Row],[IOUT (A)]]^2)/10^-3</f>
        <v>451.25</v>
      </c>
      <c r="CD251" s="144">
        <f>IF(VACnom&gt;Vbat,(L_DRC*10^-3*(Table7[[#This Row],[IOUT (A)]])^2/10^-3),(L_DRC*10^-3*(Table7[[#This Row],[IOUT (A)]]*Vbat/VACnom)^2/10^-3))</f>
        <v>438.80082725694427</v>
      </c>
      <c r="CE251" s="152"/>
      <c r="CF251" s="145">
        <f>(Table7[[#This Row],[R_AC (mW)]]+Table7[[#This Row],[R_SR (mW)]]+Table7[[#This Row],[Inductor Loss (mW)]])/10^3</f>
        <v>1.5353461614583332</v>
      </c>
      <c r="CG251" s="145" t="e">
        <f ca="1">Table7[[#This Row],[Total TI (mW)]]/10^3</f>
        <v>#NAME?</v>
      </c>
      <c r="CH251" s="145" t="e">
        <f ca="1">Table7[[#This Row],[Total Sense Loss]]+Table7[[#This Row],[Total MOSFET Loss]]</f>
        <v>#NAME?</v>
      </c>
      <c r="CI251" s="149" t="e">
        <f ca="1">IF(Table7[[#This Row],[POUT (W)]]=0,0,(Table7[[#This Row],[POUT (W)]])/(Table7[[#This Row],[POUT (W)]]+Table7[[#This Row],[Total Power Loss (W)]]))*100</f>
        <v>#NAME?</v>
      </c>
      <c r="CJ251" s="153"/>
      <c r="CK251" s="145">
        <f>(Table7[[#This Row],[R_AC (mW)]]+Table7[[#This Row],[R_SR (mW)]]+Table7[[#This Row],[Inductor Loss (mW)]])/10^3</f>
        <v>1.5353461614583332</v>
      </c>
      <c r="CL251" s="145" t="e">
        <f ca="1">Table7[[#This Row],[Total (mW) C]]/10^3</f>
        <v>#NAME?</v>
      </c>
      <c r="CM251" s="145" t="e">
        <f ca="1">Table7[[#This Row],[Total Sense Loss C]]+Table7[[#This Row],[Total MOSFET Loss C]]</f>
        <v>#NAME?</v>
      </c>
      <c r="CN251" s="149" t="e">
        <f ca="1">IF(Table7[[#This Row],[POUT (W)]]=0,0,(Table7[[#This Row],[POUT (W)]])/(Table7[[#This Row],[POUT (W)]]+Table7[[#This Row],[Total Power Loss (W) C]]))*100</f>
        <v>#NAME?</v>
      </c>
      <c r="CO251" s="153"/>
      <c r="CP251" s="149">
        <f>IF(MOSFET_S=Custom_MOSFET,Table7[[#This Row],[Total Sense Loss C]],Table7[[#This Row],[Total Sense Loss]])</f>
        <v>1.5353461614583332</v>
      </c>
      <c r="CQ251" s="149" t="e">
        <f ca="1">IF(MOSFET_S=Custom_MOSFET,Table7[[#This Row],[Total MOSFET Loss C]],Table7[[#This Row],[Total MOSFET Loss]])</f>
        <v>#NAME?</v>
      </c>
      <c r="CR251" s="149" t="e">
        <f ca="1">IF(MOSFET_S=Custom_MOSFET,Table7[[#This Row],[Efficiency C]],Table7[[#This Row],[Efficiency]])</f>
        <v>#NAME?</v>
      </c>
      <c r="CS251" s="153"/>
      <c r="CT251" s="149">
        <f>IF(MOSFET_S=Compare_MOSFET, Table7[[#This Row],[Total Sense Loss C]], -100)</f>
        <v>-100</v>
      </c>
      <c r="CU251" s="149">
        <f>IF(MOSFET_S=Compare_MOSFET, Table7[[#This Row],[Total MOSFET Loss C]], -100)</f>
        <v>-100</v>
      </c>
      <c r="CV251" s="149">
        <f>IF(MOSFET_S=Compare_MOSFET, Table7[[#This Row],[Efficiency C]], -100)</f>
        <v>-100</v>
      </c>
      <c r="CW251" s="153"/>
      <c r="CX251" s="149">
        <f ca="1">IF(Save_Sel=CLR_Save,  Table7[[#This Row],[Total Sense Loss P1]], Table7[[#This Row],[Total Sense Loss P1 Saved]])</f>
        <v>1.2874726562500001</v>
      </c>
      <c r="CY251" s="149">
        <f ca="1">IF(Save_Sel=CLR_Save,  Table7[[#This Row],[Total MOSFET Loss P1]], Table7[[#This Row],[Total MOSFET Loss P1 Saved]] )</f>
        <v>2.3610096609725653</v>
      </c>
      <c r="CZ251" s="149">
        <f ca="1">IF(Save_Sel=CLR_Save, Table7[[#This Row],[Efficiency P1]], Table7[[#This Row],[Efficiency P1 Saved]])</f>
        <v>93.98421497484614</v>
      </c>
      <c r="DA251" s="153"/>
      <c r="DB251" s="149">
        <f ca="1">IF(Save_Sel=CLR_Save,  Table7[[#This Row],[Total Sense Loss P2]], Table7[[#This Row],[Total Sense Loss P2 Saved]])</f>
        <v>1.2874726562500001</v>
      </c>
      <c r="DC251" s="149">
        <f ca="1">IF(Save_Sel=CLR_Save,  Table7[[#This Row],[Total MOSFET Loss P2]], Table7[[#This Row],[Total MOSFET Loss P2 Saved]] )</f>
        <v>1.6875328058354453</v>
      </c>
      <c r="DD251" s="149">
        <f ca="1">IF(Save_Sel=CLR_Save, Table7[[#This Row],[Efficiency P2]], Table7[[#This Row],[Efficiency P2 Saved]])</f>
        <v>95.039591177751262</v>
      </c>
      <c r="DE251" s="153"/>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row>
    <row r="252" spans="1:165" x14ac:dyDescent="0.2">
      <c r="A252" s="67"/>
      <c r="B252" s="67"/>
      <c r="C252" s="67"/>
      <c r="D252" s="67"/>
      <c r="E252" s="67"/>
      <c r="F252" s="67"/>
      <c r="G252" s="67"/>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43">
        <f t="shared" si="54"/>
        <v>96</v>
      </c>
      <c r="AG252" s="143">
        <f t="shared" si="53"/>
        <v>9.6</v>
      </c>
      <c r="AH252" s="144">
        <f t="shared" ref="AH252:AH256" si="57">AG252*VACnom</f>
        <v>230.39999999999998</v>
      </c>
      <c r="AI252" s="145">
        <f t="shared" si="43"/>
        <v>0.16376306620209058</v>
      </c>
      <c r="AJ252" s="145">
        <f t="shared" ref="AJ252:AJ256" si="58">IF(VACnom&lt;Vbat, AG252/(1-AI252), AG252*AI252)</f>
        <v>11.479999999999999</v>
      </c>
      <c r="AK252" s="145" t="e">
        <f t="shared" si="55"/>
        <v>#NAME?</v>
      </c>
      <c r="AL252" s="145" t="e">
        <f t="shared" si="56"/>
        <v>#NAME?</v>
      </c>
      <c r="AM252" s="146"/>
      <c r="AN252" s="145" t="e">
        <f>MAX(0,Table7[[#This Row],[I_L]]-0.5*Table7[[#This Row],[I_L pkpk]])</f>
        <v>#NAME?</v>
      </c>
      <c r="AO252" s="145" t="e">
        <f>Table7[[#This Row],[I_L]]+0.5*Table7[[#This Row],[I_L pkpk]]</f>
        <v>#NAME?</v>
      </c>
      <c r="AP252" s="145" t="e">
        <f ca="1">IF(VACnom&gt;Vbat, (VGS_S-(TI_MOSFET_S_VTH_H_BU+Table7[[#This Row],[I_L]]/TI_MOSFET_S_gFS_H_BU))/3.4, (VGS_S-(TI_MOSFET_S_VTH_L_BO+Table7[[#This Row],[I_L]]/TI_MOSFET_S_gFS_L_BO))/3.4 )</f>
        <v>#REF!</v>
      </c>
      <c r="AQ252" s="145" t="e">
        <f ca="1">IF(VACnom&gt;Vbat, ((TI_MOSFET_S_VTH_H_BU+Table7[[#This Row],[I_L]]/TI_MOSFET_S_gFS_H_BU))/1, ((TI_MOSFET_S_VTH_L_BO+Table7[[#This Row],[I_L]]/TI_MOSFET_S_gFS_L_BO))/1 )</f>
        <v>#REF!</v>
      </c>
      <c r="AR252" s="145" t="e">
        <f ca="1">IF(VACnom&gt;Vbat, (TI_MOSFET_S_QGD_H_BU+TI_MOSFET_S_QGS_H_BU)*10^-9/Table7[[#This Row],[Ion (A)]], (TI_MOSFET_S_QGD_L_BO+TI_MOSFET_S_QGS_L_BO)*10^-9/Table7[[#This Row],[Ion (A)]])/10^-9</f>
        <v>#REF!</v>
      </c>
      <c r="AS252" s="145" t="e">
        <f ca="1">IF(VACnom&gt;Vbat, (TI_MOSFET_S_QGD_H_BU+TI_MOSFET_S_QGS_H_BU)*10^-9/Table7[[#This Row],[Ioff (A)]], (TI_MOSFET_S_QGD_L_BO+TI_MOSFET_S_QGS_L_BO)*10^-9/Table7[[#This Row],[Ioff (A)]])/10^-9</f>
        <v>#REF!</v>
      </c>
      <c r="AT252" s="145" t="e">
        <f ca="1" xml:space="preserve"> 0.5*VACnom*Table7[[#This Row],[Ivalley (A)]]*Table7[[#This Row],[ton (ns)]]*10^-9*Fsw*10^3+0.5*VACnom*Table7[[#This Row],[Ipeak (A)]]*Table7[[#This Row],[toff (ns)]]*10^-9*Fsw*10^3/10^-3</f>
        <v>#NAME?</v>
      </c>
      <c r="AU252" s="145" t="e">
        <f t="shared" ca="1" si="45"/>
        <v>#REF!</v>
      </c>
      <c r="AV252" s="145" t="e">
        <f t="shared" ca="1" si="46"/>
        <v>#REF!</v>
      </c>
      <c r="AW252" s="145" t="e">
        <f t="shared" ca="1" si="47"/>
        <v>#REF!</v>
      </c>
      <c r="AX252" s="145" t="e">
        <f ca="1">IF(VACnom&gt;Vbat, TI_MOSFET_S_VSD_L_BU*Table7[[#This Row],[Ivalley (A)]]*Fsw*10^3*40*10^-9+TI_MOSFET_S_VSD_L_BU*Table7[[#This Row],[Ipeak (A)]]*Fsw*10^3*30*10^-9, TI_MOSFET_S_VSD_H_BO*Table7[[#This Row],[Ivalley (A)]]*Fsw*10^3*40*10^-9+TI_MOSFET_S_VSD_H_BO*Table7[[#This Row],[Ipeak (A)]]*Fsw*10^3*30*10^-9)/10^-3</f>
        <v>#REF!</v>
      </c>
      <c r="AY252" s="145" t="e">
        <f t="shared" ca="1" si="48"/>
        <v>#REF!</v>
      </c>
      <c r="AZ252" s="145" t="e">
        <f ca="1">IF(VACnom&lt;Vbat, Table7[[#This Row],[Duty Cycle]]*Table7[[#This Row],[I_L RMS]]^2*TI_MOSFET_S_RDSON_H_BU*10^-3, (1-Table7[[#This Row],[Duty Cycle]])*Table7[[#This Row],[I_L RMS]]^2*TI_MOSFET_S_RDSON_H_BO*10^-3)/10^-3</f>
        <v>#NAME?</v>
      </c>
      <c r="BA252" s="145" t="e">
        <f ca="1">IF(VACnom&gt;Vbat, Table7[[#This Row],[PIV (mW)]]+Table7[[#This Row],[Pqoss (mW)]]+Table7[[#This Row],[Pgate_top (mW)]], Table7[[#This Row],[PRR (mW)]]+Table7[[#This Row],[Pdead (mW)]]+Table7[[#This Row],[Pgate_top (mW)]])</f>
        <v>#REF!</v>
      </c>
      <c r="BB252" s="145" t="e">
        <f ca="1">Table7[[#This Row],[Pcon_top (mW)]]+Table7[[#This Row],[Psw_top (mW)]]</f>
        <v>#NAME?</v>
      </c>
      <c r="BC252" s="145" t="e">
        <f ca="1">IF(VACnom&gt;Vbat, (1-Table7[[#This Row],[Duty Cycle]])*Table7[[#This Row],[I_L RMS]]^2*TI_MOSFET_S_RDSON_L_BU*10^-3, Table7[[#This Row],[Duty Cycle]]*Table7[[#This Row],[I_L RMS]]^2*TI_MOSFET_S_RDSON_L_BO*10^-3)/10^-3</f>
        <v>#NAME?</v>
      </c>
      <c r="BD252" s="145" t="e">
        <f ca="1">IF(VACnom&gt;Vbat, Table7[[#This Row],[PRR (mW)]]+Table7[[#This Row],[Pdead (mW)]]+Table7[[#This Row],[Pgate_bottom (mW)]], Table7[[#This Row],[PIV (mW)]]+Table7[[#This Row],[Pqoss (mW)]]+Table7[[#This Row],[Pgate_bottom (mW)]])</f>
        <v>#NAME?</v>
      </c>
      <c r="BE252" s="147" t="e">
        <f ca="1">Table7[[#This Row],[Pcon_bottom (mW)]]+Table7[[#This Row],[Psw_bottom (mW)]]</f>
        <v>#NAME?</v>
      </c>
      <c r="BF252" s="145" t="e">
        <f ca="1">Table7[[#This Row],[Pbottom (mW)]]+Table7[[#This Row],[Ptop (mW)]]</f>
        <v>#NAME?</v>
      </c>
      <c r="BG252" s="142"/>
      <c r="BH252" s="145" t="e">
        <f>MAX(0,Table7[[#This Row],[I_L]]-0.5*Table7[[#This Row],[I_L pkpk]])</f>
        <v>#NAME?</v>
      </c>
      <c r="BI252" s="145" t="e">
        <f>Table7[[#This Row],[I_L]]+0.5*Table7[[#This Row],[I_L pkpk]]</f>
        <v>#NAME?</v>
      </c>
      <c r="BJ252" s="145">
        <f>IF(VACnom&gt;Vbat, (VGS_S-(C_MOSFET_S_VTH_H_BU+Table7[[#This Row],[I_L]]/C_MOSFET_S_gFS_H_BU))/3.4, (VGS_S-(C_MOSFET_S_VTH_L_BO+Table7[[#This Row],[I_L]]/C_MOSFET_S_gFS_L_BO))/3.4 )</f>
        <v>2.3304313725490196</v>
      </c>
      <c r="BK252" s="145">
        <f>IF(VACnom&gt;Vbat, ((C_MOSFET_S_VTH_H_BU+Table7[[#This Row],[I_L]]/C_MOSFET_S_gFS_H_BU))/1, ((C_MOSFET_S_VTH_L_BO+Table7[[#This Row],[I_L]]/C_MOSFET_S_gFS_L_BO))/1 )</f>
        <v>2.0765333333333333</v>
      </c>
      <c r="BL252" s="145">
        <f>IF(VACnom&gt;Vbat, (C_MOSFET_S_QGD_H_BU+C_MOSFET_S_QGS_H_BU)*10^-9/Table7[[#This Row],[Ion (A) C]], (C_MOSFET_S_QGD_L_BO+C_MOSFET_S_QGS_L_BO)*10^-9/Table7[[#This Row],[Ion (A) C]])/10^-9</f>
        <v>2.7891831858109244</v>
      </c>
      <c r="BM252" s="145">
        <f>IF(VACnom&gt;Vbat, (C_MOSFET_S_QGD_H_BU+C_MOSFET_S_QGS_H_BU)*10^-9/Table7[[#This Row],[Ioff (A) C]], (C_MOSFET_S_QGD_L_BO+C_MOSFET_S_QGS_L_BO)*10^-9/Table7[[#This Row],[Ioff (A) C]])/10^-9</f>
        <v>3.1302170283806343</v>
      </c>
      <c r="BN252" s="145" t="e">
        <f xml:space="preserve"> 0.5*VACnom*Table7[[#This Row],[Ivalley (A) C]]*Table7[[#This Row],[ton (ns) C]]*10^-9*Fsw*10^3+0.5*VACnom*Table7[[#This Row],[Ipeak (A) C]]*Table7[[#This Row],[toff (ns) C]]*10^-9*Fsw*10^3/10^-3</f>
        <v>#NAME?</v>
      </c>
      <c r="BO252" s="145">
        <f t="shared" si="49"/>
        <v>259.2</v>
      </c>
      <c r="BP252" s="145" t="e">
        <f t="shared" ca="1" si="50"/>
        <v>#REF!</v>
      </c>
      <c r="BQ252" s="145">
        <f t="shared" si="51"/>
        <v>475.2</v>
      </c>
      <c r="BR252" s="145" t="e">
        <f>IF(VACnom&gt;Vbat, C_MOSFET_S_VSD_L_BU*Table7[[#This Row],[Ivalley (A) C]]*Fsw*10^3*40*10^-9+C_MOSFET_S_VSD_L_BU*Table7[[#This Row],[Ipeak (A) C]]*Fsw*10^3*30*10^-9, C_MOSFET_S_VSD_H_BO*Table7[[#This Row],[Ivalley (A) C]]*Fsw*10^3*40*10^-9+C_MOSFET_S_VSD_H_BO*Table7[[#This Row],[Ipeak (A) C]]*Fsw*10^3*30*10^-9)/10^-3</f>
        <v>#NAME?</v>
      </c>
      <c r="BS252" s="145" t="e">
        <f t="shared" ca="1" si="52"/>
        <v>#REF!</v>
      </c>
      <c r="BT252" s="145" t="e">
        <f>IF(VACnom&lt;Vbat, Table7[[#This Row],[Duty Cycle]]*Table7[[#This Row],[I_L RMS]]^2*C_MOSFET_S_RDSON_H_BU*10^-3, (1-Table7[[#This Row],[Duty Cycle]])*Table7[[#This Row],[I_L RMS]]^2*C_MOSFET_S_RDSON_H_BO*10^-3)/10^-3</f>
        <v>#NAME?</v>
      </c>
      <c r="BU252" s="145" t="e">
        <f ca="1">IF(VACnom&gt;Vbat, Table7[[#This Row],[PIV (mW) C]]+Table7[[#This Row],[PQoss (mW) C]]+Table7[[#This Row],[Pgate_top (mW) C]], Table7[[#This Row],[PRR (mW) C]]+Table7[[#This Row],[Pdead (mW) C]]+Table7[[#This Row],[Pgate_top (mW) C]])</f>
        <v>#NAME?</v>
      </c>
      <c r="BV252" s="145" t="e">
        <f ca="1">Table7[[#This Row],[Pcon_top (mW) C]]+Table7[[#This Row],[Psw_top (mW) C]]</f>
        <v>#NAME?</v>
      </c>
      <c r="BW252" s="145" t="e">
        <f ca="1">IF(VACnom&gt;Vbat, (1-Table7[[#This Row],[Duty Cycle]])*Table7[[#This Row],[I_L RMS]]^2*C_MOSFET_S_RDSON_L_BU*10^-3, Table7[[#This Row],[Duty Cycle]]*Table7[[#This Row],[I_L RMS]]^2*C_MOSFET_S_RDSON_L_BO*10^-3)/10^-3</f>
        <v>#NAME?</v>
      </c>
      <c r="BX252" s="145" t="e">
        <f ca="1">IF(VACnom&gt;Vbat, Table7[[#This Row],[PRR (mW) C]]+Table7[[#This Row],[Pdead (mW) C]]+Table7[[#This Row],[Pgate_bottom (mW) C]], Table7[[#This Row],[PIV (mW) C]]+Table7[[#This Row],[PQoss (mW) C]]+Table7[[#This Row],[Pgate_bottom (mW) C]])</f>
        <v>#NAME?</v>
      </c>
      <c r="BY252" s="145" t="e">
        <f ca="1">Table7[[#This Row],[Pcon_bottom (mW) C]]+Table7[[#This Row],[Psw_bottom (mV) C]]</f>
        <v>#NAME?</v>
      </c>
      <c r="BZ252" s="145" t="e">
        <f ca="1">Table7[[#This Row],[Pbottom (mW) C]]+Table7[[#This Row],[Ptop (mW) C]]</f>
        <v>#NAME?</v>
      </c>
      <c r="CA252" s="148"/>
      <c r="CB252" s="144">
        <f>(RAC_SNS*10^-3*(Table7[[#This Row],[IOUT (A)]]*Vbat/VACnom)^2/10^-3)</f>
        <v>658.95199999999988</v>
      </c>
      <c r="CC252" s="144">
        <f>(RBAT_SNS*10^-3*Table7[[#This Row],[IOUT (A)]]^2)/10^-3</f>
        <v>460.79999999999995</v>
      </c>
      <c r="CD252" s="144">
        <f>IF(VACnom&gt;Vbat,(L_DRC*10^-3*(Table7[[#This Row],[IOUT (A)]])^2/10^-3),(L_DRC*10^-3*(Table7[[#This Row],[IOUT (A)]]*Vbat/VACnom)^2/10^-3))</f>
        <v>448.08735999999988</v>
      </c>
      <c r="CE252" s="152"/>
      <c r="CF252" s="145">
        <f>(Table7[[#This Row],[R_AC (mW)]]+Table7[[#This Row],[R_SR (mW)]]+Table7[[#This Row],[Inductor Loss (mW)]])/10^3</f>
        <v>1.56783936</v>
      </c>
      <c r="CG252" s="145" t="e">
        <f ca="1">Table7[[#This Row],[Total TI (mW)]]/10^3</f>
        <v>#NAME?</v>
      </c>
      <c r="CH252" s="145" t="e">
        <f ca="1">Table7[[#This Row],[Total Sense Loss]]+Table7[[#This Row],[Total MOSFET Loss]]</f>
        <v>#NAME?</v>
      </c>
      <c r="CI252" s="149" t="e">
        <f ca="1">IF(Table7[[#This Row],[POUT (W)]]=0,0,(Table7[[#This Row],[POUT (W)]])/(Table7[[#This Row],[POUT (W)]]+Table7[[#This Row],[Total Power Loss (W)]]))*100</f>
        <v>#NAME?</v>
      </c>
      <c r="CJ252" s="153"/>
      <c r="CK252" s="145">
        <f>(Table7[[#This Row],[R_AC (mW)]]+Table7[[#This Row],[R_SR (mW)]]+Table7[[#This Row],[Inductor Loss (mW)]])/10^3</f>
        <v>1.56783936</v>
      </c>
      <c r="CL252" s="145" t="e">
        <f ca="1">Table7[[#This Row],[Total (mW) C]]/10^3</f>
        <v>#NAME?</v>
      </c>
      <c r="CM252" s="145" t="e">
        <f ca="1">Table7[[#This Row],[Total Sense Loss C]]+Table7[[#This Row],[Total MOSFET Loss C]]</f>
        <v>#NAME?</v>
      </c>
      <c r="CN252" s="149" t="e">
        <f ca="1">IF(Table7[[#This Row],[POUT (W)]]=0,0,(Table7[[#This Row],[POUT (W)]])/(Table7[[#This Row],[POUT (W)]]+Table7[[#This Row],[Total Power Loss (W) C]]))*100</f>
        <v>#NAME?</v>
      </c>
      <c r="CO252" s="153"/>
      <c r="CP252" s="149">
        <f>IF(MOSFET_S=Custom_MOSFET,Table7[[#This Row],[Total Sense Loss C]],Table7[[#This Row],[Total Sense Loss]])</f>
        <v>1.56783936</v>
      </c>
      <c r="CQ252" s="149" t="e">
        <f ca="1">IF(MOSFET_S=Custom_MOSFET,Table7[[#This Row],[Total MOSFET Loss C]],Table7[[#This Row],[Total MOSFET Loss]])</f>
        <v>#NAME?</v>
      </c>
      <c r="CR252" s="149" t="e">
        <f ca="1">IF(MOSFET_S=Custom_MOSFET,Table7[[#This Row],[Efficiency C]],Table7[[#This Row],[Efficiency]])</f>
        <v>#NAME?</v>
      </c>
      <c r="CS252" s="153"/>
      <c r="CT252" s="149">
        <f>IF(MOSFET_S=Compare_MOSFET, Table7[[#This Row],[Total Sense Loss C]], -100)</f>
        <v>-100</v>
      </c>
      <c r="CU252" s="149">
        <f>IF(MOSFET_S=Compare_MOSFET, Table7[[#This Row],[Total MOSFET Loss C]], -100)</f>
        <v>-100</v>
      </c>
      <c r="CV252" s="149">
        <f>IF(MOSFET_S=Compare_MOSFET, Table7[[#This Row],[Efficiency C]], -100)</f>
        <v>-100</v>
      </c>
      <c r="CW252" s="153"/>
      <c r="CX252" s="149">
        <f ca="1">IF(Save_Sel=CLR_Save,  Table7[[#This Row],[Total Sense Loss P1]], Table7[[#This Row],[Total Sense Loss P1 Saved]])</f>
        <v>1.3147200000000001</v>
      </c>
      <c r="CY252" s="149">
        <f ca="1">IF(Save_Sel=CLR_Save,  Table7[[#This Row],[Total MOSFET Loss P1]], Table7[[#This Row],[Total MOSFET Loss P1 Saved]] )</f>
        <v>2.3729311986924806</v>
      </c>
      <c r="CZ252" s="149">
        <f ca="1">IF(Save_Sel=CLR_Save, Table7[[#This Row],[Efficiency P1]], Table7[[#This Row],[Efficiency P1 Saved]])</f>
        <v>93.983043685689253</v>
      </c>
      <c r="DA252" s="153"/>
      <c r="DB252" s="149">
        <f ca="1">IF(Save_Sel=CLR_Save,  Table7[[#This Row],[Total Sense Loss P2]], Table7[[#This Row],[Total Sense Loss P2 Saved]])</f>
        <v>1.3147200000000001</v>
      </c>
      <c r="DC252" s="149">
        <f ca="1">IF(Save_Sel=CLR_Save,  Table7[[#This Row],[Total MOSFET Loss P2]], Table7[[#This Row],[Total MOSFET Loss P2 Saved]] )</f>
        <v>1.6990579799275758</v>
      </c>
      <c r="DD252" s="149">
        <f ca="1">IF(Save_Sel=CLR_Save, Table7[[#This Row],[Efficiency P2]], Table7[[#This Row],[Efficiency P2 Saved]])</f>
        <v>95.027899463838736</v>
      </c>
      <c r="DE252" s="153"/>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row>
    <row r="253" spans="1:165" x14ac:dyDescent="0.2">
      <c r="A253" s="67"/>
      <c r="B253" s="67"/>
      <c r="C253" s="67"/>
      <c r="D253" s="67"/>
      <c r="E253" s="67"/>
      <c r="F253" s="67"/>
      <c r="G253" s="67"/>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43">
        <f t="shared" si="54"/>
        <v>97</v>
      </c>
      <c r="AG253" s="143">
        <f t="shared" ref="AG253:AG255" si="59">$AG$156+AF253*($AG$256-$AG$156)/$AF$256</f>
        <v>9.6999999999999993</v>
      </c>
      <c r="AH253" s="144">
        <f t="shared" si="57"/>
        <v>232.79999999999998</v>
      </c>
      <c r="AI253" s="145">
        <f t="shared" si="43"/>
        <v>0.16376306620209058</v>
      </c>
      <c r="AJ253" s="145">
        <f t="shared" si="58"/>
        <v>11.599583333333332</v>
      </c>
      <c r="AK253" s="145" t="e">
        <f t="shared" si="55"/>
        <v>#NAME?</v>
      </c>
      <c r="AL253" s="145" t="e">
        <f t="shared" si="56"/>
        <v>#NAME?</v>
      </c>
      <c r="AM253" s="146"/>
      <c r="AN253" s="145" t="e">
        <f>MAX(0,Table7[[#This Row],[I_L]]-0.5*Table7[[#This Row],[I_L pkpk]])</f>
        <v>#NAME?</v>
      </c>
      <c r="AO253" s="145" t="e">
        <f>Table7[[#This Row],[I_L]]+0.5*Table7[[#This Row],[I_L pkpk]]</f>
        <v>#NAME?</v>
      </c>
      <c r="AP253" s="145" t="e">
        <f ca="1">IF(VACnom&gt;Vbat, (VGS_S-(TI_MOSFET_S_VTH_H_BU+Table7[[#This Row],[I_L]]/TI_MOSFET_S_gFS_H_BU))/3.4, (VGS_S-(TI_MOSFET_S_VTH_L_BO+Table7[[#This Row],[I_L]]/TI_MOSFET_S_gFS_L_BO))/3.4 )</f>
        <v>#REF!</v>
      </c>
      <c r="AQ253" s="145" t="e">
        <f ca="1">IF(VACnom&gt;Vbat, ((TI_MOSFET_S_VTH_H_BU+Table7[[#This Row],[I_L]]/TI_MOSFET_S_gFS_H_BU))/1, ((TI_MOSFET_S_VTH_L_BO+Table7[[#This Row],[I_L]]/TI_MOSFET_S_gFS_L_BO))/1 )</f>
        <v>#REF!</v>
      </c>
      <c r="AR253" s="145" t="e">
        <f ca="1">IF(VACnom&gt;Vbat, (TI_MOSFET_S_QGD_H_BU+TI_MOSFET_S_QGS_H_BU)*10^-9/Table7[[#This Row],[Ion (A)]], (TI_MOSFET_S_QGD_L_BO+TI_MOSFET_S_QGS_L_BO)*10^-9/Table7[[#This Row],[Ion (A)]])/10^-9</f>
        <v>#REF!</v>
      </c>
      <c r="AS253" s="145" t="e">
        <f ca="1">IF(VACnom&gt;Vbat, (TI_MOSFET_S_QGD_H_BU+TI_MOSFET_S_QGS_H_BU)*10^-9/Table7[[#This Row],[Ioff (A)]], (TI_MOSFET_S_QGD_L_BO+TI_MOSFET_S_QGS_L_BO)*10^-9/Table7[[#This Row],[Ioff (A)]])/10^-9</f>
        <v>#REF!</v>
      </c>
      <c r="AT253" s="145" t="e">
        <f ca="1" xml:space="preserve"> 0.5*VACnom*Table7[[#This Row],[Ivalley (A)]]*Table7[[#This Row],[ton (ns)]]*10^-9*Fsw*10^3+0.5*VACnom*Table7[[#This Row],[Ipeak (A)]]*Table7[[#This Row],[toff (ns)]]*10^-9*Fsw*10^3/10^-3</f>
        <v>#NAME?</v>
      </c>
      <c r="AU253" s="145" t="e">
        <f t="shared" ca="1" si="45"/>
        <v>#REF!</v>
      </c>
      <c r="AV253" s="145" t="e">
        <f t="shared" ca="1" si="46"/>
        <v>#REF!</v>
      </c>
      <c r="AW253" s="145" t="e">
        <f t="shared" ca="1" si="47"/>
        <v>#REF!</v>
      </c>
      <c r="AX253" s="145" t="e">
        <f ca="1">IF(VACnom&gt;Vbat, TI_MOSFET_S_VSD_L_BU*Table7[[#This Row],[Ivalley (A)]]*Fsw*10^3*40*10^-9+TI_MOSFET_S_VSD_L_BU*Table7[[#This Row],[Ipeak (A)]]*Fsw*10^3*30*10^-9, TI_MOSFET_S_VSD_H_BO*Table7[[#This Row],[Ivalley (A)]]*Fsw*10^3*40*10^-9+TI_MOSFET_S_VSD_H_BO*Table7[[#This Row],[Ipeak (A)]]*Fsw*10^3*30*10^-9)/10^-3</f>
        <v>#REF!</v>
      </c>
      <c r="AY253" s="145" t="e">
        <f t="shared" ca="1" si="48"/>
        <v>#REF!</v>
      </c>
      <c r="AZ253" s="145" t="e">
        <f ca="1">IF(VACnom&lt;Vbat, Table7[[#This Row],[Duty Cycle]]*Table7[[#This Row],[I_L RMS]]^2*TI_MOSFET_S_RDSON_H_BU*10^-3, (1-Table7[[#This Row],[Duty Cycle]])*Table7[[#This Row],[I_L RMS]]^2*TI_MOSFET_S_RDSON_H_BO*10^-3)/10^-3</f>
        <v>#NAME?</v>
      </c>
      <c r="BA253" s="145" t="e">
        <f ca="1">IF(VACnom&gt;Vbat, Table7[[#This Row],[PIV (mW)]]+Table7[[#This Row],[Pqoss (mW)]]+Table7[[#This Row],[Pgate_top (mW)]], Table7[[#This Row],[PRR (mW)]]+Table7[[#This Row],[Pdead (mW)]]+Table7[[#This Row],[Pgate_top (mW)]])</f>
        <v>#REF!</v>
      </c>
      <c r="BB253" s="145" t="e">
        <f ca="1">Table7[[#This Row],[Pcon_top (mW)]]+Table7[[#This Row],[Psw_top (mW)]]</f>
        <v>#NAME?</v>
      </c>
      <c r="BC253" s="145" t="e">
        <f ca="1">IF(VACnom&gt;Vbat, (1-Table7[[#This Row],[Duty Cycle]])*Table7[[#This Row],[I_L RMS]]^2*TI_MOSFET_S_RDSON_L_BU*10^-3, Table7[[#This Row],[Duty Cycle]]*Table7[[#This Row],[I_L RMS]]^2*TI_MOSFET_S_RDSON_L_BO*10^-3)/10^-3</f>
        <v>#NAME?</v>
      </c>
      <c r="BD253" s="145" t="e">
        <f ca="1">IF(VACnom&gt;Vbat, Table7[[#This Row],[PRR (mW)]]+Table7[[#This Row],[Pdead (mW)]]+Table7[[#This Row],[Pgate_bottom (mW)]], Table7[[#This Row],[PIV (mW)]]+Table7[[#This Row],[Pqoss (mW)]]+Table7[[#This Row],[Pgate_bottom (mW)]])</f>
        <v>#NAME?</v>
      </c>
      <c r="BE253" s="147" t="e">
        <f ca="1">Table7[[#This Row],[Pcon_bottom (mW)]]+Table7[[#This Row],[Psw_bottom (mW)]]</f>
        <v>#NAME?</v>
      </c>
      <c r="BF253" s="145" t="e">
        <f ca="1">Table7[[#This Row],[Pbottom (mW)]]+Table7[[#This Row],[Ptop (mW)]]</f>
        <v>#NAME?</v>
      </c>
      <c r="BG253" s="142"/>
      <c r="BH253" s="145" t="e">
        <f>MAX(0,Table7[[#This Row],[I_L]]-0.5*Table7[[#This Row],[I_L pkpk]])</f>
        <v>#NAME?</v>
      </c>
      <c r="BI253" s="145" t="e">
        <f>Table7[[#This Row],[I_L]]+0.5*Table7[[#This Row],[I_L pkpk]]</f>
        <v>#NAME?</v>
      </c>
      <c r="BJ253" s="145">
        <f>IF(VACnom&gt;Vbat, (VGS_S-(C_MOSFET_S_VTH_H_BU+Table7[[#This Row],[I_L]]/C_MOSFET_S_gFS_H_BU))/3.4, (VGS_S-(C_MOSFET_S_VTH_L_BO+Table7[[#This Row],[I_L]]/C_MOSFET_S_gFS_L_BO))/3.4 )</f>
        <v>2.3301968954248369</v>
      </c>
      <c r="BK253" s="145">
        <f>IF(VACnom&gt;Vbat, ((C_MOSFET_S_VTH_H_BU+Table7[[#This Row],[I_L]]/C_MOSFET_S_gFS_H_BU))/1, ((C_MOSFET_S_VTH_L_BO+Table7[[#This Row],[I_L]]/C_MOSFET_S_gFS_L_BO))/1 )</f>
        <v>2.0773305555555557</v>
      </c>
      <c r="BL253" s="145">
        <f>IF(VACnom&gt;Vbat, (C_MOSFET_S_QGD_H_BU+C_MOSFET_S_QGS_H_BU)*10^-9/Table7[[#This Row],[Ion (A) C]], (C_MOSFET_S_QGD_L_BO+C_MOSFET_S_QGS_L_BO)*10^-9/Table7[[#This Row],[Ion (A) C]])/10^-9</f>
        <v>2.7894638486396803</v>
      </c>
      <c r="BM253" s="145">
        <f>IF(VACnom&gt;Vbat, (C_MOSFET_S_QGD_H_BU+C_MOSFET_S_QGS_H_BU)*10^-9/Table7[[#This Row],[Ioff (A) C]], (C_MOSFET_S_QGD_L_BO+C_MOSFET_S_QGS_L_BO)*10^-9/Table7[[#This Row],[Ioff (A) C]])/10^-9</f>
        <v>3.1290157373445351</v>
      </c>
      <c r="BN253" s="145" t="e">
        <f xml:space="preserve"> 0.5*VACnom*Table7[[#This Row],[Ivalley (A) C]]*Table7[[#This Row],[ton (ns) C]]*10^-9*Fsw*10^3+0.5*VACnom*Table7[[#This Row],[Ipeak (A) C]]*Table7[[#This Row],[toff (ns) C]]*10^-9*Fsw*10^3/10^-3</f>
        <v>#NAME?</v>
      </c>
      <c r="BO253" s="145">
        <f t="shared" si="49"/>
        <v>259.2</v>
      </c>
      <c r="BP253" s="145" t="e">
        <f t="shared" ca="1" si="50"/>
        <v>#REF!</v>
      </c>
      <c r="BQ253" s="145">
        <f t="shared" si="51"/>
        <v>475.2</v>
      </c>
      <c r="BR253" s="145" t="e">
        <f>IF(VACnom&gt;Vbat, C_MOSFET_S_VSD_L_BU*Table7[[#This Row],[Ivalley (A) C]]*Fsw*10^3*40*10^-9+C_MOSFET_S_VSD_L_BU*Table7[[#This Row],[Ipeak (A) C]]*Fsw*10^3*30*10^-9, C_MOSFET_S_VSD_H_BO*Table7[[#This Row],[Ivalley (A) C]]*Fsw*10^3*40*10^-9+C_MOSFET_S_VSD_H_BO*Table7[[#This Row],[Ipeak (A) C]]*Fsw*10^3*30*10^-9)/10^-3</f>
        <v>#NAME?</v>
      </c>
      <c r="BS253" s="145" t="e">
        <f t="shared" ca="1" si="52"/>
        <v>#REF!</v>
      </c>
      <c r="BT253" s="145" t="e">
        <f>IF(VACnom&lt;Vbat, Table7[[#This Row],[Duty Cycle]]*Table7[[#This Row],[I_L RMS]]^2*C_MOSFET_S_RDSON_H_BU*10^-3, (1-Table7[[#This Row],[Duty Cycle]])*Table7[[#This Row],[I_L RMS]]^2*C_MOSFET_S_RDSON_H_BO*10^-3)/10^-3</f>
        <v>#NAME?</v>
      </c>
      <c r="BU253" s="145" t="e">
        <f ca="1">IF(VACnom&gt;Vbat, Table7[[#This Row],[PIV (mW) C]]+Table7[[#This Row],[PQoss (mW) C]]+Table7[[#This Row],[Pgate_top (mW) C]], Table7[[#This Row],[PRR (mW) C]]+Table7[[#This Row],[Pdead (mW) C]]+Table7[[#This Row],[Pgate_top (mW) C]])</f>
        <v>#NAME?</v>
      </c>
      <c r="BV253" s="145" t="e">
        <f ca="1">Table7[[#This Row],[Pcon_top (mW) C]]+Table7[[#This Row],[Psw_top (mW) C]]</f>
        <v>#NAME?</v>
      </c>
      <c r="BW253" s="145" t="e">
        <f ca="1">IF(VACnom&gt;Vbat, (1-Table7[[#This Row],[Duty Cycle]])*Table7[[#This Row],[I_L RMS]]^2*C_MOSFET_S_RDSON_L_BU*10^-3, Table7[[#This Row],[Duty Cycle]]*Table7[[#This Row],[I_L RMS]]^2*C_MOSFET_S_RDSON_L_BO*10^-3)/10^-3</f>
        <v>#NAME?</v>
      </c>
      <c r="BX253" s="145" t="e">
        <f ca="1">IF(VACnom&gt;Vbat, Table7[[#This Row],[PRR (mW) C]]+Table7[[#This Row],[Pdead (mW) C]]+Table7[[#This Row],[Pgate_bottom (mW) C]], Table7[[#This Row],[PIV (mW) C]]+Table7[[#This Row],[PQoss (mW) C]]+Table7[[#This Row],[Pgate_bottom (mW) C]])</f>
        <v>#NAME?</v>
      </c>
      <c r="BY253" s="145" t="e">
        <f ca="1">Table7[[#This Row],[Pcon_bottom (mW) C]]+Table7[[#This Row],[Psw_bottom (mV) C]]</f>
        <v>#NAME?</v>
      </c>
      <c r="BZ253" s="145" t="e">
        <f ca="1">Table7[[#This Row],[Pbottom (mW) C]]+Table7[[#This Row],[Ptop (mW) C]]</f>
        <v>#NAME?</v>
      </c>
      <c r="CA253" s="148"/>
      <c r="CB253" s="144">
        <f>(RAC_SNS*10^-3*(Table7[[#This Row],[IOUT (A)]]*Vbat/VACnom)^2/10^-3)</f>
        <v>672.75166753472229</v>
      </c>
      <c r="CC253" s="144">
        <f>(RBAT_SNS*10^-3*Table7[[#This Row],[IOUT (A)]]^2)/10^-3</f>
        <v>470.45</v>
      </c>
      <c r="CD253" s="144">
        <f>IF(VACnom&gt;Vbat,(L_DRC*10^-3*(Table7[[#This Row],[IOUT (A)]])^2/10^-3),(L_DRC*10^-3*(Table7[[#This Row],[IOUT (A)]]*Vbat/VACnom)^2/10^-3))</f>
        <v>457.47113392361103</v>
      </c>
      <c r="CE253" s="152"/>
      <c r="CF253" s="145">
        <f>(Table7[[#This Row],[R_AC (mW)]]+Table7[[#This Row],[R_SR (mW)]]+Table7[[#This Row],[Inductor Loss (mW)]])/10^3</f>
        <v>1.6006728014583331</v>
      </c>
      <c r="CG253" s="145" t="e">
        <f ca="1">Table7[[#This Row],[Total TI (mW)]]/10^3</f>
        <v>#NAME?</v>
      </c>
      <c r="CH253" s="145" t="e">
        <f ca="1">Table7[[#This Row],[Total Sense Loss]]+Table7[[#This Row],[Total MOSFET Loss]]</f>
        <v>#NAME?</v>
      </c>
      <c r="CI253" s="149" t="e">
        <f ca="1">IF(Table7[[#This Row],[POUT (W)]]=0,0,(Table7[[#This Row],[POUT (W)]])/(Table7[[#This Row],[POUT (W)]]+Table7[[#This Row],[Total Power Loss (W)]]))*100</f>
        <v>#NAME?</v>
      </c>
      <c r="CJ253" s="153"/>
      <c r="CK253" s="145">
        <f>(Table7[[#This Row],[R_AC (mW)]]+Table7[[#This Row],[R_SR (mW)]]+Table7[[#This Row],[Inductor Loss (mW)]])/10^3</f>
        <v>1.6006728014583331</v>
      </c>
      <c r="CL253" s="145" t="e">
        <f ca="1">Table7[[#This Row],[Total (mW) C]]/10^3</f>
        <v>#NAME?</v>
      </c>
      <c r="CM253" s="145" t="e">
        <f ca="1">Table7[[#This Row],[Total Sense Loss C]]+Table7[[#This Row],[Total MOSFET Loss C]]</f>
        <v>#NAME?</v>
      </c>
      <c r="CN253" s="149" t="e">
        <f ca="1">IF(Table7[[#This Row],[POUT (W)]]=0,0,(Table7[[#This Row],[POUT (W)]])/(Table7[[#This Row],[POUT (W)]]+Table7[[#This Row],[Total Power Loss (W) C]]))*100</f>
        <v>#NAME?</v>
      </c>
      <c r="CO253" s="153"/>
      <c r="CP253" s="149">
        <f>IF(MOSFET_S=Custom_MOSFET,Table7[[#This Row],[Total Sense Loss C]],Table7[[#This Row],[Total Sense Loss]])</f>
        <v>1.6006728014583331</v>
      </c>
      <c r="CQ253" s="149" t="e">
        <f ca="1">IF(MOSFET_S=Custom_MOSFET,Table7[[#This Row],[Total MOSFET Loss C]],Table7[[#This Row],[Total MOSFET Loss]])</f>
        <v>#NAME?</v>
      </c>
      <c r="CR253" s="149" t="e">
        <f ca="1">IF(MOSFET_S=Custom_MOSFET,Table7[[#This Row],[Efficiency C]],Table7[[#This Row],[Efficiency]])</f>
        <v>#NAME?</v>
      </c>
      <c r="CS253" s="153"/>
      <c r="CT253" s="149">
        <f>IF(MOSFET_S=Compare_MOSFET, Table7[[#This Row],[Total Sense Loss C]], -100)</f>
        <v>-100</v>
      </c>
      <c r="CU253" s="149">
        <f>IF(MOSFET_S=Compare_MOSFET, Table7[[#This Row],[Total MOSFET Loss C]], -100)</f>
        <v>-100</v>
      </c>
      <c r="CV253" s="149">
        <f>IF(MOSFET_S=Compare_MOSFET, Table7[[#This Row],[Efficiency C]], -100)</f>
        <v>-100</v>
      </c>
      <c r="CW253" s="153"/>
      <c r="CX253" s="149">
        <f ca="1">IF(Save_Sel=CLR_Save,  Table7[[#This Row],[Total Sense Loss P1]], Table7[[#This Row],[Total Sense Loss P1 Saved]])</f>
        <v>1.3422526562499997</v>
      </c>
      <c r="CY253" s="149">
        <f ca="1">IF(Save_Sel=CLR_Save,  Table7[[#This Row],[Total MOSFET Loss P1]], Table7[[#This Row],[Total MOSFET Loss P1 Saved]] )</f>
        <v>2.3848957660932317</v>
      </c>
      <c r="CZ253" s="149">
        <f ca="1">IF(Save_Sel=CLR_Save, Table7[[#This Row],[Efficiency P1]], Table7[[#This Row],[Efficiency P1 Saved]])</f>
        <v>93.981398276368097</v>
      </c>
      <c r="DA253" s="153"/>
      <c r="DB253" s="149">
        <f ca="1">IF(Save_Sel=CLR_Save,  Table7[[#This Row],[Total Sense Loss P2]], Table7[[#This Row],[Total Sense Loss P2 Saved]])</f>
        <v>1.3422526562499997</v>
      </c>
      <c r="DC253" s="149">
        <f ca="1">IF(Save_Sel=CLR_Save,  Table7[[#This Row],[Total MOSFET Loss P2]], Table7[[#This Row],[Total MOSFET Loss P2 Saved]] )</f>
        <v>1.7106623408621138</v>
      </c>
      <c r="DD253" s="149">
        <f ca="1">IF(Save_Sel=CLR_Save, Table7[[#This Row],[Efficiency P2]], Table7[[#This Row],[Efficiency P2 Saved]])</f>
        <v>95.015886187202597</v>
      </c>
      <c r="DE253" s="153"/>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row>
    <row r="254" spans="1:165" x14ac:dyDescent="0.2">
      <c r="A254" s="67"/>
      <c r="B254" s="67"/>
      <c r="C254" s="67"/>
      <c r="D254" s="67"/>
      <c r="E254" s="67"/>
      <c r="F254" s="67"/>
      <c r="G254" s="67"/>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43">
        <f t="shared" si="54"/>
        <v>98</v>
      </c>
      <c r="AG254" s="143">
        <f t="shared" si="59"/>
        <v>9.8000000000000007</v>
      </c>
      <c r="AH254" s="144">
        <f t="shared" si="57"/>
        <v>235.20000000000002</v>
      </c>
      <c r="AI254" s="145">
        <f t="shared" si="43"/>
        <v>0.16376306620209058</v>
      </c>
      <c r="AJ254" s="145">
        <f t="shared" si="58"/>
        <v>11.719166666666668</v>
      </c>
      <c r="AK254" s="145" t="e">
        <f t="shared" si="55"/>
        <v>#NAME?</v>
      </c>
      <c r="AL254" s="145" t="e">
        <f t="shared" si="56"/>
        <v>#NAME?</v>
      </c>
      <c r="AM254" s="146"/>
      <c r="AN254" s="145" t="e">
        <f>MAX(0,Table7[[#This Row],[I_L]]-0.5*Table7[[#This Row],[I_L pkpk]])</f>
        <v>#NAME?</v>
      </c>
      <c r="AO254" s="145" t="e">
        <f>Table7[[#This Row],[I_L]]+0.5*Table7[[#This Row],[I_L pkpk]]</f>
        <v>#NAME?</v>
      </c>
      <c r="AP254" s="145" t="e">
        <f ca="1">IF(VACnom&gt;Vbat, (VGS_S-(TI_MOSFET_S_VTH_H_BU+Table7[[#This Row],[I_L]]/TI_MOSFET_S_gFS_H_BU))/3.4, (VGS_S-(TI_MOSFET_S_VTH_L_BO+Table7[[#This Row],[I_L]]/TI_MOSFET_S_gFS_L_BO))/3.4 )</f>
        <v>#REF!</v>
      </c>
      <c r="AQ254" s="145" t="e">
        <f ca="1">IF(VACnom&gt;Vbat, ((TI_MOSFET_S_VTH_H_BU+Table7[[#This Row],[I_L]]/TI_MOSFET_S_gFS_H_BU))/1, ((TI_MOSFET_S_VTH_L_BO+Table7[[#This Row],[I_L]]/TI_MOSFET_S_gFS_L_BO))/1 )</f>
        <v>#REF!</v>
      </c>
      <c r="AR254" s="145" t="e">
        <f ca="1">IF(VACnom&gt;Vbat, (TI_MOSFET_S_QGD_H_BU+TI_MOSFET_S_QGS_H_BU)*10^-9/Table7[[#This Row],[Ion (A)]], (TI_MOSFET_S_QGD_L_BO+TI_MOSFET_S_QGS_L_BO)*10^-9/Table7[[#This Row],[Ion (A)]])/10^-9</f>
        <v>#REF!</v>
      </c>
      <c r="AS254" s="145" t="e">
        <f ca="1">IF(VACnom&gt;Vbat, (TI_MOSFET_S_QGD_H_BU+TI_MOSFET_S_QGS_H_BU)*10^-9/Table7[[#This Row],[Ioff (A)]], (TI_MOSFET_S_QGD_L_BO+TI_MOSFET_S_QGS_L_BO)*10^-9/Table7[[#This Row],[Ioff (A)]])/10^-9</f>
        <v>#REF!</v>
      </c>
      <c r="AT254" s="145" t="e">
        <f ca="1" xml:space="preserve"> 0.5*VACnom*Table7[[#This Row],[Ivalley (A)]]*Table7[[#This Row],[ton (ns)]]*10^-9*Fsw*10^3+0.5*VACnom*Table7[[#This Row],[Ipeak (A)]]*Table7[[#This Row],[toff (ns)]]*10^-9*Fsw*10^3/10^-3</f>
        <v>#NAME?</v>
      </c>
      <c r="AU254" s="145" t="e">
        <f t="shared" ca="1" si="45"/>
        <v>#REF!</v>
      </c>
      <c r="AV254" s="145" t="e">
        <f t="shared" ca="1" si="46"/>
        <v>#REF!</v>
      </c>
      <c r="AW254" s="145" t="e">
        <f t="shared" ca="1" si="47"/>
        <v>#REF!</v>
      </c>
      <c r="AX254" s="145" t="e">
        <f ca="1">IF(VACnom&gt;Vbat, TI_MOSFET_S_VSD_L_BU*Table7[[#This Row],[Ivalley (A)]]*Fsw*10^3*40*10^-9+TI_MOSFET_S_VSD_L_BU*Table7[[#This Row],[Ipeak (A)]]*Fsw*10^3*30*10^-9, TI_MOSFET_S_VSD_H_BO*Table7[[#This Row],[Ivalley (A)]]*Fsw*10^3*40*10^-9+TI_MOSFET_S_VSD_H_BO*Table7[[#This Row],[Ipeak (A)]]*Fsw*10^3*30*10^-9)/10^-3</f>
        <v>#REF!</v>
      </c>
      <c r="AY254" s="145" t="e">
        <f t="shared" ca="1" si="48"/>
        <v>#REF!</v>
      </c>
      <c r="AZ254" s="145" t="e">
        <f ca="1">IF(VACnom&lt;Vbat, Table7[[#This Row],[Duty Cycle]]*Table7[[#This Row],[I_L RMS]]^2*TI_MOSFET_S_RDSON_H_BU*10^-3, (1-Table7[[#This Row],[Duty Cycle]])*Table7[[#This Row],[I_L RMS]]^2*TI_MOSFET_S_RDSON_H_BO*10^-3)/10^-3</f>
        <v>#NAME?</v>
      </c>
      <c r="BA254" s="145" t="e">
        <f ca="1">IF(VACnom&gt;Vbat, Table7[[#This Row],[PIV (mW)]]+Table7[[#This Row],[Pqoss (mW)]]+Table7[[#This Row],[Pgate_top (mW)]], Table7[[#This Row],[PRR (mW)]]+Table7[[#This Row],[Pdead (mW)]]+Table7[[#This Row],[Pgate_top (mW)]])</f>
        <v>#REF!</v>
      </c>
      <c r="BB254" s="145" t="e">
        <f ca="1">Table7[[#This Row],[Pcon_top (mW)]]+Table7[[#This Row],[Psw_top (mW)]]</f>
        <v>#NAME?</v>
      </c>
      <c r="BC254" s="145" t="e">
        <f ca="1">IF(VACnom&gt;Vbat, (1-Table7[[#This Row],[Duty Cycle]])*Table7[[#This Row],[I_L RMS]]^2*TI_MOSFET_S_RDSON_L_BU*10^-3, Table7[[#This Row],[Duty Cycle]]*Table7[[#This Row],[I_L RMS]]^2*TI_MOSFET_S_RDSON_L_BO*10^-3)/10^-3</f>
        <v>#NAME?</v>
      </c>
      <c r="BD254" s="145" t="e">
        <f ca="1">IF(VACnom&gt;Vbat, Table7[[#This Row],[PRR (mW)]]+Table7[[#This Row],[Pdead (mW)]]+Table7[[#This Row],[Pgate_bottom (mW)]], Table7[[#This Row],[PIV (mW)]]+Table7[[#This Row],[Pqoss (mW)]]+Table7[[#This Row],[Pgate_bottom (mW)]])</f>
        <v>#NAME?</v>
      </c>
      <c r="BE254" s="147" t="e">
        <f ca="1">Table7[[#This Row],[Pcon_bottom (mW)]]+Table7[[#This Row],[Psw_bottom (mW)]]</f>
        <v>#NAME?</v>
      </c>
      <c r="BF254" s="145" t="e">
        <f ca="1">Table7[[#This Row],[Pbottom (mW)]]+Table7[[#This Row],[Ptop (mW)]]</f>
        <v>#NAME?</v>
      </c>
      <c r="BG254" s="142"/>
      <c r="BH254" s="145" t="e">
        <f>MAX(0,Table7[[#This Row],[I_L]]-0.5*Table7[[#This Row],[I_L pkpk]])</f>
        <v>#NAME?</v>
      </c>
      <c r="BI254" s="145" t="e">
        <f>Table7[[#This Row],[I_L]]+0.5*Table7[[#This Row],[I_L pkpk]]</f>
        <v>#NAME?</v>
      </c>
      <c r="BJ254" s="145">
        <f>IF(VACnom&gt;Vbat, (VGS_S-(C_MOSFET_S_VTH_H_BU+Table7[[#This Row],[I_L]]/C_MOSFET_S_gFS_H_BU))/3.4, (VGS_S-(C_MOSFET_S_VTH_L_BO+Table7[[#This Row],[I_L]]/C_MOSFET_S_gFS_L_BO))/3.4 )</f>
        <v>2.3299624183006538</v>
      </c>
      <c r="BK254" s="145">
        <f>IF(VACnom&gt;Vbat, ((C_MOSFET_S_VTH_H_BU+Table7[[#This Row],[I_L]]/C_MOSFET_S_gFS_H_BU))/1, ((C_MOSFET_S_VTH_L_BO+Table7[[#This Row],[I_L]]/C_MOSFET_S_gFS_L_BO))/1 )</f>
        <v>2.0781277777777776</v>
      </c>
      <c r="BL254" s="145">
        <f>IF(VACnom&gt;Vbat, (C_MOSFET_S_QGD_H_BU+C_MOSFET_S_QGS_H_BU)*10^-9/Table7[[#This Row],[Ion (A) C]], (C_MOSFET_S_QGD_L_BO+C_MOSFET_S_QGS_L_BO)*10^-9/Table7[[#This Row],[Ion (A) C]])/10^-9</f>
        <v>2.7897445679577704</v>
      </c>
      <c r="BM254" s="145">
        <f>IF(VACnom&gt;Vbat, (C_MOSFET_S_QGD_H_BU+C_MOSFET_S_QGS_H_BU)*10^-9/Table7[[#This Row],[Ioff (A) C]], (C_MOSFET_S_QGD_L_BO+C_MOSFET_S_QGS_L_BO)*10^-9/Table7[[#This Row],[Ioff (A) C]])/10^-9</f>
        <v>3.1278153679995087</v>
      </c>
      <c r="BN254" s="145" t="e">
        <f xml:space="preserve"> 0.5*VACnom*Table7[[#This Row],[Ivalley (A) C]]*Table7[[#This Row],[ton (ns) C]]*10^-9*Fsw*10^3+0.5*VACnom*Table7[[#This Row],[Ipeak (A) C]]*Table7[[#This Row],[toff (ns) C]]*10^-9*Fsw*10^3/10^-3</f>
        <v>#NAME?</v>
      </c>
      <c r="BO254" s="145">
        <f t="shared" si="49"/>
        <v>259.2</v>
      </c>
      <c r="BP254" s="145" t="e">
        <f t="shared" ca="1" si="50"/>
        <v>#REF!</v>
      </c>
      <c r="BQ254" s="145">
        <f t="shared" si="51"/>
        <v>475.2</v>
      </c>
      <c r="BR254" s="145" t="e">
        <f>IF(VACnom&gt;Vbat, C_MOSFET_S_VSD_L_BU*Table7[[#This Row],[Ivalley (A) C]]*Fsw*10^3*40*10^-9+C_MOSFET_S_VSD_L_BU*Table7[[#This Row],[Ipeak (A) C]]*Fsw*10^3*30*10^-9, C_MOSFET_S_VSD_H_BO*Table7[[#This Row],[Ivalley (A) C]]*Fsw*10^3*40*10^-9+C_MOSFET_S_VSD_H_BO*Table7[[#This Row],[Ipeak (A) C]]*Fsw*10^3*30*10^-9)/10^-3</f>
        <v>#NAME?</v>
      </c>
      <c r="BS254" s="145" t="e">
        <f t="shared" ca="1" si="52"/>
        <v>#REF!</v>
      </c>
      <c r="BT254" s="145" t="e">
        <f>IF(VACnom&lt;Vbat, Table7[[#This Row],[Duty Cycle]]*Table7[[#This Row],[I_L RMS]]^2*C_MOSFET_S_RDSON_H_BU*10^-3, (1-Table7[[#This Row],[Duty Cycle]])*Table7[[#This Row],[I_L RMS]]^2*C_MOSFET_S_RDSON_H_BO*10^-3)/10^-3</f>
        <v>#NAME?</v>
      </c>
      <c r="BU254" s="145" t="e">
        <f ca="1">IF(VACnom&gt;Vbat, Table7[[#This Row],[PIV (mW) C]]+Table7[[#This Row],[PQoss (mW) C]]+Table7[[#This Row],[Pgate_top (mW) C]], Table7[[#This Row],[PRR (mW) C]]+Table7[[#This Row],[Pdead (mW) C]]+Table7[[#This Row],[Pgate_top (mW) C]])</f>
        <v>#NAME?</v>
      </c>
      <c r="BV254" s="145" t="e">
        <f ca="1">Table7[[#This Row],[Pcon_top (mW) C]]+Table7[[#This Row],[Psw_top (mW) C]]</f>
        <v>#NAME?</v>
      </c>
      <c r="BW254" s="145" t="e">
        <f ca="1">IF(VACnom&gt;Vbat, (1-Table7[[#This Row],[Duty Cycle]])*Table7[[#This Row],[I_L RMS]]^2*C_MOSFET_S_RDSON_L_BU*10^-3, Table7[[#This Row],[Duty Cycle]]*Table7[[#This Row],[I_L RMS]]^2*C_MOSFET_S_RDSON_L_BO*10^-3)/10^-3</f>
        <v>#NAME?</v>
      </c>
      <c r="BX254" s="145" t="e">
        <f ca="1">IF(VACnom&gt;Vbat, Table7[[#This Row],[PRR (mW) C]]+Table7[[#This Row],[Pdead (mW) C]]+Table7[[#This Row],[Pgate_bottom (mW) C]], Table7[[#This Row],[PIV (mW) C]]+Table7[[#This Row],[PQoss (mW) C]]+Table7[[#This Row],[Pgate_bottom (mW) C]])</f>
        <v>#NAME?</v>
      </c>
      <c r="BY254" s="145" t="e">
        <f ca="1">Table7[[#This Row],[Pcon_bottom (mW) C]]+Table7[[#This Row],[Psw_bottom (mV) C]]</f>
        <v>#NAME?</v>
      </c>
      <c r="BZ254" s="145" t="e">
        <f ca="1">Table7[[#This Row],[Pbottom (mW) C]]+Table7[[#This Row],[Ptop (mW) C]]</f>
        <v>#NAME?</v>
      </c>
      <c r="CA254" s="148"/>
      <c r="CB254" s="144">
        <f>(RAC_SNS*10^-3*(Table7[[#This Row],[IOUT (A)]]*Vbat/VACnom)^2/10^-3)</f>
        <v>686.69433680555562</v>
      </c>
      <c r="CC254" s="144">
        <f>(RBAT_SNS*10^-3*Table7[[#This Row],[IOUT (A)]]^2)/10^-3</f>
        <v>480.2000000000001</v>
      </c>
      <c r="CD254" s="144">
        <f>IF(VACnom&gt;Vbat,(L_DRC*10^-3*(Table7[[#This Row],[IOUT (A)]])^2/10^-3),(L_DRC*10^-3*(Table7[[#This Row],[IOUT (A)]]*Vbat/VACnom)^2/10^-3))</f>
        <v>466.95214902777775</v>
      </c>
      <c r="CE254" s="152"/>
      <c r="CF254" s="145">
        <f>(Table7[[#This Row],[R_AC (mW)]]+Table7[[#This Row],[R_SR (mW)]]+Table7[[#This Row],[Inductor Loss (mW)]])/10^3</f>
        <v>1.6338464858333335</v>
      </c>
      <c r="CG254" s="145" t="e">
        <f ca="1">Table7[[#This Row],[Total TI (mW)]]/10^3</f>
        <v>#NAME?</v>
      </c>
      <c r="CH254" s="145" t="e">
        <f ca="1">Table7[[#This Row],[Total Sense Loss]]+Table7[[#This Row],[Total MOSFET Loss]]</f>
        <v>#NAME?</v>
      </c>
      <c r="CI254" s="149" t="e">
        <f ca="1">IF(Table7[[#This Row],[POUT (W)]]=0,0,(Table7[[#This Row],[POUT (W)]])/(Table7[[#This Row],[POUT (W)]]+Table7[[#This Row],[Total Power Loss (W)]]))*100</f>
        <v>#NAME?</v>
      </c>
      <c r="CJ254" s="153"/>
      <c r="CK254" s="145">
        <f>(Table7[[#This Row],[R_AC (mW)]]+Table7[[#This Row],[R_SR (mW)]]+Table7[[#This Row],[Inductor Loss (mW)]])/10^3</f>
        <v>1.6338464858333335</v>
      </c>
      <c r="CL254" s="145" t="e">
        <f ca="1">Table7[[#This Row],[Total (mW) C]]/10^3</f>
        <v>#NAME?</v>
      </c>
      <c r="CM254" s="145" t="e">
        <f ca="1">Table7[[#This Row],[Total Sense Loss C]]+Table7[[#This Row],[Total MOSFET Loss C]]</f>
        <v>#NAME?</v>
      </c>
      <c r="CN254" s="149" t="e">
        <f ca="1">IF(Table7[[#This Row],[POUT (W)]]=0,0,(Table7[[#This Row],[POUT (W)]])/(Table7[[#This Row],[POUT (W)]]+Table7[[#This Row],[Total Power Loss (W) C]]))*100</f>
        <v>#NAME?</v>
      </c>
      <c r="CO254" s="153"/>
      <c r="CP254" s="149">
        <f>IF(MOSFET_S=Custom_MOSFET,Table7[[#This Row],[Total Sense Loss C]],Table7[[#This Row],[Total Sense Loss]])</f>
        <v>1.6338464858333335</v>
      </c>
      <c r="CQ254" s="149" t="e">
        <f ca="1">IF(MOSFET_S=Custom_MOSFET,Table7[[#This Row],[Total MOSFET Loss C]],Table7[[#This Row],[Total MOSFET Loss]])</f>
        <v>#NAME?</v>
      </c>
      <c r="CR254" s="149" t="e">
        <f ca="1">IF(MOSFET_S=Custom_MOSFET,Table7[[#This Row],[Efficiency C]],Table7[[#This Row],[Efficiency]])</f>
        <v>#NAME?</v>
      </c>
      <c r="CS254" s="153"/>
      <c r="CT254" s="149">
        <f>IF(MOSFET_S=Compare_MOSFET, Table7[[#This Row],[Total Sense Loss C]], -100)</f>
        <v>-100</v>
      </c>
      <c r="CU254" s="149">
        <f>IF(MOSFET_S=Compare_MOSFET, Table7[[#This Row],[Total MOSFET Loss C]], -100)</f>
        <v>-100</v>
      </c>
      <c r="CV254" s="149">
        <f>IF(MOSFET_S=Compare_MOSFET, Table7[[#This Row],[Efficiency C]], -100)</f>
        <v>-100</v>
      </c>
      <c r="CW254" s="153"/>
      <c r="CX254" s="149">
        <f ca="1">IF(Save_Sel=CLR_Save,  Table7[[#This Row],[Total Sense Loss P1]], Table7[[#This Row],[Total Sense Loss P1 Saved]])</f>
        <v>1.3700706250000003</v>
      </c>
      <c r="CY254" s="149">
        <f ca="1">IF(Save_Sel=CLR_Save,  Table7[[#This Row],[Total MOSFET Loss P1]], Table7[[#This Row],[Total MOSFET Loss P1 Saved]] )</f>
        <v>2.3969033671488114</v>
      </c>
      <c r="CZ254" s="149">
        <f ca="1">IF(Save_Sel=CLR_Save, Table7[[#This Row],[Efficiency P1]], Table7[[#This Row],[Efficiency P1 Saved]])</f>
        <v>93.979293304768888</v>
      </c>
      <c r="DA254" s="153"/>
      <c r="DB254" s="149">
        <f ca="1">IF(Save_Sel=CLR_Save,  Table7[[#This Row],[Total Sense Loss P2]], Table7[[#This Row],[Total Sense Loss P2 Saved]])</f>
        <v>1.3700706250000003</v>
      </c>
      <c r="DC254" s="149">
        <f ca="1">IF(Save_Sel=CLR_Save,  Table7[[#This Row],[Total MOSFET Loss P2]], Table7[[#This Row],[Total MOSFET Loss P2 Saved]] )</f>
        <v>1.7223458891070131</v>
      </c>
      <c r="DD254" s="149">
        <f ca="1">IF(Save_Sel=CLR_Save, Table7[[#This Row],[Efficiency P2]], Table7[[#This Row],[Efficiency P2 Saved]])</f>
        <v>95.003561521301776</v>
      </c>
      <c r="DE254" s="153"/>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row>
    <row r="255" spans="1:165" x14ac:dyDescent="0.2">
      <c r="A255" s="67"/>
      <c r="B255" s="67"/>
      <c r="C255" s="67"/>
      <c r="D255" s="67"/>
      <c r="E255" s="67"/>
      <c r="F255" s="67"/>
      <c r="G255" s="67"/>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43">
        <f t="shared" si="54"/>
        <v>99</v>
      </c>
      <c r="AG255" s="143">
        <f t="shared" si="59"/>
        <v>9.9</v>
      </c>
      <c r="AH255" s="144">
        <f t="shared" si="57"/>
        <v>237.60000000000002</v>
      </c>
      <c r="AI255" s="145">
        <f t="shared" si="43"/>
        <v>0.16376306620209058</v>
      </c>
      <c r="AJ255" s="145">
        <f t="shared" si="58"/>
        <v>11.838750000000001</v>
      </c>
      <c r="AK255" s="145" t="e">
        <f t="shared" si="55"/>
        <v>#NAME?</v>
      </c>
      <c r="AL255" s="145" t="e">
        <f t="shared" si="56"/>
        <v>#NAME?</v>
      </c>
      <c r="AM255" s="146"/>
      <c r="AN255" s="145" t="e">
        <f>MAX(0,Table7[[#This Row],[I_L]]-0.5*Table7[[#This Row],[I_L pkpk]])</f>
        <v>#NAME?</v>
      </c>
      <c r="AO255" s="145" t="e">
        <f>Table7[[#This Row],[I_L]]+0.5*Table7[[#This Row],[I_L pkpk]]</f>
        <v>#NAME?</v>
      </c>
      <c r="AP255" s="145" t="e">
        <f ca="1">IF(VACnom&gt;Vbat, (VGS_S-(TI_MOSFET_S_VTH_H_BU+Table7[[#This Row],[I_L]]/TI_MOSFET_S_gFS_H_BU))/3.4, (VGS_S-(TI_MOSFET_S_VTH_L_BO+Table7[[#This Row],[I_L]]/TI_MOSFET_S_gFS_L_BO))/3.4 )</f>
        <v>#REF!</v>
      </c>
      <c r="AQ255" s="145" t="e">
        <f ca="1">IF(VACnom&gt;Vbat, ((TI_MOSFET_S_VTH_H_BU+Table7[[#This Row],[I_L]]/TI_MOSFET_S_gFS_H_BU))/1, ((TI_MOSFET_S_VTH_L_BO+Table7[[#This Row],[I_L]]/TI_MOSFET_S_gFS_L_BO))/1 )</f>
        <v>#REF!</v>
      </c>
      <c r="AR255" s="145" t="e">
        <f ca="1">IF(VACnom&gt;Vbat, (TI_MOSFET_S_QGD_H_BU+TI_MOSFET_S_QGS_H_BU)*10^-9/Table7[[#This Row],[Ion (A)]], (TI_MOSFET_S_QGD_L_BO+TI_MOSFET_S_QGS_L_BO)*10^-9/Table7[[#This Row],[Ion (A)]])/10^-9</f>
        <v>#REF!</v>
      </c>
      <c r="AS255" s="145" t="e">
        <f ca="1">IF(VACnom&gt;Vbat, (TI_MOSFET_S_QGD_H_BU+TI_MOSFET_S_QGS_H_BU)*10^-9/Table7[[#This Row],[Ioff (A)]], (TI_MOSFET_S_QGD_L_BO+TI_MOSFET_S_QGS_L_BO)*10^-9/Table7[[#This Row],[Ioff (A)]])/10^-9</f>
        <v>#REF!</v>
      </c>
      <c r="AT255" s="145" t="e">
        <f ca="1" xml:space="preserve"> 0.5*VACnom*Table7[[#This Row],[Ivalley (A)]]*Table7[[#This Row],[ton (ns)]]*10^-9*Fsw*10^3+0.5*VACnom*Table7[[#This Row],[Ipeak (A)]]*Table7[[#This Row],[toff (ns)]]*10^-9*Fsw*10^3/10^-3</f>
        <v>#NAME?</v>
      </c>
      <c r="AU255" s="145" t="e">
        <f t="shared" ca="1" si="45"/>
        <v>#REF!</v>
      </c>
      <c r="AV255" s="145" t="e">
        <f t="shared" ca="1" si="46"/>
        <v>#REF!</v>
      </c>
      <c r="AW255" s="145" t="e">
        <f t="shared" ca="1" si="47"/>
        <v>#REF!</v>
      </c>
      <c r="AX255" s="145" t="e">
        <f ca="1">IF(VACnom&gt;Vbat, TI_MOSFET_S_VSD_L_BU*Table7[[#This Row],[Ivalley (A)]]*Fsw*10^3*40*10^-9+TI_MOSFET_S_VSD_L_BU*Table7[[#This Row],[Ipeak (A)]]*Fsw*10^3*30*10^-9, TI_MOSFET_S_VSD_H_BO*Table7[[#This Row],[Ivalley (A)]]*Fsw*10^3*40*10^-9+TI_MOSFET_S_VSD_H_BO*Table7[[#This Row],[Ipeak (A)]]*Fsw*10^3*30*10^-9)/10^-3</f>
        <v>#REF!</v>
      </c>
      <c r="AY255" s="145" t="e">
        <f t="shared" ca="1" si="48"/>
        <v>#REF!</v>
      </c>
      <c r="AZ255" s="145" t="e">
        <f ca="1">IF(VACnom&lt;Vbat, Table7[[#This Row],[Duty Cycle]]*Table7[[#This Row],[I_L RMS]]^2*TI_MOSFET_S_RDSON_H_BU*10^-3, (1-Table7[[#This Row],[Duty Cycle]])*Table7[[#This Row],[I_L RMS]]^2*TI_MOSFET_S_RDSON_H_BO*10^-3)/10^-3</f>
        <v>#NAME?</v>
      </c>
      <c r="BA255" s="145" t="e">
        <f ca="1">IF(VACnom&gt;Vbat, Table7[[#This Row],[PIV (mW)]]+Table7[[#This Row],[Pqoss (mW)]]+Table7[[#This Row],[Pgate_top (mW)]], Table7[[#This Row],[PRR (mW)]]+Table7[[#This Row],[Pdead (mW)]]+Table7[[#This Row],[Pgate_top (mW)]])</f>
        <v>#REF!</v>
      </c>
      <c r="BB255" s="145" t="e">
        <f ca="1">Table7[[#This Row],[Pcon_top (mW)]]+Table7[[#This Row],[Psw_top (mW)]]</f>
        <v>#NAME?</v>
      </c>
      <c r="BC255" s="145" t="e">
        <f ca="1">IF(VACnom&gt;Vbat, (1-Table7[[#This Row],[Duty Cycle]])*Table7[[#This Row],[I_L RMS]]^2*TI_MOSFET_S_RDSON_L_BU*10^-3, Table7[[#This Row],[Duty Cycle]]*Table7[[#This Row],[I_L RMS]]^2*TI_MOSFET_S_RDSON_L_BO*10^-3)/10^-3</f>
        <v>#NAME?</v>
      </c>
      <c r="BD255" s="145" t="e">
        <f ca="1">IF(VACnom&gt;Vbat, Table7[[#This Row],[PRR (mW)]]+Table7[[#This Row],[Pdead (mW)]]+Table7[[#This Row],[Pgate_bottom (mW)]], Table7[[#This Row],[PIV (mW)]]+Table7[[#This Row],[Pqoss (mW)]]+Table7[[#This Row],[Pgate_bottom (mW)]])</f>
        <v>#NAME?</v>
      </c>
      <c r="BE255" s="147" t="e">
        <f ca="1">Table7[[#This Row],[Pcon_bottom (mW)]]+Table7[[#This Row],[Psw_bottom (mW)]]</f>
        <v>#NAME?</v>
      </c>
      <c r="BF255" s="145" t="e">
        <f ca="1">Table7[[#This Row],[Pbottom (mW)]]+Table7[[#This Row],[Ptop (mW)]]</f>
        <v>#NAME?</v>
      </c>
      <c r="BG255" s="142"/>
      <c r="BH255" s="145" t="e">
        <f>MAX(0,Table7[[#This Row],[I_L]]-0.5*Table7[[#This Row],[I_L pkpk]])</f>
        <v>#NAME?</v>
      </c>
      <c r="BI255" s="145" t="e">
        <f>Table7[[#This Row],[I_L]]+0.5*Table7[[#This Row],[I_L pkpk]]</f>
        <v>#NAME?</v>
      </c>
      <c r="BJ255" s="145">
        <f>IF(VACnom&gt;Vbat, (VGS_S-(C_MOSFET_S_VTH_H_BU+Table7[[#This Row],[I_L]]/C_MOSFET_S_gFS_H_BU))/3.4, (VGS_S-(C_MOSFET_S_VTH_L_BO+Table7[[#This Row],[I_L]]/C_MOSFET_S_gFS_L_BO))/3.4 )</f>
        <v>2.3297279411764706</v>
      </c>
      <c r="BK255" s="145">
        <f>IF(VACnom&gt;Vbat, ((C_MOSFET_S_VTH_H_BU+Table7[[#This Row],[I_L]]/C_MOSFET_S_gFS_H_BU))/1, ((C_MOSFET_S_VTH_L_BO+Table7[[#This Row],[I_L]]/C_MOSFET_S_gFS_L_BO))/1 )</f>
        <v>2.0789249999999999</v>
      </c>
      <c r="BL255" s="145">
        <f>IF(VACnom&gt;Vbat, (C_MOSFET_S_QGD_H_BU+C_MOSFET_S_QGS_H_BU)*10^-9/Table7[[#This Row],[Ion (A) C]], (C_MOSFET_S_QGD_L_BO+C_MOSFET_S_QGS_L_BO)*10^-9/Table7[[#This Row],[Ion (A) C]])/10^-9</f>
        <v>2.790025343782252</v>
      </c>
      <c r="BM255" s="145">
        <f>IF(VACnom&gt;Vbat, (C_MOSFET_S_QGD_H_BU+C_MOSFET_S_QGS_H_BU)*10^-9/Table7[[#This Row],[Ioff (A) C]], (C_MOSFET_S_QGD_L_BO+C_MOSFET_S_QGS_L_BO)*10^-9/Table7[[#This Row],[Ioff (A) C]])/10^-9</f>
        <v>3.1266159192852077</v>
      </c>
      <c r="BN255" s="145" t="e">
        <f xml:space="preserve"> 0.5*VACnom*Table7[[#This Row],[Ivalley (A) C]]*Table7[[#This Row],[ton (ns) C]]*10^-9*Fsw*10^3+0.5*VACnom*Table7[[#This Row],[Ipeak (A) C]]*Table7[[#This Row],[toff (ns) C]]*10^-9*Fsw*10^3/10^-3</f>
        <v>#NAME?</v>
      </c>
      <c r="BO255" s="145">
        <f t="shared" si="49"/>
        <v>259.2</v>
      </c>
      <c r="BP255" s="145" t="e">
        <f t="shared" ca="1" si="50"/>
        <v>#REF!</v>
      </c>
      <c r="BQ255" s="145">
        <f t="shared" si="51"/>
        <v>475.2</v>
      </c>
      <c r="BR255" s="145" t="e">
        <f>IF(VACnom&gt;Vbat, C_MOSFET_S_VSD_L_BU*Table7[[#This Row],[Ivalley (A) C]]*Fsw*10^3*40*10^-9+C_MOSFET_S_VSD_L_BU*Table7[[#This Row],[Ipeak (A) C]]*Fsw*10^3*30*10^-9, C_MOSFET_S_VSD_H_BO*Table7[[#This Row],[Ivalley (A) C]]*Fsw*10^3*40*10^-9+C_MOSFET_S_VSD_H_BO*Table7[[#This Row],[Ipeak (A) C]]*Fsw*10^3*30*10^-9)/10^-3</f>
        <v>#NAME?</v>
      </c>
      <c r="BS255" s="145" t="e">
        <f t="shared" ca="1" si="52"/>
        <v>#REF!</v>
      </c>
      <c r="BT255" s="145" t="e">
        <f>IF(VACnom&lt;Vbat, Table7[[#This Row],[Duty Cycle]]*Table7[[#This Row],[I_L RMS]]^2*C_MOSFET_S_RDSON_H_BU*10^-3, (1-Table7[[#This Row],[Duty Cycle]])*Table7[[#This Row],[I_L RMS]]^2*C_MOSFET_S_RDSON_H_BO*10^-3)/10^-3</f>
        <v>#NAME?</v>
      </c>
      <c r="BU255" s="145" t="e">
        <f ca="1">IF(VACnom&gt;Vbat, Table7[[#This Row],[PIV (mW) C]]+Table7[[#This Row],[PQoss (mW) C]]+Table7[[#This Row],[Pgate_top (mW) C]], Table7[[#This Row],[PRR (mW) C]]+Table7[[#This Row],[Pdead (mW) C]]+Table7[[#This Row],[Pgate_top (mW) C]])</f>
        <v>#NAME?</v>
      </c>
      <c r="BV255" s="145" t="e">
        <f ca="1">Table7[[#This Row],[Pcon_top (mW) C]]+Table7[[#This Row],[Psw_top (mW) C]]</f>
        <v>#NAME?</v>
      </c>
      <c r="BW255" s="145" t="e">
        <f ca="1">IF(VACnom&gt;Vbat, (1-Table7[[#This Row],[Duty Cycle]])*Table7[[#This Row],[I_L RMS]]^2*C_MOSFET_S_RDSON_L_BU*10^-3, Table7[[#This Row],[Duty Cycle]]*Table7[[#This Row],[I_L RMS]]^2*C_MOSFET_S_RDSON_L_BO*10^-3)/10^-3</f>
        <v>#NAME?</v>
      </c>
      <c r="BX255" s="145" t="e">
        <f ca="1">IF(VACnom&gt;Vbat, Table7[[#This Row],[PRR (mW) C]]+Table7[[#This Row],[Pdead (mW) C]]+Table7[[#This Row],[Pgate_bottom (mW) C]], Table7[[#This Row],[PIV (mW) C]]+Table7[[#This Row],[PQoss (mW) C]]+Table7[[#This Row],[Pgate_bottom (mW) C]])</f>
        <v>#NAME?</v>
      </c>
      <c r="BY255" s="145" t="e">
        <f ca="1">Table7[[#This Row],[Pcon_bottom (mW) C]]+Table7[[#This Row],[Psw_bottom (mV) C]]</f>
        <v>#NAME?</v>
      </c>
      <c r="BZ255" s="145" t="e">
        <f ca="1">Table7[[#This Row],[Pbottom (mW) C]]+Table7[[#This Row],[Ptop (mW) C]]</f>
        <v>#NAME?</v>
      </c>
      <c r="CA255" s="148"/>
      <c r="CB255" s="144">
        <f>(RAC_SNS*10^-3*(Table7[[#This Row],[IOUT (A)]]*Vbat/VACnom)^2/10^-3)</f>
        <v>700.78000781249989</v>
      </c>
      <c r="CC255" s="144">
        <f>(RBAT_SNS*10^-3*Table7[[#This Row],[IOUT (A)]]^2)/10^-3</f>
        <v>490.05</v>
      </c>
      <c r="CD255" s="144">
        <f>IF(VACnom&gt;Vbat,(L_DRC*10^-3*(Table7[[#This Row],[IOUT (A)]])^2/10^-3),(L_DRC*10^-3*(Table7[[#This Row],[IOUT (A)]]*Vbat/VACnom)^2/10^-3))</f>
        <v>476.53040531249997</v>
      </c>
      <c r="CE255" s="152"/>
      <c r="CF255" s="145">
        <f>(Table7[[#This Row],[R_AC (mW)]]+Table7[[#This Row],[R_SR (mW)]]+Table7[[#This Row],[Inductor Loss (mW)]])/10^3</f>
        <v>1.6673604131249999</v>
      </c>
      <c r="CG255" s="145" t="e">
        <f ca="1">Table7[[#This Row],[Total TI (mW)]]/10^3</f>
        <v>#NAME?</v>
      </c>
      <c r="CH255" s="145" t="e">
        <f ca="1">Table7[[#This Row],[Total Sense Loss]]+Table7[[#This Row],[Total MOSFET Loss]]</f>
        <v>#NAME?</v>
      </c>
      <c r="CI255" s="149" t="e">
        <f ca="1">IF(Table7[[#This Row],[POUT (W)]]=0,0,(Table7[[#This Row],[POUT (W)]])/(Table7[[#This Row],[POUT (W)]]+Table7[[#This Row],[Total Power Loss (W)]]))*100</f>
        <v>#NAME?</v>
      </c>
      <c r="CJ255" s="153"/>
      <c r="CK255" s="145">
        <f>(Table7[[#This Row],[R_AC (mW)]]+Table7[[#This Row],[R_SR (mW)]]+Table7[[#This Row],[Inductor Loss (mW)]])/10^3</f>
        <v>1.6673604131249999</v>
      </c>
      <c r="CL255" s="145" t="e">
        <f ca="1">Table7[[#This Row],[Total (mW) C]]/10^3</f>
        <v>#NAME?</v>
      </c>
      <c r="CM255" s="145" t="e">
        <f ca="1">Table7[[#This Row],[Total Sense Loss C]]+Table7[[#This Row],[Total MOSFET Loss C]]</f>
        <v>#NAME?</v>
      </c>
      <c r="CN255" s="149" t="e">
        <f ca="1">IF(Table7[[#This Row],[POUT (W)]]=0,0,(Table7[[#This Row],[POUT (W)]])/(Table7[[#This Row],[POUT (W)]]+Table7[[#This Row],[Total Power Loss (W) C]]))*100</f>
        <v>#NAME?</v>
      </c>
      <c r="CO255" s="153"/>
      <c r="CP255" s="149">
        <f>IF(MOSFET_S=Custom_MOSFET,Table7[[#This Row],[Total Sense Loss C]],Table7[[#This Row],[Total Sense Loss]])</f>
        <v>1.6673604131249999</v>
      </c>
      <c r="CQ255" s="149" t="e">
        <f ca="1">IF(MOSFET_S=Custom_MOSFET,Table7[[#This Row],[Total MOSFET Loss C]],Table7[[#This Row],[Total MOSFET Loss]])</f>
        <v>#NAME?</v>
      </c>
      <c r="CR255" s="149" t="e">
        <f ca="1">IF(MOSFET_S=Custom_MOSFET,Table7[[#This Row],[Efficiency C]],Table7[[#This Row],[Efficiency]])</f>
        <v>#NAME?</v>
      </c>
      <c r="CS255" s="153"/>
      <c r="CT255" s="149">
        <f>IF(MOSFET_S=Compare_MOSFET, Table7[[#This Row],[Total Sense Loss C]], -100)</f>
        <v>-100</v>
      </c>
      <c r="CU255" s="149">
        <f>IF(MOSFET_S=Compare_MOSFET, Table7[[#This Row],[Total MOSFET Loss C]], -100)</f>
        <v>-100</v>
      </c>
      <c r="CV255" s="149">
        <f>IF(MOSFET_S=Compare_MOSFET, Table7[[#This Row],[Efficiency C]], -100)</f>
        <v>-100</v>
      </c>
      <c r="CW255" s="153"/>
      <c r="CX255" s="149">
        <f ca="1">IF(Save_Sel=CLR_Save,  Table7[[#This Row],[Total Sense Loss P1]], Table7[[#This Row],[Total Sense Loss P1 Saved]])</f>
        <v>1.39817390625</v>
      </c>
      <c r="CY255" s="149">
        <f ca="1">IF(Save_Sel=CLR_Save,  Table7[[#This Row],[Total MOSFET Loss P1]], Table7[[#This Row],[Total MOSFET Loss P1 Saved]] )</f>
        <v>2.4089540058273315</v>
      </c>
      <c r="CZ255" s="149">
        <f ca="1">IF(Save_Sel=CLR_Save, Table7[[#This Row],[Efficiency P1]], Table7[[#This Row],[Efficiency P1 Saved]])</f>
        <v>93.976742753802796</v>
      </c>
      <c r="DA255" s="153"/>
      <c r="DB255" s="149">
        <f ca="1">IF(Save_Sel=CLR_Save,  Table7[[#This Row],[Total Sense Loss P2]], Table7[[#This Row],[Total Sense Loss P2 Saved]])</f>
        <v>1.39817390625</v>
      </c>
      <c r="DC255" s="149">
        <f ca="1">IF(Save_Sel=CLR_Save,  Table7[[#This Row],[Total MOSFET Loss P2]], Table7[[#This Row],[Total MOSFET Loss P2 Saved]] )</f>
        <v>1.7341086251297009</v>
      </c>
      <c r="DD255" s="149">
        <f ca="1">IF(Save_Sel=CLR_Save, Table7[[#This Row],[Efficiency P2]], Table7[[#This Row],[Efficiency P2 Saved]])</f>
        <v>94.990935234440116</v>
      </c>
      <c r="DE255" s="153"/>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row>
    <row r="256" spans="1:165" ht="16" thickBot="1" x14ac:dyDescent="0.25">
      <c r="A256" s="67"/>
      <c r="B256" s="67"/>
      <c r="C256" s="67"/>
      <c r="D256" s="67"/>
      <c r="E256" s="67"/>
      <c r="F256" s="67"/>
      <c r="G256" s="67"/>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43">
        <f t="shared" si="54"/>
        <v>100</v>
      </c>
      <c r="AG256" s="143">
        <f>Ioutmax</f>
        <v>10</v>
      </c>
      <c r="AH256" s="144">
        <f t="shared" si="57"/>
        <v>240</v>
      </c>
      <c r="AI256" s="145">
        <f t="shared" si="43"/>
        <v>0.16376306620209058</v>
      </c>
      <c r="AJ256" s="145">
        <f t="shared" si="58"/>
        <v>11.958333333333334</v>
      </c>
      <c r="AK256" s="145" t="e">
        <f t="shared" si="55"/>
        <v>#NAME?</v>
      </c>
      <c r="AL256" s="145" t="e">
        <f t="shared" si="56"/>
        <v>#NAME?</v>
      </c>
      <c r="AM256" s="146"/>
      <c r="AN256" s="145" t="e">
        <f>MAX(0,Table7[[#This Row],[I_L]]-0.5*Table7[[#This Row],[I_L pkpk]])</f>
        <v>#NAME?</v>
      </c>
      <c r="AO256" s="145" t="e">
        <f>Table7[[#This Row],[I_L]]+0.5*Table7[[#This Row],[I_L pkpk]]</f>
        <v>#NAME?</v>
      </c>
      <c r="AP256" s="145" t="e">
        <f ca="1">IF(VACnom&gt;Vbat, (VGS_S-(TI_MOSFET_S_VTH_H_BU+Table7[[#This Row],[I_L]]/TI_MOSFET_S_gFS_H_BU))/3.4, (VGS_S-(TI_MOSFET_S_VTH_L_BO+Table7[[#This Row],[I_L]]/TI_MOSFET_S_gFS_L_BO))/3.4 )</f>
        <v>#REF!</v>
      </c>
      <c r="AQ256" s="145" t="e">
        <f ca="1">IF(VACnom&gt;Vbat, ((TI_MOSFET_S_VTH_H_BU+Table7[[#This Row],[I_L]]/TI_MOSFET_S_gFS_H_BU))/1, ((TI_MOSFET_S_VTH_L_BO+Table7[[#This Row],[I_L]]/TI_MOSFET_S_gFS_L_BO))/1 )</f>
        <v>#REF!</v>
      </c>
      <c r="AR256" s="145" t="e">
        <f ca="1">IF(VACnom&gt;Vbat, (TI_MOSFET_S_QGD_H_BU+TI_MOSFET_S_QGS_H_BU)*10^-9/Table7[[#This Row],[Ion (A)]], (TI_MOSFET_S_QGD_L_BO+TI_MOSFET_S_QGS_L_BO)*10^-9/Table7[[#This Row],[Ion (A)]])/10^-9</f>
        <v>#REF!</v>
      </c>
      <c r="AS256" s="145" t="e">
        <f ca="1">IF(VACnom&gt;Vbat, (TI_MOSFET_S_QGD_H_BU+TI_MOSFET_S_QGS_H_BU)*10^-9/Table7[[#This Row],[Ioff (A)]], (TI_MOSFET_S_QGD_L_BO+TI_MOSFET_S_QGS_L_BO)*10^-9/Table7[[#This Row],[Ioff (A)]])/10^-9</f>
        <v>#REF!</v>
      </c>
      <c r="AT256" s="145" t="e">
        <f ca="1" xml:space="preserve"> 0.5*VACnom*Table7[[#This Row],[Ivalley (A)]]*Table7[[#This Row],[ton (ns)]]*10^-9*Fsw*10^3+0.5*VACnom*Table7[[#This Row],[Ipeak (A)]]*Table7[[#This Row],[toff (ns)]]*10^-9*Fsw*10^3/10^-3</f>
        <v>#NAME?</v>
      </c>
      <c r="AU256" s="145" t="e">
        <f t="shared" ca="1" si="45"/>
        <v>#REF!</v>
      </c>
      <c r="AV256" s="145" t="e">
        <f t="shared" ca="1" si="46"/>
        <v>#REF!</v>
      </c>
      <c r="AW256" s="145" t="e">
        <f t="shared" ca="1" si="47"/>
        <v>#REF!</v>
      </c>
      <c r="AX256" s="145" t="e">
        <f ca="1">IF(VACnom&gt;Vbat, TI_MOSFET_S_VSD_L_BU*Table7[[#This Row],[Ivalley (A)]]*Fsw*10^3*40*10^-9+TI_MOSFET_S_VSD_L_BU*Table7[[#This Row],[Ipeak (A)]]*Fsw*10^3*30*10^-9, TI_MOSFET_S_VSD_H_BO*Table7[[#This Row],[Ivalley (A)]]*Fsw*10^3*40*10^-9+TI_MOSFET_S_VSD_H_BO*Table7[[#This Row],[Ipeak (A)]]*Fsw*10^3*30*10^-9)/10^-3</f>
        <v>#REF!</v>
      </c>
      <c r="AY256" s="145" t="e">
        <f t="shared" ca="1" si="48"/>
        <v>#REF!</v>
      </c>
      <c r="AZ256" s="145" t="e">
        <f ca="1">IF(VACnom&lt;Vbat, Table7[[#This Row],[Duty Cycle]]*Table7[[#This Row],[I_L RMS]]^2*TI_MOSFET_S_RDSON_H_BU*10^-3, (1-Table7[[#This Row],[Duty Cycle]])*Table7[[#This Row],[I_L RMS]]^2*TI_MOSFET_S_RDSON_H_BO*10^-3)/10^-3</f>
        <v>#NAME?</v>
      </c>
      <c r="BA256" s="145" t="e">
        <f ca="1">IF(VACnom&gt;Vbat, Table7[[#This Row],[PIV (mW)]]+Table7[[#This Row],[Pqoss (mW)]]+Table7[[#This Row],[Pgate_top (mW)]], Table7[[#This Row],[PRR (mW)]]+Table7[[#This Row],[Pdead (mW)]]+Table7[[#This Row],[Pgate_top (mW)]])</f>
        <v>#REF!</v>
      </c>
      <c r="BB256" s="145" t="e">
        <f ca="1">Table7[[#This Row],[Pcon_top (mW)]]+Table7[[#This Row],[Psw_top (mW)]]</f>
        <v>#NAME?</v>
      </c>
      <c r="BC256" s="145" t="e">
        <f ca="1">IF(VACnom&gt;Vbat, (1-Table7[[#This Row],[Duty Cycle]])*Table7[[#This Row],[I_L RMS]]^2*TI_MOSFET_S_RDSON_L_BU*10^-3, Table7[[#This Row],[Duty Cycle]]*Table7[[#This Row],[I_L RMS]]^2*TI_MOSFET_S_RDSON_L_BO*10^-3)/10^-3</f>
        <v>#NAME?</v>
      </c>
      <c r="BD256" s="145" t="e">
        <f ca="1">IF(VACnom&gt;Vbat, Table7[[#This Row],[PRR (mW)]]+Table7[[#This Row],[Pdead (mW)]]+Table7[[#This Row],[Pgate_bottom (mW)]], Table7[[#This Row],[PIV (mW)]]+Table7[[#This Row],[Pqoss (mW)]]+Table7[[#This Row],[Pgate_bottom (mW)]])</f>
        <v>#NAME?</v>
      </c>
      <c r="BE256" s="150" t="e">
        <f ca="1">Table7[[#This Row],[Pcon_bottom (mW)]]+Table7[[#This Row],[Psw_bottom (mW)]]</f>
        <v>#NAME?</v>
      </c>
      <c r="BF256" s="145" t="e">
        <f ca="1">Table7[[#This Row],[Pbottom (mW)]]+Table7[[#This Row],[Ptop (mW)]]</f>
        <v>#NAME?</v>
      </c>
      <c r="BG256" s="142"/>
      <c r="BH256" s="145" t="e">
        <f>MAX(0,Table7[[#This Row],[I_L]]-0.5*Table7[[#This Row],[I_L pkpk]])</f>
        <v>#NAME?</v>
      </c>
      <c r="BI256" s="145" t="e">
        <f>Table7[[#This Row],[I_L]]+0.5*Table7[[#This Row],[I_L pkpk]]</f>
        <v>#NAME?</v>
      </c>
      <c r="BJ256" s="145">
        <f>IF(VACnom&gt;Vbat, (VGS_S-(C_MOSFET_S_VTH_H_BU+Table7[[#This Row],[I_L]]/C_MOSFET_S_gFS_H_BU))/3.4, (VGS_S-(C_MOSFET_S_VTH_L_BO+Table7[[#This Row],[I_L]]/C_MOSFET_S_gFS_L_BO))/3.4 )</f>
        <v>2.3294934640522875</v>
      </c>
      <c r="BK256" s="145">
        <f>IF(VACnom&gt;Vbat, ((C_MOSFET_S_VTH_H_BU+Table7[[#This Row],[I_L]]/C_MOSFET_S_gFS_H_BU))/1, ((C_MOSFET_S_VTH_L_BO+Table7[[#This Row],[I_L]]/C_MOSFET_S_gFS_L_BO))/1 )</f>
        <v>2.0797222222222222</v>
      </c>
      <c r="BL256" s="145">
        <f>IF(VACnom&gt;Vbat, (C_MOSFET_S_QGD_H_BU+C_MOSFET_S_QGS_H_BU)*10^-9/Table7[[#This Row],[Ion (A) C]], (C_MOSFET_S_QGD_L_BO+C_MOSFET_S_QGS_L_BO)*10^-9/Table7[[#This Row],[Ion (A) C]])/10^-9</f>
        <v>2.7903061761301862</v>
      </c>
      <c r="BM256" s="145">
        <f>IF(VACnom&gt;Vbat, (C_MOSFET_S_QGD_H_BU+C_MOSFET_S_QGS_H_BU)*10^-9/Table7[[#This Row],[Ioff (A) C]], (C_MOSFET_S_QGD_L_BO+C_MOSFET_S_QGS_L_BO)*10^-9/Table7[[#This Row],[Ioff (A) C]])/10^-9</f>
        <v>3.1254173901429141</v>
      </c>
      <c r="BN256" s="145" t="e">
        <f xml:space="preserve"> 0.5*VACnom*Table7[[#This Row],[Ivalley (A) C]]*Table7[[#This Row],[ton (ns) C]]*10^-9*Fsw*10^3+0.5*VACnom*Table7[[#This Row],[Ipeak (A) C]]*Table7[[#This Row],[toff (ns) C]]*10^-9*Fsw*10^3/10^-3</f>
        <v>#NAME?</v>
      </c>
      <c r="BO256" s="145">
        <f t="shared" si="49"/>
        <v>259.2</v>
      </c>
      <c r="BP256" s="145" t="e">
        <f t="shared" ca="1" si="50"/>
        <v>#REF!</v>
      </c>
      <c r="BQ256" s="145">
        <f t="shared" si="51"/>
        <v>475.2</v>
      </c>
      <c r="BR256" s="145" t="e">
        <f>IF(VACnom&gt;Vbat, C_MOSFET_S_VSD_L_BU*Table7[[#This Row],[Ivalley (A) C]]*Fsw*10^3*40*10^-9+C_MOSFET_S_VSD_L_BU*Table7[[#This Row],[Ipeak (A) C]]*Fsw*10^3*30*10^-9, C_MOSFET_S_VSD_H_BO*Table7[[#This Row],[Ivalley (A) C]]*Fsw*10^3*40*10^-9+C_MOSFET_S_VSD_H_BO*Table7[[#This Row],[Ipeak (A) C]]*Fsw*10^3*30*10^-9)/10^-3</f>
        <v>#NAME?</v>
      </c>
      <c r="BS256" s="145" t="e">
        <f t="shared" ca="1" si="52"/>
        <v>#REF!</v>
      </c>
      <c r="BT256" s="145" t="e">
        <f>IF(VACnom&lt;Vbat, Table7[[#This Row],[Duty Cycle]]*Table7[[#This Row],[I_L RMS]]^2*C_MOSFET_S_RDSON_H_BU*10^-3, (1-Table7[[#This Row],[Duty Cycle]])*Table7[[#This Row],[I_L RMS]]^2*C_MOSFET_S_RDSON_H_BO*10^-3)/10^-3</f>
        <v>#NAME?</v>
      </c>
      <c r="BU256" s="145" t="e">
        <f ca="1">IF(VACnom&gt;Vbat, Table7[[#This Row],[PIV (mW) C]]+Table7[[#This Row],[PQoss (mW) C]]+Table7[[#This Row],[Pgate_top (mW) C]], Table7[[#This Row],[PRR (mW) C]]+Table7[[#This Row],[Pdead (mW) C]]+Table7[[#This Row],[Pgate_top (mW) C]])</f>
        <v>#NAME?</v>
      </c>
      <c r="BV256" s="145" t="e">
        <f ca="1">Table7[[#This Row],[Pcon_top (mW) C]]+Table7[[#This Row],[Psw_top (mW) C]]</f>
        <v>#NAME?</v>
      </c>
      <c r="BW256" s="145" t="e">
        <f ca="1">IF(VACnom&gt;Vbat, (1-Table7[[#This Row],[Duty Cycle]])*Table7[[#This Row],[I_L RMS]]^2*C_MOSFET_S_RDSON_L_BU*10^-3, Table7[[#This Row],[Duty Cycle]]*Table7[[#This Row],[I_L RMS]]^2*C_MOSFET_S_RDSON_L_BO*10^-3)/10^-3</f>
        <v>#NAME?</v>
      </c>
      <c r="BX256" s="145" t="e">
        <f ca="1">IF(VACnom&gt;Vbat, Table7[[#This Row],[PRR (mW) C]]+Table7[[#This Row],[Pdead (mW) C]]+Table7[[#This Row],[Pgate_bottom (mW) C]], Table7[[#This Row],[PIV (mW) C]]+Table7[[#This Row],[PQoss (mW) C]]+Table7[[#This Row],[Pgate_bottom (mW) C]])</f>
        <v>#NAME?</v>
      </c>
      <c r="BY256" s="145" t="e">
        <f ca="1">Table7[[#This Row],[Pcon_bottom (mW) C]]+Table7[[#This Row],[Psw_bottom (mV) C]]</f>
        <v>#NAME?</v>
      </c>
      <c r="BZ256" s="145" t="e">
        <f ca="1">Table7[[#This Row],[Pbottom (mW) C]]+Table7[[#This Row],[Ptop (mW) C]]</f>
        <v>#NAME?</v>
      </c>
      <c r="CA256" s="148"/>
      <c r="CB256" s="144">
        <f>(RAC_SNS*10^-3*(Table7[[#This Row],[IOUT (A)]]*Vbat/VACnom)^2/10^-3)</f>
        <v>715.00868055555554</v>
      </c>
      <c r="CC256" s="144">
        <f>(RBAT_SNS*10^-3*Table7[[#This Row],[IOUT (A)]]^2)/10^-3</f>
        <v>500</v>
      </c>
      <c r="CD256" s="144">
        <f>IF(VACnom&gt;Vbat,(L_DRC*10^-3*(Table7[[#This Row],[IOUT (A)]])^2/10^-3),(L_DRC*10^-3*(Table7[[#This Row],[IOUT (A)]]*Vbat/VACnom)^2/10^-3))</f>
        <v>486.20590277777774</v>
      </c>
      <c r="CE256" s="152"/>
      <c r="CF256" s="145">
        <f>(Table7[[#This Row],[R_AC (mW)]]+Table7[[#This Row],[R_SR (mW)]]+Table7[[#This Row],[Inductor Loss (mW)]])/10^3</f>
        <v>1.7012145833333334</v>
      </c>
      <c r="CG256" s="145" t="e">
        <f ca="1">Table7[[#This Row],[Total TI (mW)]]/10^3</f>
        <v>#NAME?</v>
      </c>
      <c r="CH256" s="145" t="e">
        <f ca="1">Table7[[#This Row],[Total Sense Loss]]+Table7[[#This Row],[Total MOSFET Loss]]</f>
        <v>#NAME?</v>
      </c>
      <c r="CI256" s="149" t="e">
        <f ca="1">IF(Table7[[#This Row],[POUT (W)]]=0,0,(Table7[[#This Row],[POUT (W)]])/(Table7[[#This Row],[POUT (W)]]+Table7[[#This Row],[Total Power Loss (W)]]))*100</f>
        <v>#NAME?</v>
      </c>
      <c r="CJ256" s="153"/>
      <c r="CK256" s="145">
        <f>(Table7[[#This Row],[R_AC (mW)]]+Table7[[#This Row],[R_SR (mW)]]+Table7[[#This Row],[Inductor Loss (mW)]])/10^3</f>
        <v>1.7012145833333334</v>
      </c>
      <c r="CL256" s="145" t="e">
        <f ca="1">Table7[[#This Row],[Total (mW) C]]/10^3</f>
        <v>#NAME?</v>
      </c>
      <c r="CM256" s="145" t="e">
        <f ca="1">Table7[[#This Row],[Total Sense Loss C]]+Table7[[#This Row],[Total MOSFET Loss C]]</f>
        <v>#NAME?</v>
      </c>
      <c r="CN256" s="149" t="e">
        <f ca="1">IF(Table7[[#This Row],[POUT (W)]]=0,0,(Table7[[#This Row],[POUT (W)]])/(Table7[[#This Row],[POUT (W)]]+Table7[[#This Row],[Total Power Loss (W) C]]))*100</f>
        <v>#NAME?</v>
      </c>
      <c r="CO256" s="153"/>
      <c r="CP256" s="149">
        <f>IF(MOSFET_S=Custom_MOSFET,Table7[[#This Row],[Total Sense Loss C]],Table7[[#This Row],[Total Sense Loss]])</f>
        <v>1.7012145833333334</v>
      </c>
      <c r="CQ256" s="149" t="e">
        <f ca="1">IF(MOSFET_S=Custom_MOSFET,Table7[[#This Row],[Total MOSFET Loss C]],Table7[[#This Row],[Total MOSFET Loss]])</f>
        <v>#NAME?</v>
      </c>
      <c r="CR256" s="149" t="e">
        <f ca="1">IF(MOSFET_S=Custom_MOSFET,Table7[[#This Row],[Efficiency C]],Table7[[#This Row],[Efficiency]])</f>
        <v>#NAME?</v>
      </c>
      <c r="CS256" s="153"/>
      <c r="CT256" s="149">
        <f>IF(MOSFET_S=Compare_MOSFET, Table7[[#This Row],[Total Sense Loss C]], -100)</f>
        <v>-100</v>
      </c>
      <c r="CU256" s="149">
        <f>IF(MOSFET_S=Compare_MOSFET, Table7[[#This Row],[Total MOSFET Loss C]], -100)</f>
        <v>-100</v>
      </c>
      <c r="CV256" s="149">
        <f>IF(MOSFET_S=Compare_MOSFET, Table7[[#This Row],[Efficiency C]], -100)</f>
        <v>-100</v>
      </c>
      <c r="CW256" s="153"/>
      <c r="CX256" s="149">
        <f ca="1">IF(Save_Sel=CLR_Save,  Table7[[#This Row],[Total Sense Loss P1]], Table7[[#This Row],[Total Sense Loss P1 Saved]])</f>
        <v>1.4265625</v>
      </c>
      <c r="CY256" s="149">
        <f ca="1">IF(Save_Sel=CLR_Save,  Table7[[#This Row],[Total MOSFET Loss P1]], Table7[[#This Row],[Total MOSFET Loss P1 Saved]] )</f>
        <v>2.4210476860910366</v>
      </c>
      <c r="CZ256" s="149">
        <f ca="1">IF(Save_Sel=CLR_Save, Table7[[#This Row],[Efficiency P1]], Table7[[#This Row],[Efficiency P1 Saved]])</f>
        <v>93.97376005949674</v>
      </c>
      <c r="DA256" s="153"/>
      <c r="DB256" s="149">
        <f ca="1">IF(Save_Sel=CLR_Save,  Table7[[#This Row],[Total Sense Loss P2]], Table7[[#This Row],[Total Sense Loss P2 Saved]])</f>
        <v>1.4265625</v>
      </c>
      <c r="DC256" s="149">
        <f ca="1">IF(Save_Sel=CLR_Save,  Table7[[#This Row],[Total MOSFET Loss P2]], Table7[[#This Row],[Total MOSFET Loss P2 Saved]] )</f>
        <v>1.7459505493970742</v>
      </c>
      <c r="DD256" s="149">
        <f ca="1">IF(Save_Sel=CLR_Save, Table7[[#This Row],[Efficiency P2]], Table7[[#This Row],[Efficiency P2 Saved]])</f>
        <v>94.978016709709863</v>
      </c>
      <c r="DE256" s="153"/>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row>
    <row r="257" spans="1:165"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row>
    <row r="258" spans="1:165"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row>
    <row r="259" spans="1:165"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row>
    <row r="260" spans="1:165"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row>
    <row r="261" spans="1:165"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row>
    <row r="262" spans="1:165"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row>
    <row r="263" spans="1:165"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row>
    <row r="264" spans="1:165"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row>
    <row r="265" spans="1:165"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row>
    <row r="266" spans="1:165"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row>
    <row r="267" spans="1:165"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row>
    <row r="268" spans="1:165"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row>
    <row r="269" spans="1:165"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row>
    <row r="270" spans="1:165"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row>
    <row r="271" spans="1:165"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row>
    <row r="272" spans="1:165"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row>
    <row r="273" spans="1:165"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row>
    <row r="274" spans="1:165"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row>
    <row r="275" spans="1:165"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row>
    <row r="276" spans="1:165"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row>
    <row r="277" spans="1:165"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row>
    <row r="278" spans="1:165"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row>
    <row r="279" spans="1:165"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row>
    <row r="280" spans="1:165"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row>
    <row r="281" spans="1:165"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row>
    <row r="282" spans="1:165"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row>
    <row r="283" spans="1:165"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row>
    <row r="284" spans="1:165"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row>
    <row r="285" spans="1:165"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row>
    <row r="286" spans="1:165"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row>
    <row r="287" spans="1:165"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row>
    <row r="288" spans="1:165"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row>
    <row r="289" spans="1:165"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row>
    <row r="290" spans="1:165"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row>
    <row r="291" spans="1:165"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row>
    <row r="292" spans="1:165"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row>
    <row r="293" spans="1:165"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row>
    <row r="294" spans="1:165"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row>
    <row r="295" spans="1:165"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row>
    <row r="296" spans="1:165"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row>
    <row r="297" spans="1:165"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row>
    <row r="298" spans="1:165"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row>
    <row r="299" spans="1:165"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row>
    <row r="300" spans="1:165"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row>
    <row r="301" spans="1:165"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row>
    <row r="302" spans="1:165"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row>
    <row r="303" spans="1:165"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row>
    <row r="304" spans="1:165"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row>
    <row r="305" spans="1:165"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row>
    <row r="306" spans="1:165"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row>
    <row r="307" spans="1:165"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row>
    <row r="308" spans="1:165"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row>
    <row r="309" spans="1:165"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row>
    <row r="310" spans="1:165"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row>
    <row r="311" spans="1:165"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row>
    <row r="312" spans="1:165"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row>
    <row r="313" spans="1:165"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row>
    <row r="314" spans="1:165"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row>
    <row r="315" spans="1:165"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row>
    <row r="316" spans="1:165"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row>
    <row r="317" spans="1:165"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row>
    <row r="318" spans="1:165"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row>
    <row r="319" spans="1:165"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row>
    <row r="320" spans="1:165"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row>
    <row r="321" spans="1:165"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row>
    <row r="322" spans="1:165"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row>
    <row r="323" spans="1:165"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row>
    <row r="324" spans="1:165"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row>
    <row r="325" spans="1:165"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row>
    <row r="326" spans="1:165"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row>
    <row r="327" spans="1:165"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row>
    <row r="328" spans="1:165"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row>
    <row r="329" spans="1:165"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row>
    <row r="330" spans="1:165"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row>
    <row r="331" spans="1:165"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row>
    <row r="332" spans="1:165"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row>
    <row r="333" spans="1:165"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row>
    <row r="334" spans="1:165"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row>
    <row r="335" spans="1:165"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row>
    <row r="336" spans="1:165"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row>
    <row r="337" spans="1:165"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row>
    <row r="338" spans="1:165"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row>
    <row r="339" spans="1:165"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row>
    <row r="340" spans="1:165"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row>
    <row r="341" spans="1:165"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row>
    <row r="342" spans="1:165"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row>
    <row r="343" spans="1:165"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row>
    <row r="344" spans="1:165"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row>
    <row r="345" spans="1:165"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row>
    <row r="346" spans="1:165"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row>
    <row r="347" spans="1:165"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row>
    <row r="348" spans="1:165"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row>
    <row r="349" spans="1:165"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row>
    <row r="350" spans="1:165"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row>
    <row r="351" spans="1:165"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row>
    <row r="352" spans="1:165"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row>
    <row r="353" spans="1:165"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row>
    <row r="354" spans="1:165"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row>
    <row r="355" spans="1:165"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row>
    <row r="356" spans="1:165"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row>
    <row r="357" spans="1:165"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row>
    <row r="358" spans="1:165"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row>
    <row r="359" spans="1:165"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row>
    <row r="360" spans="1:165"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row>
    <row r="361" spans="1:165"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row>
    <row r="362" spans="1:165"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row>
    <row r="363" spans="1:165"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row>
    <row r="364" spans="1:165"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row>
    <row r="365" spans="1:165"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row>
    <row r="366" spans="1:165"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row>
    <row r="367" spans="1:165"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row>
    <row r="368" spans="1:165"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row>
    <row r="369" spans="1:165"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row>
    <row r="370" spans="1:165"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row>
    <row r="371" spans="1:165"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row>
    <row r="372" spans="1:165"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row>
    <row r="373" spans="1:165"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row>
    <row r="374" spans="1:165"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row>
    <row r="375" spans="1:165"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row>
    <row r="376" spans="1:165"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row>
    <row r="377" spans="1:165"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row>
    <row r="378" spans="1:165"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row>
    <row r="379" spans="1:165"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row>
    <row r="380" spans="1:165"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row>
    <row r="381" spans="1:165"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row>
    <row r="382" spans="1:165"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row>
    <row r="383" spans="1:165"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row>
    <row r="384" spans="1:165"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row>
    <row r="385" spans="1:165"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row>
    <row r="386" spans="1:165"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row>
    <row r="387" spans="1:165"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row>
    <row r="388" spans="1:165"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row>
    <row r="389" spans="1:165"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row>
    <row r="390" spans="1:165"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row>
    <row r="391" spans="1:165"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row>
    <row r="392" spans="1:165"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row>
    <row r="393" spans="1:165"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row>
    <row r="394" spans="1:165"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row>
    <row r="395" spans="1:165"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row>
    <row r="396" spans="1:165"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row>
    <row r="397" spans="1:165"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row>
    <row r="398" spans="1:165"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row>
    <row r="399" spans="1:165"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row>
    <row r="400" spans="1:165"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row>
    <row r="401" spans="1:165"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row>
    <row r="402" spans="1:165"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row>
    <row r="403" spans="1:165"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row>
    <row r="404" spans="1:165"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row>
    <row r="405" spans="1:165"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row>
    <row r="406" spans="1:165"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row>
    <row r="407" spans="1:165"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row>
    <row r="408" spans="1:165"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row>
    <row r="409" spans="1:165"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row>
    <row r="410" spans="1:165"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row>
    <row r="411" spans="1:165"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row>
    <row r="412" spans="1:165"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row>
    <row r="413" spans="1:165"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row>
    <row r="414" spans="1:165"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row>
    <row r="415" spans="1:165"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row>
    <row r="416" spans="1:165"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row>
    <row r="417" spans="1:165"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row>
    <row r="418" spans="1:165"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row>
    <row r="419" spans="1:165"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row>
    <row r="420" spans="1:165"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row>
    <row r="421" spans="1:165"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row>
    <row r="422" spans="1:165"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row>
    <row r="423" spans="1:165"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row>
    <row r="424" spans="1:165"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row>
    <row r="425" spans="1:165"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row>
    <row r="426" spans="1:165"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row>
    <row r="427" spans="1:165"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row>
    <row r="428" spans="1:165"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row>
    <row r="429" spans="1:165"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row>
    <row r="430" spans="1:165"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row>
    <row r="431" spans="1:165"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row>
    <row r="432" spans="1:165"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row>
    <row r="433" spans="1:165"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row>
    <row r="434" spans="1:165"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row>
    <row r="435" spans="1:165"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row>
    <row r="436" spans="1:165"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row>
    <row r="437" spans="1:165"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row>
    <row r="438" spans="1:165"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row>
    <row r="439" spans="1:165"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row>
    <row r="440" spans="1:165"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row>
    <row r="441" spans="1:165"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row>
    <row r="442" spans="1:165"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row>
    <row r="443" spans="1:165"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row>
    <row r="444" spans="1:165"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row>
    <row r="445" spans="1:165"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row>
    <row r="446" spans="1:165"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row>
    <row r="447" spans="1:165"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row>
    <row r="448" spans="1:165"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row>
    <row r="449" spans="1:165"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row>
    <row r="450" spans="1:165"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row>
    <row r="451" spans="1:165"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row>
    <row r="452" spans="1:165"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row>
    <row r="453" spans="1:165"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row>
    <row r="454" spans="1:165"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row>
    <row r="455" spans="1:165"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row>
    <row r="456" spans="1:165"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row>
    <row r="457" spans="1:165"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row>
    <row r="458" spans="1:165"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row>
    <row r="459" spans="1:165"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row>
    <row r="460" spans="1:165"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row>
    <row r="461" spans="1:165"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row>
    <row r="462" spans="1:165"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row>
    <row r="463" spans="1:165"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row>
    <row r="464" spans="1:165"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row>
    <row r="465" spans="1:165"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row>
    <row r="466" spans="1:165"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row>
    <row r="467" spans="1:165"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row>
    <row r="468" spans="1:165"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row>
    <row r="469" spans="1:165"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row>
    <row r="470" spans="1:165"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row>
    <row r="471" spans="1:165"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row>
    <row r="472" spans="1:165"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row>
    <row r="473" spans="1:165"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row>
    <row r="474" spans="1:165"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row>
    <row r="475" spans="1:165"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row>
    <row r="476" spans="1:165"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row>
    <row r="477" spans="1:165"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row>
    <row r="478" spans="1:165"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row>
    <row r="479" spans="1:165"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row>
    <row r="480" spans="1:165"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row>
    <row r="481" spans="1:165"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row>
    <row r="482" spans="1:165"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row>
    <row r="483" spans="1:165"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row>
    <row r="484" spans="1:165"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row>
    <row r="485" spans="1:165"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row>
    <row r="486" spans="1:165"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row>
    <row r="487" spans="1:165"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row>
    <row r="488" spans="1:165"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row>
    <row r="489" spans="1:165"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row>
    <row r="490" spans="1:165"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row>
    <row r="491" spans="1:165"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row>
    <row r="492" spans="1:165"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row>
    <row r="493" spans="1:165"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row>
    <row r="494" spans="1:165"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row>
    <row r="495" spans="1:165"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row>
    <row r="496" spans="1:165"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row>
    <row r="497" spans="1:165"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row>
    <row r="498" spans="1:165"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row>
    <row r="499" spans="1:165"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row>
    <row r="500" spans="1:165"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row>
    <row r="501" spans="1:165"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row>
    <row r="502" spans="1:165"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row>
    <row r="503" spans="1:165"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row>
  </sheetData>
  <sheetProtection algorithmName="SHA-512" hashValue="6t0OuK7kbJ3Swh+pKp7yw+83gV1Q5pfvK2pmA991cGPUY7xeoCSsyAsafYKd2JCRMu4z9gW9mCQxutgd04eW8A==" saltValue="0o/4uI51rxfOG319HGOsBA==" spinCount="100000" sheet="1" selectLockedCells="1"/>
  <mergeCells count="20">
    <mergeCell ref="A79:C79"/>
    <mergeCell ref="E158:F158"/>
    <mergeCell ref="A112:E112"/>
    <mergeCell ref="A114:G114"/>
    <mergeCell ref="I114:P114"/>
    <mergeCell ref="CT154:CV154"/>
    <mergeCell ref="CX154:CZ154"/>
    <mergeCell ref="DB154:DD154"/>
    <mergeCell ref="E159:F159"/>
    <mergeCell ref="AN154:BE154"/>
    <mergeCell ref="BG154:BX154"/>
    <mergeCell ref="CB154:CD154"/>
    <mergeCell ref="CF154:CI154"/>
    <mergeCell ref="CK154:CN154"/>
    <mergeCell ref="A161:G161"/>
    <mergeCell ref="I161:P161"/>
    <mergeCell ref="E157:F157"/>
    <mergeCell ref="A154:E154"/>
    <mergeCell ref="CP154:CR154"/>
    <mergeCell ref="AF154:AL154"/>
  </mergeCells>
  <conditionalFormatting sqref="A161:G161">
    <cfRule type="expression" dxfId="47" priority="691">
      <formula>IF($E$157=$J$157,0,1)</formula>
    </cfRule>
  </conditionalFormatting>
  <conditionalFormatting sqref="A162:G174">
    <cfRule type="expression" dxfId="46" priority="36">
      <formula>IF($E$157=$J$157,0,1)</formula>
    </cfRule>
  </conditionalFormatting>
  <conditionalFormatting sqref="E6">
    <cfRule type="cellIs" dxfId="45" priority="141" stopIfTrue="1" operator="notBetween">
      <formula>$H$6</formula>
      <formula>$I$6</formula>
    </cfRule>
  </conditionalFormatting>
  <conditionalFormatting sqref="E7">
    <cfRule type="cellIs" dxfId="44" priority="139" operator="notBetween">
      <formula>$J$7</formula>
      <formula>$K$7</formula>
    </cfRule>
    <cfRule type="cellIs" dxfId="43" priority="133" operator="notBetween">
      <formula>$H$7</formula>
      <formula>$I$7</formula>
    </cfRule>
  </conditionalFormatting>
  <conditionalFormatting sqref="E8">
    <cfRule type="cellIs" dxfId="42" priority="99" operator="notBetween">
      <formula>$H$8</formula>
      <formula>$I$8</formula>
    </cfRule>
  </conditionalFormatting>
  <conditionalFormatting sqref="E9">
    <cfRule type="cellIs" dxfId="41" priority="140" stopIfTrue="1" operator="notBetween">
      <formula>$H$9</formula>
      <formula>$I$9</formula>
    </cfRule>
  </conditionalFormatting>
  <conditionalFormatting sqref="E13">
    <cfRule type="cellIs" dxfId="40" priority="98" operator="notBetween">
      <formula>H13</formula>
      <formula>I13</formula>
    </cfRule>
  </conditionalFormatting>
  <conditionalFormatting sqref="E15">
    <cfRule type="cellIs" dxfId="39" priority="97" operator="notBetween">
      <formula>H15</formula>
      <formula>I15</formula>
    </cfRule>
  </conditionalFormatting>
  <conditionalFormatting sqref="E16">
    <cfRule type="cellIs" dxfId="38" priority="4" operator="notBetween">
      <formula>$H$16</formula>
      <formula>$I$16</formula>
    </cfRule>
  </conditionalFormatting>
  <conditionalFormatting sqref="E18">
    <cfRule type="cellIs" dxfId="37" priority="42" operator="lessThan">
      <formula>$I$18</formula>
    </cfRule>
  </conditionalFormatting>
  <conditionalFormatting sqref="E19">
    <cfRule type="cellIs" dxfId="36" priority="41" operator="lessThan">
      <formula>$I$19</formula>
    </cfRule>
  </conditionalFormatting>
  <conditionalFormatting sqref="E20">
    <cfRule type="cellIs" dxfId="35" priority="40" operator="lessThan">
      <formula>$I$20</formula>
    </cfRule>
  </conditionalFormatting>
  <conditionalFormatting sqref="E24">
    <cfRule type="cellIs" dxfId="34" priority="95" operator="lessThan">
      <formula>H24</formula>
    </cfRule>
  </conditionalFormatting>
  <conditionalFormatting sqref="E25:E26">
    <cfRule type="cellIs" dxfId="33" priority="24" operator="notBetween">
      <formula>$H$25</formula>
      <formula>$I$25</formula>
    </cfRule>
  </conditionalFormatting>
  <conditionalFormatting sqref="E26">
    <cfRule type="cellIs" dxfId="32" priority="93" operator="lessThan">
      <formula>H26</formula>
    </cfRule>
  </conditionalFormatting>
  <conditionalFormatting sqref="E29">
    <cfRule type="cellIs" dxfId="31" priority="94" operator="notBetween">
      <formula>H29</formula>
      <formula>I29</formula>
    </cfRule>
  </conditionalFormatting>
  <conditionalFormatting sqref="E43">
    <cfRule type="cellIs" dxfId="30" priority="87" operator="notBetween">
      <formula>H43</formula>
      <formula>I43</formula>
    </cfRule>
  </conditionalFormatting>
  <conditionalFormatting sqref="E45:E48">
    <cfRule type="cellIs" dxfId="29" priority="85" operator="notBetween">
      <formula>H45</formula>
      <formula>I45</formula>
    </cfRule>
  </conditionalFormatting>
  <conditionalFormatting sqref="E54:E55">
    <cfRule type="cellIs" dxfId="28" priority="82" operator="notBetween">
      <formula>H54</formula>
      <formula>I54</formula>
    </cfRule>
  </conditionalFormatting>
  <conditionalFormatting sqref="E66">
    <cfRule type="cellIs" dxfId="27" priority="89" operator="notBetween">
      <formula>$H$66</formula>
      <formula>$I$66</formula>
    </cfRule>
  </conditionalFormatting>
  <conditionalFormatting sqref="E67">
    <cfRule type="cellIs" dxfId="26" priority="88" operator="notBetween">
      <formula>$H$67</formula>
      <formula>$I$67</formula>
    </cfRule>
  </conditionalFormatting>
  <conditionalFormatting sqref="E70">
    <cfRule type="cellIs" dxfId="25" priority="70" operator="greaterThan">
      <formula>$H$70</formula>
    </cfRule>
  </conditionalFormatting>
  <conditionalFormatting sqref="E74">
    <cfRule type="expression" dxfId="24" priority="68">
      <formula>$H$74</formula>
    </cfRule>
  </conditionalFormatting>
  <conditionalFormatting sqref="E75:E76">
    <cfRule type="expression" dxfId="23" priority="67">
      <formula>$H$75</formula>
    </cfRule>
  </conditionalFormatting>
  <conditionalFormatting sqref="E77">
    <cfRule type="cellIs" dxfId="22" priority="69" operator="notBetween">
      <formula>$H$77</formula>
      <formula>$I$77</formula>
    </cfRule>
  </conditionalFormatting>
  <conditionalFormatting sqref="E92">
    <cfRule type="cellIs" dxfId="21" priority="74" operator="notBetween">
      <formula>$H$92</formula>
      <formula>$I$92</formula>
    </cfRule>
  </conditionalFormatting>
  <conditionalFormatting sqref="E93">
    <cfRule type="cellIs" dxfId="20" priority="75" operator="notEqual">
      <formula>$E$88</formula>
    </cfRule>
  </conditionalFormatting>
  <conditionalFormatting sqref="E94:E96">
    <cfRule type="expression" dxfId="19" priority="78">
      <formula>$Q$94</formula>
    </cfRule>
  </conditionalFormatting>
  <conditionalFormatting sqref="E100">
    <cfRule type="cellIs" dxfId="18" priority="6" operator="lessThan">
      <formula>$H$100</formula>
    </cfRule>
  </conditionalFormatting>
  <conditionalFormatting sqref="E101:E102">
    <cfRule type="cellIs" dxfId="17" priority="119" operator="greaterThan">
      <formula>#REF!</formula>
    </cfRule>
  </conditionalFormatting>
  <conditionalFormatting sqref="E106">
    <cfRule type="cellIs" dxfId="16" priority="5" operator="lessThan">
      <formula>$H$106</formula>
    </cfRule>
  </conditionalFormatting>
  <conditionalFormatting sqref="E159:F159">
    <cfRule type="expression" dxfId="15" priority="741">
      <formula>IF($K$159=$E$10, 0,1)</formula>
    </cfRule>
  </conditionalFormatting>
  <conditionalFormatting sqref="G98:G102 H98:S110 G104:G110 G111:S111 R114:R119 G152 H152:S153 H155:S160 Q161:S188 C189:G189 I189:S189 A189:A190 B190:J190 L190:S190">
    <cfRule type="expression" dxfId="14" priority="755">
      <formula>IF($H$3=$E$3, 0,1)</formula>
    </cfRule>
  </conditionalFormatting>
  <conditionalFormatting sqref="G5:S97">
    <cfRule type="expression" dxfId="13" priority="1">
      <formula>IF($H$3=$E$3, 0,1)</formula>
    </cfRule>
  </conditionalFormatting>
  <conditionalFormatting sqref="H2:H3">
    <cfRule type="expression" dxfId="12" priority="3">
      <formula>IF($E$3=$H$3,0,1)</formula>
    </cfRule>
  </conditionalFormatting>
  <conditionalFormatting sqref="I114:P149">
    <cfRule type="expression" dxfId="11" priority="21">
      <formula>$R$117</formula>
    </cfRule>
  </conditionalFormatting>
  <conditionalFormatting sqref="I161:P161">
    <cfRule type="expression" dxfId="10" priority="692">
      <formula>IF($E$157=$I$157,0,1)</formula>
    </cfRule>
  </conditionalFormatting>
  <conditionalFormatting sqref="T1:T226 T231:T452 T504:T1048576">
    <cfRule type="expression" dxfId="9" priority="752">
      <formula>IF($E$3=$H$3, 0,1)</formula>
    </cfRule>
  </conditionalFormatting>
  <conditionalFormatting sqref="U1:FI115 U116:FJ131 U132:DL153 DM132:FI468 U154:AF154 AM154:AN154 BF154:BG154 BY154:CB154 CE154:CF154 CJ154:CK154 CO154:CP154 CS154:CT154 CW154:CX154 DA154:DB154 DE154:DL154 U155:CD155 CE155:DL256 AF156:CD256 U156:AE468 AF257:DL468 A469:FI503">
    <cfRule type="expression" dxfId="8" priority="772">
      <formula>IF($E$3=$H$3, 0,1)</formula>
    </cfRule>
  </conditionalFormatting>
  <conditionalFormatting sqref="AF155:DE256">
    <cfRule type="expression" dxfId="7" priority="771">
      <formula>IF($H$3=$E$3, 1,0)</formula>
    </cfRule>
  </conditionalFormatting>
  <dataValidations count="9">
    <dataValidation type="list" allowBlank="1" showInputMessage="1" showErrorMessage="1" sqref="E88" xr:uid="{4A1BED94-4A6D-41CD-BD18-2F09AF104B18}">
      <formula1>$H$88:$I$88</formula1>
    </dataValidation>
    <dataValidation type="list" allowBlank="1" showInputMessage="1" showErrorMessage="1" sqref="E76" xr:uid="{DBD53FFE-C5ED-4A8C-B7C3-D4E2D30F3C4E}">
      <formula1>$H$76:$AM$76</formula1>
    </dataValidation>
    <dataValidation type="list" allowBlank="1" showInputMessage="1" showErrorMessage="1" sqref="E80" xr:uid="{AFA7F537-9EE7-4F8A-BCA9-028955168CBA}">
      <formula1>$H$80:$K$80</formula1>
    </dataValidation>
    <dataValidation type="list" allowBlank="1" showInputMessage="1" showErrorMessage="1" sqref="E81" xr:uid="{36C5A1F3-0102-4A12-BF2F-1376A924A571}">
      <formula1>$H$81:$K$81</formula1>
    </dataValidation>
    <dataValidation type="list" allowBlank="1" showInputMessage="1" showErrorMessage="1" sqref="E158" xr:uid="{9C60CA42-6B6D-47CC-BE5D-01D9758C739B}">
      <formula1>$I$158:$K$158</formula1>
    </dataValidation>
    <dataValidation type="list" allowBlank="1" showInputMessage="1" showErrorMessage="1" sqref="E157" xr:uid="{20ADCEA2-98BD-421A-92CF-CBD1E6E9CD7C}">
      <formula1>$I$157:$K$157</formula1>
    </dataValidation>
    <dataValidation type="list" allowBlank="1" showInputMessage="1" showErrorMessage="1" sqref="R116" xr:uid="{B773702E-7FF7-4EAF-93DF-E8C8A90E6BD8}">
      <formula1>$T$116:$U$116</formula1>
    </dataValidation>
    <dataValidation type="list" allowBlank="1" showInputMessage="1" showErrorMessage="1" sqref="E159" xr:uid="{60A3E98D-14CE-4B96-A128-35F2EED77837}">
      <formula1>$I$159:$J$159</formula1>
    </dataValidation>
    <dataValidation type="list" allowBlank="1" showInputMessage="1" showErrorMessage="1" sqref="N115 N133" xr:uid="{D11D579E-C101-4902-B8E8-2F0FF51BEF59}">
      <formula1>$Y$116:$AC$116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0" r:id="rId4" name="Spinner 46">
              <controlPr defaultSize="0" autoPict="0">
                <anchor moveWithCells="1" sizeWithCells="1">
                  <from>
                    <xdr:col>5</xdr:col>
                    <xdr:colOff>88900</xdr:colOff>
                    <xdr:row>6</xdr:row>
                    <xdr:rowOff>12700</xdr:rowOff>
                  </from>
                  <to>
                    <xdr:col>5</xdr:col>
                    <xdr:colOff>203200</xdr:colOff>
                    <xdr:row>7</xdr:row>
                    <xdr:rowOff>12700</xdr:rowOff>
                  </to>
                </anchor>
              </controlPr>
            </control>
          </mc:Choice>
        </mc:AlternateContent>
        <mc:AlternateContent xmlns:mc="http://schemas.openxmlformats.org/markup-compatibility/2006">
          <mc:Choice Requires="x14">
            <control shapeId="1072" r:id="rId5" name="Spinner 48">
              <controlPr defaultSize="0" autoPict="0">
                <anchor moveWithCells="1" sizeWithCells="1">
                  <from>
                    <xdr:col>5</xdr:col>
                    <xdr:colOff>88900</xdr:colOff>
                    <xdr:row>6</xdr:row>
                    <xdr:rowOff>12700</xdr:rowOff>
                  </from>
                  <to>
                    <xdr:col>5</xdr:col>
                    <xdr:colOff>203200</xdr:colOff>
                    <xdr:row>7</xdr:row>
                    <xdr:rowOff>12700</xdr:rowOff>
                  </to>
                </anchor>
              </controlPr>
            </control>
          </mc:Choice>
        </mc:AlternateContent>
      </controls>
    </mc:Choice>
  </mc:AlternateContent>
  <tableParts count="2">
    <tablePart r:id="rId6"/>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73E2-BF56-4341-A0B4-E87FE1E66077}">
  <sheetPr codeName="Sheet2"/>
  <dimension ref="A1:HB565"/>
  <sheetViews>
    <sheetView zoomScaleNormal="100" workbookViewId="0">
      <selection activeCell="E8" sqref="E8"/>
    </sheetView>
  </sheetViews>
  <sheetFormatPr baseColWidth="10" defaultColWidth="8.83203125" defaultRowHeight="15" x14ac:dyDescent="0.2"/>
  <cols>
    <col min="2" max="2" width="21.6640625" customWidth="1"/>
    <col min="3" max="3" width="14.5" customWidth="1"/>
    <col min="4" max="4" width="11.83203125" customWidth="1"/>
    <col min="6" max="6" width="9.5" bestFit="1" customWidth="1"/>
    <col min="20" max="20" width="12.83203125" bestFit="1" customWidth="1"/>
    <col min="24" max="25" width="9.1640625" customWidth="1"/>
    <col min="29" max="29" width="14.83203125" bestFit="1" customWidth="1"/>
    <col min="30" max="30" width="16.83203125" bestFit="1" customWidth="1"/>
    <col min="31" max="31" width="17.5" bestFit="1" customWidth="1"/>
    <col min="32" max="32" width="14.33203125" bestFit="1" customWidth="1"/>
    <col min="33" max="33" width="15.1640625" bestFit="1" customWidth="1"/>
    <col min="34" max="34" width="15.6640625" bestFit="1" customWidth="1"/>
    <col min="35" max="35" width="15.5" bestFit="1" customWidth="1"/>
    <col min="36" max="36" width="12.5" bestFit="1" customWidth="1"/>
    <col min="37" max="37" width="11" customWidth="1"/>
    <col min="38" max="38" width="12" customWidth="1"/>
    <col min="39" max="39" width="16.1640625" bestFit="1" customWidth="1"/>
    <col min="40" max="40" width="12.5" bestFit="1" customWidth="1"/>
    <col min="41" max="41" width="17.6640625" bestFit="1" customWidth="1"/>
    <col min="43" max="43" width="14.83203125" bestFit="1" customWidth="1"/>
    <col min="44" max="44" width="17.33203125" bestFit="1" customWidth="1"/>
    <col min="45" max="45" width="18" bestFit="1" customWidth="1"/>
    <col min="46" max="46" width="14.1640625" bestFit="1" customWidth="1"/>
    <col min="47" max="47" width="15" bestFit="1" customWidth="1"/>
    <col min="48" max="48" width="21.33203125" bestFit="1" customWidth="1"/>
    <col min="49" max="49" width="13" bestFit="1" customWidth="1"/>
    <col min="50" max="50" width="11" bestFit="1" customWidth="1"/>
    <col min="51" max="51" width="20.5" bestFit="1" customWidth="1"/>
  </cols>
  <sheetData>
    <row r="1" spans="1:210" ht="47.25" customHeight="1" thickBot="1" x14ac:dyDescent="0.25">
      <c r="A1" s="14"/>
      <c r="B1" s="15"/>
      <c r="C1" s="15"/>
      <c r="D1" s="15"/>
      <c r="E1" s="15"/>
      <c r="F1" s="15"/>
      <c r="G1" s="16" t="s">
        <v>345</v>
      </c>
      <c r="H1" s="15"/>
      <c r="I1" s="15"/>
      <c r="J1" s="15"/>
      <c r="K1" s="15"/>
      <c r="L1" s="15"/>
      <c r="M1" s="15"/>
      <c r="N1" s="15"/>
      <c r="O1" s="15"/>
      <c r="P1" s="15"/>
      <c r="Q1" s="15"/>
      <c r="R1" s="15"/>
      <c r="S1" s="15"/>
      <c r="T1" s="15"/>
      <c r="U1" s="15"/>
      <c r="V1" s="15"/>
      <c r="W1" s="15"/>
      <c r="X1" s="15"/>
      <c r="Y1" s="17"/>
      <c r="Z1" s="18"/>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row>
    <row r="2" spans="1:210" x14ac:dyDescent="0.2">
      <c r="A2" s="18"/>
      <c r="B2" s="18"/>
      <c r="C2" s="18"/>
      <c r="D2" s="18"/>
      <c r="E2" s="18"/>
      <c r="F2" s="18"/>
      <c r="G2" s="18"/>
      <c r="H2" s="18"/>
      <c r="I2" s="18"/>
      <c r="J2" s="18"/>
      <c r="K2" s="18"/>
      <c r="L2" s="18"/>
      <c r="M2" s="18"/>
      <c r="N2" s="18"/>
      <c r="O2" s="18"/>
      <c r="P2" s="18"/>
      <c r="Q2" s="18"/>
      <c r="R2" s="18"/>
      <c r="S2" s="18"/>
      <c r="T2" s="18"/>
      <c r="U2" s="18"/>
      <c r="V2" s="18"/>
      <c r="W2" s="18"/>
      <c r="X2" s="18"/>
      <c r="Y2" s="18"/>
      <c r="Z2" s="18"/>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row>
    <row r="3" spans="1:210" x14ac:dyDescent="0.2">
      <c r="A3" s="18"/>
      <c r="B3" s="18"/>
      <c r="C3" s="18"/>
      <c r="D3" s="18"/>
      <c r="E3" s="61"/>
      <c r="F3" s="21" t="s">
        <v>39</v>
      </c>
      <c r="G3" s="18"/>
      <c r="H3" s="18"/>
      <c r="I3" s="18"/>
      <c r="J3" s="18"/>
      <c r="K3" s="18"/>
      <c r="L3" s="18"/>
      <c r="M3" s="18"/>
      <c r="N3" s="18"/>
      <c r="O3" s="18"/>
      <c r="P3" s="18"/>
      <c r="Q3" s="18"/>
      <c r="R3" s="18"/>
      <c r="S3" s="18"/>
      <c r="T3" s="18"/>
      <c r="U3" s="18"/>
      <c r="V3" s="18"/>
      <c r="W3" s="18"/>
      <c r="X3" s="18"/>
      <c r="Y3" s="18"/>
      <c r="Z3" s="18"/>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row>
    <row r="4" spans="1:210" ht="16" thickBo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row>
    <row r="5" spans="1:210" ht="16" thickBot="1" x14ac:dyDescent="0.25">
      <c r="A5" s="232" t="s">
        <v>259</v>
      </c>
      <c r="B5" s="233"/>
      <c r="C5" s="233"/>
      <c r="D5" s="23"/>
      <c r="E5" s="23"/>
      <c r="F5" s="176"/>
      <c r="G5" s="177"/>
      <c r="H5" s="23"/>
      <c r="I5" s="23"/>
      <c r="J5" s="25"/>
      <c r="K5" s="25"/>
      <c r="L5" s="25"/>
      <c r="M5" s="25"/>
      <c r="N5" s="25"/>
      <c r="O5" s="25"/>
      <c r="P5" s="25"/>
      <c r="Q5" s="25"/>
      <c r="R5" s="25"/>
      <c r="S5" s="25"/>
      <c r="T5" s="25"/>
      <c r="U5" s="25"/>
      <c r="V5" s="25"/>
      <c r="W5" s="25"/>
      <c r="X5" s="25"/>
      <c r="Y5" s="26"/>
      <c r="Z5" s="18"/>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row>
    <row r="6" spans="1:210" ht="16" x14ac:dyDescent="0.2">
      <c r="A6" s="27"/>
      <c r="B6" s="23"/>
      <c r="C6" s="23"/>
      <c r="D6" s="28" t="s">
        <v>265</v>
      </c>
      <c r="E6" s="68">
        <v>-10</v>
      </c>
      <c r="F6" s="132" t="s">
        <v>325</v>
      </c>
      <c r="G6" s="156"/>
      <c r="H6" s="13">
        <v>-10</v>
      </c>
      <c r="I6" s="13">
        <v>-5</v>
      </c>
      <c r="J6" s="29">
        <v>0</v>
      </c>
      <c r="K6" s="29">
        <v>5</v>
      </c>
      <c r="L6" s="29">
        <v>0.77149999999999996</v>
      </c>
      <c r="M6" s="29">
        <v>0.75319999999999998</v>
      </c>
      <c r="N6" s="29">
        <v>0.73250000000000004</v>
      </c>
      <c r="O6" s="29">
        <v>0.71099999999999997</v>
      </c>
      <c r="P6" s="29"/>
      <c r="Q6" s="29">
        <f>IF(T1_S=T1_N10_TEMP,T1_N10_PERCENT,IF(T1_S=T1_N_TEMP,T1_N5_PERCENT,IF(T1_S=T1_0_TEMP,T1_0_PERCENT,IF(T1_S=T1_5_TEMP,T1_5_PERCENT,"ERROR"))))</f>
        <v>0.77149999999999996</v>
      </c>
      <c r="R6" s="29"/>
      <c r="S6" s="29"/>
      <c r="T6" s="179"/>
      <c r="U6" s="180" t="s">
        <v>261</v>
      </c>
      <c r="V6" s="180" t="s">
        <v>262</v>
      </c>
      <c r="W6" s="180" t="s">
        <v>263</v>
      </c>
      <c r="X6" s="181" t="s">
        <v>264</v>
      </c>
      <c r="Y6" s="30"/>
      <c r="Z6" s="18"/>
      <c r="AA6" s="19"/>
      <c r="AB6" s="19"/>
      <c r="AC6" s="20" t="s">
        <v>300</v>
      </c>
      <c r="AD6" s="20" t="s">
        <v>301</v>
      </c>
      <c r="AE6" s="20" t="s">
        <v>302</v>
      </c>
      <c r="AF6" s="20" t="s">
        <v>303</v>
      </c>
      <c r="AG6" s="20" t="s">
        <v>304</v>
      </c>
      <c r="AH6" s="20" t="s">
        <v>305</v>
      </c>
      <c r="AI6" s="20" t="s">
        <v>306</v>
      </c>
      <c r="AJ6" s="183" t="s">
        <v>307</v>
      </c>
      <c r="AK6" s="183" t="s">
        <v>308</v>
      </c>
      <c r="AL6" s="183" t="s">
        <v>309</v>
      </c>
      <c r="AM6" s="183" t="s">
        <v>310</v>
      </c>
      <c r="AN6" s="183" t="s">
        <v>311</v>
      </c>
      <c r="AO6" s="183" t="s">
        <v>312</v>
      </c>
      <c r="AP6" s="183" t="s">
        <v>313</v>
      </c>
      <c r="AQ6" s="20" t="s">
        <v>314</v>
      </c>
      <c r="AR6" s="20" t="s">
        <v>315</v>
      </c>
      <c r="AS6" s="20" t="s">
        <v>316</v>
      </c>
      <c r="AT6" s="20" t="s">
        <v>317</v>
      </c>
      <c r="AU6" s="20" t="s">
        <v>318</v>
      </c>
      <c r="AV6" s="20" t="s">
        <v>319</v>
      </c>
      <c r="AW6" s="20" t="s">
        <v>320</v>
      </c>
      <c r="AX6" s="19"/>
      <c r="AY6" s="186" t="s">
        <v>320</v>
      </c>
      <c r="AZ6" s="186" t="s">
        <v>261</v>
      </c>
      <c r="BA6" s="186" t="s">
        <v>262</v>
      </c>
      <c r="BB6" s="186" t="s">
        <v>263</v>
      </c>
      <c r="BC6" s="19"/>
      <c r="BD6" s="186" t="s">
        <v>334</v>
      </c>
      <c r="BE6" s="186" t="s">
        <v>328</v>
      </c>
      <c r="BF6" s="186" t="s">
        <v>329</v>
      </c>
      <c r="BG6" s="186" t="s">
        <v>330</v>
      </c>
      <c r="BH6" s="186" t="s">
        <v>331</v>
      </c>
      <c r="BI6" s="186" t="s">
        <v>332</v>
      </c>
      <c r="BJ6" s="186" t="s">
        <v>333</v>
      </c>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row>
    <row r="7" spans="1:210" ht="16" x14ac:dyDescent="0.2">
      <c r="A7" s="31"/>
      <c r="B7" s="13"/>
      <c r="C7" s="13"/>
      <c r="D7" s="32" t="s">
        <v>268</v>
      </c>
      <c r="E7" s="69">
        <v>10</v>
      </c>
      <c r="F7" s="128" t="s">
        <v>325</v>
      </c>
      <c r="G7" s="156"/>
      <c r="H7" s="13">
        <v>5</v>
      </c>
      <c r="I7" s="13">
        <v>10</v>
      </c>
      <c r="J7" s="29">
        <v>15</v>
      </c>
      <c r="K7" s="29">
        <v>20</v>
      </c>
      <c r="L7" s="29">
        <v>0.71099999999999997</v>
      </c>
      <c r="M7" s="29">
        <v>0.68400000000000005</v>
      </c>
      <c r="N7" s="29">
        <v>0.65500000000000003</v>
      </c>
      <c r="O7" s="29">
        <v>0.624</v>
      </c>
      <c r="P7" s="29"/>
      <c r="Q7" s="29"/>
      <c r="R7" s="29"/>
      <c r="S7" s="29"/>
      <c r="T7" s="179" t="s">
        <v>291</v>
      </c>
      <c r="U7" s="182">
        <f>Table10[[#This Row],[MIN Temp]]</f>
        <v>-10</v>
      </c>
      <c r="V7" s="182">
        <f>Table10[[#This Row],[TYP Temp]]</f>
        <v>-10</v>
      </c>
      <c r="W7" s="182">
        <f>Table10[[#This Row],[MAX Temp]]</f>
        <v>-10</v>
      </c>
      <c r="X7" s="180" t="s">
        <v>292</v>
      </c>
      <c r="Y7" s="30"/>
      <c r="Z7" s="18"/>
      <c r="AA7" s="19"/>
      <c r="AB7" s="19"/>
      <c r="AC7" s="20">
        <f>Table13[[#This Row],[Min]]</f>
        <v>77.037000000000006</v>
      </c>
      <c r="AD7" s="20">
        <f>INDEX(Table9[Vmin (%)], (MATCH(Table10[[#This Row],[Target (MIN)]], Table9[Vmin (%)],1)))</f>
        <v>77.022450472008032</v>
      </c>
      <c r="AE7" s="20">
        <f>INDEX(Table9[Vmin (%)], (MATCH(Table10[[#This Row],[Target (MIN)]], Table9[Vmin (%)],1)+1))</f>
        <v>77.352764659810276</v>
      </c>
      <c r="AF7" s="20">
        <f>ABS(Table10[[#This Row],[Target (MIN)]]-Table10[[#This Row],[1st VLOOK MIN]])</f>
        <v>1.4549527991974287E-2</v>
      </c>
      <c r="AG7" s="20">
        <f>ABS(Table10[[#This Row],[Target (MIN)]]-Table10[[#This Row],[2nd VLOOK MIN]])</f>
        <v>0.31576465981027013</v>
      </c>
      <c r="AH7" s="20">
        <f>IF(Table10[[#This Row],[1st Diff]]&lt;Table10[[#This Row],[2nd Diff]],Table10[[#This Row],[1st VLOOK MIN]],Table10[[#This Row],[2nd VLOOK MIN]])</f>
        <v>77.022450472008032</v>
      </c>
      <c r="AI7" s="20">
        <f>INDEX(Table9[Temperature], (MATCH(Table10[[#This Row],[Closest VLOOK MIN]], Table9[Vmin (%)],1)))</f>
        <v>-10</v>
      </c>
      <c r="AJ7" s="20">
        <f>Table13[[#This Row],[Typ]]</f>
        <v>77.150000000000006</v>
      </c>
      <c r="AK7" s="20">
        <f>INDEX(Table9[Vnom (%)], (MATCH(Table10[[#This Row],[Target (Typ)]], Table9[Vnom (%)],1)))</f>
        <v>76.891698747257919</v>
      </c>
      <c r="AL7" s="20">
        <f>INDEX(Table9[Vnom (%)], (MATCH(Table10[[#This Row],[Target (Typ)]], Table9[Vnom (%)],1)+1))</f>
        <v>77.234392765933919</v>
      </c>
      <c r="AM7" s="20">
        <f>ABS(Table10[[#This Row],[Target (Typ)]]-Table10[[#This Row],[1st VLOOK TYP]])</f>
        <v>0.25830125274208626</v>
      </c>
      <c r="AN7" s="20">
        <f>ABS(Table10[[#This Row],[Target (Typ)]]-Table10[[#This Row],[2nd VLOOK TYP]])</f>
        <v>8.4392765933912983E-2</v>
      </c>
      <c r="AO7" s="20">
        <f>IF(Table10[[#This Row],[1st Diff Typ]]&lt;Table10[[#This Row],[2nd Diff TYP]],Table10[[#This Row],[1st VLOOK TYP]],Table10[[#This Row],[2nd VLOOK TYP]])</f>
        <v>77.234392765933919</v>
      </c>
      <c r="AP7" s="20">
        <f>INDEX(Table9[Temperature], (MATCH(Table10[[#This Row],[Closest VLOOK TYP]], Table9[Vnom (%)],1)))</f>
        <v>-10</v>
      </c>
      <c r="AQ7" s="20">
        <f>Table13[[#This Row],[Max]]</f>
        <v>77.278000000000006</v>
      </c>
      <c r="AR7" s="20">
        <f>INDEX(Table9[Vmax (%)], (MATCH(Table10[[#This Row],[Target (MAX)]], Table9[Vmax (%)],1)))</f>
        <v>77.099841220279544</v>
      </c>
      <c r="AS7" s="20">
        <f>INDEX(Table9[Vmax (%)], (MATCH(Table10[[#This Row],[Target (Typ)]], Table9[Vmax (%)],1)+1))</f>
        <v>77.439889048360072</v>
      </c>
      <c r="AT7" s="20">
        <f>ABS(Table10[[#This Row],[Target (MAX)]]-Table10[[#This Row],[1st VLOOK MAX]])</f>
        <v>0.17815877972046223</v>
      </c>
      <c r="AU7" s="20">
        <f>ABS(Table10[[#This Row],[Target (MAX)]]-Table10[[#This Row],[2nd VLOOK MAX]])</f>
        <v>0.16188904836006657</v>
      </c>
      <c r="AV7" s="20">
        <f>IF(Table10[[#This Row],[1st Diff MAX]]&lt;Table10[[#This Row],[2nd Diff MAX]],Table10[[#This Row],[1st VLOOK MAX]],Table10[[#This Row],[2nd VLOOK MAX]])</f>
        <v>77.439889048360072</v>
      </c>
      <c r="AW7" s="20">
        <f>INDEX(Table9[Temperature], (MATCH(Table10[[#This Row],[Closest VLOOK MAX]], Table9[Vmax (%)],1)))</f>
        <v>-10</v>
      </c>
      <c r="AX7" s="19"/>
      <c r="AY7" s="187" t="s">
        <v>269</v>
      </c>
      <c r="AZ7" s="187">
        <f>IF(T1_S=T1_N10_TEMP,BE$7, IF(T1_S=T1_N_TEMP,BE$8, IF(T1_S=T1_0_TEMP,BE$9, IF(T1_S=BE$10,T1_5_PERCENT, "ERROR"))))</f>
        <v>77.037000000000006</v>
      </c>
      <c r="BA7" s="187">
        <f>IF(T1_S=T1_N10_TEMP,BF$7, IF(T1_S=T1_N_TEMP,BF$8, IF(T1_S=T1_0_TEMP,BF$9, IF(T1_S=BF$10,T1_5_PERCENT, "ERROR"))))</f>
        <v>77.150000000000006</v>
      </c>
      <c r="BB7" s="187">
        <f>IF(T1_S=T1_N10_TEMP,BG$7, IF(T1_S=T1_N_TEMP,BG$8, IF(T1_S=T1_0_TEMP,BG$9, IF(T1_S=BG$10,T1_5_PERCENT, "ERROR"))))</f>
        <v>77.278000000000006</v>
      </c>
      <c r="BC7" s="19"/>
      <c r="BD7" s="187">
        <v>-10</v>
      </c>
      <c r="BE7" s="187">
        <v>77.037000000000006</v>
      </c>
      <c r="BF7" s="187">
        <v>77.150000000000006</v>
      </c>
      <c r="BG7" s="187">
        <v>77.278000000000006</v>
      </c>
      <c r="BH7" s="187">
        <v>75.954999999999998</v>
      </c>
      <c r="BI7" s="187">
        <v>76.099999999999994</v>
      </c>
      <c r="BJ7" s="187">
        <v>76.195999999999998</v>
      </c>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row>
    <row r="8" spans="1:210" ht="16" x14ac:dyDescent="0.2">
      <c r="A8" s="31"/>
      <c r="B8" s="13"/>
      <c r="C8" s="13"/>
      <c r="D8" s="32" t="s">
        <v>267</v>
      </c>
      <c r="E8" s="69">
        <v>50</v>
      </c>
      <c r="F8" s="128" t="s">
        <v>325</v>
      </c>
      <c r="G8" s="156"/>
      <c r="H8" s="13">
        <v>40</v>
      </c>
      <c r="I8" s="13">
        <v>45</v>
      </c>
      <c r="J8" s="29">
        <v>50</v>
      </c>
      <c r="K8" s="29">
        <v>55</v>
      </c>
      <c r="L8" s="29">
        <v>0.48399999999999999</v>
      </c>
      <c r="M8" s="29">
        <v>0.44800000000000001</v>
      </c>
      <c r="N8" s="29">
        <v>0.41199999999999998</v>
      </c>
      <c r="O8" s="29">
        <v>0.377</v>
      </c>
      <c r="P8" s="29"/>
      <c r="Q8" s="29"/>
      <c r="R8" s="29"/>
      <c r="S8" s="29"/>
      <c r="T8" s="179" t="s">
        <v>293</v>
      </c>
      <c r="U8" s="182">
        <f>Table10[[#This Row],[MIN Temp]]</f>
        <v>-7</v>
      </c>
      <c r="V8" s="182">
        <f>Table10[[#This Row],[TYP Temp]]</f>
        <v>-7</v>
      </c>
      <c r="W8" s="182">
        <f>Table10[[#This Row],[MAX Temp]]</f>
        <v>-6</v>
      </c>
      <c r="X8" s="180" t="s">
        <v>292</v>
      </c>
      <c r="Y8" s="30"/>
      <c r="Z8" s="18"/>
      <c r="AA8" s="19"/>
      <c r="AB8" s="19"/>
      <c r="AC8" s="20">
        <f>Table13[[#This Row],[Min]]</f>
        <v>75.954999999999998</v>
      </c>
      <c r="AD8" s="20">
        <f>INDEX(Table9[Vmin (%)], (MATCH(Table10[[#This Row],[Target (MIN)]], Table9[Vmin (%)],1)))</f>
        <v>75.579725082914123</v>
      </c>
      <c r="AE8" s="20">
        <f>INDEX(Table9[Vmin (%)], (MATCH(Table10[[#This Row],[Target (MIN)]], Table9[Vmin (%)],1)+1))</f>
        <v>75.956121438491195</v>
      </c>
      <c r="AF8" s="20">
        <f>ABS(Table10[[#This Row],[Target (MIN)]]-Table10[[#This Row],[1st VLOOK MIN]])</f>
        <v>0.3752749170858749</v>
      </c>
      <c r="AG8" s="20">
        <f>ABS(Table10[[#This Row],[Target (MIN)]]-Table10[[#This Row],[2nd VLOOK MIN]])</f>
        <v>1.1214384911966135E-3</v>
      </c>
      <c r="AH8" s="20">
        <f>IF(Table10[[#This Row],[1st Diff]]&lt;Table10[[#This Row],[2nd Diff]],Table10[[#This Row],[1st VLOOK MIN]],Table10[[#This Row],[2nd VLOOK MIN]])</f>
        <v>75.956121438491195</v>
      </c>
      <c r="AI8" s="20">
        <f>INDEX(Table9[Temperature], (MATCH(Table10[[#This Row],[Closest VLOOK MIN]], Table9[Vmin (%)],1)))</f>
        <v>-7</v>
      </c>
      <c r="AJ8" s="20">
        <f>Table13[[#This Row],[Typ]]</f>
        <v>76.099999999999994</v>
      </c>
      <c r="AK8" s="20">
        <f>INDEX(Table9[Vnom (%)], (MATCH(Table10[[#This Row],[Target (Typ)]], Table9[Vnom (%)],1)))</f>
        <v>75.80342802394135</v>
      </c>
      <c r="AL8" s="20">
        <f>INDEX(Table9[Vnom (%)], (MATCH(Table10[[#This Row],[Target (Typ)]], Table9[Vnom (%)],1)+1))</f>
        <v>76.176140299088971</v>
      </c>
      <c r="AM8" s="20">
        <f>ABS(Table10[[#This Row],[Target (Typ)]]-Table10[[#This Row],[1st VLOOK TYP]])</f>
        <v>0.29657197605864383</v>
      </c>
      <c r="AN8" s="20">
        <f>ABS(Table10[[#This Row],[Target (Typ)]]-Table10[[#This Row],[2nd VLOOK TYP]])</f>
        <v>7.6140299088976349E-2</v>
      </c>
      <c r="AO8" s="20">
        <f>IF(Table10[[#This Row],[1st Diff Typ]]&lt;Table10[[#This Row],[2nd Diff TYP]],Table10[[#This Row],[1st VLOOK TYP]],Table10[[#This Row],[2nd VLOOK TYP]])</f>
        <v>76.176140299088971</v>
      </c>
      <c r="AP8" s="20">
        <f>INDEX(Table9[Temperature], (MATCH(Table10[[#This Row],[Closest VLOOK TYP]], Table9[Vnom (%)],1)))</f>
        <v>-7</v>
      </c>
      <c r="AQ8" s="20">
        <f>Table13[[#This Row],[Max]]</f>
        <v>76.195999999999998</v>
      </c>
      <c r="AR8" s="20">
        <f>INDEX(Table9[Vmax (%)], (MATCH(Table10[[#This Row],[Target (MAX)]], Table9[Vmax (%)],1)))</f>
        <v>76.021632123100744</v>
      </c>
      <c r="AS8" s="20">
        <f>INDEX(Table9[Vmax (%)], (MATCH(Table10[[#This Row],[Target (Typ)]], Table9[Vmax (%)],1)+1))</f>
        <v>76.390466994094481</v>
      </c>
      <c r="AT8" s="20">
        <f>ABS(Table10[[#This Row],[Target (MAX)]]-Table10[[#This Row],[1st VLOOK MAX]])</f>
        <v>0.17436787689925382</v>
      </c>
      <c r="AU8" s="20">
        <f>ABS(Table10[[#This Row],[Target (MAX)]]-Table10[[#This Row],[2nd VLOOK MAX]])</f>
        <v>0.19446699409448343</v>
      </c>
      <c r="AV8" s="20">
        <f>IF(Table10[[#This Row],[1st Diff MAX]]&lt;Table10[[#This Row],[2nd Diff MAX]],Table10[[#This Row],[1st VLOOK MAX]],Table10[[#This Row],[2nd VLOOK MAX]])</f>
        <v>76.021632123100744</v>
      </c>
      <c r="AW8" s="20">
        <f>INDEX(Table9[Temperature], (MATCH(Table10[[#This Row],[Closest VLOOK MAX]], Table9[Vmax (%)],1)))</f>
        <v>-6</v>
      </c>
      <c r="AX8" s="19"/>
      <c r="AY8" t="s">
        <v>270</v>
      </c>
      <c r="AZ8">
        <f>IF(T1_S=T1_N10_TEMP,BH$7, IF(T1_S=T1_N_TEMP,BH$8, IF(T1_S=T1_0_TEMP,BH$9, IF(T1_S=BH$10,T1_5_PERCENT, "ERROR"))))</f>
        <v>75.954999999999998</v>
      </c>
      <c r="BA8">
        <f>IF(T1_S=T1_N10_TEMP,BI$7, IF(T1_S=T1_N_TEMP,BI$8, IF(T1_S=T1_0_TEMP,BI$9, IF(T1_S=BI$10,T1_5_PERCENT, "ERROR"))))</f>
        <v>76.099999999999994</v>
      </c>
      <c r="BB8">
        <f>IF(T1_S=T1_N10_TEMP,BJ$7, IF(T1_S=T1_N_TEMP,BJ$8, IF(T1_S=T1_0_TEMP,BJ$9, IF(T1_S=BJ$10,T1_5_PERCENT, "ERROR"))))</f>
        <v>76.195999999999998</v>
      </c>
      <c r="BC8" s="19"/>
      <c r="BD8">
        <v>-5</v>
      </c>
      <c r="BE8">
        <v>74.819999999999993</v>
      </c>
      <c r="BF8">
        <v>75.319999999999993</v>
      </c>
      <c r="BG8">
        <v>75.819999999999993</v>
      </c>
      <c r="BH8">
        <v>73.569999999999993</v>
      </c>
      <c r="BI8">
        <v>74.069999999999993</v>
      </c>
      <c r="BJ8">
        <v>74.569999999999993</v>
      </c>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row>
    <row r="9" spans="1:210" ht="16" x14ac:dyDescent="0.2">
      <c r="A9" s="31"/>
      <c r="B9" s="13"/>
      <c r="C9" s="13"/>
      <c r="D9" s="32" t="s">
        <v>266</v>
      </c>
      <c r="E9" s="69">
        <v>60</v>
      </c>
      <c r="F9" s="128" t="s">
        <v>325</v>
      </c>
      <c r="G9" s="156"/>
      <c r="H9" s="13">
        <v>50</v>
      </c>
      <c r="I9" s="13">
        <v>55</v>
      </c>
      <c r="J9" s="29">
        <v>60</v>
      </c>
      <c r="K9" s="29">
        <v>65</v>
      </c>
      <c r="L9" s="29">
        <v>0.41199999999999998</v>
      </c>
      <c r="M9" s="29">
        <v>0.377</v>
      </c>
      <c r="N9" s="29">
        <v>0.34375</v>
      </c>
      <c r="O9" s="29">
        <v>0.3125</v>
      </c>
      <c r="P9" s="29"/>
      <c r="Q9" s="29">
        <f>IF(T5_S=T5_50_TEMP,T5_50_PERCENT, IF(T5_S=T5_55_TEMP,T5_55_PERCENT, IF(T5_S=T5_60_TEMP,T5_60_PERCENT,IF(T5_S=T5_65_TEMP,T5_65_PERCENT, "ERROR"))))</f>
        <v>0.34375</v>
      </c>
      <c r="R9" s="29"/>
      <c r="S9" s="29"/>
      <c r="T9" s="179" t="s">
        <v>294</v>
      </c>
      <c r="U9" s="182">
        <f>Table10[[#This Row],[MIN Temp]]</f>
        <v>10</v>
      </c>
      <c r="V9" s="182">
        <f>Table10[[#This Row],[TYP Temp]]</f>
        <v>10</v>
      </c>
      <c r="W9" s="182">
        <f>Table10[[#This Row],[MAX Temp]]</f>
        <v>10</v>
      </c>
      <c r="X9" s="180" t="s">
        <v>292</v>
      </c>
      <c r="Y9" s="30"/>
      <c r="Z9" s="18"/>
      <c r="AA9" s="19"/>
      <c r="AB9" s="19"/>
      <c r="AC9" s="20">
        <f>Table13[[#This Row],[Min]]</f>
        <v>68.152000000000001</v>
      </c>
      <c r="AD9" s="20">
        <f>INDEX(Table9[Vmin (%)], (MATCH(Table10[[#This Row],[Target (MIN)]], Table9[Vmin (%)],1)))</f>
        <v>68.104370807021056</v>
      </c>
      <c r="AE9" s="20">
        <f>INDEX(Table9[Vmin (%)], (MATCH(Table10[[#This Row],[Target (MIN)]], Table9[Vmin (%)],1)+1))</f>
        <v>68.646989531871</v>
      </c>
      <c r="AF9" s="20">
        <f>ABS(Table10[[#This Row],[Target (MIN)]]-Table10[[#This Row],[1st VLOOK MIN]])</f>
        <v>4.7629192978945412E-2</v>
      </c>
      <c r="AG9" s="20">
        <f>ABS(Table10[[#This Row],[Target (MIN)]]-Table10[[#This Row],[2nd VLOOK MIN]])</f>
        <v>0.49498953187099914</v>
      </c>
      <c r="AH9" s="20">
        <f>IF(Table10[[#This Row],[1st Diff]]&lt;Table10[[#This Row],[2nd Diff]],Table10[[#This Row],[1st VLOOK MIN]],Table10[[#This Row],[2nd VLOOK MIN]])</f>
        <v>68.104370807021056</v>
      </c>
      <c r="AI9" s="20">
        <f>INDEX(Table9[Temperature], (MATCH(Table10[[#This Row],[Closest VLOOK MIN]], Table9[Vmin (%)],1)))</f>
        <v>10</v>
      </c>
      <c r="AJ9" s="20">
        <f>Table13[[#This Row],[Typ]]</f>
        <v>68.25</v>
      </c>
      <c r="AK9" s="20">
        <f>INDEX(Table9[Vnom (%)], (MATCH(Table10[[#This Row],[Target (Typ)]], Table9[Vnom (%)],1)))</f>
        <v>67.792861607050597</v>
      </c>
      <c r="AL9" s="20">
        <f>INDEX(Table9[Vnom (%)], (MATCH(Table10[[#This Row],[Target (Typ)]], Table9[Vnom (%)],1)+1))</f>
        <v>68.356764558359401</v>
      </c>
      <c r="AM9" s="20">
        <f>ABS(Table10[[#This Row],[Target (Typ)]]-Table10[[#This Row],[1st VLOOK TYP]])</f>
        <v>0.45713839294940328</v>
      </c>
      <c r="AN9" s="20">
        <f>ABS(Table10[[#This Row],[Target (Typ)]]-Table10[[#This Row],[2nd VLOOK TYP]])</f>
        <v>0.10676455835940146</v>
      </c>
      <c r="AO9" s="20">
        <f>IF(Table10[[#This Row],[1st Diff Typ]]&lt;Table10[[#This Row],[2nd Diff TYP]],Table10[[#This Row],[1st VLOOK TYP]],Table10[[#This Row],[2nd VLOOK TYP]])</f>
        <v>68.356764558359401</v>
      </c>
      <c r="AP9" s="20">
        <f>INDEX(Table9[Temperature], (MATCH(Table10[[#This Row],[Closest VLOOK TYP]], Table9[Vnom (%)],1)))</f>
        <v>10</v>
      </c>
      <c r="AQ9" s="20">
        <f>Table13[[#This Row],[Max]]</f>
        <v>68.349999999999994</v>
      </c>
      <c r="AR9" s="20">
        <f>INDEX(Table9[Vmax (%)], (MATCH(Table10[[#This Row],[Target (MAX)]], Table9[Vmax (%)],1)))</f>
        <v>68.038343371418421</v>
      </c>
      <c r="AS9" s="20">
        <f>INDEX(Table9[Vmax (%)], (MATCH(Table10[[#This Row],[Target (Typ)]], Table9[Vmax (%)],1)+1))</f>
        <v>68.603407333288118</v>
      </c>
      <c r="AT9" s="20">
        <f>ABS(Table10[[#This Row],[Target (MAX)]]-Table10[[#This Row],[1st VLOOK MAX]])</f>
        <v>0.31165662858157361</v>
      </c>
      <c r="AU9" s="20">
        <f>ABS(Table10[[#This Row],[Target (MAX)]]-Table10[[#This Row],[2nd VLOOK MAX]])</f>
        <v>0.25340733328812348</v>
      </c>
      <c r="AV9" s="20">
        <f>IF(Table10[[#This Row],[1st Diff MAX]]&lt;Table10[[#This Row],[2nd Diff MAX]],Table10[[#This Row],[1st VLOOK MAX]],Table10[[#This Row],[2nd VLOOK MAX]])</f>
        <v>68.603407333288118</v>
      </c>
      <c r="AW9" s="20">
        <f>INDEX(Table9[Temperature], (MATCH(Table10[[#This Row],[Closest VLOOK MAX]], Table9[Vmax (%)],1)))</f>
        <v>10</v>
      </c>
      <c r="AX9" s="19"/>
      <c r="AY9" s="187" t="s">
        <v>271</v>
      </c>
      <c r="AZ9" s="187">
        <f>IF(T2_S=T2_5_TEMP,BE$10, IF(T2_S=T2_10_TEMP,BE$11, IF(T2_S=T2_15_TEMP,BE$12, IF(T2_S=T2_20_TEMP,BE$13, "ERROR"))) )</f>
        <v>68.152000000000001</v>
      </c>
      <c r="BA9" s="187">
        <f>IF(T2_S=T2_5_TEMP,BF$10, IF(T2_S=T2_10_TEMP,BF$11, IF(T2_S=T2_15_TEMP,BF$12, IF(T2_S=T2_20_TEMP,BF$13, "ERROR"))) )</f>
        <v>68.25</v>
      </c>
      <c r="BB9" s="187">
        <f>IF(T2_S=T2_5_TEMP,BG$10, IF(T2_S=T2_10_TEMP,BG$11, IF(T2_S=T2_15_TEMP,BG$12, IF(T2_S=T2_20_TEMP,BG$13, "ERROR"))) )</f>
        <v>68.349999999999994</v>
      </c>
      <c r="BC9" s="19"/>
      <c r="BD9" s="187">
        <f>V38</f>
        <v>0</v>
      </c>
      <c r="BE9" s="187">
        <v>73.302000000000007</v>
      </c>
      <c r="BF9" s="187">
        <v>73.25</v>
      </c>
      <c r="BG9" s="187">
        <v>73.543000000000006</v>
      </c>
      <c r="BH9" s="187">
        <v>72.096000000000004</v>
      </c>
      <c r="BI9" s="187">
        <v>72</v>
      </c>
      <c r="BJ9" s="187">
        <v>72.293999999999997</v>
      </c>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row>
    <row r="10" spans="1:210" ht="16" x14ac:dyDescent="0.2">
      <c r="A10" s="31"/>
      <c r="B10" s="13"/>
      <c r="C10" s="13"/>
      <c r="D10" s="32" t="s">
        <v>321</v>
      </c>
      <c r="E10" s="13">
        <f>IF(T1_S=T1_N10_TEMP,F140,IF(T1_S=T1_N_TEMP,F135, IF(T1_S=T1_0_TEMP,F130,IF(T1_S=T1_5_TEMP,F125, "ERROR"))))</f>
        <v>42.47</v>
      </c>
      <c r="F10" s="130" t="s">
        <v>30</v>
      </c>
      <c r="G10" s="157" t="str">
        <f>_xlfn.CONCAT(FIXED(E10,2), " ",F10)</f>
        <v>42,47 kΩ</v>
      </c>
      <c r="H10" s="13"/>
      <c r="I10" s="13"/>
      <c r="J10" s="29"/>
      <c r="K10" s="29"/>
      <c r="L10" s="29"/>
      <c r="M10" s="29"/>
      <c r="N10" s="29"/>
      <c r="O10" s="29"/>
      <c r="P10" s="29"/>
      <c r="Q10" s="29"/>
      <c r="R10" s="29"/>
      <c r="S10" s="29"/>
      <c r="T10" s="179" t="s">
        <v>295</v>
      </c>
      <c r="U10" s="182">
        <f>Table10[[#This Row],[MIN Temp]]</f>
        <v>12</v>
      </c>
      <c r="V10" s="182">
        <f>Table10[[#This Row],[TYP Temp]]</f>
        <v>12</v>
      </c>
      <c r="W10" s="182">
        <f>Table10[[#This Row],[MAX Temp]]</f>
        <v>13</v>
      </c>
      <c r="X10" s="180" t="s">
        <v>292</v>
      </c>
      <c r="Y10" s="30"/>
      <c r="Z10" s="18"/>
      <c r="AA10" s="19"/>
      <c r="AB10" s="19"/>
      <c r="AC10" s="20">
        <f>Table13[[#This Row],[Min]]</f>
        <v>66.983000000000004</v>
      </c>
      <c r="AD10" s="20">
        <f>INDEX(Table9[Vmin (%)], (MATCH(Table10[[#This Row],[Target (MIN)]], Table9[Vmin (%)],1)))</f>
        <v>66.967992959623416</v>
      </c>
      <c r="AE10" s="20">
        <f>INDEX(Table9[Vmin (%)], (MATCH(Table10[[#This Row],[Target (MIN)]], Table9[Vmin (%)],1)+1))</f>
        <v>67.541884590075711</v>
      </c>
      <c r="AF10" s="20">
        <f>ABS(Table10[[#This Row],[Target (MIN)]]-Table10[[#This Row],[1st VLOOK MIN]])</f>
        <v>1.5007040376588066E-2</v>
      </c>
      <c r="AG10" s="20">
        <f>ABS(Table10[[#This Row],[Target (MIN)]]-Table10[[#This Row],[2nd VLOOK MIN]])</f>
        <v>0.55888459007570646</v>
      </c>
      <c r="AH10" s="20">
        <f>IF(Table10[[#This Row],[1st Diff]]&lt;Table10[[#This Row],[2nd Diff]],Table10[[#This Row],[1st VLOOK MIN]],Table10[[#This Row],[2nd VLOOK MIN]])</f>
        <v>66.967992959623416</v>
      </c>
      <c r="AI10" s="20">
        <f>INDEX(Table9[Temperature], (MATCH(Table10[[#This Row],[Closest VLOOK MIN]], Table9[Vmin (%)],1)))</f>
        <v>12</v>
      </c>
      <c r="AJ10" s="20">
        <f>Table13[[#This Row],[Typ]]</f>
        <v>66.95</v>
      </c>
      <c r="AK10" s="20">
        <f>INDEX(Table9[Vnom (%)], (MATCH(Table10[[#This Row],[Target (Typ)]], Table9[Vnom (%)],1)))</f>
        <v>66.637225021877228</v>
      </c>
      <c r="AL10" s="20">
        <f>INDEX(Table9[Vnom (%)], (MATCH(Table10[[#This Row],[Target (Typ)]], Table9[Vnom (%)],1)+1))</f>
        <v>67.224826762926654</v>
      </c>
      <c r="AM10" s="20">
        <f>ABS(Table10[[#This Row],[Target (Typ)]]-Table10[[#This Row],[1st VLOOK TYP]])</f>
        <v>0.31277497812277488</v>
      </c>
      <c r="AN10" s="20">
        <f>ABS(Table10[[#This Row],[Target (Typ)]]-Table10[[#This Row],[2nd VLOOK TYP]])</f>
        <v>0.27482676292665076</v>
      </c>
      <c r="AO10" s="20">
        <f>IF(Table10[[#This Row],[1st Diff Typ]]&lt;Table10[[#This Row],[2nd Diff TYP]],Table10[[#This Row],[1st VLOOK TYP]],Table10[[#This Row],[2nd VLOOK TYP]])</f>
        <v>67.224826762926654</v>
      </c>
      <c r="AP10" s="20">
        <f>INDEX(Table9[Temperature], (MATCH(Table10[[#This Row],[Closest VLOOK TYP]], Table9[Vnom (%)],1)))</f>
        <v>12</v>
      </c>
      <c r="AQ10" s="20">
        <f>Table13[[#This Row],[Max]]</f>
        <v>67.144000000000005</v>
      </c>
      <c r="AR10" s="20">
        <f>INDEX(Table9[Vmax (%)], (MATCH(Table10[[#This Row],[Target (MAX)]], Table9[Vmax (%)],1)))</f>
        <v>66.885077750451885</v>
      </c>
      <c r="AS10" s="20">
        <f>INDEX(Table9[Vmax (%)], (MATCH(Table10[[#This Row],[Target (Typ)]], Table9[Vmax (%)],1)+1))</f>
        <v>67.467641980454459</v>
      </c>
      <c r="AT10" s="20">
        <f>ABS(Table10[[#This Row],[Target (MAX)]]-Table10[[#This Row],[1st VLOOK MAX]])</f>
        <v>0.25892224954812093</v>
      </c>
      <c r="AU10" s="20">
        <f>ABS(Table10[[#This Row],[Target (MAX)]]-Table10[[#This Row],[2nd VLOOK MAX]])</f>
        <v>0.32364198045445391</v>
      </c>
      <c r="AV10" s="20">
        <f>IF(Table10[[#This Row],[1st Diff MAX]]&lt;Table10[[#This Row],[2nd Diff MAX]],Table10[[#This Row],[1st VLOOK MAX]],Table10[[#This Row],[2nd VLOOK MAX]])</f>
        <v>66.885077750451885</v>
      </c>
      <c r="AW10" s="20">
        <f>INDEX(Table9[Temperature], (MATCH(Table10[[#This Row],[Closest VLOOK MAX]], Table9[Vmax (%)],1)))</f>
        <v>13</v>
      </c>
      <c r="AX10" s="19"/>
      <c r="AY10" t="s">
        <v>272</v>
      </c>
      <c r="AZ10">
        <f>IF(T2_S=T2_5_TEMP,BH$10, IF(T2_S=T2_10_TEMP,BH$11, IF(T2_S=T2_15_TEMP,BH$12, IF(T2_S=T2_20_TEMP,BH$13, "ERROR"))) )</f>
        <v>66.983000000000004</v>
      </c>
      <c r="BA10">
        <f>IF(T2_S=T2_5_TEMP,BI$10, IF(T2_S=T2_10_TEMP,BI$11, IF(T2_S=T2_15_TEMP,BI$12, IF(T2_S=T2_20_TEMP,BI$13, "ERROR"))) )</f>
        <v>66.95</v>
      </c>
      <c r="BB10">
        <f>IF(T2_S=T2_5_TEMP,BJ$10, IF(T2_S=T2_10_TEMP,BJ$11, IF(T2_S=T2_15_TEMP,BJ$12, IF(T2_S=T2_20_TEMP,BJ$13, "ERROR"))) )</f>
        <v>67.144000000000005</v>
      </c>
      <c r="BC10" s="19"/>
      <c r="BD10">
        <v>5</v>
      </c>
      <c r="BE10">
        <v>70.798000000000002</v>
      </c>
      <c r="BF10">
        <v>70.88</v>
      </c>
      <c r="BG10">
        <v>70.995999999999995</v>
      </c>
      <c r="BH10">
        <v>69.832999999999998</v>
      </c>
      <c r="BI10">
        <v>69.8</v>
      </c>
      <c r="BJ10">
        <v>70.037000000000006</v>
      </c>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row>
    <row r="11" spans="1:210" ht="16" x14ac:dyDescent="0.2">
      <c r="A11" s="31"/>
      <c r="B11" s="13"/>
      <c r="C11" s="13"/>
      <c r="D11" s="32" t="s">
        <v>322</v>
      </c>
      <c r="E11" s="13">
        <f>IF(T5_S=T5_50_TEMP,$F$80, IF(T5_S=T5_55_TEMP,$F$75, IF(T5_S=T5_60_TEMP,$F$70,IF(T5_S=T5_65_TEMP,$F$65, "ERROR"))))</f>
        <v>3.02</v>
      </c>
      <c r="F11" s="130" t="s">
        <v>30</v>
      </c>
      <c r="G11" s="157" t="str">
        <f>_xlfn.CONCAT(FIXED(E11,2), " ",F11)</f>
        <v>3,02 kΩ</v>
      </c>
      <c r="H11" s="13"/>
      <c r="I11" s="13"/>
      <c r="J11" s="29"/>
      <c r="K11" s="29"/>
      <c r="L11" s="29"/>
      <c r="M11" s="29"/>
      <c r="N11" s="29"/>
      <c r="O11" s="29"/>
      <c r="P11" s="29"/>
      <c r="Q11" s="29"/>
      <c r="R11" s="29"/>
      <c r="S11" s="29"/>
      <c r="T11" s="179" t="s">
        <v>296</v>
      </c>
      <c r="U11" s="182">
        <f>Table10[[#This Row],[MIN Temp]]</f>
        <v>48</v>
      </c>
      <c r="V11" s="182">
        <f>Table10[[#This Row],[TYP Temp]]</f>
        <v>48</v>
      </c>
      <c r="W11" s="182">
        <f>Table10[[#This Row],[MAX Temp]]</f>
        <v>49</v>
      </c>
      <c r="X11" s="180" t="s">
        <v>292</v>
      </c>
      <c r="Y11" s="30"/>
      <c r="Z11" s="18"/>
      <c r="AA11" s="19"/>
      <c r="AB11" s="19"/>
      <c r="AC11" s="20">
        <f>Table13[[#This Row],[Min]]</f>
        <v>42.338000000000001</v>
      </c>
      <c r="AD11" s="20">
        <f>INDEX(Table9[Vmin (%)], (MATCH(Table10[[#This Row],[Target (MIN)]], Table9[Vmin (%)],1)))</f>
        <v>42.14983242076066</v>
      </c>
      <c r="AE11" s="20">
        <f>INDEX(Table9[Vmin (%)], (MATCH(Table10[[#This Row],[Target (MIN)]], Table9[Vmin (%)],1)+1))</f>
        <v>42.861456325317214</v>
      </c>
      <c r="AF11" s="20">
        <f>ABS(Table10[[#This Row],[Target (MIN)]]-Table10[[#This Row],[1st VLOOK MIN]])</f>
        <v>0.18816757923934091</v>
      </c>
      <c r="AG11" s="20">
        <f>ABS(Table10[[#This Row],[Target (MIN)]]-Table10[[#This Row],[2nd VLOOK MIN]])</f>
        <v>0.52345632531721265</v>
      </c>
      <c r="AH11" s="20">
        <f>IF(Table10[[#This Row],[1st Diff]]&lt;Table10[[#This Row],[2nd Diff]],Table10[[#This Row],[1st VLOOK MIN]],Table10[[#This Row],[2nd VLOOK MIN]])</f>
        <v>42.14983242076066</v>
      </c>
      <c r="AI11" s="20">
        <f>INDEX(Table9[Temperature], (MATCH(Table10[[#This Row],[Closest VLOOK MIN]], Table9[Vmin (%)],1)))</f>
        <v>48</v>
      </c>
      <c r="AJ11" s="20">
        <f>Table13[[#This Row],[Typ]]</f>
        <v>42.5</v>
      </c>
      <c r="AK11" s="20">
        <f>INDEX(Table9[Vnom (%)], (MATCH(Table10[[#This Row],[Target (Typ)]], Table9[Vnom (%)],1)))</f>
        <v>41.861995467625505</v>
      </c>
      <c r="AL11" s="20">
        <f>INDEX(Table9[Vnom (%)], (MATCH(Table10[[#This Row],[Target (Typ)]], Table9[Vnom (%)],1)+1))</f>
        <v>42.564972304499207</v>
      </c>
      <c r="AM11" s="20">
        <f>ABS(Table10[[#This Row],[Target (Typ)]]-Table10[[#This Row],[1st VLOOK TYP]])</f>
        <v>0.63800453237449517</v>
      </c>
      <c r="AN11" s="20">
        <f>ABS(Table10[[#This Row],[Target (Typ)]]-Table10[[#This Row],[2nd VLOOK TYP]])</f>
        <v>6.4972304499207212E-2</v>
      </c>
      <c r="AO11" s="20">
        <f>IF(Table10[[#This Row],[1st Diff Typ]]&lt;Table10[[#This Row],[2nd Diff TYP]],Table10[[#This Row],[1st VLOOK TYP]],Table10[[#This Row],[2nd VLOOK TYP]])</f>
        <v>42.564972304499207</v>
      </c>
      <c r="AP11" s="20">
        <f>INDEX(Table9[Temperature], (MATCH(Table10[[#This Row],[Closest VLOOK TYP]], Table9[Vnom (%)],1)))</f>
        <v>48</v>
      </c>
      <c r="AQ11" s="20">
        <f>Table13[[#This Row],[Max]]</f>
        <v>42.622</v>
      </c>
      <c r="AR11" s="20">
        <f>INDEX(Table9[Vmax (%)], (MATCH(Table10[[#This Row],[Target (MAX)]], Table9[Vmax (%)],1)))</f>
        <v>42.282838656374608</v>
      </c>
      <c r="AS11" s="20">
        <f>INDEX(Table9[Vmax (%)], (MATCH(Table10[[#This Row],[Target (Typ)]], Table9[Vmax (%)],1)+1))</f>
        <v>42.978180086200872</v>
      </c>
      <c r="AT11" s="20">
        <f>ABS(Table10[[#This Row],[Target (MAX)]]-Table10[[#This Row],[1st VLOOK MAX]])</f>
        <v>0.33916134362539196</v>
      </c>
      <c r="AU11" s="20">
        <f>ABS(Table10[[#This Row],[Target (MAX)]]-Table10[[#This Row],[2nd VLOOK MAX]])</f>
        <v>0.35618008620087238</v>
      </c>
      <c r="AV11" s="20">
        <f>IF(Table10[[#This Row],[1st Diff MAX]]&lt;Table10[[#This Row],[2nd Diff MAX]],Table10[[#This Row],[1st VLOOK MAX]],Table10[[#This Row],[2nd VLOOK MAX]])</f>
        <v>42.282838656374608</v>
      </c>
      <c r="AW11" s="20">
        <f>INDEX(Table9[Temperature], (MATCH(Table10[[#This Row],[Closest VLOOK MAX]], Table9[Vmax (%)],1)))</f>
        <v>49</v>
      </c>
      <c r="AX11" s="19"/>
      <c r="AY11" s="187" t="s">
        <v>273</v>
      </c>
      <c r="AZ11">
        <f>IF(T3_S=T3_40_TEMP,BE$14, IF(T3_S=T3_45_TEMP,BE$15, IF(T3_S=T3_50_TEMP,BE$16, IF(T3_55_TEMP,BE$17, "ERROR"))))</f>
        <v>42.338000000000001</v>
      </c>
      <c r="BA11">
        <f>IF(T3_S=T3_40_TEMP,BF$14, IF(T3_S=T3_45_TEMP,BF$15, IF(T3_S=T3_50_TEMP,BF$16, IF(T3_55_TEMP,BF$17, "ERROR"))))</f>
        <v>42.5</v>
      </c>
      <c r="BB11">
        <f>IF(T3_S=T3_40_TEMP,BG$14, IF(T3_S=T3_45_TEMP,BG$15, IF(T3_S=T3_50_TEMP,BG$16, IF(T3_55_TEMP,BG$17, "ERROR"))))</f>
        <v>42.622</v>
      </c>
      <c r="BC11" s="19"/>
      <c r="BD11" s="187">
        <v>10</v>
      </c>
      <c r="BE11" s="187">
        <v>68.152000000000001</v>
      </c>
      <c r="BF11" s="187">
        <v>68.25</v>
      </c>
      <c r="BG11" s="187">
        <v>68.349999999999994</v>
      </c>
      <c r="BH11" s="187">
        <v>66.983000000000004</v>
      </c>
      <c r="BI11" s="187">
        <v>66.95</v>
      </c>
      <c r="BJ11" s="187">
        <v>67.144000000000005</v>
      </c>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row>
    <row r="12" spans="1:210" ht="16" x14ac:dyDescent="0.2">
      <c r="A12" s="31"/>
      <c r="B12" s="13"/>
      <c r="C12" s="13"/>
      <c r="D12" s="39" t="s">
        <v>257</v>
      </c>
      <c r="E12" s="41">
        <f>(1/$Q$6-1)/(1/(RT2_Ideal_TH*10^3)+1/(RTHCOLD_TH*10^3))/10^3</f>
        <v>5.243890052769264</v>
      </c>
      <c r="F12" s="128" t="s">
        <v>30</v>
      </c>
      <c r="G12" s="157" t="str">
        <f>_xlfn.CONCAT(FIXED(E12,2), " ",F12)</f>
        <v>5,24 kΩ</v>
      </c>
      <c r="H12" s="13"/>
      <c r="I12" s="13"/>
      <c r="J12" s="29"/>
      <c r="K12" s="29"/>
      <c r="L12" s="29"/>
      <c r="M12" s="29"/>
      <c r="N12" s="29"/>
      <c r="O12" s="29"/>
      <c r="P12" s="29"/>
      <c r="Q12" s="29"/>
      <c r="R12" s="29"/>
      <c r="S12" s="29"/>
      <c r="T12" s="179" t="s">
        <v>297</v>
      </c>
      <c r="U12" s="182">
        <f>Table10[[#This Row],[MIN Temp]]</f>
        <v>49</v>
      </c>
      <c r="V12" s="182">
        <f>Table10[[#This Row],[TYP Temp]]</f>
        <v>50</v>
      </c>
      <c r="W12" s="182">
        <f>Table10[[#This Row],[MAX Temp]]</f>
        <v>50</v>
      </c>
      <c r="X12" s="180" t="s">
        <v>292</v>
      </c>
      <c r="Y12" s="30"/>
      <c r="Z12" s="18"/>
      <c r="AA12" s="19"/>
      <c r="AB12" s="19"/>
      <c r="AC12" s="20">
        <f>Table13[[#This Row],[Min]]</f>
        <v>41.174999999999997</v>
      </c>
      <c r="AD12" s="20">
        <f>INDEX(Table9[Vmin (%)], (MATCH(Table10[[#This Row],[Target (MIN)]], Table9[Vmin (%)],1)))</f>
        <v>40.730930527210518</v>
      </c>
      <c r="AE12" s="20">
        <f>INDEX(Table9[Vmin (%)], (MATCH(Table10[[#This Row],[Target (MIN)]], Table9[Vmin (%)],1)+1))</f>
        <v>41.439224695246004</v>
      </c>
      <c r="AF12" s="20">
        <f>ABS(Table10[[#This Row],[Target (MIN)]]-Table10[[#This Row],[1st VLOOK MIN]])</f>
        <v>0.44406947278947939</v>
      </c>
      <c r="AG12" s="20">
        <f>ABS(Table10[[#This Row],[Target (MIN)]]-Table10[[#This Row],[2nd VLOOK MIN]])</f>
        <v>0.264224695246007</v>
      </c>
      <c r="AH12" s="20">
        <f>IF(Table10[[#This Row],[1st Diff]]&lt;Table10[[#This Row],[2nd Diff]],Table10[[#This Row],[1st VLOOK MIN]],Table10[[#This Row],[2nd VLOOK MIN]])</f>
        <v>41.439224695246004</v>
      </c>
      <c r="AI12" s="20">
        <f>INDEX(Table9[Temperature], (MATCH(Table10[[#This Row],[Closest VLOOK MIN]], Table9[Vmin (%)],1)))</f>
        <v>49</v>
      </c>
      <c r="AJ12" s="20">
        <f>Table13[[#This Row],[Typ]]</f>
        <v>41.2</v>
      </c>
      <c r="AK12" s="20">
        <f>INDEX(Table9[Vnom (%)], (MATCH(Table10[[#This Row],[Target (Typ)]], Table9[Vnom (%)],1)))</f>
        <v>41.161167165530948</v>
      </c>
      <c r="AL12" s="20">
        <f>INDEX(Table9[Vnom (%)], (MATCH(Table10[[#This Row],[Target (Typ)]], Table9[Vnom (%)],1)+1))</f>
        <v>41.861995467625505</v>
      </c>
      <c r="AM12" s="20">
        <f>ABS(Table10[[#This Row],[Target (Typ)]]-Table10[[#This Row],[1st VLOOK TYP]])</f>
        <v>3.8832834469054944E-2</v>
      </c>
      <c r="AN12" s="20">
        <f>ABS(Table10[[#This Row],[Target (Typ)]]-Table10[[#This Row],[2nd VLOOK TYP]])</f>
        <v>0.66199546762550199</v>
      </c>
      <c r="AO12" s="20">
        <f>IF(Table10[[#This Row],[1st Diff Typ]]&lt;Table10[[#This Row],[2nd Diff TYP]],Table10[[#This Row],[1st VLOOK TYP]],Table10[[#This Row],[2nd VLOOK TYP]])</f>
        <v>41.161167165530948</v>
      </c>
      <c r="AP12" s="20">
        <f>INDEX(Table9[Temperature], (MATCH(Table10[[#This Row],[Closest VLOOK TYP]], Table9[Vnom (%)],1)))</f>
        <v>50</v>
      </c>
      <c r="AQ12" s="20">
        <f>Table13[[#This Row],[Max]]</f>
        <v>41.415999999999997</v>
      </c>
      <c r="AR12" s="20">
        <f>INDEX(Table9[Vmax (%)], (MATCH(Table10[[#This Row],[Target (MAX)]], Table9[Vmax (%)],1)))</f>
        <v>40.894247282992708</v>
      </c>
      <c r="AS12" s="20">
        <f>INDEX(Table9[Vmax (%)], (MATCH(Table10[[#This Row],[Target (Typ)]], Table9[Vmax (%)],1)+1))</f>
        <v>41.589488092713708</v>
      </c>
      <c r="AT12" s="20">
        <f>ABS(Table10[[#This Row],[Target (MAX)]]-Table10[[#This Row],[1st VLOOK MAX]])</f>
        <v>0.52175271700728842</v>
      </c>
      <c r="AU12" s="20">
        <f>ABS(Table10[[#This Row],[Target (MAX)]]-Table10[[#This Row],[2nd VLOOK MAX]])</f>
        <v>0.17348809271371124</v>
      </c>
      <c r="AV12" s="20">
        <f>IF(Table10[[#This Row],[1st Diff MAX]]&lt;Table10[[#This Row],[2nd Diff MAX]],Table10[[#This Row],[1st VLOOK MAX]],Table10[[#This Row],[2nd VLOOK MAX]])</f>
        <v>41.589488092713708</v>
      </c>
      <c r="AW12" s="20">
        <f>INDEX(Table9[Temperature], (MATCH(Table10[[#This Row],[Closest VLOOK MAX]], Table9[Vmax (%)],1)))</f>
        <v>50</v>
      </c>
      <c r="AX12" s="19"/>
      <c r="AY12" t="s">
        <v>274</v>
      </c>
      <c r="AZ12">
        <f>IF(T3_S=T3_40_TEMP,BH$14, IF(T3_S=T3_45_TEMP,BH$15, IF(T3_S=T3_50_TEMP,BH$16, IF(T3_55_TEMP,BH$17, "ERROR"))))</f>
        <v>41.174999999999997</v>
      </c>
      <c r="BA12">
        <f>IF(T3_S=T3_40_TEMP,BI$14, IF(T3_S=T3_45_TEMP,BI$15, IF(T3_S=T3_50_TEMP,BI$16, IF(T3_55_TEMP,BI$17, "ERROR"))))</f>
        <v>41.2</v>
      </c>
      <c r="BB12">
        <f>IF(T3_S=T3_40_TEMP,BJ$14, IF(T3_S=T3_45_TEMP,BJ$15, IF(T3_S=T3_50_TEMP,BJ$16, IF(T3_55_TEMP,BJ$17, "ERROR"))))</f>
        <v>41.415999999999997</v>
      </c>
      <c r="BC12" s="19"/>
      <c r="BD12">
        <v>15</v>
      </c>
      <c r="BE12">
        <v>65.301000000000002</v>
      </c>
      <c r="BF12">
        <v>65.349999999999994</v>
      </c>
      <c r="BG12">
        <v>65.462000000000003</v>
      </c>
      <c r="BH12">
        <v>64.096000000000004</v>
      </c>
      <c r="BI12">
        <v>64.2</v>
      </c>
      <c r="BJ12">
        <v>64.256</v>
      </c>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row>
    <row r="13" spans="1:210" ht="17" thickBot="1" x14ac:dyDescent="0.25">
      <c r="A13" s="33"/>
      <c r="B13" s="34"/>
      <c r="C13" s="34"/>
      <c r="D13" s="43" t="s">
        <v>258</v>
      </c>
      <c r="E13" s="44">
        <f>(RTHCOLD_TH*10^3*RTHHOT_TH*10^3*(1/$Q$6-1/$Q$9))/(RTHHOT_TH*10^3*(1/$Q$9-1)-RTHCOLD_TH*10^3*(1/$Q$6-1))/10^3</f>
        <v>30.363546946665231</v>
      </c>
      <c r="F13" s="134" t="s">
        <v>30</v>
      </c>
      <c r="G13" s="157" t="str">
        <f>_xlfn.CONCAT(FIXED(E13,2), " ",F13)</f>
        <v>30,36 kΩ</v>
      </c>
      <c r="H13" s="13"/>
      <c r="I13" s="13"/>
      <c r="J13" s="29"/>
      <c r="K13" s="29"/>
      <c r="L13" s="29"/>
      <c r="M13" s="29"/>
      <c r="N13" s="29"/>
      <c r="O13" s="29"/>
      <c r="P13" s="29"/>
      <c r="Q13" s="29"/>
      <c r="R13" s="29"/>
      <c r="S13" s="29"/>
      <c r="T13" s="179" t="s">
        <v>298</v>
      </c>
      <c r="U13" s="182">
        <f>Table10[[#This Row],[MIN Temp]]</f>
        <v>58</v>
      </c>
      <c r="V13" s="182">
        <f>Table10[[#This Row],[TYP Temp]]</f>
        <v>58</v>
      </c>
      <c r="W13" s="182">
        <f>Table10[[#This Row],[MAX Temp]]</f>
        <v>59</v>
      </c>
      <c r="X13" s="180" t="s">
        <v>292</v>
      </c>
      <c r="Y13" s="30"/>
      <c r="Z13" s="18"/>
      <c r="AA13" s="19"/>
      <c r="AB13" s="19"/>
      <c r="AC13" s="20">
        <f>Table13[[#This Row],[Min]]</f>
        <v>35.393999999999998</v>
      </c>
      <c r="AD13" s="20">
        <f>INDEX(Table9[Vmin (%)], (MATCH(Table10[[#This Row],[Target (MIN)]], Table9[Vmin (%)],1)))</f>
        <v>35.24937344100195</v>
      </c>
      <c r="AE13" s="20">
        <f>INDEX(Table9[Vmin (%)], (MATCH(Table10[[#This Row],[Target (MIN)]], Table9[Vmin (%)],1)+1))</f>
        <v>35.911272411410891</v>
      </c>
      <c r="AF13" s="20">
        <f>ABS(Table10[[#This Row],[Target (MIN)]]-Table10[[#This Row],[1st VLOOK MIN]])</f>
        <v>0.14462655899804844</v>
      </c>
      <c r="AG13" s="20">
        <f>ABS(Table10[[#This Row],[Target (MIN)]]-Table10[[#This Row],[2nd VLOOK MIN]])</f>
        <v>0.51727241141089308</v>
      </c>
      <c r="AH13" s="20">
        <f>IF(Table10[[#This Row],[1st Diff]]&lt;Table10[[#This Row],[2nd Diff]],Table10[[#This Row],[1st VLOOK MIN]],Table10[[#This Row],[2nd VLOOK MIN]])</f>
        <v>35.24937344100195</v>
      </c>
      <c r="AI13" s="20">
        <f>INDEX(Table9[Temperature], (MATCH(Table10[[#This Row],[Closest VLOOK MIN]], Table9[Vmin (%)],1)))</f>
        <v>58</v>
      </c>
      <c r="AJ13" s="20">
        <f>Table13[[#This Row],[Typ]]</f>
        <v>35.5</v>
      </c>
      <c r="AK13" s="20">
        <f>INDEX(Table9[Vnom (%)], (MATCH(Table10[[#This Row],[Target (Typ)]], Table9[Vnom (%)],1)))</f>
        <v>35.076179717322717</v>
      </c>
      <c r="AL13" s="20">
        <f>INDEX(Table9[Vnom (%)], (MATCH(Table10[[#This Row],[Target (Typ)]], Table9[Vnom (%)],1)+1))</f>
        <v>35.724189313224691</v>
      </c>
      <c r="AM13" s="20">
        <f>ABS(Table10[[#This Row],[Target (Typ)]]-Table10[[#This Row],[1st VLOOK TYP]])</f>
        <v>0.42382028267728344</v>
      </c>
      <c r="AN13" s="20">
        <f>ABS(Table10[[#This Row],[Target (Typ)]]-Table10[[#This Row],[2nd VLOOK TYP]])</f>
        <v>0.22418931322469149</v>
      </c>
      <c r="AO13" s="20">
        <f>IF(Table10[[#This Row],[1st Diff Typ]]&lt;Table10[[#This Row],[2nd Diff TYP]],Table10[[#This Row],[1st VLOOK TYP]],Table10[[#This Row],[2nd VLOOK TYP]])</f>
        <v>35.724189313224691</v>
      </c>
      <c r="AP13" s="20">
        <f>INDEX(Table9[Temperature], (MATCH(Table10[[#This Row],[Closest VLOOK TYP]], Table9[Vnom (%)],1)))</f>
        <v>58</v>
      </c>
      <c r="AQ13" s="20">
        <f>Table13[[#This Row],[Max]]</f>
        <v>35.636000000000003</v>
      </c>
      <c r="AR13" s="20">
        <f>INDEX(Table9[Vmax (%)], (MATCH(Table10[[#This Row],[Target (MAX)]], Table9[Vmax (%)],1)))</f>
        <v>35.548162957558937</v>
      </c>
      <c r="AS13" s="20">
        <f>INDEX(Table9[Vmax (%)], (MATCH(Table10[[#This Row],[Target (Typ)]], Table9[Vmax (%)],1)+1))</f>
        <v>35.548162957558937</v>
      </c>
      <c r="AT13" s="20">
        <f>ABS(Table10[[#This Row],[Target (MAX)]]-Table10[[#This Row],[1st VLOOK MAX]])</f>
        <v>8.783704244106616E-2</v>
      </c>
      <c r="AU13" s="20">
        <f>ABS(Table10[[#This Row],[Target (MAX)]]-Table10[[#This Row],[2nd VLOOK MAX]])</f>
        <v>8.783704244106616E-2</v>
      </c>
      <c r="AV13" s="20">
        <f>IF(Table10[[#This Row],[1st Diff MAX]]&lt;Table10[[#This Row],[2nd Diff MAX]],Table10[[#This Row],[1st VLOOK MAX]],Table10[[#This Row],[2nd VLOOK MAX]])</f>
        <v>35.548162957558937</v>
      </c>
      <c r="AW13" s="20">
        <f>INDEX(Table9[Temperature], (MATCH(Table10[[#This Row],[Closest VLOOK MAX]], Table9[Vmax (%)],1)))</f>
        <v>59</v>
      </c>
      <c r="AX13" s="19"/>
      <c r="AY13" s="187" t="s">
        <v>275</v>
      </c>
      <c r="AZ13">
        <f>IF(T5_S=T5_50_TEMP,BE$16, IF(T5_S=T5_55_TEMP,BE$17,IF(T5_S=T5_60_TEMP,BE$18,IF(T5_S=T5_65_TEMP,BE$19, "ERROR"))))</f>
        <v>35.393999999999998</v>
      </c>
      <c r="BA13">
        <f>IF(T5_S=T5_50_TEMP,BF$16, IF(T5_S=T5_55_TEMP,BF$17,IF(T5_S=T5_60_TEMP,BF$18,IF(T5_S=T5_65_TEMP,BF$19, "ERROR"))))</f>
        <v>35.5</v>
      </c>
      <c r="BB13">
        <f>IF(T5_S=T5_50_TEMP,BG$16, IF(T5_S=T5_55_TEMP,BG$17,IF(T5_S=T5_60_TEMP,BG$18,IF(T5_S=T5_65_TEMP,BG$19, "ERROR"))))</f>
        <v>35.636000000000003</v>
      </c>
      <c r="BC13" s="19"/>
      <c r="BD13" s="187">
        <v>20</v>
      </c>
      <c r="BE13" s="187">
        <v>62.173000000000002</v>
      </c>
      <c r="BF13" s="187">
        <v>62.25</v>
      </c>
      <c r="BG13" s="187">
        <v>62.371000000000002</v>
      </c>
      <c r="BH13" s="187">
        <v>60.966999999999999</v>
      </c>
      <c r="BI13" s="187">
        <v>61.1</v>
      </c>
      <c r="BJ13" s="187">
        <v>61.170999999999999</v>
      </c>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row>
    <row r="14" spans="1:210" ht="17" thickBot="1" x14ac:dyDescent="0.25">
      <c r="A14" s="170"/>
      <c r="B14" s="163"/>
      <c r="C14" s="163"/>
      <c r="D14" s="163"/>
      <c r="E14" s="163"/>
      <c r="F14" s="163"/>
      <c r="G14" s="29"/>
      <c r="H14" s="29"/>
      <c r="I14" s="29"/>
      <c r="J14" s="29"/>
      <c r="K14" s="29"/>
      <c r="L14" s="29"/>
      <c r="M14" s="29"/>
      <c r="N14" s="29"/>
      <c r="O14" s="29"/>
      <c r="P14" s="29"/>
      <c r="Q14" s="29"/>
      <c r="R14" s="29"/>
      <c r="S14" s="29"/>
      <c r="T14" s="179" t="s">
        <v>299</v>
      </c>
      <c r="U14" s="182">
        <f>Table10[[#This Row],[MIN Temp]]</f>
        <v>59</v>
      </c>
      <c r="V14" s="182">
        <f>Table10[[#This Row],[TYP Temp]]</f>
        <v>60</v>
      </c>
      <c r="W14" s="182">
        <f>Table10[[#This Row],[MAX Temp]]</f>
        <v>61</v>
      </c>
      <c r="X14" s="180" t="s">
        <v>292</v>
      </c>
      <c r="Y14" s="30"/>
      <c r="Z14" s="18"/>
      <c r="AA14" s="19"/>
      <c r="AB14" s="19"/>
      <c r="AC14" s="20">
        <f>Table13[[#This Row],[Min]]</f>
        <v>34.305999999999997</v>
      </c>
      <c r="AD14" s="20">
        <f>INDEX(Table9[Vmin (%)], (MATCH(Table10[[#This Row],[Target (MIN)]], Table9[Vmin (%)],1)))</f>
        <v>33.954104994515497</v>
      </c>
      <c r="AE14" s="20">
        <f>INDEX(Table9[Vmin (%)], (MATCH(Table10[[#This Row],[Target (MIN)]], Table9[Vmin (%)],1)+1))</f>
        <v>34.59651322396364</v>
      </c>
      <c r="AF14" s="20">
        <f>ABS(Table10[[#This Row],[Target (MIN)]]-Table10[[#This Row],[1st VLOOK MIN]])</f>
        <v>0.3518950054845007</v>
      </c>
      <c r="AG14" s="20">
        <f>ABS(Table10[[#This Row],[Target (MIN)]]-Table10[[#This Row],[2nd VLOOK MIN]])</f>
        <v>0.29051322396364299</v>
      </c>
      <c r="AH14" s="20">
        <f>IF(Table10[[#This Row],[1st Diff]]&lt;Table10[[#This Row],[2nd Diff]],Table10[[#This Row],[1st VLOOK MIN]],Table10[[#This Row],[2nd VLOOK MIN]])</f>
        <v>34.59651322396364</v>
      </c>
      <c r="AI14" s="20">
        <f>INDEX(Table9[Temperature], (MATCH(Table10[[#This Row],[Closest VLOOK MIN]], Table9[Vmin (%)],1)))</f>
        <v>59</v>
      </c>
      <c r="AJ14" s="20">
        <f>Table13[[#This Row],[Typ]]</f>
        <v>34.375</v>
      </c>
      <c r="AK14" s="20">
        <f>INDEX(Table9[Vnom (%)], (MATCH(Table10[[#This Row],[Target (Typ)]], Table9[Vnom (%)],1)))</f>
        <v>33.790882824445816</v>
      </c>
      <c r="AL14" s="20">
        <f>INDEX(Table9[Vnom (%)], (MATCH(Table10[[#This Row],[Target (Typ)]], Table9[Vnom (%)],1)+1))</f>
        <v>34.431440161144813</v>
      </c>
      <c r="AM14" s="20">
        <f>ABS(Table10[[#This Row],[Target (Typ)]]-Table10[[#This Row],[1st VLOOK TYP]])</f>
        <v>0.58411717555418363</v>
      </c>
      <c r="AN14" s="20">
        <f>ABS(Table10[[#This Row],[Target (Typ)]]-Table10[[#This Row],[2nd VLOOK TYP]])</f>
        <v>5.6440161144813317E-2</v>
      </c>
      <c r="AO14" s="20">
        <f>IF(Table10[[#This Row],[1st Diff Typ]]&lt;Table10[[#This Row],[2nd Diff TYP]],Table10[[#This Row],[1st VLOOK TYP]],Table10[[#This Row],[2nd VLOOK TYP]])</f>
        <v>34.431440161144813</v>
      </c>
      <c r="AP14" s="20">
        <f>INDEX(Table9[Temperature], (MATCH(Table10[[#This Row],[Closest VLOOK TYP]], Table9[Vnom (%)],1)))</f>
        <v>60</v>
      </c>
      <c r="AQ14" s="20">
        <f>Table13[[#This Row],[Max]]</f>
        <v>34.546999999999997</v>
      </c>
      <c r="AR14" s="20">
        <f>INDEX(Table9[Vmax (%)], (MATCH(Table10[[#This Row],[Target (MAX)]], Table9[Vmax (%)],1)))</f>
        <v>34.271661254715148</v>
      </c>
      <c r="AS14" s="20">
        <f>INDEX(Table9[Vmax (%)], (MATCH(Table10[[#This Row],[Target (Typ)]], Table9[Vmax (%)],1)+1))</f>
        <v>34.907957843361622</v>
      </c>
      <c r="AT14" s="20">
        <f>ABS(Table10[[#This Row],[Target (MAX)]]-Table10[[#This Row],[1st VLOOK MAX]])</f>
        <v>0.27533874528484859</v>
      </c>
      <c r="AU14" s="20">
        <f>ABS(Table10[[#This Row],[Target (MAX)]]-Table10[[#This Row],[2nd VLOOK MAX]])</f>
        <v>0.36095784336162495</v>
      </c>
      <c r="AV14" s="20">
        <f>IF(Table10[[#This Row],[1st Diff MAX]]&lt;Table10[[#This Row],[2nd Diff MAX]],Table10[[#This Row],[1st VLOOK MAX]],Table10[[#This Row],[2nd VLOOK MAX]])</f>
        <v>34.271661254715148</v>
      </c>
      <c r="AW14" s="20">
        <f>INDEX(Table9[Temperature], (MATCH(Table10[[#This Row],[Closest VLOOK MAX]], Table9[Vmax (%)],1)))</f>
        <v>61</v>
      </c>
      <c r="AX14" s="19"/>
      <c r="AY14" t="s">
        <v>276</v>
      </c>
      <c r="AZ14">
        <f>IF(T5_S=T5_50_TEMP,BH$16, IF(T5_S=T5_55_TEMP,BH$17,IF(T5_S=T5_60_TEMP,BH$18,IF(T5_S=T5_65_TEMP,BH$19, "ERROR"))))</f>
        <v>34.305999999999997</v>
      </c>
      <c r="BA14">
        <f>IF(T5_S=T5_50_TEMP,BI$16, IF(T5_S=T5_55_TEMP,BI$17,IF(T5_S=T5_60_TEMP,BI$18,IF(T5_S=T5_65_TEMP,BI$19, "ERROR"))))</f>
        <v>34.375</v>
      </c>
      <c r="BB14">
        <f>IF(T5_S=T5_50_TEMP,BJ$16, IF(T5_S=T5_55_TEMP,BJ$17,IF(T5_S=T5_60_TEMP,BJ$18,IF(T5_S=T5_65_TEMP,BJ$19, "ERROR"))))</f>
        <v>34.546999999999997</v>
      </c>
      <c r="BC14" s="19"/>
      <c r="BD14">
        <v>40</v>
      </c>
      <c r="BE14">
        <v>49.634</v>
      </c>
      <c r="BF14">
        <v>49.7</v>
      </c>
      <c r="BG14">
        <v>49.838000000000001</v>
      </c>
      <c r="BH14">
        <v>48.390999999999998</v>
      </c>
      <c r="BI14">
        <v>48.4</v>
      </c>
      <c r="BJ14">
        <v>48.631999999999998</v>
      </c>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row>
    <row r="15" spans="1:210" ht="16" thickBot="1" x14ac:dyDescent="0.25">
      <c r="A15" s="234" t="s">
        <v>260</v>
      </c>
      <c r="B15" s="235"/>
      <c r="C15" s="235"/>
      <c r="D15" s="163"/>
      <c r="E15" s="167" t="s">
        <v>261</v>
      </c>
      <c r="F15" s="168" t="s">
        <v>262</v>
      </c>
      <c r="G15" s="169" t="s">
        <v>263</v>
      </c>
      <c r="H15" s="29"/>
      <c r="I15" s="29"/>
      <c r="J15" s="29"/>
      <c r="K15" s="29"/>
      <c r="L15" s="29"/>
      <c r="M15" s="29"/>
      <c r="N15" s="29"/>
      <c r="O15" s="29"/>
      <c r="P15" s="29"/>
      <c r="Q15" s="29"/>
      <c r="R15" s="29"/>
      <c r="S15" s="29"/>
      <c r="T15" s="29"/>
      <c r="U15" s="29"/>
      <c r="V15" s="29"/>
      <c r="W15" s="29"/>
      <c r="X15" s="29"/>
      <c r="Y15" s="30"/>
      <c r="Z15" s="18"/>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v>45</v>
      </c>
      <c r="BE15">
        <v>45.868000000000002</v>
      </c>
      <c r="BF15">
        <v>46.05</v>
      </c>
      <c r="BG15">
        <v>46.109000000000002</v>
      </c>
      <c r="BH15">
        <v>44.662999999999997</v>
      </c>
      <c r="BI15">
        <v>44.75</v>
      </c>
      <c r="BJ15">
        <v>44.904000000000003</v>
      </c>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row>
    <row r="16" spans="1:210" x14ac:dyDescent="0.2">
      <c r="A16" s="159"/>
      <c r="B16" s="160"/>
      <c r="C16" s="160"/>
      <c r="D16" s="37" t="s">
        <v>326</v>
      </c>
      <c r="E16" s="188">
        <f>F16*0.999</f>
        <v>5.2277581556681332</v>
      </c>
      <c r="F16" s="189">
        <f>IF($L$16&lt;$M$16,$J$16,$K$16)</f>
        <v>5.2329911468149479</v>
      </c>
      <c r="G16" s="184">
        <f>F16*1.001</f>
        <v>5.2382241379617627</v>
      </c>
      <c r="H16" s="132" t="s">
        <v>30</v>
      </c>
      <c r="I16" s="29"/>
      <c r="J16" s="29">
        <f>INDEX(stdres_0p1pct[Resistance], (MATCH($E$12*10^3, stdres_0p1pct[Resistance],1)))/10^3</f>
        <v>5.2329911468149479</v>
      </c>
      <c r="K16" s="29">
        <f>INDEX(stdres_0p1pct[Resistance], (MATCH($E$12*10^3, stdres_0p1pct[Resistance],1)+1))/10^3</f>
        <v>5.2961262986468043</v>
      </c>
      <c r="L16" s="29">
        <f>ABS($E$12-$J$16)</f>
        <v>1.0898905954316085E-2</v>
      </c>
      <c r="M16" s="29">
        <f>ABS($E$12-$K$16)</f>
        <v>5.2236245877540277E-2</v>
      </c>
      <c r="N16" s="29"/>
      <c r="O16" s="29"/>
      <c r="P16" s="29"/>
      <c r="Q16" s="29"/>
      <c r="R16" s="29"/>
      <c r="S16" s="29"/>
      <c r="T16" s="29"/>
      <c r="U16" s="29"/>
      <c r="V16" s="29"/>
      <c r="W16" s="29"/>
      <c r="X16" s="29"/>
      <c r="Y16" s="30"/>
      <c r="Z16" s="18"/>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v>50</v>
      </c>
      <c r="BE16">
        <v>42.338000000000001</v>
      </c>
      <c r="BF16">
        <v>42.5</v>
      </c>
      <c r="BG16">
        <v>42.622</v>
      </c>
      <c r="BH16">
        <v>41.174999999999997</v>
      </c>
      <c r="BI16">
        <v>41.2</v>
      </c>
      <c r="BJ16">
        <v>41.415999999999997</v>
      </c>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row>
    <row r="17" spans="1:210" ht="16" thickBot="1" x14ac:dyDescent="0.25">
      <c r="A17" s="161"/>
      <c r="B17" s="162"/>
      <c r="C17" s="162"/>
      <c r="D17" s="43" t="s">
        <v>327</v>
      </c>
      <c r="E17" s="190">
        <f>F17*0.999</f>
        <v>30.474773623767586</v>
      </c>
      <c r="F17" s="191">
        <f>IF($L$17&lt;$M$17,$J$17,$K$17)</f>
        <v>30.505278902670256</v>
      </c>
      <c r="G17" s="185">
        <f>F17*1.001</f>
        <v>30.535784181572922</v>
      </c>
      <c r="H17" s="115" t="s">
        <v>30</v>
      </c>
      <c r="I17" s="29"/>
      <c r="J17" s="29">
        <f>INDEX(stdres_0p1pct[Resistance], (MATCH($E$13*10^3, stdres_0p1pct[Resistance],1)))/10^3</f>
        <v>30.141625298773906</v>
      </c>
      <c r="K17" s="29">
        <f>INDEX(stdres_0p1pct[Resistance], (MATCH($E$13*10^3, stdres_0p1pct[Resistance],1)+1))/10^3</f>
        <v>30.505278902670256</v>
      </c>
      <c r="L17" s="29">
        <f>ABS($E$13-$J$17)</f>
        <v>0.22192164789132462</v>
      </c>
      <c r="M17" s="29">
        <f>ABS($E$13-$K$17)</f>
        <v>0.14173195600502453</v>
      </c>
      <c r="N17" s="29"/>
      <c r="O17" s="29"/>
      <c r="P17" s="29"/>
      <c r="Q17" s="29"/>
      <c r="R17" s="29"/>
      <c r="S17" s="29"/>
      <c r="T17" s="29"/>
      <c r="U17" s="29"/>
      <c r="V17" s="29"/>
      <c r="W17" s="29"/>
      <c r="X17" s="29"/>
      <c r="Y17" s="30"/>
      <c r="Z17" s="18"/>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v>55</v>
      </c>
      <c r="BE17">
        <v>38.856999999999999</v>
      </c>
      <c r="BF17">
        <v>39</v>
      </c>
      <c r="BG17">
        <v>39.134999999999998</v>
      </c>
      <c r="BH17">
        <v>37.651000000000003</v>
      </c>
      <c r="BI17">
        <v>37.700000000000003</v>
      </c>
      <c r="BJ17">
        <v>37.892000000000003</v>
      </c>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row>
    <row r="18" spans="1:210" ht="16" thickBot="1" x14ac:dyDescent="0.25">
      <c r="A18" s="170"/>
      <c r="B18" s="163"/>
      <c r="C18" s="163"/>
      <c r="D18" s="163"/>
      <c r="E18" s="163"/>
      <c r="F18" s="163"/>
      <c r="G18" s="29"/>
      <c r="H18" s="29"/>
      <c r="I18" s="29"/>
      <c r="J18" s="29"/>
      <c r="K18" s="29"/>
      <c r="L18" s="29"/>
      <c r="M18" s="29"/>
      <c r="N18" s="29"/>
      <c r="O18" s="29"/>
      <c r="P18" s="29"/>
      <c r="Q18" s="29"/>
      <c r="R18" s="29"/>
      <c r="S18" s="29"/>
      <c r="T18" s="29"/>
      <c r="U18" s="29"/>
      <c r="V18" s="29"/>
      <c r="W18" s="29"/>
      <c r="X18" s="29"/>
      <c r="Y18" s="30"/>
      <c r="Z18" s="18"/>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v>60</v>
      </c>
      <c r="BE18">
        <v>35.393999999999998</v>
      </c>
      <c r="BF18">
        <v>35.5</v>
      </c>
      <c r="BG18">
        <v>35.636000000000003</v>
      </c>
      <c r="BH18">
        <v>34.305999999999997</v>
      </c>
      <c r="BI18">
        <v>34.375</v>
      </c>
      <c r="BJ18">
        <v>34.546999999999997</v>
      </c>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row>
    <row r="19" spans="1:210" ht="18" thickBot="1" x14ac:dyDescent="0.3">
      <c r="A19" s="101" t="s">
        <v>277</v>
      </c>
      <c r="B19" s="203"/>
      <c r="C19" s="203"/>
      <c r="D19" s="175" t="s">
        <v>344</v>
      </c>
      <c r="E19" s="164" t="s">
        <v>261</v>
      </c>
      <c r="F19" s="165" t="s">
        <v>262</v>
      </c>
      <c r="G19" s="166" t="s">
        <v>263</v>
      </c>
      <c r="H19" s="114"/>
      <c r="I19" s="29"/>
      <c r="J19" s="29"/>
      <c r="K19" s="29"/>
      <c r="L19" s="29"/>
      <c r="M19" s="29"/>
      <c r="N19" s="29"/>
      <c r="O19" s="29"/>
      <c r="P19" s="29"/>
      <c r="Q19" s="29"/>
      <c r="R19" s="29"/>
      <c r="S19" s="29"/>
      <c r="T19" s="29"/>
      <c r="U19" s="29"/>
      <c r="V19" s="29"/>
      <c r="W19" s="29"/>
      <c r="X19" s="29"/>
      <c r="Y19" s="30"/>
      <c r="Z19" s="18"/>
      <c r="AA19" s="19"/>
      <c r="AB19" s="19"/>
      <c r="AC19" s="20" t="s">
        <v>290</v>
      </c>
      <c r="AD19" s="178" t="s">
        <v>287</v>
      </c>
      <c r="AE19" s="178" t="s">
        <v>288</v>
      </c>
      <c r="AF19" s="178" t="s">
        <v>289</v>
      </c>
      <c r="AG19" s="20" t="s">
        <v>279</v>
      </c>
      <c r="AH19" s="20" t="s">
        <v>280</v>
      </c>
      <c r="AI19" s="20" t="s">
        <v>281</v>
      </c>
      <c r="AJ19" s="178" t="s">
        <v>278</v>
      </c>
      <c r="AK19" s="178" t="s">
        <v>282</v>
      </c>
      <c r="AL19" s="178" t="s">
        <v>283</v>
      </c>
      <c r="AM19" s="20" t="s">
        <v>284</v>
      </c>
      <c r="AN19" s="20" t="s">
        <v>285</v>
      </c>
      <c r="AO19" s="20" t="s">
        <v>286</v>
      </c>
      <c r="AP19" s="19"/>
      <c r="AQ19" s="19"/>
      <c r="AR19" s="19"/>
      <c r="AS19" s="19"/>
      <c r="AT19" s="19"/>
      <c r="AU19" s="19"/>
      <c r="AV19" s="19"/>
      <c r="AW19" s="19"/>
      <c r="AX19" s="19"/>
      <c r="AY19" s="19"/>
      <c r="AZ19" s="19"/>
      <c r="BA19" s="19"/>
      <c r="BB19" s="19"/>
      <c r="BC19" s="19"/>
      <c r="BD19">
        <v>65</v>
      </c>
      <c r="BE19">
        <v>32.377000000000002</v>
      </c>
      <c r="BF19">
        <v>32.5</v>
      </c>
      <c r="BG19">
        <v>32.618000000000002</v>
      </c>
      <c r="BH19">
        <v>31.209</v>
      </c>
      <c r="BI19">
        <v>31.25</v>
      </c>
      <c r="BJ19">
        <v>31.405999999999999</v>
      </c>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row>
    <row r="20" spans="1:210" hidden="1" x14ac:dyDescent="0.2">
      <c r="A20" s="112">
        <v>110</v>
      </c>
      <c r="B20" s="160"/>
      <c r="C20" s="171" t="str">
        <f t="shared" ref="C20:C51" si="0">_xlfn.CONCAT("RTH at ",A20, " °C")</f>
        <v>RTH at 110 °C</v>
      </c>
      <c r="D20" s="192">
        <v>3.5</v>
      </c>
      <c r="E20" s="193">
        <v>0</v>
      </c>
      <c r="F20" s="194">
        <v>0</v>
      </c>
      <c r="G20" s="195">
        <v>0</v>
      </c>
      <c r="H20" s="132" t="s">
        <v>30</v>
      </c>
      <c r="I20" s="29"/>
      <c r="J20" s="29">
        <v>0.78510000000000002</v>
      </c>
      <c r="K20" s="29">
        <v>0.75760000000000005</v>
      </c>
      <c r="L20" s="29">
        <v>0.73080000000000001</v>
      </c>
      <c r="M20" s="29"/>
      <c r="N20" s="29"/>
      <c r="O20" s="29"/>
      <c r="P20" s="29"/>
      <c r="Q20" s="29"/>
      <c r="R20" s="29"/>
      <c r="S20" s="29"/>
      <c r="T20" s="29"/>
      <c r="U20" s="29"/>
      <c r="V20" s="29"/>
      <c r="W20" s="29"/>
      <c r="X20" s="29"/>
      <c r="Y20" s="30"/>
      <c r="Z20" s="18"/>
      <c r="AA20" s="19"/>
      <c r="AB20" s="19"/>
      <c r="AC20" s="20">
        <f t="shared" ref="AC20:AC51" si="1">A20</f>
        <v>110</v>
      </c>
      <c r="AD20" s="20">
        <f t="shared" ref="AD20:AD51" si="2">E20</f>
        <v>0</v>
      </c>
      <c r="AE20" s="20">
        <f t="shared" ref="AE20:AE51" si="3">F20</f>
        <v>0</v>
      </c>
      <c r="AF20" s="20">
        <f t="shared" ref="AF20:AF51" si="4">G20</f>
        <v>0</v>
      </c>
      <c r="AG20" s="20">
        <f>Table9[[#This Row],[RTH(min) (kΩ)]]*RT2_TH_MIN/(RT2_TH_MIN+Table9[[#This Row],[RTH(min) (kΩ)]])</f>
        <v>0</v>
      </c>
      <c r="AH20" s="20">
        <f>Table9[[#This Row],[RTH(nom) (kΩ)]]*RT2_TH_S/(RT2_TH_S+Table9[[#This Row],[RTH(nom) (kΩ)]])</f>
        <v>0</v>
      </c>
      <c r="AI20" s="20">
        <f>Table9[[#This Row],[RTH(max) (kΩ)]]*RT2_TH_S_MAX/(RT2_TH_S_MAX+Table9[[#This Row],[RTH(max) (kΩ)]])</f>
        <v>0</v>
      </c>
      <c r="AJ20" s="20">
        <f>Table9[[#This Row],[RLower(min) (kΩ)]]/(Table9[[#This Row],[RLower(min) (kΩ)]]+RT1_TH_S_MAX)*100</f>
        <v>0</v>
      </c>
      <c r="AK20" s="20">
        <f>Table9[[#This Row],[RLower(nom) (kΩ)]]/(Table9[[#This Row],[RLower(nom) (kΩ)]]+RT1_TH_S)*100</f>
        <v>0</v>
      </c>
      <c r="AL20" s="20">
        <f>Table9[[#This Row],[RLower(max) (kΩ)]]/(Table9[[#This Row],[RLower(max) (kΩ)]]+RT1_TH_S_MIN)*100</f>
        <v>0</v>
      </c>
      <c r="AM20" s="20">
        <f>IF(Table9[[#This Row],[Vmin (%)]]&lt;$BA$14, 0, IF(Table9[[#This Row],[Vmin (%)]]&lt;$BA$12, 4, IF(Table9[[#This Row],[Vmin (%)]]&lt;$BA$9, 3, IF(Table9[[#This Row],[Vmin (%)]]&lt;$BA$7, 2, 0))))</f>
        <v>0</v>
      </c>
      <c r="AN20" s="20">
        <f>IF(Table9[[#This Row],[Vmin (%)]]&lt;$BA$13, 0, IF(Table9[[#This Row],[Vmin (%)]]&lt;$BA$11, 4, IF(Table9[[#This Row],[Vmin (%)]]&lt;$BA$10, 3, IF(Table9[[#This Row],[Vmin (%)]]&lt;$BA$8, 2, 0))))</f>
        <v>0</v>
      </c>
      <c r="AO20" s="76" t="str">
        <f>IF(Table9[[#This Row],[Vmin (%)]]&lt;$BA$14, "Hot", IF(Table9[[#This Row],[Vmin (%)]]&lt;$BA$12, "Warm", IF(Table9[[#This Row],[Vmin (%)]]&lt;$BA$9, "Normal", IF(Table9[[#This Row],[Vmin (%)]]&lt;$BA$7, "Cool", "Cold"))))</f>
        <v>Hot</v>
      </c>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row>
    <row r="21" spans="1:210" hidden="1" x14ac:dyDescent="0.2">
      <c r="A21" s="113">
        <f>A20-1</f>
        <v>109</v>
      </c>
      <c r="B21" s="163"/>
      <c r="C21" s="172" t="str">
        <f t="shared" si="0"/>
        <v>RTH at 109 °C</v>
      </c>
      <c r="D21" s="196">
        <f>$D$20-(ROW(D21)-ROW($D$20))*($D$20-$D$105)/(ROW($D$105)-ROW($D$20))</f>
        <v>3.4705882352941178</v>
      </c>
      <c r="E21" s="197">
        <v>0</v>
      </c>
      <c r="F21" s="198">
        <v>0</v>
      </c>
      <c r="G21" s="199">
        <v>0</v>
      </c>
      <c r="H21" s="128" t="s">
        <v>30</v>
      </c>
      <c r="I21" s="29"/>
      <c r="J21" s="29">
        <v>0.8044</v>
      </c>
      <c r="K21" s="29">
        <v>0.77629999999999999</v>
      </c>
      <c r="L21" s="29">
        <v>0.74909999999999999</v>
      </c>
      <c r="M21" s="29"/>
      <c r="N21" s="29"/>
      <c r="O21" s="29"/>
      <c r="P21" s="29"/>
      <c r="Q21" s="29"/>
      <c r="R21" s="29"/>
      <c r="S21" s="29"/>
      <c r="T21" s="29"/>
      <c r="U21" s="29"/>
      <c r="V21" s="29"/>
      <c r="W21" s="29"/>
      <c r="X21" s="29"/>
      <c r="Y21" s="30"/>
      <c r="Z21" s="18"/>
      <c r="AA21" s="19"/>
      <c r="AB21" s="19"/>
      <c r="AC21" s="20">
        <f t="shared" si="1"/>
        <v>109</v>
      </c>
      <c r="AD21" s="20">
        <f t="shared" si="2"/>
        <v>0</v>
      </c>
      <c r="AE21" s="20">
        <f t="shared" si="3"/>
        <v>0</v>
      </c>
      <c r="AF21" s="20">
        <f t="shared" si="4"/>
        <v>0</v>
      </c>
      <c r="AG21" s="20">
        <f>Table9[[#This Row],[RTH(min) (kΩ)]]*RT2_TH_MIN/(RT2_TH_MIN+Table9[[#This Row],[RTH(min) (kΩ)]])</f>
        <v>0</v>
      </c>
      <c r="AH21" s="20">
        <f>Table9[[#This Row],[RTH(nom) (kΩ)]]*RT2_TH_S/(RT2_TH_S+Table9[[#This Row],[RTH(nom) (kΩ)]])</f>
        <v>0</v>
      </c>
      <c r="AI21" s="20">
        <f>Table9[[#This Row],[RTH(max) (kΩ)]]*RT2_TH_S_MAX/(RT2_TH_S_MAX+Table9[[#This Row],[RTH(max) (kΩ)]])</f>
        <v>0</v>
      </c>
      <c r="AJ21" s="20">
        <f>Table9[[#This Row],[RLower(min) (kΩ)]]/(Table9[[#This Row],[RLower(min) (kΩ)]]+RT1_TH_S_MAX)*100</f>
        <v>0</v>
      </c>
      <c r="AK21" s="20">
        <f>Table9[[#This Row],[RLower(nom) (kΩ)]]/(Table9[[#This Row],[RLower(nom) (kΩ)]]+RT1_TH_S)*100</f>
        <v>0</v>
      </c>
      <c r="AL21" s="20">
        <f>Table9[[#This Row],[RLower(max) (kΩ)]]/(Table9[[#This Row],[RLower(max) (kΩ)]]+RT1_TH_S_MIN)*100</f>
        <v>0</v>
      </c>
      <c r="AM21" s="20">
        <f>IF(Table9[[#This Row],[Vmin (%)]]&lt;$BA$14, 0, IF(Table9[[#This Row],[Vmin (%)]]&lt;$BA$12, 4, IF(Table9[[#This Row],[Vmin (%)]]&lt;$BA$9, 3, IF(Table9[[#This Row],[Vmin (%)]]&lt;$BA$7, 2, 0))))</f>
        <v>0</v>
      </c>
      <c r="AN21" s="20">
        <f>IF(Table9[[#This Row],[Vmin (%)]]&lt;$BA$13, 0, IF(Table9[[#This Row],[Vmin (%)]]&lt;$BA$11, 4, IF(Table9[[#This Row],[Vmin (%)]]&lt;$BA$10, 3, IF(Table9[[#This Row],[Vmin (%)]]&lt;$BA$8, 2, 0))))</f>
        <v>0</v>
      </c>
      <c r="AO21" s="76" t="str">
        <f>IF(Table9[[#This Row],[Vmin (%)]]&lt;$BA$14, "Hot", IF(Table9[[#This Row],[Vmin (%)]]&lt;$BA$12, "Warm", IF(Table9[[#This Row],[Vmin (%)]]&lt;$BA$9, "Normal", IF(Table9[[#This Row],[Vmin (%)]]&lt;$BA$7, "Cool", "Cold"))))</f>
        <v>Hot</v>
      </c>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row>
    <row r="22" spans="1:210" hidden="1" x14ac:dyDescent="0.2">
      <c r="A22" s="113">
        <f t="shared" ref="A22:A85" si="5">A21-1</f>
        <v>108</v>
      </c>
      <c r="B22" s="163"/>
      <c r="C22" s="172" t="str">
        <f t="shared" si="0"/>
        <v>RTH at 108 °C</v>
      </c>
      <c r="D22" s="196">
        <f>$D$20-(ROW(D22)-ROW($D$20))*($D$20-$D$105)/(ROW($D$105)-ROW($D$20))</f>
        <v>3.4411764705882355</v>
      </c>
      <c r="E22" s="197">
        <v>0</v>
      </c>
      <c r="F22" s="198">
        <v>0</v>
      </c>
      <c r="G22" s="199">
        <v>0</v>
      </c>
      <c r="H22" s="128" t="s">
        <v>30</v>
      </c>
      <c r="I22" s="29"/>
      <c r="J22" s="29">
        <v>0.82420000000000004</v>
      </c>
      <c r="K22" s="29">
        <v>0.79559999999999997</v>
      </c>
      <c r="L22" s="29">
        <v>0.76790000000000003</v>
      </c>
      <c r="M22" s="29"/>
      <c r="N22" s="29"/>
      <c r="O22" s="29"/>
      <c r="P22" s="29"/>
      <c r="Q22" s="29"/>
      <c r="R22" s="29"/>
      <c r="S22" s="29"/>
      <c r="T22" s="29"/>
      <c r="U22" s="29"/>
      <c r="V22" s="29"/>
      <c r="W22" s="29"/>
      <c r="X22" s="29"/>
      <c r="Y22" s="30"/>
      <c r="Z22" s="18"/>
      <c r="AA22" s="19"/>
      <c r="AB22" s="19"/>
      <c r="AC22" s="20">
        <f t="shared" si="1"/>
        <v>108</v>
      </c>
      <c r="AD22" s="20">
        <f t="shared" si="2"/>
        <v>0</v>
      </c>
      <c r="AE22" s="20">
        <f t="shared" si="3"/>
        <v>0</v>
      </c>
      <c r="AF22" s="20">
        <f t="shared" si="4"/>
        <v>0</v>
      </c>
      <c r="AG22" s="20">
        <f>Table9[[#This Row],[RTH(min) (kΩ)]]*RT2_TH_MIN/(RT2_TH_MIN+Table9[[#This Row],[RTH(min) (kΩ)]])</f>
        <v>0</v>
      </c>
      <c r="AH22" s="20">
        <f>Table9[[#This Row],[RTH(nom) (kΩ)]]*RT2_TH_S/(RT2_TH_S+Table9[[#This Row],[RTH(nom) (kΩ)]])</f>
        <v>0</v>
      </c>
      <c r="AI22" s="20">
        <f>Table9[[#This Row],[RTH(max) (kΩ)]]*RT2_TH_S_MAX/(RT2_TH_S_MAX+Table9[[#This Row],[RTH(max) (kΩ)]])</f>
        <v>0</v>
      </c>
      <c r="AJ22" s="20">
        <f>Table9[[#This Row],[RLower(min) (kΩ)]]/(Table9[[#This Row],[RLower(min) (kΩ)]]+RT1_TH_S_MAX)*100</f>
        <v>0</v>
      </c>
      <c r="AK22" s="20">
        <f>Table9[[#This Row],[RLower(nom) (kΩ)]]/(Table9[[#This Row],[RLower(nom) (kΩ)]]+RT1_TH_S)*100</f>
        <v>0</v>
      </c>
      <c r="AL22" s="20">
        <f>Table9[[#This Row],[RLower(max) (kΩ)]]/(Table9[[#This Row],[RLower(max) (kΩ)]]+RT1_TH_S_MIN)*100</f>
        <v>0</v>
      </c>
      <c r="AM22" s="20">
        <f>IF(Table9[[#This Row],[Vmin (%)]]&lt;$BA$14, 0, IF(Table9[[#This Row],[Vmin (%)]]&lt;$BA$12, 4, IF(Table9[[#This Row],[Vmin (%)]]&lt;$BA$9, 3, IF(Table9[[#This Row],[Vmin (%)]]&lt;$BA$7, 2, 0))))</f>
        <v>0</v>
      </c>
      <c r="AN22" s="20">
        <f>IF(Table9[[#This Row],[Vmin (%)]]&lt;$BA$13, 0, IF(Table9[[#This Row],[Vmin (%)]]&lt;$BA$11, 4, IF(Table9[[#This Row],[Vmin (%)]]&lt;$BA$10, 3, IF(Table9[[#This Row],[Vmin (%)]]&lt;$BA$8, 2, 0))))</f>
        <v>0</v>
      </c>
      <c r="AO22" s="76" t="str">
        <f>IF(Table9[[#This Row],[Vmin (%)]]&lt;$BA$14, "Hot", IF(Table9[[#This Row],[Vmin (%)]]&lt;$BA$12, "Warm", IF(Table9[[#This Row],[Vmin (%)]]&lt;$BA$9, "Normal", IF(Table9[[#This Row],[Vmin (%)]]&lt;$BA$7, "Cool", "Cold"))))</f>
        <v>Hot</v>
      </c>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row>
    <row r="23" spans="1:210" hidden="1" x14ac:dyDescent="0.2">
      <c r="A23" s="113">
        <f t="shared" si="5"/>
        <v>107</v>
      </c>
      <c r="B23" s="163"/>
      <c r="C23" s="172" t="str">
        <f t="shared" si="0"/>
        <v>RTH at 107 °C</v>
      </c>
      <c r="D23" s="196">
        <f t="shared" ref="D23:D85" si="6">$D$20-(ROW(D23)-ROW($D$20))*($D$20-$D$105)/(ROW($D$105)-ROW($D$20))</f>
        <v>3.4117647058823528</v>
      </c>
      <c r="E23" s="197">
        <v>0</v>
      </c>
      <c r="F23" s="198">
        <v>0</v>
      </c>
      <c r="G23" s="199">
        <v>0</v>
      </c>
      <c r="H23" s="128" t="s">
        <v>30</v>
      </c>
      <c r="I23" s="29"/>
      <c r="J23" s="29">
        <v>0.84460000000000002</v>
      </c>
      <c r="K23" s="29">
        <v>0.8155</v>
      </c>
      <c r="L23" s="29">
        <v>0.7873</v>
      </c>
      <c r="M23" s="29"/>
      <c r="N23" s="29"/>
      <c r="O23" s="29"/>
      <c r="P23" s="29"/>
      <c r="Q23" s="29"/>
      <c r="R23" s="29"/>
      <c r="S23" s="29"/>
      <c r="T23" s="29"/>
      <c r="U23" s="29"/>
      <c r="V23" s="29"/>
      <c r="W23" s="29"/>
      <c r="X23" s="29"/>
      <c r="Y23" s="30"/>
      <c r="Z23" s="18"/>
      <c r="AA23" s="19"/>
      <c r="AB23" s="19"/>
      <c r="AC23" s="20">
        <f t="shared" si="1"/>
        <v>107</v>
      </c>
      <c r="AD23" s="20">
        <f t="shared" si="2"/>
        <v>0</v>
      </c>
      <c r="AE23" s="20">
        <f t="shared" si="3"/>
        <v>0</v>
      </c>
      <c r="AF23" s="20">
        <f t="shared" si="4"/>
        <v>0</v>
      </c>
      <c r="AG23" s="20">
        <f>Table9[[#This Row],[RTH(min) (kΩ)]]*RT2_TH_MIN/(RT2_TH_MIN+Table9[[#This Row],[RTH(min) (kΩ)]])</f>
        <v>0</v>
      </c>
      <c r="AH23" s="20">
        <f>Table9[[#This Row],[RTH(nom) (kΩ)]]*RT2_TH_S/(RT2_TH_S+Table9[[#This Row],[RTH(nom) (kΩ)]])</f>
        <v>0</v>
      </c>
      <c r="AI23" s="20">
        <f>Table9[[#This Row],[RTH(max) (kΩ)]]*RT2_TH_S_MAX/(RT2_TH_S_MAX+Table9[[#This Row],[RTH(max) (kΩ)]])</f>
        <v>0</v>
      </c>
      <c r="AJ23" s="20">
        <f>Table9[[#This Row],[RLower(min) (kΩ)]]/(Table9[[#This Row],[RLower(min) (kΩ)]]+RT1_TH_S_MAX)*100</f>
        <v>0</v>
      </c>
      <c r="AK23" s="20">
        <f>Table9[[#This Row],[RLower(nom) (kΩ)]]/(Table9[[#This Row],[RLower(nom) (kΩ)]]+RT1_TH_S)*100</f>
        <v>0</v>
      </c>
      <c r="AL23" s="20">
        <f>Table9[[#This Row],[RLower(max) (kΩ)]]/(Table9[[#This Row],[RLower(max) (kΩ)]]+RT1_TH_S_MIN)*100</f>
        <v>0</v>
      </c>
      <c r="AM23" s="20">
        <f>IF(Table9[[#This Row],[Vmin (%)]]&lt;$BA$14, 0, IF(Table9[[#This Row],[Vmin (%)]]&lt;$BA$12, 4, IF(Table9[[#This Row],[Vmin (%)]]&lt;$BA$9, 3, IF(Table9[[#This Row],[Vmin (%)]]&lt;$BA$7, 2, 0))))</f>
        <v>0</v>
      </c>
      <c r="AN23" s="20">
        <f>IF(Table9[[#This Row],[Vmin (%)]]&lt;$BA$13, 0, IF(Table9[[#This Row],[Vmin (%)]]&lt;$BA$11, 4, IF(Table9[[#This Row],[Vmin (%)]]&lt;$BA$10, 3, IF(Table9[[#This Row],[Vmin (%)]]&lt;$BA$8, 2, 0))))</f>
        <v>0</v>
      </c>
      <c r="AO23" s="76" t="str">
        <f>IF(Table9[[#This Row],[Vmin (%)]]&lt;$BA$14, "Hot", IF(Table9[[#This Row],[Vmin (%)]]&lt;$BA$12, "Warm", IF(Table9[[#This Row],[Vmin (%)]]&lt;$BA$9, "Normal", IF(Table9[[#This Row],[Vmin (%)]]&lt;$BA$7, "Cool", "Cold"))))</f>
        <v>Hot</v>
      </c>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row>
    <row r="24" spans="1:210" hidden="1" x14ac:dyDescent="0.2">
      <c r="A24" s="113">
        <f t="shared" si="5"/>
        <v>106</v>
      </c>
      <c r="B24" s="163"/>
      <c r="C24" s="172" t="str">
        <f t="shared" si="0"/>
        <v>RTH at 106 °C</v>
      </c>
      <c r="D24" s="196">
        <f t="shared" si="6"/>
        <v>3.3823529411764706</v>
      </c>
      <c r="E24" s="197">
        <v>0</v>
      </c>
      <c r="F24" s="198">
        <v>0</v>
      </c>
      <c r="G24" s="199">
        <v>0</v>
      </c>
      <c r="H24" s="128" t="s">
        <v>30</v>
      </c>
      <c r="I24" s="29"/>
      <c r="J24" s="29">
        <v>0.86560000000000004</v>
      </c>
      <c r="K24" s="29">
        <v>0.83599999999999997</v>
      </c>
      <c r="L24" s="29">
        <v>0.80730000000000002</v>
      </c>
      <c r="M24" s="29"/>
      <c r="N24" s="29"/>
      <c r="O24" s="29"/>
      <c r="P24" s="29"/>
      <c r="Q24" s="29"/>
      <c r="R24" s="29"/>
      <c r="S24" s="29"/>
      <c r="T24" s="29"/>
      <c r="U24" s="29"/>
      <c r="V24" s="29"/>
      <c r="W24" s="29"/>
      <c r="X24" s="29"/>
      <c r="Y24" s="30"/>
      <c r="Z24" s="18"/>
      <c r="AA24" s="19"/>
      <c r="AB24" s="19"/>
      <c r="AC24" s="20">
        <f t="shared" si="1"/>
        <v>106</v>
      </c>
      <c r="AD24" s="20">
        <f t="shared" si="2"/>
        <v>0</v>
      </c>
      <c r="AE24" s="20">
        <f t="shared" si="3"/>
        <v>0</v>
      </c>
      <c r="AF24" s="20">
        <f t="shared" si="4"/>
        <v>0</v>
      </c>
      <c r="AG24" s="20">
        <f>Table9[[#This Row],[RTH(min) (kΩ)]]*RT2_TH_MIN/(RT2_TH_MIN+Table9[[#This Row],[RTH(min) (kΩ)]])</f>
        <v>0</v>
      </c>
      <c r="AH24" s="20">
        <f>Table9[[#This Row],[RTH(nom) (kΩ)]]*RT2_TH_S/(RT2_TH_S+Table9[[#This Row],[RTH(nom) (kΩ)]])</f>
        <v>0</v>
      </c>
      <c r="AI24" s="20">
        <f>Table9[[#This Row],[RTH(max) (kΩ)]]*RT2_TH_S_MAX/(RT2_TH_S_MAX+Table9[[#This Row],[RTH(max) (kΩ)]])</f>
        <v>0</v>
      </c>
      <c r="AJ24" s="20">
        <f>Table9[[#This Row],[RLower(min) (kΩ)]]/(Table9[[#This Row],[RLower(min) (kΩ)]]+RT1_TH_S_MAX)*100</f>
        <v>0</v>
      </c>
      <c r="AK24" s="20">
        <f>Table9[[#This Row],[RLower(nom) (kΩ)]]/(Table9[[#This Row],[RLower(nom) (kΩ)]]+RT1_TH_S)*100</f>
        <v>0</v>
      </c>
      <c r="AL24" s="20">
        <f>Table9[[#This Row],[RLower(max) (kΩ)]]/(Table9[[#This Row],[RLower(max) (kΩ)]]+RT1_TH_S_MIN)*100</f>
        <v>0</v>
      </c>
      <c r="AM24" s="20">
        <f>IF(Table9[[#This Row],[Vmin (%)]]&lt;$BA$14, 0, IF(Table9[[#This Row],[Vmin (%)]]&lt;$BA$12, 4, IF(Table9[[#This Row],[Vmin (%)]]&lt;$BA$9, 3, IF(Table9[[#This Row],[Vmin (%)]]&lt;$BA$7, 2, 0))))</f>
        <v>0</v>
      </c>
      <c r="AN24" s="20">
        <f>IF(Table9[[#This Row],[Vmin (%)]]&lt;$BA$13, 0, IF(Table9[[#This Row],[Vmin (%)]]&lt;$BA$11, 4, IF(Table9[[#This Row],[Vmin (%)]]&lt;$BA$10, 3, IF(Table9[[#This Row],[Vmin (%)]]&lt;$BA$8, 2, 0))))</f>
        <v>0</v>
      </c>
      <c r="AO24" s="76" t="str">
        <f>IF(Table9[[#This Row],[Vmin (%)]]&lt;$BA$14, "Hot", IF(Table9[[#This Row],[Vmin (%)]]&lt;$BA$12, "Warm", IF(Table9[[#This Row],[Vmin (%)]]&lt;$BA$9, "Normal", IF(Table9[[#This Row],[Vmin (%)]]&lt;$BA$7, "Cool", "Cold"))))</f>
        <v>Hot</v>
      </c>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row>
    <row r="25" spans="1:210" hidden="1" x14ac:dyDescent="0.2">
      <c r="A25" s="113">
        <f t="shared" si="5"/>
        <v>105</v>
      </c>
      <c r="B25" s="163"/>
      <c r="C25" s="172" t="str">
        <f t="shared" si="0"/>
        <v>RTH at 105 °C</v>
      </c>
      <c r="D25" s="196">
        <f t="shared" si="6"/>
        <v>3.3529411764705883</v>
      </c>
      <c r="E25" s="197">
        <v>0</v>
      </c>
      <c r="F25" s="198">
        <v>0</v>
      </c>
      <c r="G25" s="199">
        <v>0</v>
      </c>
      <c r="H25" s="128" t="s">
        <v>30</v>
      </c>
      <c r="I25" s="29"/>
      <c r="J25" s="29">
        <v>0.88729999999999998</v>
      </c>
      <c r="K25" s="29">
        <v>0.85719999999999996</v>
      </c>
      <c r="L25" s="29">
        <v>0.82789999999999997</v>
      </c>
      <c r="M25" s="29"/>
      <c r="N25" s="29"/>
      <c r="O25" s="29"/>
      <c r="P25" s="29"/>
      <c r="Q25" s="29"/>
      <c r="R25" s="29"/>
      <c r="S25" s="29"/>
      <c r="T25" s="29"/>
      <c r="U25" s="29"/>
      <c r="V25" s="29"/>
      <c r="W25" s="29"/>
      <c r="X25" s="29"/>
      <c r="Y25" s="30"/>
      <c r="Z25" s="18"/>
      <c r="AA25" s="19"/>
      <c r="AB25" s="19"/>
      <c r="AC25" s="20">
        <f t="shared" si="1"/>
        <v>105</v>
      </c>
      <c r="AD25" s="20">
        <f t="shared" si="2"/>
        <v>0</v>
      </c>
      <c r="AE25" s="20">
        <f t="shared" si="3"/>
        <v>0</v>
      </c>
      <c r="AF25" s="20">
        <f t="shared" si="4"/>
        <v>0</v>
      </c>
      <c r="AG25" s="20">
        <f>Table9[[#This Row],[RTH(min) (kΩ)]]*RT2_TH_MIN/(RT2_TH_MIN+Table9[[#This Row],[RTH(min) (kΩ)]])</f>
        <v>0</v>
      </c>
      <c r="AH25" s="20">
        <f>Table9[[#This Row],[RTH(nom) (kΩ)]]*RT2_TH_S/(RT2_TH_S+Table9[[#This Row],[RTH(nom) (kΩ)]])</f>
        <v>0</v>
      </c>
      <c r="AI25" s="20">
        <f>Table9[[#This Row],[RTH(max) (kΩ)]]*RT2_TH_S_MAX/(RT2_TH_S_MAX+Table9[[#This Row],[RTH(max) (kΩ)]])</f>
        <v>0</v>
      </c>
      <c r="AJ25" s="20">
        <f>Table9[[#This Row],[RLower(min) (kΩ)]]/(Table9[[#This Row],[RLower(min) (kΩ)]]+RT1_TH_S_MAX)*100</f>
        <v>0</v>
      </c>
      <c r="AK25" s="20">
        <f>Table9[[#This Row],[RLower(nom) (kΩ)]]/(Table9[[#This Row],[RLower(nom) (kΩ)]]+RT1_TH_S)*100</f>
        <v>0</v>
      </c>
      <c r="AL25" s="20">
        <f>Table9[[#This Row],[RLower(max) (kΩ)]]/(Table9[[#This Row],[RLower(max) (kΩ)]]+RT1_TH_S_MIN)*100</f>
        <v>0</v>
      </c>
      <c r="AM25" s="20">
        <f>IF(Table9[[#This Row],[Vmin (%)]]&lt;$BA$14, 0, IF(Table9[[#This Row],[Vmin (%)]]&lt;$BA$12, 4, IF(Table9[[#This Row],[Vmin (%)]]&lt;$BA$9, 3, IF(Table9[[#This Row],[Vmin (%)]]&lt;$BA$7, 2, 0))))</f>
        <v>0</v>
      </c>
      <c r="AN25" s="20">
        <f>IF(Table9[[#This Row],[Vmin (%)]]&lt;$BA$13, 0, IF(Table9[[#This Row],[Vmin (%)]]&lt;$BA$11, 4, IF(Table9[[#This Row],[Vmin (%)]]&lt;$BA$10, 3, IF(Table9[[#This Row],[Vmin (%)]]&lt;$BA$8, 2, 0))))</f>
        <v>0</v>
      </c>
      <c r="AO25" s="76" t="str">
        <f>IF(Table9[[#This Row],[Vmin (%)]]&lt;$BA$14, "Hot", IF(Table9[[#This Row],[Vmin (%)]]&lt;$BA$12, "Warm", IF(Table9[[#This Row],[Vmin (%)]]&lt;$BA$9, "Normal", IF(Table9[[#This Row],[Vmin (%)]]&lt;$BA$7, "Cool", "Cold"))))</f>
        <v>Hot</v>
      </c>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row>
    <row r="26" spans="1:210" hidden="1" x14ac:dyDescent="0.2">
      <c r="A26" s="113">
        <f t="shared" si="5"/>
        <v>104</v>
      </c>
      <c r="B26" s="163"/>
      <c r="C26" s="172" t="str">
        <f t="shared" si="0"/>
        <v>RTH at 104 °C</v>
      </c>
      <c r="D26" s="196">
        <f>$D$20-(ROW(D26)-ROW($D$20))*($D$20-$D$105)/(ROW($D$105)-ROW($D$20))</f>
        <v>3.3235294117647061</v>
      </c>
      <c r="E26" s="197">
        <v>0</v>
      </c>
      <c r="F26" s="198">
        <v>0</v>
      </c>
      <c r="G26" s="199">
        <v>0</v>
      </c>
      <c r="H26" s="128" t="s">
        <v>30</v>
      </c>
      <c r="I26" s="29"/>
      <c r="J26" s="29">
        <v>0.90959999999999996</v>
      </c>
      <c r="K26" s="29">
        <v>0.87890000000000001</v>
      </c>
      <c r="L26" s="29">
        <v>0.84919999999999995</v>
      </c>
      <c r="M26" s="29"/>
      <c r="N26" s="29"/>
      <c r="O26" s="29"/>
      <c r="P26" s="29"/>
      <c r="Q26" s="29"/>
      <c r="R26" s="29"/>
      <c r="S26" s="29"/>
      <c r="T26" s="29"/>
      <c r="U26" s="29"/>
      <c r="V26" s="29"/>
      <c r="W26" s="29"/>
      <c r="X26" s="29"/>
      <c r="Y26" s="30"/>
      <c r="Z26" s="18"/>
      <c r="AA26" s="19"/>
      <c r="AB26" s="19"/>
      <c r="AC26" s="20">
        <f t="shared" si="1"/>
        <v>104</v>
      </c>
      <c r="AD26" s="20">
        <f t="shared" si="2"/>
        <v>0</v>
      </c>
      <c r="AE26" s="20">
        <f t="shared" si="3"/>
        <v>0</v>
      </c>
      <c r="AF26" s="20">
        <f t="shared" si="4"/>
        <v>0</v>
      </c>
      <c r="AG26" s="20">
        <f>Table9[[#This Row],[RTH(min) (kΩ)]]*RT2_TH_MIN/(RT2_TH_MIN+Table9[[#This Row],[RTH(min) (kΩ)]])</f>
        <v>0</v>
      </c>
      <c r="AH26" s="20">
        <f>Table9[[#This Row],[RTH(nom) (kΩ)]]*RT2_TH_S/(RT2_TH_S+Table9[[#This Row],[RTH(nom) (kΩ)]])</f>
        <v>0</v>
      </c>
      <c r="AI26" s="20">
        <f>Table9[[#This Row],[RTH(max) (kΩ)]]*RT2_TH_S_MAX/(RT2_TH_S_MAX+Table9[[#This Row],[RTH(max) (kΩ)]])</f>
        <v>0</v>
      </c>
      <c r="AJ26" s="20">
        <f>Table9[[#This Row],[RLower(min) (kΩ)]]/(Table9[[#This Row],[RLower(min) (kΩ)]]+RT1_TH_S_MAX)*100</f>
        <v>0</v>
      </c>
      <c r="AK26" s="20">
        <f>Table9[[#This Row],[RLower(nom) (kΩ)]]/(Table9[[#This Row],[RLower(nom) (kΩ)]]+RT1_TH_S)*100</f>
        <v>0</v>
      </c>
      <c r="AL26" s="20">
        <f>Table9[[#This Row],[RLower(max) (kΩ)]]/(Table9[[#This Row],[RLower(max) (kΩ)]]+RT1_TH_S_MIN)*100</f>
        <v>0</v>
      </c>
      <c r="AM26" s="20">
        <f>IF(Table9[[#This Row],[Vmin (%)]]&lt;$BA$14, 0, IF(Table9[[#This Row],[Vmin (%)]]&lt;$BA$12, 4, IF(Table9[[#This Row],[Vmin (%)]]&lt;$BA$9, 3, IF(Table9[[#This Row],[Vmin (%)]]&lt;$BA$7, 2, 0))))</f>
        <v>0</v>
      </c>
      <c r="AN26" s="20">
        <f>IF(Table9[[#This Row],[Vmin (%)]]&lt;$BA$13, 0, IF(Table9[[#This Row],[Vmin (%)]]&lt;$BA$11, 4, IF(Table9[[#This Row],[Vmin (%)]]&lt;$BA$10, 3, IF(Table9[[#This Row],[Vmin (%)]]&lt;$BA$8, 2, 0))))</f>
        <v>0</v>
      </c>
      <c r="AO26" s="76" t="str">
        <f>IF(Table9[[#This Row],[Vmin (%)]]&lt;$BA$14, "Hot", IF(Table9[[#This Row],[Vmin (%)]]&lt;$BA$12, "Warm", IF(Table9[[#This Row],[Vmin (%)]]&lt;$BA$9, "Normal", IF(Table9[[#This Row],[Vmin (%)]]&lt;$BA$7, "Cool", "Cold"))))</f>
        <v>Hot</v>
      </c>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row>
    <row r="27" spans="1:210" hidden="1" x14ac:dyDescent="0.2">
      <c r="A27" s="113">
        <f t="shared" si="5"/>
        <v>103</v>
      </c>
      <c r="B27" s="163"/>
      <c r="C27" s="172" t="str">
        <f t="shared" si="0"/>
        <v>RTH at 103 °C</v>
      </c>
      <c r="D27" s="196">
        <f t="shared" si="6"/>
        <v>3.2941176470588234</v>
      </c>
      <c r="E27" s="197">
        <v>0</v>
      </c>
      <c r="F27" s="198">
        <v>0</v>
      </c>
      <c r="G27" s="199">
        <v>0</v>
      </c>
      <c r="H27" s="128" t="s">
        <v>30</v>
      </c>
      <c r="I27" s="29"/>
      <c r="J27" s="29">
        <v>0.93259999999999998</v>
      </c>
      <c r="K27" s="29">
        <v>0.90139999999999998</v>
      </c>
      <c r="L27" s="29">
        <v>0.87109999999999999</v>
      </c>
      <c r="M27" s="29"/>
      <c r="N27" s="29"/>
      <c r="O27" s="29"/>
      <c r="P27" s="29"/>
      <c r="Q27" s="29"/>
      <c r="R27" s="29"/>
      <c r="S27" s="29"/>
      <c r="T27" s="29"/>
      <c r="U27" s="29"/>
      <c r="V27" s="29"/>
      <c r="W27" s="29"/>
      <c r="X27" s="29"/>
      <c r="Y27" s="30"/>
      <c r="Z27" s="18"/>
      <c r="AA27" s="19"/>
      <c r="AB27" s="19"/>
      <c r="AC27" s="20">
        <f t="shared" si="1"/>
        <v>103</v>
      </c>
      <c r="AD27" s="20">
        <f t="shared" si="2"/>
        <v>0</v>
      </c>
      <c r="AE27" s="20">
        <f t="shared" si="3"/>
        <v>0</v>
      </c>
      <c r="AF27" s="20">
        <f t="shared" si="4"/>
        <v>0</v>
      </c>
      <c r="AG27" s="20">
        <f>Table9[[#This Row],[RTH(min) (kΩ)]]*RT2_TH_MIN/(RT2_TH_MIN+Table9[[#This Row],[RTH(min) (kΩ)]])</f>
        <v>0</v>
      </c>
      <c r="AH27" s="20">
        <f>Table9[[#This Row],[RTH(nom) (kΩ)]]*RT2_TH_S/(RT2_TH_S+Table9[[#This Row],[RTH(nom) (kΩ)]])</f>
        <v>0</v>
      </c>
      <c r="AI27" s="20">
        <f>Table9[[#This Row],[RTH(max) (kΩ)]]*RT2_TH_S_MAX/(RT2_TH_S_MAX+Table9[[#This Row],[RTH(max) (kΩ)]])</f>
        <v>0</v>
      </c>
      <c r="AJ27" s="20">
        <f>Table9[[#This Row],[RLower(min) (kΩ)]]/(Table9[[#This Row],[RLower(min) (kΩ)]]+RT1_TH_S_MAX)*100</f>
        <v>0</v>
      </c>
      <c r="AK27" s="20">
        <f>Table9[[#This Row],[RLower(nom) (kΩ)]]/(Table9[[#This Row],[RLower(nom) (kΩ)]]+RT1_TH_S)*100</f>
        <v>0</v>
      </c>
      <c r="AL27" s="20">
        <f>Table9[[#This Row],[RLower(max) (kΩ)]]/(Table9[[#This Row],[RLower(max) (kΩ)]]+RT1_TH_S_MIN)*100</f>
        <v>0</v>
      </c>
      <c r="AM27" s="20">
        <f>IF(Table9[[#This Row],[Vmin (%)]]&lt;$BA$14, 0, IF(Table9[[#This Row],[Vmin (%)]]&lt;$BA$12, 4, IF(Table9[[#This Row],[Vmin (%)]]&lt;$BA$9, 3, IF(Table9[[#This Row],[Vmin (%)]]&lt;$BA$7, 2, 0))))</f>
        <v>0</v>
      </c>
      <c r="AN27" s="20">
        <f>IF(Table9[[#This Row],[Vmin (%)]]&lt;$BA$13, 0, IF(Table9[[#This Row],[Vmin (%)]]&lt;$BA$11, 4, IF(Table9[[#This Row],[Vmin (%)]]&lt;$BA$10, 3, IF(Table9[[#This Row],[Vmin (%)]]&lt;$BA$8, 2, 0))))</f>
        <v>0</v>
      </c>
      <c r="AO27" s="76" t="str">
        <f>IF(Table9[[#This Row],[Vmin (%)]]&lt;$BA$14, "Hot", IF(Table9[[#This Row],[Vmin (%)]]&lt;$BA$12, "Warm", IF(Table9[[#This Row],[Vmin (%)]]&lt;$BA$9, "Normal", IF(Table9[[#This Row],[Vmin (%)]]&lt;$BA$7, "Cool", "Cold"))))</f>
        <v>Hot</v>
      </c>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row>
    <row r="28" spans="1:210" hidden="1" x14ac:dyDescent="0.2">
      <c r="A28" s="113">
        <f t="shared" si="5"/>
        <v>102</v>
      </c>
      <c r="B28" s="163"/>
      <c r="C28" s="172" t="str">
        <f t="shared" si="0"/>
        <v>RTH at 102 °C</v>
      </c>
      <c r="D28" s="196">
        <f t="shared" si="6"/>
        <v>3.2647058823529411</v>
      </c>
      <c r="E28" s="197">
        <v>0</v>
      </c>
      <c r="F28" s="198">
        <v>0</v>
      </c>
      <c r="G28" s="199">
        <v>0</v>
      </c>
      <c r="H28" s="128" t="s">
        <v>30</v>
      </c>
      <c r="I28" s="29"/>
      <c r="J28" s="29">
        <v>0.95630000000000004</v>
      </c>
      <c r="K28" s="29">
        <v>0.92459999999999998</v>
      </c>
      <c r="L28" s="29">
        <v>0.89370000000000005</v>
      </c>
      <c r="M28" s="29"/>
      <c r="N28" s="29"/>
      <c r="O28" s="29"/>
      <c r="P28" s="29"/>
      <c r="Q28" s="29"/>
      <c r="R28" s="29"/>
      <c r="S28" s="29"/>
      <c r="T28" s="29"/>
      <c r="U28" s="29"/>
      <c r="V28" s="29"/>
      <c r="W28" s="29"/>
      <c r="X28" s="29"/>
      <c r="Y28" s="30"/>
      <c r="Z28" s="18"/>
      <c r="AA28" s="19"/>
      <c r="AB28" s="19"/>
      <c r="AC28" s="20">
        <f t="shared" si="1"/>
        <v>102</v>
      </c>
      <c r="AD28" s="20">
        <f t="shared" si="2"/>
        <v>0</v>
      </c>
      <c r="AE28" s="20">
        <f t="shared" si="3"/>
        <v>0</v>
      </c>
      <c r="AF28" s="20">
        <f t="shared" si="4"/>
        <v>0</v>
      </c>
      <c r="AG28" s="20">
        <f>Table9[[#This Row],[RTH(min) (kΩ)]]*RT2_TH_MIN/(RT2_TH_MIN+Table9[[#This Row],[RTH(min) (kΩ)]])</f>
        <v>0</v>
      </c>
      <c r="AH28" s="20">
        <f>Table9[[#This Row],[RTH(nom) (kΩ)]]*RT2_TH_S/(RT2_TH_S+Table9[[#This Row],[RTH(nom) (kΩ)]])</f>
        <v>0</v>
      </c>
      <c r="AI28" s="20">
        <f>Table9[[#This Row],[RTH(max) (kΩ)]]*RT2_TH_S_MAX/(RT2_TH_S_MAX+Table9[[#This Row],[RTH(max) (kΩ)]])</f>
        <v>0</v>
      </c>
      <c r="AJ28" s="20">
        <f>Table9[[#This Row],[RLower(min) (kΩ)]]/(Table9[[#This Row],[RLower(min) (kΩ)]]+RT1_TH_S_MAX)*100</f>
        <v>0</v>
      </c>
      <c r="AK28" s="20">
        <f>Table9[[#This Row],[RLower(nom) (kΩ)]]/(Table9[[#This Row],[RLower(nom) (kΩ)]]+RT1_TH_S)*100</f>
        <v>0</v>
      </c>
      <c r="AL28" s="20">
        <f>Table9[[#This Row],[RLower(max) (kΩ)]]/(Table9[[#This Row],[RLower(max) (kΩ)]]+RT1_TH_S_MIN)*100</f>
        <v>0</v>
      </c>
      <c r="AM28" s="20">
        <f>IF(Table9[[#This Row],[Vmin (%)]]&lt;$BA$14, 0, IF(Table9[[#This Row],[Vmin (%)]]&lt;$BA$12, 4, IF(Table9[[#This Row],[Vmin (%)]]&lt;$BA$9, 3, IF(Table9[[#This Row],[Vmin (%)]]&lt;$BA$7, 2, 0))))</f>
        <v>0</v>
      </c>
      <c r="AN28" s="20">
        <f>IF(Table9[[#This Row],[Vmin (%)]]&lt;$BA$13, 0, IF(Table9[[#This Row],[Vmin (%)]]&lt;$BA$11, 4, IF(Table9[[#This Row],[Vmin (%)]]&lt;$BA$10, 3, IF(Table9[[#This Row],[Vmin (%)]]&lt;$BA$8, 2, 0))))</f>
        <v>0</v>
      </c>
      <c r="AO28" s="76" t="str">
        <f>IF(Table9[[#This Row],[Vmin (%)]]&lt;$BA$14, "Hot", IF(Table9[[#This Row],[Vmin (%)]]&lt;$BA$12, "Warm", IF(Table9[[#This Row],[Vmin (%)]]&lt;$BA$9, "Normal", IF(Table9[[#This Row],[Vmin (%)]]&lt;$BA$7, "Cool", "Cold"))))</f>
        <v>Hot</v>
      </c>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row>
    <row r="29" spans="1:210" hidden="1" x14ac:dyDescent="0.2">
      <c r="A29" s="113">
        <f t="shared" si="5"/>
        <v>101</v>
      </c>
      <c r="B29" s="163"/>
      <c r="C29" s="172" t="str">
        <f t="shared" si="0"/>
        <v>RTH at 101 °C</v>
      </c>
      <c r="D29" s="196">
        <f t="shared" si="6"/>
        <v>3.2352941176470589</v>
      </c>
      <c r="E29" s="197">
        <v>0</v>
      </c>
      <c r="F29" s="198">
        <v>0</v>
      </c>
      <c r="G29" s="199">
        <v>0</v>
      </c>
      <c r="H29" s="128" t="s">
        <v>30</v>
      </c>
      <c r="I29" s="29"/>
      <c r="J29" s="29">
        <v>0.98080000000000001</v>
      </c>
      <c r="K29" s="29">
        <v>0.94840000000000002</v>
      </c>
      <c r="L29" s="29">
        <v>0.91700000000000004</v>
      </c>
      <c r="M29" s="29"/>
      <c r="N29" s="29"/>
      <c r="O29" s="29"/>
      <c r="P29" s="29"/>
      <c r="Q29" s="29"/>
      <c r="R29" s="29"/>
      <c r="S29" s="29"/>
      <c r="T29" s="29"/>
      <c r="U29" s="29"/>
      <c r="V29" s="29"/>
      <c r="W29" s="29"/>
      <c r="X29" s="29"/>
      <c r="Y29" s="30"/>
      <c r="Z29" s="18"/>
      <c r="AA29" s="19"/>
      <c r="AB29" s="19"/>
      <c r="AC29" s="20">
        <f t="shared" si="1"/>
        <v>101</v>
      </c>
      <c r="AD29" s="20">
        <f t="shared" si="2"/>
        <v>0</v>
      </c>
      <c r="AE29" s="20">
        <f t="shared" si="3"/>
        <v>0</v>
      </c>
      <c r="AF29" s="20">
        <f t="shared" si="4"/>
        <v>0</v>
      </c>
      <c r="AG29" s="20">
        <f>Table9[[#This Row],[RTH(min) (kΩ)]]*RT2_TH_MIN/(RT2_TH_MIN+Table9[[#This Row],[RTH(min) (kΩ)]])</f>
        <v>0</v>
      </c>
      <c r="AH29" s="20">
        <f>Table9[[#This Row],[RTH(nom) (kΩ)]]*RT2_TH_S/(RT2_TH_S+Table9[[#This Row],[RTH(nom) (kΩ)]])</f>
        <v>0</v>
      </c>
      <c r="AI29" s="20">
        <f>Table9[[#This Row],[RTH(max) (kΩ)]]*RT2_TH_S_MAX/(RT2_TH_S_MAX+Table9[[#This Row],[RTH(max) (kΩ)]])</f>
        <v>0</v>
      </c>
      <c r="AJ29" s="20">
        <f>Table9[[#This Row],[RLower(min) (kΩ)]]/(Table9[[#This Row],[RLower(min) (kΩ)]]+RT1_TH_S_MAX)*100</f>
        <v>0</v>
      </c>
      <c r="AK29" s="20">
        <f>Table9[[#This Row],[RLower(nom) (kΩ)]]/(Table9[[#This Row],[RLower(nom) (kΩ)]]+RT1_TH_S)*100</f>
        <v>0</v>
      </c>
      <c r="AL29" s="20">
        <f>Table9[[#This Row],[RLower(max) (kΩ)]]/(Table9[[#This Row],[RLower(max) (kΩ)]]+RT1_TH_S_MIN)*100</f>
        <v>0</v>
      </c>
      <c r="AM29" s="20">
        <f>IF(Table9[[#This Row],[Vmin (%)]]&lt;$BA$14, 0, IF(Table9[[#This Row],[Vmin (%)]]&lt;$BA$12, 4, IF(Table9[[#This Row],[Vmin (%)]]&lt;$BA$9, 3, IF(Table9[[#This Row],[Vmin (%)]]&lt;$BA$7, 2, 0))))</f>
        <v>0</v>
      </c>
      <c r="AN29" s="20">
        <f>IF(Table9[[#This Row],[Vmin (%)]]&lt;$BA$13, 0, IF(Table9[[#This Row],[Vmin (%)]]&lt;$BA$11, 4, IF(Table9[[#This Row],[Vmin (%)]]&lt;$BA$10, 3, IF(Table9[[#This Row],[Vmin (%)]]&lt;$BA$8, 2, 0))))</f>
        <v>0</v>
      </c>
      <c r="AO29" s="76" t="str">
        <f>IF(Table9[[#This Row],[Vmin (%)]]&lt;$BA$14, "Hot", IF(Table9[[#This Row],[Vmin (%)]]&lt;$BA$12, "Warm", IF(Table9[[#This Row],[Vmin (%)]]&lt;$BA$9, "Normal", IF(Table9[[#This Row],[Vmin (%)]]&lt;$BA$7, "Cool", "Cold"))))</f>
        <v>Hot</v>
      </c>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row>
    <row r="30" spans="1:210" hidden="1" x14ac:dyDescent="0.2">
      <c r="A30" s="113">
        <f t="shared" si="5"/>
        <v>100</v>
      </c>
      <c r="B30" s="163"/>
      <c r="C30" s="172" t="str">
        <f t="shared" si="0"/>
        <v>RTH at 100 °C</v>
      </c>
      <c r="D30" s="196">
        <f t="shared" si="6"/>
        <v>3.2058823529411766</v>
      </c>
      <c r="E30" s="197">
        <v>0</v>
      </c>
      <c r="F30" s="198">
        <v>0</v>
      </c>
      <c r="G30" s="199">
        <v>0</v>
      </c>
      <c r="H30" s="128" t="s">
        <v>30</v>
      </c>
      <c r="I30" s="29"/>
      <c r="J30" s="29">
        <v>1.006</v>
      </c>
      <c r="K30" s="29">
        <v>0.97309999999999997</v>
      </c>
      <c r="L30" s="29">
        <v>0.94110000000000005</v>
      </c>
      <c r="M30" s="29"/>
      <c r="N30" s="29"/>
      <c r="O30" s="29"/>
      <c r="P30" s="29"/>
      <c r="Q30" s="29"/>
      <c r="R30" s="29"/>
      <c r="S30" s="29"/>
      <c r="T30" s="29"/>
      <c r="U30" s="29"/>
      <c r="V30" s="29"/>
      <c r="W30" s="29"/>
      <c r="X30" s="29"/>
      <c r="Y30" s="30"/>
      <c r="Z30" s="18"/>
      <c r="AA30" s="19"/>
      <c r="AB30" s="19"/>
      <c r="AC30" s="20">
        <f t="shared" si="1"/>
        <v>100</v>
      </c>
      <c r="AD30" s="20">
        <f t="shared" si="2"/>
        <v>0</v>
      </c>
      <c r="AE30" s="20">
        <f t="shared" si="3"/>
        <v>0</v>
      </c>
      <c r="AF30" s="20">
        <f t="shared" si="4"/>
        <v>0</v>
      </c>
      <c r="AG30" s="20">
        <f>Table9[[#This Row],[RTH(min) (kΩ)]]*RT2_TH_MIN/(RT2_TH_MIN+Table9[[#This Row],[RTH(min) (kΩ)]])</f>
        <v>0</v>
      </c>
      <c r="AH30" s="20">
        <f>Table9[[#This Row],[RTH(nom) (kΩ)]]*RT2_TH_S/(RT2_TH_S+Table9[[#This Row],[RTH(nom) (kΩ)]])</f>
        <v>0</v>
      </c>
      <c r="AI30" s="20">
        <f>Table9[[#This Row],[RTH(max) (kΩ)]]*RT2_TH_S_MAX/(RT2_TH_S_MAX+Table9[[#This Row],[RTH(max) (kΩ)]])</f>
        <v>0</v>
      </c>
      <c r="AJ30" s="20">
        <f>Table9[[#This Row],[RLower(min) (kΩ)]]/(Table9[[#This Row],[RLower(min) (kΩ)]]+RT1_TH_S_MAX)*100</f>
        <v>0</v>
      </c>
      <c r="AK30" s="20">
        <f>Table9[[#This Row],[RLower(nom) (kΩ)]]/(Table9[[#This Row],[RLower(nom) (kΩ)]]+RT1_TH_S)*100</f>
        <v>0</v>
      </c>
      <c r="AL30" s="20">
        <f>Table9[[#This Row],[RLower(max) (kΩ)]]/(Table9[[#This Row],[RLower(max) (kΩ)]]+RT1_TH_S_MIN)*100</f>
        <v>0</v>
      </c>
      <c r="AM30" s="20">
        <f>IF(Table9[[#This Row],[Vmin (%)]]&lt;$BA$14, 0, IF(Table9[[#This Row],[Vmin (%)]]&lt;$BA$12, 4, IF(Table9[[#This Row],[Vmin (%)]]&lt;$BA$9, 3, IF(Table9[[#This Row],[Vmin (%)]]&lt;$BA$7, 2, 0))))</f>
        <v>0</v>
      </c>
      <c r="AN30" s="20">
        <f>IF(Table9[[#This Row],[Vmin (%)]]&lt;$BA$13, 0, IF(Table9[[#This Row],[Vmin (%)]]&lt;$BA$11, 4, IF(Table9[[#This Row],[Vmin (%)]]&lt;$BA$10, 3, IF(Table9[[#This Row],[Vmin (%)]]&lt;$BA$8, 2, 0))))</f>
        <v>0</v>
      </c>
      <c r="AO30" s="76" t="str">
        <f>IF(Table9[[#This Row],[Vmin (%)]]&lt;$BA$14, "Hot", IF(Table9[[#This Row],[Vmin (%)]]&lt;$BA$12, "Warm", IF(Table9[[#This Row],[Vmin (%)]]&lt;$BA$9, "Normal", IF(Table9[[#This Row],[Vmin (%)]]&lt;$BA$7, "Cool", "Cold"))))</f>
        <v>Hot</v>
      </c>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row>
    <row r="31" spans="1:210" hidden="1" x14ac:dyDescent="0.2">
      <c r="A31" s="113">
        <f t="shared" si="5"/>
        <v>99</v>
      </c>
      <c r="B31" s="163"/>
      <c r="C31" s="172" t="str">
        <f t="shared" si="0"/>
        <v>RTH at 99 °C</v>
      </c>
      <c r="D31" s="196">
        <f t="shared" si="6"/>
        <v>3.1764705882352939</v>
      </c>
      <c r="E31" s="197">
        <v>0</v>
      </c>
      <c r="F31" s="198">
        <v>0</v>
      </c>
      <c r="G31" s="199">
        <v>0</v>
      </c>
      <c r="H31" s="128" t="s">
        <v>30</v>
      </c>
      <c r="I31" s="29"/>
      <c r="J31" s="29">
        <v>1.032</v>
      </c>
      <c r="K31" s="29">
        <v>0.99839999999999995</v>
      </c>
      <c r="L31" s="29">
        <v>0.96579999999999999</v>
      </c>
      <c r="M31" s="29"/>
      <c r="N31" s="29"/>
      <c r="O31" s="29"/>
      <c r="P31" s="29"/>
      <c r="Q31" s="29"/>
      <c r="R31" s="29"/>
      <c r="S31" s="29"/>
      <c r="T31" s="29"/>
      <c r="U31" s="29"/>
      <c r="V31" s="29"/>
      <c r="W31" s="29"/>
      <c r="X31" s="29"/>
      <c r="Y31" s="30"/>
      <c r="Z31" s="18"/>
      <c r="AA31" s="19"/>
      <c r="AB31" s="19"/>
      <c r="AC31" s="20">
        <f t="shared" si="1"/>
        <v>99</v>
      </c>
      <c r="AD31" s="20">
        <f t="shared" si="2"/>
        <v>0</v>
      </c>
      <c r="AE31" s="20">
        <f t="shared" si="3"/>
        <v>0</v>
      </c>
      <c r="AF31" s="20">
        <f t="shared" si="4"/>
        <v>0</v>
      </c>
      <c r="AG31" s="20">
        <f>Table9[[#This Row],[RTH(min) (kΩ)]]*RT2_TH_MIN/(RT2_TH_MIN+Table9[[#This Row],[RTH(min) (kΩ)]])</f>
        <v>0</v>
      </c>
      <c r="AH31" s="20">
        <f>Table9[[#This Row],[RTH(nom) (kΩ)]]*RT2_TH_S/(RT2_TH_S+Table9[[#This Row],[RTH(nom) (kΩ)]])</f>
        <v>0</v>
      </c>
      <c r="AI31" s="20">
        <f>Table9[[#This Row],[RTH(max) (kΩ)]]*RT2_TH_S_MAX/(RT2_TH_S_MAX+Table9[[#This Row],[RTH(max) (kΩ)]])</f>
        <v>0</v>
      </c>
      <c r="AJ31" s="20">
        <f>Table9[[#This Row],[RLower(min) (kΩ)]]/(Table9[[#This Row],[RLower(min) (kΩ)]]+RT1_TH_S_MAX)*100</f>
        <v>0</v>
      </c>
      <c r="AK31" s="20">
        <f>Table9[[#This Row],[RLower(nom) (kΩ)]]/(Table9[[#This Row],[RLower(nom) (kΩ)]]+RT1_TH_S)*100</f>
        <v>0</v>
      </c>
      <c r="AL31" s="20">
        <f>Table9[[#This Row],[RLower(max) (kΩ)]]/(Table9[[#This Row],[RLower(max) (kΩ)]]+RT1_TH_S_MIN)*100</f>
        <v>0</v>
      </c>
      <c r="AM31" s="20">
        <f>IF(Table9[[#This Row],[Vmin (%)]]&lt;$BA$14, 0, IF(Table9[[#This Row],[Vmin (%)]]&lt;$BA$12, 4, IF(Table9[[#This Row],[Vmin (%)]]&lt;$BA$9, 3, IF(Table9[[#This Row],[Vmin (%)]]&lt;$BA$7, 2, 0))))</f>
        <v>0</v>
      </c>
      <c r="AN31" s="20">
        <f>IF(Table9[[#This Row],[Vmin (%)]]&lt;$BA$13, 0, IF(Table9[[#This Row],[Vmin (%)]]&lt;$BA$11, 4, IF(Table9[[#This Row],[Vmin (%)]]&lt;$BA$10, 3, IF(Table9[[#This Row],[Vmin (%)]]&lt;$BA$8, 2, 0))))</f>
        <v>0</v>
      </c>
      <c r="AO31" s="76" t="str">
        <f>IF(Table9[[#This Row],[Vmin (%)]]&lt;$BA$14, "Hot", IF(Table9[[#This Row],[Vmin (%)]]&lt;$BA$12, "Warm", IF(Table9[[#This Row],[Vmin (%)]]&lt;$BA$9, "Normal", IF(Table9[[#This Row],[Vmin (%)]]&lt;$BA$7, "Cool", "Cold"))))</f>
        <v>Hot</v>
      </c>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row>
    <row r="32" spans="1:210" hidden="1" x14ac:dyDescent="0.2">
      <c r="A32" s="113">
        <f t="shared" si="5"/>
        <v>98</v>
      </c>
      <c r="B32" s="163"/>
      <c r="C32" s="172" t="str">
        <f t="shared" si="0"/>
        <v>RTH at 98 °C</v>
      </c>
      <c r="D32" s="196">
        <f t="shared" si="6"/>
        <v>3.1470588235294117</v>
      </c>
      <c r="E32" s="197">
        <v>0</v>
      </c>
      <c r="F32" s="198">
        <v>0</v>
      </c>
      <c r="G32" s="199">
        <v>0</v>
      </c>
      <c r="H32" s="128" t="s">
        <v>30</v>
      </c>
      <c r="I32" s="29"/>
      <c r="J32" s="29">
        <v>1.0589999999999999</v>
      </c>
      <c r="K32" s="29">
        <v>1.024</v>
      </c>
      <c r="L32" s="29">
        <v>0.99129999999999996</v>
      </c>
      <c r="M32" s="29"/>
      <c r="N32" s="29"/>
      <c r="O32" s="29"/>
      <c r="P32" s="29"/>
      <c r="Q32" s="29"/>
      <c r="R32" s="29"/>
      <c r="S32" s="29"/>
      <c r="T32" s="29"/>
      <c r="U32" s="29"/>
      <c r="V32" s="29"/>
      <c r="W32" s="29"/>
      <c r="X32" s="29"/>
      <c r="Y32" s="30"/>
      <c r="Z32" s="18"/>
      <c r="AA32" s="19"/>
      <c r="AB32" s="19"/>
      <c r="AC32" s="20">
        <f t="shared" si="1"/>
        <v>98</v>
      </c>
      <c r="AD32" s="20">
        <f t="shared" si="2"/>
        <v>0</v>
      </c>
      <c r="AE32" s="20">
        <f t="shared" si="3"/>
        <v>0</v>
      </c>
      <c r="AF32" s="20">
        <f t="shared" si="4"/>
        <v>0</v>
      </c>
      <c r="AG32" s="20">
        <f>Table9[[#This Row],[RTH(min) (kΩ)]]*RT2_TH_MIN/(RT2_TH_MIN+Table9[[#This Row],[RTH(min) (kΩ)]])</f>
        <v>0</v>
      </c>
      <c r="AH32" s="20">
        <f>Table9[[#This Row],[RTH(nom) (kΩ)]]*RT2_TH_S/(RT2_TH_S+Table9[[#This Row],[RTH(nom) (kΩ)]])</f>
        <v>0</v>
      </c>
      <c r="AI32" s="20">
        <f>Table9[[#This Row],[RTH(max) (kΩ)]]*RT2_TH_S_MAX/(RT2_TH_S_MAX+Table9[[#This Row],[RTH(max) (kΩ)]])</f>
        <v>0</v>
      </c>
      <c r="AJ32" s="20">
        <f>Table9[[#This Row],[RLower(min) (kΩ)]]/(Table9[[#This Row],[RLower(min) (kΩ)]]+RT1_TH_S_MAX)*100</f>
        <v>0</v>
      </c>
      <c r="AK32" s="20">
        <f>Table9[[#This Row],[RLower(nom) (kΩ)]]/(Table9[[#This Row],[RLower(nom) (kΩ)]]+RT1_TH_S)*100</f>
        <v>0</v>
      </c>
      <c r="AL32" s="20">
        <f>Table9[[#This Row],[RLower(max) (kΩ)]]/(Table9[[#This Row],[RLower(max) (kΩ)]]+RT1_TH_S_MIN)*100</f>
        <v>0</v>
      </c>
      <c r="AM32" s="20">
        <f>IF(Table9[[#This Row],[Vmin (%)]]&lt;$BA$14, 0, IF(Table9[[#This Row],[Vmin (%)]]&lt;$BA$12, 4, IF(Table9[[#This Row],[Vmin (%)]]&lt;$BA$9, 3, IF(Table9[[#This Row],[Vmin (%)]]&lt;$BA$7, 2, 0))))</f>
        <v>0</v>
      </c>
      <c r="AN32" s="20">
        <f>IF(Table9[[#This Row],[Vmin (%)]]&lt;$BA$13, 0, IF(Table9[[#This Row],[Vmin (%)]]&lt;$BA$11, 4, IF(Table9[[#This Row],[Vmin (%)]]&lt;$BA$10, 3, IF(Table9[[#This Row],[Vmin (%)]]&lt;$BA$8, 2, 0))))</f>
        <v>0</v>
      </c>
      <c r="AO32" s="76" t="str">
        <f>IF(Table9[[#This Row],[Vmin (%)]]&lt;$BA$14, "Hot", IF(Table9[[#This Row],[Vmin (%)]]&lt;$BA$12, "Warm", IF(Table9[[#This Row],[Vmin (%)]]&lt;$BA$9, "Normal", IF(Table9[[#This Row],[Vmin (%)]]&lt;$BA$7, "Cool", "Cold"))))</f>
        <v>Hot</v>
      </c>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row>
    <row r="33" spans="1:210" hidden="1" x14ac:dyDescent="0.2">
      <c r="A33" s="113">
        <f t="shared" si="5"/>
        <v>97</v>
      </c>
      <c r="B33" s="163"/>
      <c r="C33" s="172" t="str">
        <f t="shared" si="0"/>
        <v>RTH at 97 °C</v>
      </c>
      <c r="D33" s="196">
        <f t="shared" si="6"/>
        <v>3.1176470588235294</v>
      </c>
      <c r="E33" s="197">
        <v>0</v>
      </c>
      <c r="F33" s="198">
        <v>0</v>
      </c>
      <c r="G33" s="199">
        <v>0</v>
      </c>
      <c r="H33" s="128" t="s">
        <v>30</v>
      </c>
      <c r="I33" s="29"/>
      <c r="J33" s="29">
        <v>1.0860000000000001</v>
      </c>
      <c r="K33" s="29">
        <v>1.0509999999999999</v>
      </c>
      <c r="L33" s="29">
        <v>1.0169999999999999</v>
      </c>
      <c r="M33" s="29"/>
      <c r="N33" s="29"/>
      <c r="O33" s="29"/>
      <c r="P33" s="29"/>
      <c r="Q33" s="29"/>
      <c r="R33" s="29"/>
      <c r="S33" s="29"/>
      <c r="T33" s="29"/>
      <c r="U33" s="29"/>
      <c r="V33" s="29"/>
      <c r="W33" s="29"/>
      <c r="X33" s="29"/>
      <c r="Y33" s="30"/>
      <c r="Z33" s="18"/>
      <c r="AA33" s="19"/>
      <c r="AB33" s="19"/>
      <c r="AC33" s="20">
        <f t="shared" si="1"/>
        <v>97</v>
      </c>
      <c r="AD33" s="20">
        <f t="shared" si="2"/>
        <v>0</v>
      </c>
      <c r="AE33" s="20">
        <f t="shared" si="3"/>
        <v>0</v>
      </c>
      <c r="AF33" s="20">
        <f t="shared" si="4"/>
        <v>0</v>
      </c>
      <c r="AG33" s="20">
        <f>Table9[[#This Row],[RTH(min) (kΩ)]]*RT2_TH_MIN/(RT2_TH_MIN+Table9[[#This Row],[RTH(min) (kΩ)]])</f>
        <v>0</v>
      </c>
      <c r="AH33" s="20">
        <f>Table9[[#This Row],[RTH(nom) (kΩ)]]*RT2_TH_S/(RT2_TH_S+Table9[[#This Row],[RTH(nom) (kΩ)]])</f>
        <v>0</v>
      </c>
      <c r="AI33" s="20">
        <f>Table9[[#This Row],[RTH(max) (kΩ)]]*RT2_TH_S_MAX/(RT2_TH_S_MAX+Table9[[#This Row],[RTH(max) (kΩ)]])</f>
        <v>0</v>
      </c>
      <c r="AJ33" s="20">
        <f>Table9[[#This Row],[RLower(min) (kΩ)]]/(Table9[[#This Row],[RLower(min) (kΩ)]]+RT1_TH_S_MAX)*100</f>
        <v>0</v>
      </c>
      <c r="AK33" s="20">
        <f>Table9[[#This Row],[RLower(nom) (kΩ)]]/(Table9[[#This Row],[RLower(nom) (kΩ)]]+RT1_TH_S)*100</f>
        <v>0</v>
      </c>
      <c r="AL33" s="20">
        <f>Table9[[#This Row],[RLower(max) (kΩ)]]/(Table9[[#This Row],[RLower(max) (kΩ)]]+RT1_TH_S_MIN)*100</f>
        <v>0</v>
      </c>
      <c r="AM33" s="20">
        <f>IF(Table9[[#This Row],[Vmin (%)]]&lt;$BA$14, 0, IF(Table9[[#This Row],[Vmin (%)]]&lt;$BA$12, 4, IF(Table9[[#This Row],[Vmin (%)]]&lt;$BA$9, 3, IF(Table9[[#This Row],[Vmin (%)]]&lt;$BA$7, 2, 0))))</f>
        <v>0</v>
      </c>
      <c r="AN33" s="20">
        <f>IF(Table9[[#This Row],[Vmin (%)]]&lt;$BA$13, 0, IF(Table9[[#This Row],[Vmin (%)]]&lt;$BA$11, 4, IF(Table9[[#This Row],[Vmin (%)]]&lt;$BA$10, 3, IF(Table9[[#This Row],[Vmin (%)]]&lt;$BA$8, 2, 0))))</f>
        <v>0</v>
      </c>
      <c r="AO33" s="76" t="str">
        <f>IF(Table9[[#This Row],[Vmin (%)]]&lt;$BA$14, "Hot", IF(Table9[[#This Row],[Vmin (%)]]&lt;$BA$12, "Warm", IF(Table9[[#This Row],[Vmin (%)]]&lt;$BA$9, "Normal", IF(Table9[[#This Row],[Vmin (%)]]&lt;$BA$7, "Cool", "Cold"))))</f>
        <v>Hot</v>
      </c>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row>
    <row r="34" spans="1:210" hidden="1" x14ac:dyDescent="0.2">
      <c r="A34" s="113">
        <f t="shared" si="5"/>
        <v>96</v>
      </c>
      <c r="B34" s="163"/>
      <c r="C34" s="172" t="str">
        <f t="shared" si="0"/>
        <v>RTH at 96 °C</v>
      </c>
      <c r="D34" s="196">
        <f t="shared" si="6"/>
        <v>3.0882352941176472</v>
      </c>
      <c r="E34" s="197">
        <v>0</v>
      </c>
      <c r="F34" s="198">
        <v>0</v>
      </c>
      <c r="G34" s="199">
        <v>0</v>
      </c>
      <c r="H34" s="128" t="s">
        <v>30</v>
      </c>
      <c r="I34" s="29"/>
      <c r="J34" s="29">
        <v>1.115</v>
      </c>
      <c r="K34" s="29">
        <v>1.079</v>
      </c>
      <c r="L34" s="29">
        <v>1.044</v>
      </c>
      <c r="M34" s="29"/>
      <c r="N34" s="29"/>
      <c r="O34" s="29"/>
      <c r="P34" s="29"/>
      <c r="Q34" s="29"/>
      <c r="R34" s="29"/>
      <c r="S34" s="29"/>
      <c r="T34" s="29"/>
      <c r="U34" s="29"/>
      <c r="V34" s="29"/>
      <c r="W34" s="29"/>
      <c r="X34" s="29"/>
      <c r="Y34" s="30"/>
      <c r="Z34" s="18"/>
      <c r="AA34" s="19"/>
      <c r="AB34" s="19"/>
      <c r="AC34" s="20">
        <f t="shared" si="1"/>
        <v>96</v>
      </c>
      <c r="AD34" s="20">
        <f t="shared" si="2"/>
        <v>0</v>
      </c>
      <c r="AE34" s="20">
        <f t="shared" si="3"/>
        <v>0</v>
      </c>
      <c r="AF34" s="20">
        <f t="shared" si="4"/>
        <v>0</v>
      </c>
      <c r="AG34" s="20">
        <f>Table9[[#This Row],[RTH(min) (kΩ)]]*RT2_TH_MIN/(RT2_TH_MIN+Table9[[#This Row],[RTH(min) (kΩ)]])</f>
        <v>0</v>
      </c>
      <c r="AH34" s="20">
        <f>Table9[[#This Row],[RTH(nom) (kΩ)]]*RT2_TH_S/(RT2_TH_S+Table9[[#This Row],[RTH(nom) (kΩ)]])</f>
        <v>0</v>
      </c>
      <c r="AI34" s="20">
        <f>Table9[[#This Row],[RTH(max) (kΩ)]]*RT2_TH_S_MAX/(RT2_TH_S_MAX+Table9[[#This Row],[RTH(max) (kΩ)]])</f>
        <v>0</v>
      </c>
      <c r="AJ34" s="20">
        <f>Table9[[#This Row],[RLower(min) (kΩ)]]/(Table9[[#This Row],[RLower(min) (kΩ)]]+RT1_TH_S_MAX)*100</f>
        <v>0</v>
      </c>
      <c r="AK34" s="20">
        <f>Table9[[#This Row],[RLower(nom) (kΩ)]]/(Table9[[#This Row],[RLower(nom) (kΩ)]]+RT1_TH_S)*100</f>
        <v>0</v>
      </c>
      <c r="AL34" s="20">
        <f>Table9[[#This Row],[RLower(max) (kΩ)]]/(Table9[[#This Row],[RLower(max) (kΩ)]]+RT1_TH_S_MIN)*100</f>
        <v>0</v>
      </c>
      <c r="AM34" s="20">
        <f>IF(Table9[[#This Row],[Vmin (%)]]&lt;$BA$14, 0, IF(Table9[[#This Row],[Vmin (%)]]&lt;$BA$12, 4, IF(Table9[[#This Row],[Vmin (%)]]&lt;$BA$9, 3, IF(Table9[[#This Row],[Vmin (%)]]&lt;$BA$7, 2, 0))))</f>
        <v>0</v>
      </c>
      <c r="AN34" s="20">
        <f>IF(Table9[[#This Row],[Vmin (%)]]&lt;$BA$13, 0, IF(Table9[[#This Row],[Vmin (%)]]&lt;$BA$11, 4, IF(Table9[[#This Row],[Vmin (%)]]&lt;$BA$10, 3, IF(Table9[[#This Row],[Vmin (%)]]&lt;$BA$8, 2, 0))))</f>
        <v>0</v>
      </c>
      <c r="AO34" s="76" t="str">
        <f>IF(Table9[[#This Row],[Vmin (%)]]&lt;$BA$14, "Hot", IF(Table9[[#This Row],[Vmin (%)]]&lt;$BA$12, "Warm", IF(Table9[[#This Row],[Vmin (%)]]&lt;$BA$9, "Normal", IF(Table9[[#This Row],[Vmin (%)]]&lt;$BA$7, "Cool", "Cold"))))</f>
        <v>Hot</v>
      </c>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row>
    <row r="35" spans="1:210" hidden="1" x14ac:dyDescent="0.2">
      <c r="A35" s="113">
        <f t="shared" si="5"/>
        <v>95</v>
      </c>
      <c r="B35" s="163"/>
      <c r="C35" s="172" t="str">
        <f t="shared" si="0"/>
        <v>RTH at 95 °C</v>
      </c>
      <c r="D35" s="196">
        <f t="shared" si="6"/>
        <v>3.0588235294117645</v>
      </c>
      <c r="E35" s="197">
        <v>0</v>
      </c>
      <c r="F35" s="198">
        <v>0</v>
      </c>
      <c r="G35" s="199">
        <v>0</v>
      </c>
      <c r="H35" s="128" t="s">
        <v>30</v>
      </c>
      <c r="I35" s="29"/>
      <c r="J35" s="29">
        <v>1.1439999999999999</v>
      </c>
      <c r="K35" s="29">
        <v>1.1080000000000001</v>
      </c>
      <c r="L35" s="29">
        <v>1.0720000000000001</v>
      </c>
      <c r="M35" s="29"/>
      <c r="N35" s="29"/>
      <c r="O35" s="29"/>
      <c r="P35" s="29"/>
      <c r="Q35" s="29"/>
      <c r="R35" s="29"/>
      <c r="S35" s="29"/>
      <c r="T35" s="29"/>
      <c r="U35" s="29"/>
      <c r="V35" s="29"/>
      <c r="W35" s="29"/>
      <c r="X35" s="29"/>
      <c r="Y35" s="30"/>
      <c r="Z35" s="18"/>
      <c r="AA35" s="19"/>
      <c r="AB35" s="19"/>
      <c r="AC35" s="20">
        <f t="shared" si="1"/>
        <v>95</v>
      </c>
      <c r="AD35" s="20">
        <f t="shared" si="2"/>
        <v>0</v>
      </c>
      <c r="AE35" s="20">
        <f t="shared" si="3"/>
        <v>0</v>
      </c>
      <c r="AF35" s="20">
        <f t="shared" si="4"/>
        <v>0</v>
      </c>
      <c r="AG35" s="20">
        <f>Table9[[#This Row],[RTH(min) (kΩ)]]*RT2_TH_MIN/(RT2_TH_MIN+Table9[[#This Row],[RTH(min) (kΩ)]])</f>
        <v>0</v>
      </c>
      <c r="AH35" s="20">
        <f>Table9[[#This Row],[RTH(nom) (kΩ)]]*RT2_TH_S/(RT2_TH_S+Table9[[#This Row],[RTH(nom) (kΩ)]])</f>
        <v>0</v>
      </c>
      <c r="AI35" s="20">
        <f>Table9[[#This Row],[RTH(max) (kΩ)]]*RT2_TH_S_MAX/(RT2_TH_S_MAX+Table9[[#This Row],[RTH(max) (kΩ)]])</f>
        <v>0</v>
      </c>
      <c r="AJ35" s="20">
        <f>Table9[[#This Row],[RLower(min) (kΩ)]]/(Table9[[#This Row],[RLower(min) (kΩ)]]+RT1_TH_S_MAX)*100</f>
        <v>0</v>
      </c>
      <c r="AK35" s="20">
        <f>Table9[[#This Row],[RLower(nom) (kΩ)]]/(Table9[[#This Row],[RLower(nom) (kΩ)]]+RT1_TH_S)*100</f>
        <v>0</v>
      </c>
      <c r="AL35" s="20">
        <f>Table9[[#This Row],[RLower(max) (kΩ)]]/(Table9[[#This Row],[RLower(max) (kΩ)]]+RT1_TH_S_MIN)*100</f>
        <v>0</v>
      </c>
      <c r="AM35" s="20">
        <f>IF(Table9[[#This Row],[Vmin (%)]]&lt;$BA$14, 0, IF(Table9[[#This Row],[Vmin (%)]]&lt;$BA$12, 4, IF(Table9[[#This Row],[Vmin (%)]]&lt;$BA$9, 3, IF(Table9[[#This Row],[Vmin (%)]]&lt;$BA$7, 2, 0))))</f>
        <v>0</v>
      </c>
      <c r="AN35" s="20">
        <f>IF(Table9[[#This Row],[Vmin (%)]]&lt;$BA$13, 0, IF(Table9[[#This Row],[Vmin (%)]]&lt;$BA$11, 4, IF(Table9[[#This Row],[Vmin (%)]]&lt;$BA$10, 3, IF(Table9[[#This Row],[Vmin (%)]]&lt;$BA$8, 2, 0))))</f>
        <v>0</v>
      </c>
      <c r="AO35" s="76" t="str">
        <f>IF(Table9[[#This Row],[Vmin (%)]]&lt;$BA$14, "Hot", IF(Table9[[#This Row],[Vmin (%)]]&lt;$BA$12, "Warm", IF(Table9[[#This Row],[Vmin (%)]]&lt;$BA$9, "Normal", IF(Table9[[#This Row],[Vmin (%)]]&lt;$BA$7, "Cool", "Cold"))))</f>
        <v>Hot</v>
      </c>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row>
    <row r="36" spans="1:210" hidden="1" x14ac:dyDescent="0.2">
      <c r="A36" s="113">
        <f t="shared" si="5"/>
        <v>94</v>
      </c>
      <c r="B36" s="163"/>
      <c r="C36" s="172" t="str">
        <f t="shared" si="0"/>
        <v>RTH at 94 °C</v>
      </c>
      <c r="D36" s="196">
        <f t="shared" si="6"/>
        <v>3.0294117647058822</v>
      </c>
      <c r="E36" s="197">
        <v>0</v>
      </c>
      <c r="F36" s="198">
        <v>0</v>
      </c>
      <c r="G36" s="199">
        <v>0</v>
      </c>
      <c r="H36" s="128" t="s">
        <v>30</v>
      </c>
      <c r="I36" s="29"/>
      <c r="J36" s="29">
        <v>1.1739999999999999</v>
      </c>
      <c r="K36" s="29">
        <v>1.137</v>
      </c>
      <c r="L36" s="29">
        <v>1.101</v>
      </c>
      <c r="M36" s="29"/>
      <c r="N36" s="29"/>
      <c r="O36" s="29"/>
      <c r="P36" s="29"/>
      <c r="Q36" s="29"/>
      <c r="R36" s="29"/>
      <c r="S36" s="29"/>
      <c r="T36" s="29"/>
      <c r="U36" s="29"/>
      <c r="V36" s="29"/>
      <c r="W36" s="29"/>
      <c r="X36" s="29"/>
      <c r="Y36" s="30"/>
      <c r="Z36" s="18"/>
      <c r="AA36" s="19"/>
      <c r="AB36" s="19"/>
      <c r="AC36" s="20">
        <f t="shared" si="1"/>
        <v>94</v>
      </c>
      <c r="AD36" s="20">
        <f t="shared" si="2"/>
        <v>0</v>
      </c>
      <c r="AE36" s="20">
        <f t="shared" si="3"/>
        <v>0</v>
      </c>
      <c r="AF36" s="20">
        <f t="shared" si="4"/>
        <v>0</v>
      </c>
      <c r="AG36" s="20">
        <f>Table9[[#This Row],[RTH(min) (kΩ)]]*RT2_TH_MIN/(RT2_TH_MIN+Table9[[#This Row],[RTH(min) (kΩ)]])</f>
        <v>0</v>
      </c>
      <c r="AH36" s="20">
        <f>Table9[[#This Row],[RTH(nom) (kΩ)]]*RT2_TH_S/(RT2_TH_S+Table9[[#This Row],[RTH(nom) (kΩ)]])</f>
        <v>0</v>
      </c>
      <c r="AI36" s="20">
        <f>Table9[[#This Row],[RTH(max) (kΩ)]]*RT2_TH_S_MAX/(RT2_TH_S_MAX+Table9[[#This Row],[RTH(max) (kΩ)]])</f>
        <v>0</v>
      </c>
      <c r="AJ36" s="20">
        <f>Table9[[#This Row],[RLower(min) (kΩ)]]/(Table9[[#This Row],[RLower(min) (kΩ)]]+RT1_TH_S_MAX)*100</f>
        <v>0</v>
      </c>
      <c r="AK36" s="20">
        <f>Table9[[#This Row],[RLower(nom) (kΩ)]]/(Table9[[#This Row],[RLower(nom) (kΩ)]]+RT1_TH_S)*100</f>
        <v>0</v>
      </c>
      <c r="AL36" s="20">
        <f>Table9[[#This Row],[RLower(max) (kΩ)]]/(Table9[[#This Row],[RLower(max) (kΩ)]]+RT1_TH_S_MIN)*100</f>
        <v>0</v>
      </c>
      <c r="AM36" s="20">
        <f>IF(Table9[[#This Row],[Vmin (%)]]&lt;$BA$14, 0, IF(Table9[[#This Row],[Vmin (%)]]&lt;$BA$12, 4, IF(Table9[[#This Row],[Vmin (%)]]&lt;$BA$9, 3, IF(Table9[[#This Row],[Vmin (%)]]&lt;$BA$7, 2, 0))))</f>
        <v>0</v>
      </c>
      <c r="AN36" s="20">
        <f>IF(Table9[[#This Row],[Vmin (%)]]&lt;$BA$13, 0, IF(Table9[[#This Row],[Vmin (%)]]&lt;$BA$11, 4, IF(Table9[[#This Row],[Vmin (%)]]&lt;$BA$10, 3, IF(Table9[[#This Row],[Vmin (%)]]&lt;$BA$8, 2, 0))))</f>
        <v>0</v>
      </c>
      <c r="AO36" s="76" t="str">
        <f>IF(Table9[[#This Row],[Vmin (%)]]&lt;$BA$14, "Hot", IF(Table9[[#This Row],[Vmin (%)]]&lt;$BA$12, "Warm", IF(Table9[[#This Row],[Vmin (%)]]&lt;$BA$9, "Normal", IF(Table9[[#This Row],[Vmin (%)]]&lt;$BA$7, "Cool", "Cold"))))</f>
        <v>Hot</v>
      </c>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row>
    <row r="37" spans="1:210" hidden="1" x14ac:dyDescent="0.2">
      <c r="A37" s="113">
        <f t="shared" si="5"/>
        <v>93</v>
      </c>
      <c r="B37" s="163"/>
      <c r="C37" s="172" t="str">
        <f t="shared" si="0"/>
        <v>RTH at 93 °C</v>
      </c>
      <c r="D37" s="196">
        <f t="shared" si="6"/>
        <v>3</v>
      </c>
      <c r="E37" s="197">
        <v>0</v>
      </c>
      <c r="F37" s="198">
        <v>0</v>
      </c>
      <c r="G37" s="199">
        <v>0</v>
      </c>
      <c r="H37" s="128" t="s">
        <v>30</v>
      </c>
      <c r="I37" s="29"/>
      <c r="J37" s="29">
        <v>1.2050000000000001</v>
      </c>
      <c r="K37" s="29">
        <v>1.1679999999999999</v>
      </c>
      <c r="L37" s="29">
        <v>1.131</v>
      </c>
      <c r="M37" s="29"/>
      <c r="N37" s="29"/>
      <c r="O37" s="29"/>
      <c r="P37" s="29"/>
      <c r="Q37" s="29"/>
      <c r="R37" s="29"/>
      <c r="S37" s="29"/>
      <c r="T37" s="29"/>
      <c r="U37" s="29"/>
      <c r="V37" s="29"/>
      <c r="W37" s="29"/>
      <c r="X37" s="29"/>
      <c r="Y37" s="30"/>
      <c r="Z37" s="18"/>
      <c r="AA37" s="19"/>
      <c r="AB37" s="19"/>
      <c r="AC37" s="20">
        <f t="shared" si="1"/>
        <v>93</v>
      </c>
      <c r="AD37" s="20">
        <f t="shared" si="2"/>
        <v>0</v>
      </c>
      <c r="AE37" s="20">
        <f t="shared" si="3"/>
        <v>0</v>
      </c>
      <c r="AF37" s="20">
        <f t="shared" si="4"/>
        <v>0</v>
      </c>
      <c r="AG37" s="20">
        <f>Table9[[#This Row],[RTH(min) (kΩ)]]*RT2_TH_MIN/(RT2_TH_MIN+Table9[[#This Row],[RTH(min) (kΩ)]])</f>
        <v>0</v>
      </c>
      <c r="AH37" s="20">
        <f>Table9[[#This Row],[RTH(nom) (kΩ)]]*RT2_TH_S/(RT2_TH_S+Table9[[#This Row],[RTH(nom) (kΩ)]])</f>
        <v>0</v>
      </c>
      <c r="AI37" s="20">
        <f>Table9[[#This Row],[RTH(max) (kΩ)]]*RT2_TH_S_MAX/(RT2_TH_S_MAX+Table9[[#This Row],[RTH(max) (kΩ)]])</f>
        <v>0</v>
      </c>
      <c r="AJ37" s="20">
        <f>Table9[[#This Row],[RLower(min) (kΩ)]]/(Table9[[#This Row],[RLower(min) (kΩ)]]+RT1_TH_S_MAX)*100</f>
        <v>0</v>
      </c>
      <c r="AK37" s="20">
        <f>Table9[[#This Row],[RLower(nom) (kΩ)]]/(Table9[[#This Row],[RLower(nom) (kΩ)]]+RT1_TH_S)*100</f>
        <v>0</v>
      </c>
      <c r="AL37" s="20">
        <f>Table9[[#This Row],[RLower(max) (kΩ)]]/(Table9[[#This Row],[RLower(max) (kΩ)]]+RT1_TH_S_MIN)*100</f>
        <v>0</v>
      </c>
      <c r="AM37" s="20">
        <f>IF(Table9[[#This Row],[Vmin (%)]]&lt;$BA$14, 0, IF(Table9[[#This Row],[Vmin (%)]]&lt;$BA$12, 4, IF(Table9[[#This Row],[Vmin (%)]]&lt;$BA$9, 3, IF(Table9[[#This Row],[Vmin (%)]]&lt;$BA$7, 2, 0))))</f>
        <v>0</v>
      </c>
      <c r="AN37" s="20">
        <f>IF(Table9[[#This Row],[Vmin (%)]]&lt;$BA$13, 0, IF(Table9[[#This Row],[Vmin (%)]]&lt;$BA$11, 4, IF(Table9[[#This Row],[Vmin (%)]]&lt;$BA$10, 3, IF(Table9[[#This Row],[Vmin (%)]]&lt;$BA$8, 2, 0))))</f>
        <v>0</v>
      </c>
      <c r="AO37" s="76" t="str">
        <f>IF(Table9[[#This Row],[Vmin (%)]]&lt;$BA$14, "Hot", IF(Table9[[#This Row],[Vmin (%)]]&lt;$BA$12, "Warm", IF(Table9[[#This Row],[Vmin (%)]]&lt;$BA$9, "Normal", IF(Table9[[#This Row],[Vmin (%)]]&lt;$BA$7, "Cool", "Cold"))))</f>
        <v>Hot</v>
      </c>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row>
    <row r="38" spans="1:210" hidden="1" x14ac:dyDescent="0.2">
      <c r="A38" s="113">
        <f t="shared" si="5"/>
        <v>92</v>
      </c>
      <c r="B38" s="163"/>
      <c r="C38" s="172" t="str">
        <f t="shared" si="0"/>
        <v>RTH at 92 °C</v>
      </c>
      <c r="D38" s="196">
        <f t="shared" si="6"/>
        <v>2.9705882352941178</v>
      </c>
      <c r="E38" s="197">
        <v>0</v>
      </c>
      <c r="F38" s="198">
        <v>0</v>
      </c>
      <c r="G38" s="199">
        <v>0</v>
      </c>
      <c r="H38" s="128" t="s">
        <v>30</v>
      </c>
      <c r="I38" s="29"/>
      <c r="J38" s="29">
        <v>1.238</v>
      </c>
      <c r="K38" s="29">
        <v>1.2</v>
      </c>
      <c r="L38" s="29">
        <v>1.1619999999999999</v>
      </c>
      <c r="M38" s="29"/>
      <c r="N38" s="29"/>
      <c r="O38" s="29"/>
      <c r="P38" s="29"/>
      <c r="Q38" s="29"/>
      <c r="R38" s="29"/>
      <c r="S38" s="29"/>
      <c r="T38" s="29"/>
      <c r="U38" s="29"/>
      <c r="V38" s="29"/>
      <c r="W38" s="29"/>
      <c r="X38" s="29"/>
      <c r="Y38" s="30"/>
      <c r="Z38" s="18"/>
      <c r="AA38" s="19"/>
      <c r="AB38" s="19"/>
      <c r="AC38" s="20">
        <f t="shared" si="1"/>
        <v>92</v>
      </c>
      <c r="AD38" s="20">
        <f t="shared" si="2"/>
        <v>0</v>
      </c>
      <c r="AE38" s="20">
        <f t="shared" si="3"/>
        <v>0</v>
      </c>
      <c r="AF38" s="20">
        <f t="shared" si="4"/>
        <v>0</v>
      </c>
      <c r="AG38" s="20">
        <f>Table9[[#This Row],[RTH(min) (kΩ)]]*RT2_TH_MIN/(RT2_TH_MIN+Table9[[#This Row],[RTH(min) (kΩ)]])</f>
        <v>0</v>
      </c>
      <c r="AH38" s="20">
        <f>Table9[[#This Row],[RTH(nom) (kΩ)]]*RT2_TH_S/(RT2_TH_S+Table9[[#This Row],[RTH(nom) (kΩ)]])</f>
        <v>0</v>
      </c>
      <c r="AI38" s="20">
        <f>Table9[[#This Row],[RTH(max) (kΩ)]]*RT2_TH_S_MAX/(RT2_TH_S_MAX+Table9[[#This Row],[RTH(max) (kΩ)]])</f>
        <v>0</v>
      </c>
      <c r="AJ38" s="20">
        <f>Table9[[#This Row],[RLower(min) (kΩ)]]/(Table9[[#This Row],[RLower(min) (kΩ)]]+RT1_TH_S_MAX)*100</f>
        <v>0</v>
      </c>
      <c r="AK38" s="20">
        <f>Table9[[#This Row],[RLower(nom) (kΩ)]]/(Table9[[#This Row],[RLower(nom) (kΩ)]]+RT1_TH_S)*100</f>
        <v>0</v>
      </c>
      <c r="AL38" s="20">
        <f>Table9[[#This Row],[RLower(max) (kΩ)]]/(Table9[[#This Row],[RLower(max) (kΩ)]]+RT1_TH_S_MIN)*100</f>
        <v>0</v>
      </c>
      <c r="AM38" s="20">
        <f>IF(Table9[[#This Row],[Vmin (%)]]&lt;$BA$14, 0, IF(Table9[[#This Row],[Vmin (%)]]&lt;$BA$12, 4, IF(Table9[[#This Row],[Vmin (%)]]&lt;$BA$9, 3, IF(Table9[[#This Row],[Vmin (%)]]&lt;$BA$7, 2, 0))))</f>
        <v>0</v>
      </c>
      <c r="AN38" s="20">
        <f>IF(Table9[[#This Row],[Vmin (%)]]&lt;$BA$13, 0, IF(Table9[[#This Row],[Vmin (%)]]&lt;$BA$11, 4, IF(Table9[[#This Row],[Vmin (%)]]&lt;$BA$10, 3, IF(Table9[[#This Row],[Vmin (%)]]&lt;$BA$8, 2, 0))))</f>
        <v>0</v>
      </c>
      <c r="AO38" s="76" t="str">
        <f>IF(Table9[[#This Row],[Vmin (%)]]&lt;$BA$14, "Hot", IF(Table9[[#This Row],[Vmin (%)]]&lt;$BA$12, "Warm", IF(Table9[[#This Row],[Vmin (%)]]&lt;$BA$9, "Normal", IF(Table9[[#This Row],[Vmin (%)]]&lt;$BA$7, "Cool", "Cold"))))</f>
        <v>Hot</v>
      </c>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row>
    <row r="39" spans="1:210" hidden="1" x14ac:dyDescent="0.2">
      <c r="A39" s="113">
        <f t="shared" si="5"/>
        <v>91</v>
      </c>
      <c r="B39" s="163"/>
      <c r="C39" s="172" t="str">
        <f t="shared" si="0"/>
        <v>RTH at 91 °C</v>
      </c>
      <c r="D39" s="196">
        <f t="shared" si="6"/>
        <v>2.9411764705882355</v>
      </c>
      <c r="E39" s="197">
        <v>0</v>
      </c>
      <c r="F39" s="198">
        <v>0</v>
      </c>
      <c r="G39" s="199">
        <v>0</v>
      </c>
      <c r="H39" s="128" t="s">
        <v>30</v>
      </c>
      <c r="I39" s="29"/>
      <c r="J39" s="29">
        <v>1.2709999999999999</v>
      </c>
      <c r="K39" s="29">
        <v>1.232</v>
      </c>
      <c r="L39" s="29">
        <v>1.194</v>
      </c>
      <c r="M39" s="29"/>
      <c r="N39" s="29"/>
      <c r="O39" s="29"/>
      <c r="P39" s="29"/>
      <c r="Q39" s="29"/>
      <c r="R39" s="29"/>
      <c r="S39" s="29"/>
      <c r="T39" s="29"/>
      <c r="U39" s="29"/>
      <c r="V39" s="29"/>
      <c r="W39" s="29"/>
      <c r="X39" s="29"/>
      <c r="Y39" s="30"/>
      <c r="Z39" s="18"/>
      <c r="AA39" s="19"/>
      <c r="AB39" s="19"/>
      <c r="AC39" s="20">
        <f t="shared" si="1"/>
        <v>91</v>
      </c>
      <c r="AD39" s="20">
        <f t="shared" si="2"/>
        <v>0</v>
      </c>
      <c r="AE39" s="20">
        <f t="shared" si="3"/>
        <v>0</v>
      </c>
      <c r="AF39" s="20">
        <f t="shared" si="4"/>
        <v>0</v>
      </c>
      <c r="AG39" s="20">
        <f>Table9[[#This Row],[RTH(min) (kΩ)]]*RT2_TH_MIN/(RT2_TH_MIN+Table9[[#This Row],[RTH(min) (kΩ)]])</f>
        <v>0</v>
      </c>
      <c r="AH39" s="20">
        <f>Table9[[#This Row],[RTH(nom) (kΩ)]]*RT2_TH_S/(RT2_TH_S+Table9[[#This Row],[RTH(nom) (kΩ)]])</f>
        <v>0</v>
      </c>
      <c r="AI39" s="20">
        <f>Table9[[#This Row],[RTH(max) (kΩ)]]*RT2_TH_S_MAX/(RT2_TH_S_MAX+Table9[[#This Row],[RTH(max) (kΩ)]])</f>
        <v>0</v>
      </c>
      <c r="AJ39" s="20">
        <f>Table9[[#This Row],[RLower(min) (kΩ)]]/(Table9[[#This Row],[RLower(min) (kΩ)]]+RT1_TH_S_MAX)*100</f>
        <v>0</v>
      </c>
      <c r="AK39" s="20">
        <f>Table9[[#This Row],[RLower(nom) (kΩ)]]/(Table9[[#This Row],[RLower(nom) (kΩ)]]+RT1_TH_S)*100</f>
        <v>0</v>
      </c>
      <c r="AL39" s="20">
        <f>Table9[[#This Row],[RLower(max) (kΩ)]]/(Table9[[#This Row],[RLower(max) (kΩ)]]+RT1_TH_S_MIN)*100</f>
        <v>0</v>
      </c>
      <c r="AM39" s="20">
        <f>IF(Table9[[#This Row],[Vmin (%)]]&lt;$BA$14, 0, IF(Table9[[#This Row],[Vmin (%)]]&lt;$BA$12, 4, IF(Table9[[#This Row],[Vmin (%)]]&lt;$BA$9, 3, IF(Table9[[#This Row],[Vmin (%)]]&lt;$BA$7, 2, 0))))</f>
        <v>0</v>
      </c>
      <c r="AN39" s="20">
        <f>IF(Table9[[#This Row],[Vmin (%)]]&lt;$BA$13, 0, IF(Table9[[#This Row],[Vmin (%)]]&lt;$BA$11, 4, IF(Table9[[#This Row],[Vmin (%)]]&lt;$BA$10, 3, IF(Table9[[#This Row],[Vmin (%)]]&lt;$BA$8, 2, 0))))</f>
        <v>0</v>
      </c>
      <c r="AO39" s="76" t="str">
        <f>IF(Table9[[#This Row],[Vmin (%)]]&lt;$BA$14, "Hot", IF(Table9[[#This Row],[Vmin (%)]]&lt;$BA$12, "Warm", IF(Table9[[#This Row],[Vmin (%)]]&lt;$BA$9, "Normal", IF(Table9[[#This Row],[Vmin (%)]]&lt;$BA$7, "Cool", "Cold"))))</f>
        <v>Hot</v>
      </c>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row>
    <row r="40" spans="1:210" hidden="1" x14ac:dyDescent="0.2">
      <c r="A40" s="113">
        <f t="shared" si="5"/>
        <v>90</v>
      </c>
      <c r="B40" s="163"/>
      <c r="C40" s="172" t="str">
        <f t="shared" si="0"/>
        <v>RTH at 90 °C</v>
      </c>
      <c r="D40" s="196">
        <f t="shared" si="6"/>
        <v>2.9117647058823528</v>
      </c>
      <c r="E40" s="197">
        <v>0</v>
      </c>
      <c r="F40" s="198">
        <v>0</v>
      </c>
      <c r="G40" s="199">
        <v>0</v>
      </c>
      <c r="H40" s="128" t="s">
        <v>30</v>
      </c>
      <c r="I40" s="29"/>
      <c r="J40" s="29">
        <v>1.3049999999999999</v>
      </c>
      <c r="K40" s="29">
        <v>1.266</v>
      </c>
      <c r="L40" s="29">
        <v>1.2270000000000001</v>
      </c>
      <c r="M40" s="29"/>
      <c r="N40" s="29"/>
      <c r="O40" s="29"/>
      <c r="P40" s="29"/>
      <c r="Q40" s="29"/>
      <c r="R40" s="29"/>
      <c r="S40" s="29"/>
      <c r="T40" s="29"/>
      <c r="U40" s="29"/>
      <c r="V40" s="29"/>
      <c r="W40" s="29"/>
      <c r="X40" s="29"/>
      <c r="Y40" s="30"/>
      <c r="Z40" s="18"/>
      <c r="AA40" s="19"/>
      <c r="AB40" s="19"/>
      <c r="AC40" s="20">
        <f t="shared" si="1"/>
        <v>90</v>
      </c>
      <c r="AD40" s="20">
        <f t="shared" si="2"/>
        <v>0</v>
      </c>
      <c r="AE40" s="20">
        <f t="shared" si="3"/>
        <v>0</v>
      </c>
      <c r="AF40" s="20">
        <f t="shared" si="4"/>
        <v>0</v>
      </c>
      <c r="AG40" s="20">
        <f>Table9[[#This Row],[RTH(min) (kΩ)]]*RT2_TH_MIN/(RT2_TH_MIN+Table9[[#This Row],[RTH(min) (kΩ)]])</f>
        <v>0</v>
      </c>
      <c r="AH40" s="20">
        <f>Table9[[#This Row],[RTH(nom) (kΩ)]]*RT2_TH_S/(RT2_TH_S+Table9[[#This Row],[RTH(nom) (kΩ)]])</f>
        <v>0</v>
      </c>
      <c r="AI40" s="20">
        <f>Table9[[#This Row],[RTH(max) (kΩ)]]*RT2_TH_S_MAX/(RT2_TH_S_MAX+Table9[[#This Row],[RTH(max) (kΩ)]])</f>
        <v>0</v>
      </c>
      <c r="AJ40" s="20">
        <f>Table9[[#This Row],[RLower(min) (kΩ)]]/(Table9[[#This Row],[RLower(min) (kΩ)]]+RT1_TH_S_MAX)*100</f>
        <v>0</v>
      </c>
      <c r="AK40" s="20">
        <f>Table9[[#This Row],[RLower(nom) (kΩ)]]/(Table9[[#This Row],[RLower(nom) (kΩ)]]+RT1_TH_S)*100</f>
        <v>0</v>
      </c>
      <c r="AL40" s="20">
        <f>Table9[[#This Row],[RLower(max) (kΩ)]]/(Table9[[#This Row],[RLower(max) (kΩ)]]+RT1_TH_S_MIN)*100</f>
        <v>0</v>
      </c>
      <c r="AM40" s="20">
        <f>IF(Table9[[#This Row],[Vmin (%)]]&lt;$BA$14, 0, IF(Table9[[#This Row],[Vmin (%)]]&lt;$BA$12, 4, IF(Table9[[#This Row],[Vmin (%)]]&lt;$BA$9, 3, IF(Table9[[#This Row],[Vmin (%)]]&lt;$BA$7, 2, 0))))</f>
        <v>0</v>
      </c>
      <c r="AN40" s="20">
        <f>IF(Table9[[#This Row],[Vmin (%)]]&lt;$BA$13, 0, IF(Table9[[#This Row],[Vmin (%)]]&lt;$BA$11, 4, IF(Table9[[#This Row],[Vmin (%)]]&lt;$BA$10, 3, IF(Table9[[#This Row],[Vmin (%)]]&lt;$BA$8, 2, 0))))</f>
        <v>0</v>
      </c>
      <c r="AO40" s="76" t="str">
        <f>IF(Table9[[#This Row],[Vmin (%)]]&lt;$BA$14, "Hot", IF(Table9[[#This Row],[Vmin (%)]]&lt;$BA$12, "Warm", IF(Table9[[#This Row],[Vmin (%)]]&lt;$BA$9, "Normal", IF(Table9[[#This Row],[Vmin (%)]]&lt;$BA$7, "Cool", "Cold"))))</f>
        <v>Hot</v>
      </c>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row>
    <row r="41" spans="1:210" hidden="1" x14ac:dyDescent="0.2">
      <c r="A41" s="113">
        <f t="shared" si="5"/>
        <v>89</v>
      </c>
      <c r="B41" s="163"/>
      <c r="C41" s="172" t="str">
        <f t="shared" si="0"/>
        <v>RTH at 89 °C</v>
      </c>
      <c r="D41" s="196">
        <f t="shared" si="6"/>
        <v>2.8823529411764706</v>
      </c>
      <c r="E41" s="197">
        <v>0</v>
      </c>
      <c r="F41" s="198">
        <v>0</v>
      </c>
      <c r="G41" s="199">
        <v>0</v>
      </c>
      <c r="H41" s="128" t="s">
        <v>30</v>
      </c>
      <c r="I41" s="29"/>
      <c r="J41" s="29">
        <v>1.341</v>
      </c>
      <c r="K41" s="29">
        <v>1.3009999999999999</v>
      </c>
      <c r="L41" s="29">
        <v>1.2609999999999999</v>
      </c>
      <c r="M41" s="29"/>
      <c r="N41" s="29"/>
      <c r="O41" s="29"/>
      <c r="P41" s="29"/>
      <c r="Q41" s="29"/>
      <c r="R41" s="29"/>
      <c r="S41" s="29"/>
      <c r="T41" s="29"/>
      <c r="U41" s="29"/>
      <c r="V41" s="29"/>
      <c r="W41" s="29"/>
      <c r="X41" s="29"/>
      <c r="Y41" s="30"/>
      <c r="Z41" s="18"/>
      <c r="AA41" s="19"/>
      <c r="AB41" s="19"/>
      <c r="AC41" s="20">
        <f t="shared" si="1"/>
        <v>89</v>
      </c>
      <c r="AD41" s="20">
        <f t="shared" si="2"/>
        <v>0</v>
      </c>
      <c r="AE41" s="20">
        <f t="shared" si="3"/>
        <v>0</v>
      </c>
      <c r="AF41" s="20">
        <f t="shared" si="4"/>
        <v>0</v>
      </c>
      <c r="AG41" s="20">
        <f>Table9[[#This Row],[RTH(min) (kΩ)]]*RT2_TH_MIN/(RT2_TH_MIN+Table9[[#This Row],[RTH(min) (kΩ)]])</f>
        <v>0</v>
      </c>
      <c r="AH41" s="20">
        <f>Table9[[#This Row],[RTH(nom) (kΩ)]]*RT2_TH_S/(RT2_TH_S+Table9[[#This Row],[RTH(nom) (kΩ)]])</f>
        <v>0</v>
      </c>
      <c r="AI41" s="20">
        <f>Table9[[#This Row],[RTH(max) (kΩ)]]*RT2_TH_S_MAX/(RT2_TH_S_MAX+Table9[[#This Row],[RTH(max) (kΩ)]])</f>
        <v>0</v>
      </c>
      <c r="AJ41" s="20">
        <f>Table9[[#This Row],[RLower(min) (kΩ)]]/(Table9[[#This Row],[RLower(min) (kΩ)]]+RT1_TH_S_MAX)*100</f>
        <v>0</v>
      </c>
      <c r="AK41" s="20">
        <f>Table9[[#This Row],[RLower(nom) (kΩ)]]/(Table9[[#This Row],[RLower(nom) (kΩ)]]+RT1_TH_S)*100</f>
        <v>0</v>
      </c>
      <c r="AL41" s="20">
        <f>Table9[[#This Row],[RLower(max) (kΩ)]]/(Table9[[#This Row],[RLower(max) (kΩ)]]+RT1_TH_S_MIN)*100</f>
        <v>0</v>
      </c>
      <c r="AM41" s="20">
        <f>IF(Table9[[#This Row],[Vmin (%)]]&lt;$BA$14, 0, IF(Table9[[#This Row],[Vmin (%)]]&lt;$BA$12, 4, IF(Table9[[#This Row],[Vmin (%)]]&lt;$BA$9, 3, IF(Table9[[#This Row],[Vmin (%)]]&lt;$BA$7, 2, 0))))</f>
        <v>0</v>
      </c>
      <c r="AN41" s="20">
        <f>IF(Table9[[#This Row],[Vmin (%)]]&lt;$BA$13, 0, IF(Table9[[#This Row],[Vmin (%)]]&lt;$BA$11, 4, IF(Table9[[#This Row],[Vmin (%)]]&lt;$BA$10, 3, IF(Table9[[#This Row],[Vmin (%)]]&lt;$BA$8, 2, 0))))</f>
        <v>0</v>
      </c>
      <c r="AO41" s="76" t="str">
        <f>IF(Table9[[#This Row],[Vmin (%)]]&lt;$BA$14, "Hot", IF(Table9[[#This Row],[Vmin (%)]]&lt;$BA$12, "Warm", IF(Table9[[#This Row],[Vmin (%)]]&lt;$BA$9, "Normal", IF(Table9[[#This Row],[Vmin (%)]]&lt;$BA$7, "Cool", "Cold"))))</f>
        <v>Hot</v>
      </c>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row>
    <row r="42" spans="1:210" hidden="1" x14ac:dyDescent="0.2">
      <c r="A42" s="113">
        <f t="shared" si="5"/>
        <v>88</v>
      </c>
      <c r="B42" s="163"/>
      <c r="C42" s="172" t="str">
        <f t="shared" si="0"/>
        <v>RTH at 88 °C</v>
      </c>
      <c r="D42" s="196">
        <f t="shared" si="6"/>
        <v>2.8529411764705883</v>
      </c>
      <c r="E42" s="197">
        <v>0</v>
      </c>
      <c r="F42" s="198">
        <v>0</v>
      </c>
      <c r="G42" s="199">
        <v>0</v>
      </c>
      <c r="H42" s="128" t="s">
        <v>30</v>
      </c>
      <c r="I42" s="29"/>
      <c r="J42" s="29">
        <v>1.377</v>
      </c>
      <c r="K42" s="29">
        <v>1.3360000000000001</v>
      </c>
      <c r="L42" s="29">
        <v>1.296</v>
      </c>
      <c r="M42" s="29"/>
      <c r="N42" s="29"/>
      <c r="O42" s="29"/>
      <c r="P42" s="29"/>
      <c r="Q42" s="29"/>
      <c r="R42" s="29"/>
      <c r="S42" s="29"/>
      <c r="T42" s="29"/>
      <c r="U42" s="29"/>
      <c r="V42" s="29"/>
      <c r="W42" s="29"/>
      <c r="X42" s="29"/>
      <c r="Y42" s="30"/>
      <c r="Z42" s="18"/>
      <c r="AA42" s="19"/>
      <c r="AB42" s="19"/>
      <c r="AC42" s="20">
        <f t="shared" si="1"/>
        <v>88</v>
      </c>
      <c r="AD42" s="20">
        <f t="shared" si="2"/>
        <v>0</v>
      </c>
      <c r="AE42" s="20">
        <f t="shared" si="3"/>
        <v>0</v>
      </c>
      <c r="AF42" s="20">
        <f t="shared" si="4"/>
        <v>0</v>
      </c>
      <c r="AG42" s="20">
        <f>Table9[[#This Row],[RTH(min) (kΩ)]]*RT2_TH_MIN/(RT2_TH_MIN+Table9[[#This Row],[RTH(min) (kΩ)]])</f>
        <v>0</v>
      </c>
      <c r="AH42" s="20">
        <f>Table9[[#This Row],[RTH(nom) (kΩ)]]*RT2_TH_S/(RT2_TH_S+Table9[[#This Row],[RTH(nom) (kΩ)]])</f>
        <v>0</v>
      </c>
      <c r="AI42" s="20">
        <f>Table9[[#This Row],[RTH(max) (kΩ)]]*RT2_TH_S_MAX/(RT2_TH_S_MAX+Table9[[#This Row],[RTH(max) (kΩ)]])</f>
        <v>0</v>
      </c>
      <c r="AJ42" s="20">
        <f>Table9[[#This Row],[RLower(min) (kΩ)]]/(Table9[[#This Row],[RLower(min) (kΩ)]]+RT1_TH_S_MAX)*100</f>
        <v>0</v>
      </c>
      <c r="AK42" s="20">
        <f>Table9[[#This Row],[RLower(nom) (kΩ)]]/(Table9[[#This Row],[RLower(nom) (kΩ)]]+RT1_TH_S)*100</f>
        <v>0</v>
      </c>
      <c r="AL42" s="20">
        <f>Table9[[#This Row],[RLower(max) (kΩ)]]/(Table9[[#This Row],[RLower(max) (kΩ)]]+RT1_TH_S_MIN)*100</f>
        <v>0</v>
      </c>
      <c r="AM42" s="20">
        <f>IF(Table9[[#This Row],[Vmin (%)]]&lt;$BA$14, 0, IF(Table9[[#This Row],[Vmin (%)]]&lt;$BA$12, 4, IF(Table9[[#This Row],[Vmin (%)]]&lt;$BA$9, 3, IF(Table9[[#This Row],[Vmin (%)]]&lt;$BA$7, 2, 0))))</f>
        <v>0</v>
      </c>
      <c r="AN42" s="20">
        <f>IF(Table9[[#This Row],[Vmin (%)]]&lt;$BA$13, 0, IF(Table9[[#This Row],[Vmin (%)]]&lt;$BA$11, 4, IF(Table9[[#This Row],[Vmin (%)]]&lt;$BA$10, 3, IF(Table9[[#This Row],[Vmin (%)]]&lt;$BA$8, 2, 0))))</f>
        <v>0</v>
      </c>
      <c r="AO42" s="76" t="str">
        <f>IF(Table9[[#This Row],[Vmin (%)]]&lt;$BA$14, "Hot", IF(Table9[[#This Row],[Vmin (%)]]&lt;$BA$12, "Warm", IF(Table9[[#This Row],[Vmin (%)]]&lt;$BA$9, "Normal", IF(Table9[[#This Row],[Vmin (%)]]&lt;$BA$7, "Cool", "Cold"))))</f>
        <v>Hot</v>
      </c>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row>
    <row r="43" spans="1:210" hidden="1" x14ac:dyDescent="0.2">
      <c r="A43" s="113">
        <f t="shared" si="5"/>
        <v>87</v>
      </c>
      <c r="B43" s="163"/>
      <c r="C43" s="172" t="str">
        <f t="shared" si="0"/>
        <v>RTH at 87 °C</v>
      </c>
      <c r="D43" s="196">
        <f t="shared" si="6"/>
        <v>2.8235294117647056</v>
      </c>
      <c r="E43" s="197">
        <v>0</v>
      </c>
      <c r="F43" s="198">
        <v>0</v>
      </c>
      <c r="G43" s="199">
        <v>0</v>
      </c>
      <c r="H43" s="128" t="s">
        <v>30</v>
      </c>
      <c r="I43" s="29"/>
      <c r="J43" s="29">
        <v>1.415</v>
      </c>
      <c r="K43" s="29">
        <v>1.373</v>
      </c>
      <c r="L43" s="29">
        <v>1.3320000000000001</v>
      </c>
      <c r="M43" s="29"/>
      <c r="N43" s="29"/>
      <c r="O43" s="29"/>
      <c r="P43" s="29"/>
      <c r="Q43" s="29"/>
      <c r="R43" s="29"/>
      <c r="S43" s="29"/>
      <c r="T43" s="29"/>
      <c r="U43" s="29"/>
      <c r="V43" s="29"/>
      <c r="W43" s="29"/>
      <c r="X43" s="29"/>
      <c r="Y43" s="30"/>
      <c r="Z43" s="18"/>
      <c r="AA43" s="19"/>
      <c r="AB43" s="19"/>
      <c r="AC43" s="20">
        <f t="shared" si="1"/>
        <v>87</v>
      </c>
      <c r="AD43" s="20">
        <f t="shared" si="2"/>
        <v>0</v>
      </c>
      <c r="AE43" s="20">
        <f t="shared" si="3"/>
        <v>0</v>
      </c>
      <c r="AF43" s="20">
        <f t="shared" si="4"/>
        <v>0</v>
      </c>
      <c r="AG43" s="20">
        <f>Table9[[#This Row],[RTH(min) (kΩ)]]*RT2_TH_MIN/(RT2_TH_MIN+Table9[[#This Row],[RTH(min) (kΩ)]])</f>
        <v>0</v>
      </c>
      <c r="AH43" s="20">
        <f>Table9[[#This Row],[RTH(nom) (kΩ)]]*RT2_TH_S/(RT2_TH_S+Table9[[#This Row],[RTH(nom) (kΩ)]])</f>
        <v>0</v>
      </c>
      <c r="AI43" s="20">
        <f>Table9[[#This Row],[RTH(max) (kΩ)]]*RT2_TH_S_MAX/(RT2_TH_S_MAX+Table9[[#This Row],[RTH(max) (kΩ)]])</f>
        <v>0</v>
      </c>
      <c r="AJ43" s="20">
        <f>Table9[[#This Row],[RLower(min) (kΩ)]]/(Table9[[#This Row],[RLower(min) (kΩ)]]+RT1_TH_S_MAX)*100</f>
        <v>0</v>
      </c>
      <c r="AK43" s="20">
        <f>Table9[[#This Row],[RLower(nom) (kΩ)]]/(Table9[[#This Row],[RLower(nom) (kΩ)]]+RT1_TH_S)*100</f>
        <v>0</v>
      </c>
      <c r="AL43" s="20">
        <f>Table9[[#This Row],[RLower(max) (kΩ)]]/(Table9[[#This Row],[RLower(max) (kΩ)]]+RT1_TH_S_MIN)*100</f>
        <v>0</v>
      </c>
      <c r="AM43" s="20">
        <f>IF(Table9[[#This Row],[Vmin (%)]]&lt;$BA$14, 0, IF(Table9[[#This Row],[Vmin (%)]]&lt;$BA$12, 4, IF(Table9[[#This Row],[Vmin (%)]]&lt;$BA$9, 3, IF(Table9[[#This Row],[Vmin (%)]]&lt;$BA$7, 2, 0))))</f>
        <v>0</v>
      </c>
      <c r="AN43" s="20">
        <f>IF(Table9[[#This Row],[Vmin (%)]]&lt;$BA$13, 0, IF(Table9[[#This Row],[Vmin (%)]]&lt;$BA$11, 4, IF(Table9[[#This Row],[Vmin (%)]]&lt;$BA$10, 3, IF(Table9[[#This Row],[Vmin (%)]]&lt;$BA$8, 2, 0))))</f>
        <v>0</v>
      </c>
      <c r="AO43" s="76" t="str">
        <f>IF(Table9[[#This Row],[Vmin (%)]]&lt;$BA$14, "Hot", IF(Table9[[#This Row],[Vmin (%)]]&lt;$BA$12, "Warm", IF(Table9[[#This Row],[Vmin (%)]]&lt;$BA$9, "Normal", IF(Table9[[#This Row],[Vmin (%)]]&lt;$BA$7, "Cool", "Cold"))))</f>
        <v>Hot</v>
      </c>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row>
    <row r="44" spans="1:210" hidden="1" x14ac:dyDescent="0.2">
      <c r="A44" s="113">
        <f t="shared" si="5"/>
        <v>86</v>
      </c>
      <c r="B44" s="163"/>
      <c r="C44" s="172" t="str">
        <f t="shared" si="0"/>
        <v>RTH at 86 °C</v>
      </c>
      <c r="D44" s="196">
        <f t="shared" si="6"/>
        <v>2.7941176470588234</v>
      </c>
      <c r="E44" s="197">
        <v>0</v>
      </c>
      <c r="F44" s="198">
        <v>0</v>
      </c>
      <c r="G44" s="199">
        <v>0</v>
      </c>
      <c r="H44" s="128" t="s">
        <v>30</v>
      </c>
      <c r="I44" s="29"/>
      <c r="J44" s="29">
        <v>1.454</v>
      </c>
      <c r="K44" s="29">
        <v>1.4119999999999999</v>
      </c>
      <c r="L44" s="29">
        <v>1.37</v>
      </c>
      <c r="M44" s="29"/>
      <c r="N44" s="29"/>
      <c r="O44" s="29"/>
      <c r="P44" s="29"/>
      <c r="Q44" s="29"/>
      <c r="R44" s="29"/>
      <c r="S44" s="29"/>
      <c r="T44" s="29"/>
      <c r="U44" s="29"/>
      <c r="V44" s="29"/>
      <c r="W44" s="29"/>
      <c r="X44" s="29"/>
      <c r="Y44" s="30"/>
      <c r="Z44" s="18"/>
      <c r="AA44" s="19"/>
      <c r="AB44" s="19"/>
      <c r="AC44" s="20">
        <f t="shared" si="1"/>
        <v>86</v>
      </c>
      <c r="AD44" s="20">
        <f t="shared" si="2"/>
        <v>0</v>
      </c>
      <c r="AE44" s="20">
        <f t="shared" si="3"/>
        <v>0</v>
      </c>
      <c r="AF44" s="20">
        <f t="shared" si="4"/>
        <v>0</v>
      </c>
      <c r="AG44" s="20">
        <f>Table9[[#This Row],[RTH(min) (kΩ)]]*RT2_TH_MIN/(RT2_TH_MIN+Table9[[#This Row],[RTH(min) (kΩ)]])</f>
        <v>0</v>
      </c>
      <c r="AH44" s="20">
        <f>Table9[[#This Row],[RTH(nom) (kΩ)]]*RT2_TH_S/(RT2_TH_S+Table9[[#This Row],[RTH(nom) (kΩ)]])</f>
        <v>0</v>
      </c>
      <c r="AI44" s="20">
        <f>Table9[[#This Row],[RTH(max) (kΩ)]]*RT2_TH_S_MAX/(RT2_TH_S_MAX+Table9[[#This Row],[RTH(max) (kΩ)]])</f>
        <v>0</v>
      </c>
      <c r="AJ44" s="20">
        <f>Table9[[#This Row],[RLower(min) (kΩ)]]/(Table9[[#This Row],[RLower(min) (kΩ)]]+RT1_TH_S_MAX)*100</f>
        <v>0</v>
      </c>
      <c r="AK44" s="20">
        <f>Table9[[#This Row],[RLower(nom) (kΩ)]]/(Table9[[#This Row],[RLower(nom) (kΩ)]]+RT1_TH_S)*100</f>
        <v>0</v>
      </c>
      <c r="AL44" s="20">
        <f>Table9[[#This Row],[RLower(max) (kΩ)]]/(Table9[[#This Row],[RLower(max) (kΩ)]]+RT1_TH_S_MIN)*100</f>
        <v>0</v>
      </c>
      <c r="AM44" s="20">
        <f>IF(Table9[[#This Row],[Vmin (%)]]&lt;$BA$14, 0, IF(Table9[[#This Row],[Vmin (%)]]&lt;$BA$12, 4, IF(Table9[[#This Row],[Vmin (%)]]&lt;$BA$9, 3, IF(Table9[[#This Row],[Vmin (%)]]&lt;$BA$7, 2, 0))))</f>
        <v>0</v>
      </c>
      <c r="AN44" s="20">
        <f>IF(Table9[[#This Row],[Vmin (%)]]&lt;$BA$13, 0, IF(Table9[[#This Row],[Vmin (%)]]&lt;$BA$11, 4, IF(Table9[[#This Row],[Vmin (%)]]&lt;$BA$10, 3, IF(Table9[[#This Row],[Vmin (%)]]&lt;$BA$8, 2, 0))))</f>
        <v>0</v>
      </c>
      <c r="AO44" s="76" t="str">
        <f>IF(Table9[[#This Row],[Vmin (%)]]&lt;$BA$14, "Hot", IF(Table9[[#This Row],[Vmin (%)]]&lt;$BA$12, "Warm", IF(Table9[[#This Row],[Vmin (%)]]&lt;$BA$9, "Normal", IF(Table9[[#This Row],[Vmin (%)]]&lt;$BA$7, "Cool", "Cold"))))</f>
        <v>Hot</v>
      </c>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row>
    <row r="45" spans="1:210" x14ac:dyDescent="0.2">
      <c r="A45" s="113">
        <f t="shared" si="5"/>
        <v>85</v>
      </c>
      <c r="B45" s="163"/>
      <c r="C45" s="172" t="str">
        <f t="shared" si="0"/>
        <v>RTH at 85 °C</v>
      </c>
      <c r="D45" s="196">
        <f t="shared" si="6"/>
        <v>2.7647058823529411</v>
      </c>
      <c r="E45" s="197">
        <v>1.409</v>
      </c>
      <c r="F45" s="198">
        <v>1.4510000000000001</v>
      </c>
      <c r="G45" s="199">
        <v>1.494</v>
      </c>
      <c r="H45" s="128" t="s">
        <v>30</v>
      </c>
      <c r="I45" s="29"/>
      <c r="J45" s="29">
        <v>1.494</v>
      </c>
      <c r="K45" s="29">
        <v>1.4510000000000001</v>
      </c>
      <c r="L45" s="29">
        <v>1.409</v>
      </c>
      <c r="M45" s="29"/>
      <c r="N45" s="29"/>
      <c r="O45" s="29"/>
      <c r="P45" s="29"/>
      <c r="Q45" s="29"/>
      <c r="R45" s="29"/>
      <c r="S45" s="29"/>
      <c r="T45" s="29"/>
      <c r="U45" s="29"/>
      <c r="V45" s="29"/>
      <c r="W45" s="29"/>
      <c r="X45" s="29"/>
      <c r="Y45" s="30"/>
      <c r="Z45" s="18"/>
      <c r="AA45" s="19"/>
      <c r="AB45" s="19"/>
      <c r="AC45" s="20">
        <f t="shared" si="1"/>
        <v>85</v>
      </c>
      <c r="AD45" s="20">
        <f t="shared" si="2"/>
        <v>1.409</v>
      </c>
      <c r="AE45" s="20">
        <f t="shared" si="3"/>
        <v>1.4510000000000001</v>
      </c>
      <c r="AF45" s="20">
        <f t="shared" si="4"/>
        <v>1.494</v>
      </c>
      <c r="AG45" s="20">
        <f>Table9[[#This Row],[RTH(min) (kΩ)]]*RT2_TH_MIN/(RT2_TH_MIN+Table9[[#This Row],[RTH(min) (kΩ)]])</f>
        <v>1.3467338133363211</v>
      </c>
      <c r="AH45" s="20">
        <f>Table9[[#This Row],[RTH(nom) (kΩ)]]*RT2_TH_S/(RT2_TH_S+Table9[[#This Row],[RTH(nom) (kΩ)]])</f>
        <v>1.385116202752753</v>
      </c>
      <c r="AI45" s="20">
        <f>Table9[[#This Row],[RTH(max) (kΩ)]]*RT2_TH_S_MAX/(RT2_TH_S_MAX+Table9[[#This Row],[RTH(max) (kΩ)]])</f>
        <v>1.424313735885735</v>
      </c>
      <c r="AJ45" s="20">
        <f>Table9[[#This Row],[RLower(min) (kΩ)]]/(Table9[[#This Row],[RLower(min) (kΩ)]]+RT1_TH_S_MAX)*100</f>
        <v>20.451669141954675</v>
      </c>
      <c r="AK45" s="20">
        <f>Table9[[#This Row],[RLower(nom) (kΩ)]]/(Table9[[#This Row],[RLower(nom) (kΩ)]]+RT1_TH_S)*100</f>
        <v>20.929189110890288</v>
      </c>
      <c r="AL45" s="20">
        <f>Table9[[#This Row],[RLower(max) (kΩ)]]/(Table9[[#This Row],[RLower(max) (kΩ)]]+RT1_TH_S_MIN)*100</f>
        <v>21.411580618877334</v>
      </c>
      <c r="AM45" s="20">
        <f>IF(Table9[[#This Row],[Vmin (%)]]&lt;$BA$14, 0, IF(Table9[[#This Row],[Vmin (%)]]&lt;$BA$12, 4, IF(Table9[[#This Row],[Vmin (%)]]&lt;$BA$9, 3, IF(Table9[[#This Row],[Vmin (%)]]&lt;$BA$7, 2, 0))))</f>
        <v>0</v>
      </c>
      <c r="AN45" s="20">
        <f>IF(Table9[[#This Row],[Vmin (%)]]&lt;$BA$13, 0, IF(Table9[[#This Row],[Vmin (%)]]&lt;$BA$11, 4, IF(Table9[[#This Row],[Vmin (%)]]&lt;$BA$10, 3, IF(Table9[[#This Row],[Vmin (%)]]&lt;$BA$8, 2, 0))))</f>
        <v>0</v>
      </c>
      <c r="AO45" s="76" t="str">
        <f>IF(Table9[[#This Row],[Vmin (%)]]&lt;$BA$14, "Hot", IF(Table9[[#This Row],[Vmin (%)]]&lt;$BA$12, "Warm", IF(Table9[[#This Row],[Vmin (%)]]&lt;$BA$9, "Normal", IF(Table9[[#This Row],[Vmin (%)]]&lt;$BA$7, "Cool", "Cold"))))</f>
        <v>Hot</v>
      </c>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row>
    <row r="46" spans="1:210" x14ac:dyDescent="0.2">
      <c r="A46" s="113">
        <f t="shared" si="5"/>
        <v>84</v>
      </c>
      <c r="B46" s="163"/>
      <c r="C46" s="172" t="str">
        <f t="shared" si="0"/>
        <v>RTH at 84 °C</v>
      </c>
      <c r="D46" s="196">
        <f t="shared" si="6"/>
        <v>2.7352941176470589</v>
      </c>
      <c r="E46" s="197">
        <v>1.448</v>
      </c>
      <c r="F46" s="198">
        <v>1.492</v>
      </c>
      <c r="G46" s="199">
        <v>1.5349999999999999</v>
      </c>
      <c r="H46" s="128" t="s">
        <v>30</v>
      </c>
      <c r="I46" s="29"/>
      <c r="J46" s="29">
        <v>1.5349999999999999</v>
      </c>
      <c r="K46" s="29">
        <v>1.492</v>
      </c>
      <c r="L46" s="29">
        <v>1.448</v>
      </c>
      <c r="M46" s="29"/>
      <c r="N46" s="29"/>
      <c r="O46" s="29"/>
      <c r="P46" s="29"/>
      <c r="Q46" s="29"/>
      <c r="R46" s="29"/>
      <c r="S46" s="29"/>
      <c r="T46" s="29"/>
      <c r="U46" s="29"/>
      <c r="V46" s="29"/>
      <c r="W46" s="29"/>
      <c r="X46" s="29"/>
      <c r="Y46" s="30"/>
      <c r="Z46" s="18"/>
      <c r="AA46" s="19"/>
      <c r="AB46" s="19"/>
      <c r="AC46" s="20">
        <f t="shared" si="1"/>
        <v>84</v>
      </c>
      <c r="AD46" s="20">
        <f t="shared" si="2"/>
        <v>1.448</v>
      </c>
      <c r="AE46" s="20">
        <f t="shared" si="3"/>
        <v>1.492</v>
      </c>
      <c r="AF46" s="20">
        <f t="shared" si="4"/>
        <v>1.5349999999999999</v>
      </c>
      <c r="AG46" s="20">
        <f>Table9[[#This Row],[RTH(min) (kΩ)]]*RT2_TH_MIN/(RT2_TH_MIN+Table9[[#This Row],[RTH(min) (kΩ)]])</f>
        <v>1.3823194916359356</v>
      </c>
      <c r="AH46" s="20">
        <f>Table9[[#This Row],[RTH(nom) (kΩ)]]*RT2_TH_S/(RT2_TH_S+Table9[[#This Row],[RTH(nom) (kΩ)]])</f>
        <v>1.4224295841289731</v>
      </c>
      <c r="AI46" s="20">
        <f>Table9[[#This Row],[RTH(max) (kΩ)]]*RT2_TH_S_MAX/(RT2_TH_S_MAX+Table9[[#This Row],[RTH(max) (kΩ)]])</f>
        <v>1.4615304837368515</v>
      </c>
      <c r="AJ46" s="20">
        <f>Table9[[#This Row],[RLower(min) (kΩ)]]/(Table9[[#This Row],[RLower(min) (kΩ)]]+RT1_TH_S_MAX)*100</f>
        <v>20.879244499744097</v>
      </c>
      <c r="AK46" s="20">
        <f>Table9[[#This Row],[RLower(nom) (kΩ)]]/(Table9[[#This Row],[RLower(nom) (kΩ)]]+RT1_TH_S)*100</f>
        <v>21.372496820756719</v>
      </c>
      <c r="AL46" s="20">
        <f>Table9[[#This Row],[RLower(max) (kΩ)]]/(Table9[[#This Row],[RLower(max) (kΩ)]]+RT1_TH_S_MIN)*100</f>
        <v>21.848817752119835</v>
      </c>
      <c r="AM46" s="20">
        <f>IF(Table9[[#This Row],[Vmin (%)]]&lt;$BA$14, 0, IF(Table9[[#This Row],[Vmin (%)]]&lt;$BA$12, 4, IF(Table9[[#This Row],[Vmin (%)]]&lt;$BA$9, 3, IF(Table9[[#This Row],[Vmin (%)]]&lt;$BA$7, 2, 0))))</f>
        <v>0</v>
      </c>
      <c r="AN46" s="20">
        <f>IF(Table9[[#This Row],[Vmin (%)]]&lt;$BA$13, 0, IF(Table9[[#This Row],[Vmin (%)]]&lt;$BA$11, 4, IF(Table9[[#This Row],[Vmin (%)]]&lt;$BA$10, 3, IF(Table9[[#This Row],[Vmin (%)]]&lt;$BA$8, 2, 0))))</f>
        <v>0</v>
      </c>
      <c r="AO46" s="76" t="str">
        <f>IF(Table9[[#This Row],[Vmin (%)]]&lt;$BA$14, "Hot", IF(Table9[[#This Row],[Vmin (%)]]&lt;$BA$12, "Warm", IF(Table9[[#This Row],[Vmin (%)]]&lt;$BA$9, "Normal", IF(Table9[[#This Row],[Vmin (%)]]&lt;$BA$7, "Cool", "Cold"))))</f>
        <v>Hot</v>
      </c>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row>
    <row r="47" spans="1:210" x14ac:dyDescent="0.2">
      <c r="A47" s="113">
        <f t="shared" si="5"/>
        <v>83</v>
      </c>
      <c r="B47" s="163"/>
      <c r="C47" s="172" t="str">
        <f t="shared" si="0"/>
        <v>RTH at 83 °C</v>
      </c>
      <c r="D47" s="196">
        <f t="shared" si="6"/>
        <v>2.7058823529411766</v>
      </c>
      <c r="E47" s="197">
        <v>1.4890000000000001</v>
      </c>
      <c r="F47" s="198">
        <v>1.5329999999999999</v>
      </c>
      <c r="G47" s="199">
        <v>1.5780000000000001</v>
      </c>
      <c r="H47" s="128" t="s">
        <v>30</v>
      </c>
      <c r="I47" s="29"/>
      <c r="J47" s="29">
        <v>1.5780000000000001</v>
      </c>
      <c r="K47" s="29">
        <v>1.5329999999999999</v>
      </c>
      <c r="L47" s="29">
        <v>1.4890000000000001</v>
      </c>
      <c r="M47" s="29"/>
      <c r="N47" s="29"/>
      <c r="O47" s="29"/>
      <c r="P47" s="29"/>
      <c r="Q47" s="29"/>
      <c r="R47" s="29"/>
      <c r="S47" s="29"/>
      <c r="T47" s="29"/>
      <c r="U47" s="29"/>
      <c r="V47" s="29"/>
      <c r="W47" s="29"/>
      <c r="X47" s="29"/>
      <c r="Y47" s="30"/>
      <c r="Z47" s="18"/>
      <c r="AA47" s="19"/>
      <c r="AB47" s="19"/>
      <c r="AC47" s="20">
        <f t="shared" si="1"/>
        <v>83</v>
      </c>
      <c r="AD47" s="20">
        <f t="shared" si="2"/>
        <v>1.4890000000000001</v>
      </c>
      <c r="AE47" s="20">
        <f t="shared" si="3"/>
        <v>1.5329999999999999</v>
      </c>
      <c r="AF47" s="20">
        <f t="shared" si="4"/>
        <v>1.5780000000000001</v>
      </c>
      <c r="AG47" s="20">
        <f>Table9[[#This Row],[RTH(min) (kΩ)]]*RT2_TH_MIN/(RT2_TH_MIN+Table9[[#This Row],[RTH(min) (kΩ)]])</f>
        <v>1.4196364440539213</v>
      </c>
      <c r="AH47" s="20">
        <f>Table9[[#This Row],[RTH(nom) (kΩ)]]*RT2_TH_S/(RT2_TH_S+Table9[[#This Row],[RTH(nom) (kΩ)]])</f>
        <v>1.4596474642055715</v>
      </c>
      <c r="AI47" s="20">
        <f>Table9[[#This Row],[RTH(max) (kΩ)]]*RT2_TH_S_MAX/(RT2_TH_S_MAX+Table9[[#This Row],[RTH(max) (kΩ)]])</f>
        <v>1.5004605862105524</v>
      </c>
      <c r="AJ47" s="20">
        <f>Table9[[#This Row],[RLower(min) (kΩ)]]/(Table9[[#This Row],[RLower(min) (kΩ)]]+RT1_TH_S_MAX)*100</f>
        <v>21.322712101972595</v>
      </c>
      <c r="AK47" s="20">
        <f>Table9[[#This Row],[RLower(nom) (kΩ)]]/(Table9[[#This Row],[RLower(nom) (kΩ)]]+RT1_TH_S)*100</f>
        <v>21.809745737682956</v>
      </c>
      <c r="AL47" s="20">
        <f>Table9[[#This Row],[RLower(max) (kΩ)]]/(Table9[[#This Row],[RLower(max) (kΩ)]]+RT1_TH_S_MIN)*100</f>
        <v>22.301007796776634</v>
      </c>
      <c r="AM47" s="20">
        <f>IF(Table9[[#This Row],[Vmin (%)]]&lt;$BA$14, 0, IF(Table9[[#This Row],[Vmin (%)]]&lt;$BA$12, 4, IF(Table9[[#This Row],[Vmin (%)]]&lt;$BA$9, 3, IF(Table9[[#This Row],[Vmin (%)]]&lt;$BA$7, 2, 0))))</f>
        <v>0</v>
      </c>
      <c r="AN47" s="20">
        <f>IF(Table9[[#This Row],[Vmin (%)]]&lt;$BA$13, 0, IF(Table9[[#This Row],[Vmin (%)]]&lt;$BA$11, 4, IF(Table9[[#This Row],[Vmin (%)]]&lt;$BA$10, 3, IF(Table9[[#This Row],[Vmin (%)]]&lt;$BA$8, 2, 0))))</f>
        <v>0</v>
      </c>
      <c r="AO47" s="76" t="str">
        <f>IF(Table9[[#This Row],[Vmin (%)]]&lt;$BA$14, "Hot", IF(Table9[[#This Row],[Vmin (%)]]&lt;$BA$12, "Warm", IF(Table9[[#This Row],[Vmin (%)]]&lt;$BA$9, "Normal", IF(Table9[[#This Row],[Vmin (%)]]&lt;$BA$7, "Cool", "Cold"))))</f>
        <v>Hot</v>
      </c>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row>
    <row r="48" spans="1:210" x14ac:dyDescent="0.2">
      <c r="A48" s="113">
        <f t="shared" si="5"/>
        <v>82</v>
      </c>
      <c r="B48" s="163"/>
      <c r="C48" s="172" t="str">
        <f t="shared" si="0"/>
        <v>RTH at 82 °C</v>
      </c>
      <c r="D48" s="196">
        <f t="shared" si="6"/>
        <v>2.6764705882352944</v>
      </c>
      <c r="E48" s="197">
        <v>1.532</v>
      </c>
      <c r="F48" s="198">
        <v>1.577</v>
      </c>
      <c r="G48" s="199">
        <v>1.6220000000000001</v>
      </c>
      <c r="H48" s="128" t="s">
        <v>30</v>
      </c>
      <c r="I48" s="29"/>
      <c r="J48" s="29">
        <v>1.6220000000000001</v>
      </c>
      <c r="K48" s="29">
        <v>1.577</v>
      </c>
      <c r="L48" s="29">
        <v>1.532</v>
      </c>
      <c r="M48" s="29"/>
      <c r="N48" s="29"/>
      <c r="O48" s="29"/>
      <c r="P48" s="29"/>
      <c r="Q48" s="29"/>
      <c r="R48" s="29"/>
      <c r="S48" s="29"/>
      <c r="T48" s="29"/>
      <c r="U48" s="29"/>
      <c r="V48" s="29"/>
      <c r="W48" s="29"/>
      <c r="X48" s="29"/>
      <c r="Y48" s="30"/>
      <c r="Z48" s="18"/>
      <c r="AA48" s="19"/>
      <c r="AB48" s="19"/>
      <c r="AC48" s="20">
        <f t="shared" si="1"/>
        <v>82</v>
      </c>
      <c r="AD48" s="20">
        <f t="shared" si="2"/>
        <v>1.532</v>
      </c>
      <c r="AE48" s="20">
        <f t="shared" si="3"/>
        <v>1.577</v>
      </c>
      <c r="AF48" s="20">
        <f t="shared" si="4"/>
        <v>1.6220000000000001</v>
      </c>
      <c r="AG48" s="20">
        <f>Table9[[#This Row],[RTH(min) (kΩ)]]*RT2_TH_MIN/(RT2_TH_MIN+Table9[[#This Row],[RTH(min) (kΩ)]])</f>
        <v>1.4586710219658894</v>
      </c>
      <c r="AH48" s="20">
        <f>Table9[[#This Row],[RTH(nom) (kΩ)]]*RT2_TH_S/(RT2_TH_S+Table9[[#This Row],[RTH(nom) (kΩ)]])</f>
        <v>1.4994827822379848</v>
      </c>
      <c r="AI48" s="20">
        <f>Table9[[#This Row],[RTH(max) (kΩ)]]*RT2_TH_S_MAX/(RT2_TH_S_MAX+Table9[[#This Row],[RTH(max) (kΩ)]])</f>
        <v>1.5401882686585244</v>
      </c>
      <c r="AJ48" s="20">
        <f>Table9[[#This Row],[RLower(min) (kΩ)]]/(Table9[[#This Row],[RLower(min) (kΩ)]]+RT1_TH_S_MAX)*100</f>
        <v>21.7813029341443</v>
      </c>
      <c r="AK48" s="20">
        <f>Table9[[#This Row],[RLower(nom) (kΩ)]]/(Table9[[#This Row],[RLower(nom) (kΩ)]]+RT1_TH_S)*100</f>
        <v>22.272388991618705</v>
      </c>
      <c r="AL48" s="20">
        <f>Table9[[#This Row],[RLower(max) (kΩ)]]/(Table9[[#This Row],[RLower(max) (kΩ)]]+RT1_TH_S_MIN)*100</f>
        <v>22.757099008976827</v>
      </c>
      <c r="AM48" s="20">
        <f>IF(Table9[[#This Row],[Vmin (%)]]&lt;$BA$14, 0, IF(Table9[[#This Row],[Vmin (%)]]&lt;$BA$12, 4, IF(Table9[[#This Row],[Vmin (%)]]&lt;$BA$9, 3, IF(Table9[[#This Row],[Vmin (%)]]&lt;$BA$7, 2, 0))))</f>
        <v>0</v>
      </c>
      <c r="AN48" s="20">
        <f>IF(Table9[[#This Row],[Vmin (%)]]&lt;$BA$13, 0, IF(Table9[[#This Row],[Vmin (%)]]&lt;$BA$11, 4, IF(Table9[[#This Row],[Vmin (%)]]&lt;$BA$10, 3, IF(Table9[[#This Row],[Vmin (%)]]&lt;$BA$8, 2, 0))))</f>
        <v>0</v>
      </c>
      <c r="AO48" s="76" t="str">
        <f>IF(Table9[[#This Row],[Vmin (%)]]&lt;$BA$14, "Hot", IF(Table9[[#This Row],[Vmin (%)]]&lt;$BA$12, "Warm", IF(Table9[[#This Row],[Vmin (%)]]&lt;$BA$9, "Normal", IF(Table9[[#This Row],[Vmin (%)]]&lt;$BA$7, "Cool", "Cold"))))</f>
        <v>Hot</v>
      </c>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row>
    <row r="49" spans="1:210" x14ac:dyDescent="0.2">
      <c r="A49" s="113">
        <f t="shared" si="5"/>
        <v>81</v>
      </c>
      <c r="B49" s="163"/>
      <c r="C49" s="172" t="str">
        <f t="shared" si="0"/>
        <v>RTH at 81 °C</v>
      </c>
      <c r="D49" s="196">
        <f t="shared" si="6"/>
        <v>2.6470588235294117</v>
      </c>
      <c r="E49" s="197">
        <v>1.5760000000000001</v>
      </c>
      <c r="F49" s="198">
        <v>1.6220000000000001</v>
      </c>
      <c r="G49" s="199">
        <v>1.6679999999999999</v>
      </c>
      <c r="H49" s="128" t="s">
        <v>30</v>
      </c>
      <c r="I49" s="29"/>
      <c r="J49" s="29">
        <v>1.6679999999999999</v>
      </c>
      <c r="K49" s="29">
        <v>1.6220000000000001</v>
      </c>
      <c r="L49" s="29">
        <v>1.5760000000000001</v>
      </c>
      <c r="M49" s="29"/>
      <c r="N49" s="29"/>
      <c r="O49" s="29"/>
      <c r="P49" s="29"/>
      <c r="Q49" s="29"/>
      <c r="R49" s="29"/>
      <c r="S49" s="29"/>
      <c r="T49" s="29"/>
      <c r="U49" s="29"/>
      <c r="V49" s="29"/>
      <c r="W49" s="29"/>
      <c r="X49" s="29"/>
      <c r="Y49" s="30"/>
      <c r="Z49" s="18"/>
      <c r="AA49" s="19"/>
      <c r="AB49" s="19"/>
      <c r="AC49" s="20">
        <f t="shared" si="1"/>
        <v>81</v>
      </c>
      <c r="AD49" s="20">
        <f t="shared" si="2"/>
        <v>1.5760000000000001</v>
      </c>
      <c r="AE49" s="20">
        <f t="shared" si="3"/>
        <v>1.6220000000000001</v>
      </c>
      <c r="AF49" s="20">
        <f t="shared" si="4"/>
        <v>1.6679999999999999</v>
      </c>
      <c r="AG49" s="20">
        <f>Table9[[#This Row],[RTH(min) (kΩ)]]*RT2_TH_MIN/(RT2_TH_MIN+Table9[[#This Row],[RTH(min) (kΩ)]])</f>
        <v>1.4985049595009423</v>
      </c>
      <c r="AH49" s="20">
        <f>Table9[[#This Row],[RTH(nom) (kΩ)]]*RT2_TH_S/(RT2_TH_S+Table9[[#This Row],[RTH(nom) (kΩ)]])</f>
        <v>1.5401105873307765</v>
      </c>
      <c r="AI49" s="20">
        <f>Table9[[#This Row],[RTH(max) (kΩ)]]*RT2_TH_S_MAX/(RT2_TH_S_MAX+Table9[[#This Row],[RTH(max) (kΩ)]])</f>
        <v>1.5816056811114765</v>
      </c>
      <c r="AJ49" s="20">
        <f>Table9[[#This Row],[RLower(min) (kΩ)]]/(Table9[[#This Row],[RLower(min) (kΩ)]]+RT1_TH_S_MAX)*100</f>
        <v>22.243806123439537</v>
      </c>
      <c r="AK49" s="20">
        <f>Table9[[#This Row],[RLower(nom) (kΩ)]]/(Table9[[#This Row],[RLower(nom) (kΩ)]]+RT1_TH_S)*100</f>
        <v>22.738630656712367</v>
      </c>
      <c r="AL49" s="20">
        <f>Table9[[#This Row],[RLower(max) (kΩ)]]/(Table9[[#This Row],[RLower(max) (kΩ)]]+RT1_TH_S_MIN)*100</f>
        <v>23.226922793708056</v>
      </c>
      <c r="AM49" s="20">
        <f>IF(Table9[[#This Row],[Vmin (%)]]&lt;$BA$14, 0, IF(Table9[[#This Row],[Vmin (%)]]&lt;$BA$12, 4, IF(Table9[[#This Row],[Vmin (%)]]&lt;$BA$9, 3, IF(Table9[[#This Row],[Vmin (%)]]&lt;$BA$7, 2, 0))))</f>
        <v>0</v>
      </c>
      <c r="AN49" s="20">
        <f>IF(Table9[[#This Row],[Vmin (%)]]&lt;$BA$13, 0, IF(Table9[[#This Row],[Vmin (%)]]&lt;$BA$11, 4, IF(Table9[[#This Row],[Vmin (%)]]&lt;$BA$10, 3, IF(Table9[[#This Row],[Vmin (%)]]&lt;$BA$8, 2, 0))))</f>
        <v>0</v>
      </c>
      <c r="AO49" s="76" t="str">
        <f>IF(Table9[[#This Row],[Vmin (%)]]&lt;$BA$14, "Hot", IF(Table9[[#This Row],[Vmin (%)]]&lt;$BA$12, "Warm", IF(Table9[[#This Row],[Vmin (%)]]&lt;$BA$9, "Normal", IF(Table9[[#This Row],[Vmin (%)]]&lt;$BA$7, "Cool", "Cold"))))</f>
        <v>Hot</v>
      </c>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row>
    <row r="50" spans="1:210" x14ac:dyDescent="0.2">
      <c r="A50" s="113">
        <f t="shared" si="5"/>
        <v>80</v>
      </c>
      <c r="B50" s="163"/>
      <c r="C50" s="172" t="str">
        <f t="shared" si="0"/>
        <v>RTH at 80 °C</v>
      </c>
      <c r="D50" s="196">
        <f t="shared" si="6"/>
        <v>2.6176470588235294</v>
      </c>
      <c r="E50" s="197">
        <v>1.621</v>
      </c>
      <c r="F50" s="198">
        <v>1.6679999999999999</v>
      </c>
      <c r="G50" s="199">
        <v>1.7150000000000001</v>
      </c>
      <c r="H50" s="128" t="s">
        <v>30</v>
      </c>
      <c r="I50" s="29"/>
      <c r="J50" s="29">
        <v>1.7150000000000001</v>
      </c>
      <c r="K50" s="29">
        <v>1.6679999999999999</v>
      </c>
      <c r="L50" s="29">
        <v>1.621</v>
      </c>
      <c r="M50" s="29"/>
      <c r="N50" s="29"/>
      <c r="O50" s="29"/>
      <c r="P50" s="29"/>
      <c r="Q50" s="29"/>
      <c r="R50" s="29"/>
      <c r="S50" s="29"/>
      <c r="T50" s="29"/>
      <c r="U50" s="29"/>
      <c r="V50" s="29"/>
      <c r="W50" s="29"/>
      <c r="X50" s="29"/>
      <c r="Y50" s="30"/>
      <c r="Z50" s="18"/>
      <c r="AA50" s="19"/>
      <c r="AB50" s="19"/>
      <c r="AC50" s="20">
        <f t="shared" si="1"/>
        <v>80</v>
      </c>
      <c r="AD50" s="20">
        <f t="shared" si="2"/>
        <v>1.621</v>
      </c>
      <c r="AE50" s="20">
        <f t="shared" si="3"/>
        <v>1.6679999999999999</v>
      </c>
      <c r="AF50" s="20">
        <f t="shared" si="4"/>
        <v>1.7150000000000001</v>
      </c>
      <c r="AG50" s="20">
        <f>Table9[[#This Row],[RTH(min) (kΩ)]]*RT2_TH_MIN/(RT2_TH_MIN+Table9[[#This Row],[RTH(min) (kΩ)]])</f>
        <v>1.5391312458518158</v>
      </c>
      <c r="AH50" s="20">
        <f>Table9[[#This Row],[RTH(nom) (kΩ)]]*RT2_TH_S/(RT2_TH_S+Table9[[#This Row],[RTH(nom) (kΩ)]])</f>
        <v>1.5815237658425578</v>
      </c>
      <c r="AI50" s="20">
        <f>Table9[[#This Row],[RTH(max) (kΩ)]]*RT2_TH_S_MAX/(RT2_TH_S_MAX+Table9[[#This Row],[RTH(max) (kΩ)]])</f>
        <v>1.6238014423636704</v>
      </c>
      <c r="AJ50" s="20">
        <f>Table9[[#This Row],[RLower(min) (kΩ)]]/(Table9[[#This Row],[RLower(min) (kΩ)]]+RT1_TH_S_MAX)*100</f>
        <v>22.709909082349991</v>
      </c>
      <c r="AK50" s="20">
        <f>Table9[[#This Row],[RLower(nom) (kΩ)]]/(Table9[[#This Row],[RLower(nom) (kΩ)]]+RT1_TH_S)*100</f>
        <v>23.208163546681558</v>
      </c>
      <c r="AL50" s="20">
        <f>Table9[[#This Row],[RLower(max) (kΩ)]]/(Table9[[#This Row],[RLower(max) (kΩ)]]+RT1_TH_S_MIN)*100</f>
        <v>23.699734624363884</v>
      </c>
      <c r="AM50" s="20">
        <f>IF(Table9[[#This Row],[Vmin (%)]]&lt;$BA$14, 0, IF(Table9[[#This Row],[Vmin (%)]]&lt;$BA$12, 4, IF(Table9[[#This Row],[Vmin (%)]]&lt;$BA$9, 3, IF(Table9[[#This Row],[Vmin (%)]]&lt;$BA$7, 2, 0))))</f>
        <v>0</v>
      </c>
      <c r="AN50" s="20">
        <f>IF(Table9[[#This Row],[Vmin (%)]]&lt;$BA$13, 0, IF(Table9[[#This Row],[Vmin (%)]]&lt;$BA$11, 4, IF(Table9[[#This Row],[Vmin (%)]]&lt;$BA$10, 3, IF(Table9[[#This Row],[Vmin (%)]]&lt;$BA$8, 2, 0))))</f>
        <v>0</v>
      </c>
      <c r="AO50" s="76" t="str">
        <f>IF(Table9[[#This Row],[Vmin (%)]]&lt;$BA$14, "Hot", IF(Table9[[#This Row],[Vmin (%)]]&lt;$BA$12, "Warm", IF(Table9[[#This Row],[Vmin (%)]]&lt;$BA$9, "Normal", IF(Table9[[#This Row],[Vmin (%)]]&lt;$BA$7, "Cool", "Cold"))))</f>
        <v>Hot</v>
      </c>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row>
    <row r="51" spans="1:210" x14ac:dyDescent="0.2">
      <c r="A51" s="113">
        <f t="shared" si="5"/>
        <v>79</v>
      </c>
      <c r="B51" s="163"/>
      <c r="C51" s="172" t="str">
        <f t="shared" si="0"/>
        <v>RTH at 79 °C</v>
      </c>
      <c r="D51" s="196">
        <f t="shared" si="6"/>
        <v>2.5882352941176472</v>
      </c>
      <c r="E51" s="197">
        <v>1.6679999999999999</v>
      </c>
      <c r="F51" s="198">
        <v>1.716</v>
      </c>
      <c r="G51" s="199">
        <v>1.764</v>
      </c>
      <c r="H51" s="128" t="s">
        <v>30</v>
      </c>
      <c r="I51" s="29"/>
      <c r="J51" s="29">
        <v>1.764</v>
      </c>
      <c r="K51" s="29">
        <v>1.716</v>
      </c>
      <c r="L51" s="29">
        <v>1.6679999999999999</v>
      </c>
      <c r="M51" s="29"/>
      <c r="N51" s="29"/>
      <c r="O51" s="29"/>
      <c r="P51" s="29"/>
      <c r="Q51" s="29"/>
      <c r="R51" s="29"/>
      <c r="S51" s="29"/>
      <c r="T51" s="29"/>
      <c r="U51" s="29"/>
      <c r="V51" s="29"/>
      <c r="W51" s="29"/>
      <c r="X51" s="29"/>
      <c r="Y51" s="30"/>
      <c r="Z51" s="18"/>
      <c r="AA51" s="19"/>
      <c r="AB51" s="19"/>
      <c r="AC51" s="20">
        <f t="shared" si="1"/>
        <v>79</v>
      </c>
      <c r="AD51" s="20">
        <f t="shared" si="2"/>
        <v>1.6679999999999999</v>
      </c>
      <c r="AE51" s="20">
        <f t="shared" si="3"/>
        <v>1.716</v>
      </c>
      <c r="AF51" s="20">
        <f t="shared" si="4"/>
        <v>1.764</v>
      </c>
      <c r="AG51" s="20">
        <f>Table9[[#This Row],[RTH(min) (kΩ)]]*RT2_TH_MIN/(RT2_TH_MIN+Table9[[#This Row],[RTH(min) (kΩ)]])</f>
        <v>1.5814416950893522</v>
      </c>
      <c r="AH51" s="20">
        <f>Table9[[#This Row],[RTH(nom) (kΩ)]]*RT2_TH_S/(RT2_TH_S+Table9[[#This Row],[RTH(nom) (kΩ)]])</f>
        <v>1.6246114486983951</v>
      </c>
      <c r="AI51" s="20">
        <f>Table9[[#This Row],[RTH(max) (kΩ)]]*RT2_TH_S_MAX/(RT2_TH_S_MAX+Table9[[#This Row],[RTH(max) (kΩ)]])</f>
        <v>1.6676620188386513</v>
      </c>
      <c r="AJ51" s="20">
        <f>Table9[[#This Row],[RLower(min) (kΩ)]]/(Table9[[#This Row],[RLower(min) (kΩ)]]+RT1_TH_S_MAX)*100</f>
        <v>23.189430887140933</v>
      </c>
      <c r="AK51" s="20">
        <f>Table9[[#This Row],[RLower(nom) (kΩ)]]/(Table9[[#This Row],[RLower(nom) (kΩ)]]+RT1_TH_S)*100</f>
        <v>23.690661948846582</v>
      </c>
      <c r="AL51" s="20">
        <f>Table9[[#This Row],[RLower(max) (kΩ)]]/(Table9[[#This Row],[RLower(max) (kΩ)]]+RT1_TH_S_MIN)*100</f>
        <v>24.185067430759368</v>
      </c>
      <c r="AM51" s="20">
        <f>IF(Table9[[#This Row],[Vmin (%)]]&lt;$BA$14, 0, IF(Table9[[#This Row],[Vmin (%)]]&lt;$BA$12, 4, IF(Table9[[#This Row],[Vmin (%)]]&lt;$BA$9, 3, IF(Table9[[#This Row],[Vmin (%)]]&lt;$BA$7, 2, 0))))</f>
        <v>0</v>
      </c>
      <c r="AN51" s="20">
        <f>IF(Table9[[#This Row],[Vmin (%)]]&lt;$BA$13, 0, IF(Table9[[#This Row],[Vmin (%)]]&lt;$BA$11, 4, IF(Table9[[#This Row],[Vmin (%)]]&lt;$BA$10, 3, IF(Table9[[#This Row],[Vmin (%)]]&lt;$BA$8, 2, 0))))</f>
        <v>0</v>
      </c>
      <c r="AO51" s="76" t="str">
        <f>IF(Table9[[#This Row],[Vmin (%)]]&lt;$BA$14, "Hot", IF(Table9[[#This Row],[Vmin (%)]]&lt;$BA$12, "Warm", IF(Table9[[#This Row],[Vmin (%)]]&lt;$BA$9, "Normal", IF(Table9[[#This Row],[Vmin (%)]]&lt;$BA$7, "Cool", "Cold"))))</f>
        <v>Hot</v>
      </c>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row>
    <row r="52" spans="1:210" x14ac:dyDescent="0.2">
      <c r="A52" s="113">
        <f t="shared" si="5"/>
        <v>78</v>
      </c>
      <c r="B52" s="163"/>
      <c r="C52" s="172" t="str">
        <f t="shared" ref="C52:C83" si="7">_xlfn.CONCAT("RTH at ",A52, " °C")</f>
        <v>RTH at 78 °C</v>
      </c>
      <c r="D52" s="196">
        <f t="shared" si="6"/>
        <v>2.5588235294117645</v>
      </c>
      <c r="E52" s="197">
        <v>1.7170000000000001</v>
      </c>
      <c r="F52" s="198">
        <v>1.7649999999999999</v>
      </c>
      <c r="G52" s="199">
        <v>1.8140000000000001</v>
      </c>
      <c r="H52" s="128" t="s">
        <v>30</v>
      </c>
      <c r="I52" s="29"/>
      <c r="J52" s="29">
        <v>1.8140000000000001</v>
      </c>
      <c r="K52" s="29">
        <v>1.7649999999999999</v>
      </c>
      <c r="L52" s="29">
        <v>1.7170000000000001</v>
      </c>
      <c r="M52" s="29"/>
      <c r="N52" s="29"/>
      <c r="O52" s="29"/>
      <c r="P52" s="29"/>
      <c r="Q52" s="29"/>
      <c r="R52" s="29"/>
      <c r="S52" s="29"/>
      <c r="T52" s="29"/>
      <c r="U52" s="29"/>
      <c r="V52" s="29"/>
      <c r="W52" s="29"/>
      <c r="X52" s="29"/>
      <c r="Y52" s="30"/>
      <c r="Z52" s="18"/>
      <c r="AA52" s="19"/>
      <c r="AB52" s="19"/>
      <c r="AC52" s="20">
        <f t="shared" ref="AC52:AC83" si="8">A52</f>
        <v>78</v>
      </c>
      <c r="AD52" s="20">
        <f t="shared" ref="AD52:AD83" si="9">E52</f>
        <v>1.7170000000000001</v>
      </c>
      <c r="AE52" s="20">
        <f t="shared" ref="AE52:AE83" si="10">F52</f>
        <v>1.7649999999999999</v>
      </c>
      <c r="AF52" s="20">
        <f t="shared" ref="AF52:AF83" si="11">G52</f>
        <v>1.8140000000000001</v>
      </c>
      <c r="AG52" s="20">
        <f>Table9[[#This Row],[RTH(min) (kΩ)]]*RT2_TH_MIN/(RT2_TH_MIN+Table9[[#This Row],[RTH(min) (kΩ)]])</f>
        <v>1.6254210446291348</v>
      </c>
      <c r="AH52" s="20">
        <f>Table9[[#This Row],[RTH(nom) (kΩ)]]*RT2_TH_S/(RT2_TH_S+Table9[[#This Row],[RTH(nom) (kΩ)]])</f>
        <v>1.6684645777498306</v>
      </c>
      <c r="AI52" s="20">
        <f>Table9[[#This Row],[RTH(max) (kΩ)]]*RT2_TH_S_MAX/(RT2_TH_S_MAX+Table9[[#This Row],[RTH(max) (kΩ)]])</f>
        <v>1.7122807433418865</v>
      </c>
      <c r="AJ52" s="20">
        <f>Table9[[#This Row],[RLower(min) (kΩ)]]/(Table9[[#This Row],[RLower(min) (kΩ)]]+RT1_TH_S_MAX)*100</f>
        <v>23.681600685768096</v>
      </c>
      <c r="AK52" s="20">
        <f>Table9[[#This Row],[RLower(nom) (kΩ)]]/(Table9[[#This Row],[RLower(nom) (kΩ)]]+RT1_TH_S)*100</f>
        <v>24.175545628890458</v>
      </c>
      <c r="AL52" s="20">
        <f>Table9[[#This Row],[RLower(max) (kΩ)]]/(Table9[[#This Row],[RLower(max) (kΩ)]]+RT1_TH_S_MIN)*100</f>
        <v>24.672494898928296</v>
      </c>
      <c r="AM52" s="20">
        <f>IF(Table9[[#This Row],[Vmin (%)]]&lt;$BA$14, 0, IF(Table9[[#This Row],[Vmin (%)]]&lt;$BA$12, 4, IF(Table9[[#This Row],[Vmin (%)]]&lt;$BA$9, 3, IF(Table9[[#This Row],[Vmin (%)]]&lt;$BA$7, 2, 0))))</f>
        <v>0</v>
      </c>
      <c r="AN52" s="20">
        <f>IF(Table9[[#This Row],[Vmin (%)]]&lt;$BA$13, 0, IF(Table9[[#This Row],[Vmin (%)]]&lt;$BA$11, 4, IF(Table9[[#This Row],[Vmin (%)]]&lt;$BA$10, 3, IF(Table9[[#This Row],[Vmin (%)]]&lt;$BA$8, 2, 0))))</f>
        <v>0</v>
      </c>
      <c r="AO52" s="76" t="str">
        <f>IF(Table9[[#This Row],[Vmin (%)]]&lt;$BA$14, "Hot", IF(Table9[[#This Row],[Vmin (%)]]&lt;$BA$12, "Warm", IF(Table9[[#This Row],[Vmin (%)]]&lt;$BA$9, "Normal", IF(Table9[[#This Row],[Vmin (%)]]&lt;$BA$7, "Cool", "Cold"))))</f>
        <v>Hot</v>
      </c>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row>
    <row r="53" spans="1:210" x14ac:dyDescent="0.2">
      <c r="A53" s="113">
        <f t="shared" si="5"/>
        <v>77</v>
      </c>
      <c r="B53" s="163"/>
      <c r="C53" s="172" t="str">
        <f t="shared" si="7"/>
        <v>RTH at 77 °C</v>
      </c>
      <c r="D53" s="196">
        <f t="shared" si="6"/>
        <v>2.5294117647058822</v>
      </c>
      <c r="E53" s="197">
        <v>1.7669999999999999</v>
      </c>
      <c r="F53" s="198">
        <v>1.8160000000000001</v>
      </c>
      <c r="G53" s="199">
        <v>1.8660000000000001</v>
      </c>
      <c r="H53" s="128" t="s">
        <v>30</v>
      </c>
      <c r="I53" s="29"/>
      <c r="J53" s="29">
        <v>1.8660000000000001</v>
      </c>
      <c r="K53" s="29">
        <v>1.8160000000000001</v>
      </c>
      <c r="L53" s="29">
        <v>1.7669999999999999</v>
      </c>
      <c r="M53" s="29"/>
      <c r="N53" s="29"/>
      <c r="O53" s="29"/>
      <c r="P53" s="29"/>
      <c r="Q53" s="29"/>
      <c r="R53" s="29"/>
      <c r="S53" s="29"/>
      <c r="T53" s="29"/>
      <c r="U53" s="29"/>
      <c r="V53" s="29"/>
      <c r="W53" s="29"/>
      <c r="X53" s="29"/>
      <c r="Y53" s="30"/>
      <c r="Z53" s="18"/>
      <c r="AA53" s="19"/>
      <c r="AB53" s="19"/>
      <c r="AC53" s="20">
        <f t="shared" si="8"/>
        <v>77</v>
      </c>
      <c r="AD53" s="20">
        <f t="shared" si="9"/>
        <v>1.7669999999999999</v>
      </c>
      <c r="AE53" s="20">
        <f t="shared" si="10"/>
        <v>1.8160000000000001</v>
      </c>
      <c r="AF53" s="20">
        <f t="shared" si="11"/>
        <v>1.8660000000000001</v>
      </c>
      <c r="AG53" s="20">
        <f>Table9[[#This Row],[RTH(min) (kΩ)]]*RT2_TH_MIN/(RT2_TH_MIN+Table9[[#This Row],[RTH(min) (kΩ)]])</f>
        <v>1.6701601351577522</v>
      </c>
      <c r="AH53" s="20">
        <f>Table9[[#This Row],[RTH(nom) (kΩ)]]*RT2_TH_S/(RT2_TH_S+Table9[[#This Row],[RTH(nom) (kΩ)]])</f>
        <v>1.7139664137074864</v>
      </c>
      <c r="AI53" s="20">
        <f>Table9[[#This Row],[RTH(max) (kΩ)]]*RT2_TH_S_MAX/(RT2_TH_S_MAX+Table9[[#This Row],[RTH(max) (kΩ)]])</f>
        <v>1.7585381398602054</v>
      </c>
      <c r="AJ53" s="20">
        <f>Table9[[#This Row],[RLower(min) (kΩ)]]/(Table9[[#This Row],[RLower(min) (kΩ)]]+RT1_TH_S_MAX)*100</f>
        <v>24.175842992063082</v>
      </c>
      <c r="AK53" s="20">
        <f>Table9[[#This Row],[RLower(nom) (kΩ)]]/(Table9[[#This Row],[RLower(nom) (kΩ)]]+RT1_TH_S)*100</f>
        <v>24.672187771053412</v>
      </c>
      <c r="AL53" s="20">
        <f>Table9[[#This Row],[RLower(max) (kΩ)]]/(Table9[[#This Row],[RLower(max) (kΩ)]]+RT1_TH_S_MIN)*100</f>
        <v>25.171250480541147</v>
      </c>
      <c r="AM53" s="20">
        <f>IF(Table9[[#This Row],[Vmin (%)]]&lt;$BA$14, 0, IF(Table9[[#This Row],[Vmin (%)]]&lt;$BA$12, 4, IF(Table9[[#This Row],[Vmin (%)]]&lt;$BA$9, 3, IF(Table9[[#This Row],[Vmin (%)]]&lt;$BA$7, 2, 0))))</f>
        <v>0</v>
      </c>
      <c r="AN53" s="20">
        <f>IF(Table9[[#This Row],[Vmin (%)]]&lt;$BA$13, 0, IF(Table9[[#This Row],[Vmin (%)]]&lt;$BA$11, 4, IF(Table9[[#This Row],[Vmin (%)]]&lt;$BA$10, 3, IF(Table9[[#This Row],[Vmin (%)]]&lt;$BA$8, 2, 0))))</f>
        <v>0</v>
      </c>
      <c r="AO53" s="76" t="str">
        <f>IF(Table9[[#This Row],[Vmin (%)]]&lt;$BA$14, "Hot", IF(Table9[[#This Row],[Vmin (%)]]&lt;$BA$12, "Warm", IF(Table9[[#This Row],[Vmin (%)]]&lt;$BA$9, "Normal", IF(Table9[[#This Row],[Vmin (%)]]&lt;$BA$7, "Cool", "Cold"))))</f>
        <v>Hot</v>
      </c>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row>
    <row r="54" spans="1:210" x14ac:dyDescent="0.2">
      <c r="A54" s="113">
        <f t="shared" si="5"/>
        <v>76</v>
      </c>
      <c r="B54" s="163"/>
      <c r="C54" s="172" t="str">
        <f t="shared" si="7"/>
        <v>RTH at 76 °C</v>
      </c>
      <c r="D54" s="196">
        <f t="shared" si="6"/>
        <v>2.5</v>
      </c>
      <c r="E54" s="197">
        <v>1.819</v>
      </c>
      <c r="F54" s="198">
        <v>1.869</v>
      </c>
      <c r="G54" s="199">
        <v>1.92</v>
      </c>
      <c r="H54" s="128" t="s">
        <v>30</v>
      </c>
      <c r="I54" s="29"/>
      <c r="J54" s="29">
        <v>1.92</v>
      </c>
      <c r="K54" s="29">
        <v>1.869</v>
      </c>
      <c r="L54" s="29">
        <v>1.819</v>
      </c>
      <c r="M54" s="29"/>
      <c r="N54" s="29"/>
      <c r="O54" s="29"/>
      <c r="P54" s="29"/>
      <c r="Q54" s="29"/>
      <c r="R54" s="29"/>
      <c r="S54" s="29"/>
      <c r="T54" s="29"/>
      <c r="U54" s="29"/>
      <c r="V54" s="29"/>
      <c r="W54" s="29"/>
      <c r="X54" s="29"/>
      <c r="Y54" s="30"/>
      <c r="Z54" s="18"/>
      <c r="AA54" s="19"/>
      <c r="AB54" s="19"/>
      <c r="AC54" s="20">
        <f t="shared" si="8"/>
        <v>76</v>
      </c>
      <c r="AD54" s="20">
        <f t="shared" si="9"/>
        <v>1.819</v>
      </c>
      <c r="AE54" s="20">
        <f t="shared" si="10"/>
        <v>1.869</v>
      </c>
      <c r="AF54" s="20">
        <f t="shared" si="11"/>
        <v>1.92</v>
      </c>
      <c r="AG54" s="20">
        <f>Table9[[#This Row],[RTH(min) (kΩ)]]*RT2_TH_MIN/(RT2_TH_MIN+Table9[[#This Row],[RTH(min) (kΩ)]])</f>
        <v>1.7165418283862368</v>
      </c>
      <c r="AH54" s="20">
        <f>Table9[[#This Row],[RTH(nom) (kΩ)]]*RT2_TH_S/(RT2_TH_S+Table9[[#This Row],[RTH(nom) (kΩ)]])</f>
        <v>1.7611007318648917</v>
      </c>
      <c r="AI54" s="20">
        <f>Table9[[#This Row],[RTH(max) (kΩ)]]*RT2_TH_S_MAX/(RT2_TH_S_MAX+Table9[[#This Row],[RTH(max) (kΩ)]])</f>
        <v>1.8064177805910788</v>
      </c>
      <c r="AJ54" s="20">
        <f>Table9[[#This Row],[RLower(min) (kΩ)]]/(Table9[[#This Row],[RLower(min) (kΩ)]]+RT1_TH_S_MAX)*100</f>
        <v>24.681518209125393</v>
      </c>
      <c r="AK54" s="20">
        <f>Table9[[#This Row],[RLower(nom) (kΩ)]]/(Table9[[#This Row],[RLower(nom) (kΩ)]]+RT1_TH_S)*100</f>
        <v>25.179834100167781</v>
      </c>
      <c r="AL54" s="20">
        <f>Table9[[#This Row],[RLower(max) (kΩ)]]/(Table9[[#This Row],[RLower(max) (kΩ)]]+RT1_TH_S_MIN)*100</f>
        <v>25.680588557353246</v>
      </c>
      <c r="AM54" s="20">
        <f>IF(Table9[[#This Row],[Vmin (%)]]&lt;$BA$14, 0, IF(Table9[[#This Row],[Vmin (%)]]&lt;$BA$12, 4, IF(Table9[[#This Row],[Vmin (%)]]&lt;$BA$9, 3, IF(Table9[[#This Row],[Vmin (%)]]&lt;$BA$7, 2, 0))))</f>
        <v>0</v>
      </c>
      <c r="AN54" s="20">
        <f>IF(Table9[[#This Row],[Vmin (%)]]&lt;$BA$13, 0, IF(Table9[[#This Row],[Vmin (%)]]&lt;$BA$11, 4, IF(Table9[[#This Row],[Vmin (%)]]&lt;$BA$10, 3, IF(Table9[[#This Row],[Vmin (%)]]&lt;$BA$8, 2, 0))))</f>
        <v>0</v>
      </c>
      <c r="AO54" s="76" t="str">
        <f>IF(Table9[[#This Row],[Vmin (%)]]&lt;$BA$14, "Hot", IF(Table9[[#This Row],[Vmin (%)]]&lt;$BA$12, "Warm", IF(Table9[[#This Row],[Vmin (%)]]&lt;$BA$9, "Normal", IF(Table9[[#This Row],[Vmin (%)]]&lt;$BA$7, "Cool", "Cold"))))</f>
        <v>Hot</v>
      </c>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row>
    <row r="55" spans="1:210" x14ac:dyDescent="0.2">
      <c r="A55" s="113">
        <f t="shared" si="5"/>
        <v>75</v>
      </c>
      <c r="B55" s="163"/>
      <c r="C55" s="172" t="str">
        <f t="shared" si="7"/>
        <v>RTH at 75 °C</v>
      </c>
      <c r="D55" s="196">
        <f t="shared" si="6"/>
        <v>2.4705882352941178</v>
      </c>
      <c r="E55" s="197">
        <v>1.873</v>
      </c>
      <c r="F55" s="198">
        <v>1.9239999999999999</v>
      </c>
      <c r="G55" s="199">
        <v>1.9750000000000001</v>
      </c>
      <c r="H55" s="128" t="s">
        <v>30</v>
      </c>
      <c r="I55" s="29"/>
      <c r="J55" s="29">
        <v>1.9750000000000001</v>
      </c>
      <c r="K55" s="29">
        <v>1.9239999999999999</v>
      </c>
      <c r="L55" s="29">
        <v>1.873</v>
      </c>
      <c r="M55" s="29"/>
      <c r="N55" s="29"/>
      <c r="O55" s="29"/>
      <c r="P55" s="29"/>
      <c r="Q55" s="29"/>
      <c r="R55" s="29"/>
      <c r="S55" s="29"/>
      <c r="T55" s="29"/>
      <c r="U55" s="29"/>
      <c r="V55" s="29"/>
      <c r="W55" s="29"/>
      <c r="X55" s="29"/>
      <c r="Y55" s="30"/>
      <c r="Z55" s="18"/>
      <c r="AA55" s="19"/>
      <c r="AB55" s="19"/>
      <c r="AC55" s="20">
        <f t="shared" si="8"/>
        <v>75</v>
      </c>
      <c r="AD55" s="20">
        <f t="shared" si="9"/>
        <v>1.873</v>
      </c>
      <c r="AE55" s="20">
        <f t="shared" si="10"/>
        <v>1.9239999999999999</v>
      </c>
      <c r="AF55" s="20">
        <f t="shared" si="11"/>
        <v>1.9750000000000001</v>
      </c>
      <c r="AG55" s="20">
        <f>Table9[[#This Row],[RTH(min) (kΩ)]]*RT2_TH_MIN/(RT2_TH_MIN+Table9[[#This Row],[RTH(min) (kΩ)]])</f>
        <v>1.7645495996477978</v>
      </c>
      <c r="AH55" s="20">
        <f>Table9[[#This Row],[RTH(nom) (kΩ)]]*RT2_TH_S/(RT2_TH_S+Table9[[#This Row],[RTH(nom) (kΩ)]])</f>
        <v>1.809850807502994</v>
      </c>
      <c r="AI55" s="20">
        <f>Table9[[#This Row],[RTH(max) (kΩ)]]*RT2_TH_S_MAX/(RT2_TH_S_MAX+Table9[[#This Row],[RTH(max) (kΩ)]])</f>
        <v>1.8550205809181659</v>
      </c>
      <c r="AJ55" s="20">
        <f>Table9[[#This Row],[RLower(min) (kΩ)]]/(Table9[[#This Row],[RLower(min) (kΩ)]]+RT1_TH_S_MAX)*100</f>
        <v>25.197866813416958</v>
      </c>
      <c r="AK55" s="20">
        <f>Table9[[#This Row],[RLower(nom) (kΩ)]]/(Table9[[#This Row],[RLower(nom) (kΩ)]]+RT1_TH_S)*100</f>
        <v>25.697734227776909</v>
      </c>
      <c r="AL55" s="20">
        <f>Table9[[#This Row],[RLower(max) (kΩ)]]/(Table9[[#This Row],[RLower(max) (kΩ)]]+RT1_TH_S_MIN)*100</f>
        <v>26.190576465928594</v>
      </c>
      <c r="AM55" s="20">
        <f>IF(Table9[[#This Row],[Vmin (%)]]&lt;$BA$14, 0, IF(Table9[[#This Row],[Vmin (%)]]&lt;$BA$12, 4, IF(Table9[[#This Row],[Vmin (%)]]&lt;$BA$9, 3, IF(Table9[[#This Row],[Vmin (%)]]&lt;$BA$7, 2, 0))))</f>
        <v>0</v>
      </c>
      <c r="AN55" s="20">
        <f>IF(Table9[[#This Row],[Vmin (%)]]&lt;$BA$13, 0, IF(Table9[[#This Row],[Vmin (%)]]&lt;$BA$11, 4, IF(Table9[[#This Row],[Vmin (%)]]&lt;$BA$10, 3, IF(Table9[[#This Row],[Vmin (%)]]&lt;$BA$8, 2, 0))))</f>
        <v>0</v>
      </c>
      <c r="AO55" s="76" t="str">
        <f>IF(Table9[[#This Row],[Vmin (%)]]&lt;$BA$14, "Hot", IF(Table9[[#This Row],[Vmin (%)]]&lt;$BA$12, "Warm", IF(Table9[[#This Row],[Vmin (%)]]&lt;$BA$9, "Normal", IF(Table9[[#This Row],[Vmin (%)]]&lt;$BA$7, "Cool", "Cold"))))</f>
        <v>Hot</v>
      </c>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row>
    <row r="56" spans="1:210" x14ac:dyDescent="0.2">
      <c r="A56" s="113">
        <f t="shared" si="5"/>
        <v>74</v>
      </c>
      <c r="B56" s="163"/>
      <c r="C56" s="172" t="str">
        <f t="shared" si="7"/>
        <v>RTH at 74 °C</v>
      </c>
      <c r="D56" s="196">
        <f t="shared" si="6"/>
        <v>2.4411764705882355</v>
      </c>
      <c r="E56" s="197">
        <v>1.929</v>
      </c>
      <c r="F56" s="198">
        <v>1.98</v>
      </c>
      <c r="G56" s="199">
        <v>2.0329999999999999</v>
      </c>
      <c r="H56" s="128" t="s">
        <v>30</v>
      </c>
      <c r="I56" s="29"/>
      <c r="J56" s="29">
        <v>2.0329999999999999</v>
      </c>
      <c r="K56" s="29">
        <v>1.98</v>
      </c>
      <c r="L56" s="29">
        <v>1.929</v>
      </c>
      <c r="M56" s="29"/>
      <c r="N56" s="29"/>
      <c r="O56" s="29"/>
      <c r="P56" s="29"/>
      <c r="Q56" s="29"/>
      <c r="R56" s="29"/>
      <c r="S56" s="29"/>
      <c r="T56" s="29"/>
      <c r="U56" s="29"/>
      <c r="V56" s="29"/>
      <c r="W56" s="29"/>
      <c r="X56" s="29"/>
      <c r="Y56" s="30"/>
      <c r="Z56" s="18"/>
      <c r="AA56" s="19"/>
      <c r="AB56" s="19"/>
      <c r="AC56" s="20">
        <f t="shared" si="8"/>
        <v>74</v>
      </c>
      <c r="AD56" s="20">
        <f t="shared" si="9"/>
        <v>1.929</v>
      </c>
      <c r="AE56" s="20">
        <f t="shared" si="10"/>
        <v>1.98</v>
      </c>
      <c r="AF56" s="20">
        <f t="shared" si="11"/>
        <v>2.0329999999999999</v>
      </c>
      <c r="AG56" s="20">
        <f>Table9[[#This Row],[RTH(min) (kΩ)]]*RT2_TH_MIN/(RT2_TH_MIN+Table9[[#This Row],[RTH(min) (kΩ)]])</f>
        <v>1.8141664302064289</v>
      </c>
      <c r="AH56" s="20">
        <f>Table9[[#This Row],[RTH(nom) (kΩ)]]*RT2_TH_S/(RT2_TH_S+Table9[[#This Row],[RTH(nom) (kΩ)]])</f>
        <v>1.8593176437934864</v>
      </c>
      <c r="AI56" s="20">
        <f>Table9[[#This Row],[RTH(max) (kΩ)]]*RT2_TH_S_MAX/(RT2_TH_S_MAX+Table9[[#This Row],[RTH(max) (kΩ)]])</f>
        <v>1.9060966137096862</v>
      </c>
      <c r="AJ56" s="20">
        <f>Table9[[#This Row],[RLower(min) (kΩ)]]/(Table9[[#This Row],[RLower(min) (kΩ)]]+RT1_TH_S_MAX)*100</f>
        <v>25.724134428896861</v>
      </c>
      <c r="AK56" s="20">
        <f>Table9[[#This Row],[RLower(nom) (kΩ)]]/(Table9[[#This Row],[RLower(nom) (kΩ)]]+RT1_TH_S)*100</f>
        <v>26.215971395035371</v>
      </c>
      <c r="AL56" s="20">
        <f>Table9[[#This Row],[RLower(max) (kΩ)]]/(Table9[[#This Row],[RLower(max) (kΩ)]]+RT1_TH_S_MIN)*100</f>
        <v>26.719027444904469</v>
      </c>
      <c r="AM56" s="20">
        <f>IF(Table9[[#This Row],[Vmin (%)]]&lt;$BA$14, 0, IF(Table9[[#This Row],[Vmin (%)]]&lt;$BA$12, 4, IF(Table9[[#This Row],[Vmin (%)]]&lt;$BA$9, 3, IF(Table9[[#This Row],[Vmin (%)]]&lt;$BA$7, 2, 0))))</f>
        <v>0</v>
      </c>
      <c r="AN56" s="20">
        <f>IF(Table9[[#This Row],[Vmin (%)]]&lt;$BA$13, 0, IF(Table9[[#This Row],[Vmin (%)]]&lt;$BA$11, 4, IF(Table9[[#This Row],[Vmin (%)]]&lt;$BA$10, 3, IF(Table9[[#This Row],[Vmin (%)]]&lt;$BA$8, 2, 0))))</f>
        <v>0</v>
      </c>
      <c r="AO56" s="76" t="str">
        <f>IF(Table9[[#This Row],[Vmin (%)]]&lt;$BA$14, "Hot", IF(Table9[[#This Row],[Vmin (%)]]&lt;$BA$12, "Warm", IF(Table9[[#This Row],[Vmin (%)]]&lt;$BA$9, "Normal", IF(Table9[[#This Row],[Vmin (%)]]&lt;$BA$7, "Cool", "Cold"))))</f>
        <v>Hot</v>
      </c>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row>
    <row r="57" spans="1:210" x14ac:dyDescent="0.2">
      <c r="A57" s="113">
        <f t="shared" si="5"/>
        <v>73</v>
      </c>
      <c r="B57" s="163"/>
      <c r="C57" s="172" t="str">
        <f t="shared" si="7"/>
        <v>RTH at 73 °C</v>
      </c>
      <c r="D57" s="196">
        <f t="shared" si="6"/>
        <v>2.4117647058823533</v>
      </c>
      <c r="E57" s="197">
        <v>1.986</v>
      </c>
      <c r="F57" s="198">
        <v>2.0390000000000001</v>
      </c>
      <c r="G57" s="199">
        <v>2.0920000000000001</v>
      </c>
      <c r="H57" s="128" t="s">
        <v>30</v>
      </c>
      <c r="I57" s="29"/>
      <c r="J57" s="29">
        <v>2.0920000000000001</v>
      </c>
      <c r="K57" s="29">
        <v>2.0390000000000001</v>
      </c>
      <c r="L57" s="29">
        <v>1.986</v>
      </c>
      <c r="M57" s="29"/>
      <c r="N57" s="29"/>
      <c r="O57" s="29"/>
      <c r="P57" s="29"/>
      <c r="Q57" s="29"/>
      <c r="R57" s="29"/>
      <c r="S57" s="29"/>
      <c r="T57" s="29"/>
      <c r="U57" s="29"/>
      <c r="V57" s="29"/>
      <c r="W57" s="29"/>
      <c r="X57" s="29"/>
      <c r="Y57" s="30"/>
      <c r="Z57" s="18"/>
      <c r="AA57" s="19"/>
      <c r="AB57" s="19"/>
      <c r="AC57" s="20">
        <f t="shared" si="8"/>
        <v>73</v>
      </c>
      <c r="AD57" s="20">
        <f t="shared" si="9"/>
        <v>1.986</v>
      </c>
      <c r="AE57" s="20">
        <f t="shared" si="10"/>
        <v>2.0390000000000001</v>
      </c>
      <c r="AF57" s="20">
        <f t="shared" si="11"/>
        <v>2.0920000000000001</v>
      </c>
      <c r="AG57" s="20">
        <f>Table9[[#This Row],[RTH(min) (kΩ)]]*RT2_TH_MIN/(RT2_TH_MIN+Table9[[#This Row],[RTH(min) (kΩ)]])</f>
        <v>1.8644934688952672</v>
      </c>
      <c r="AH57" s="20">
        <f>Table9[[#This Row],[RTH(nom) (kΩ)]]*RT2_TH_S/(RT2_TH_S+Table9[[#This Row],[RTH(nom) (kΩ)]])</f>
        <v>1.9112503266262608</v>
      </c>
      <c r="AI57" s="20">
        <f>Table9[[#This Row],[RTH(max) (kΩ)]]*RT2_TH_S_MAX/(RT2_TH_S_MAX+Table9[[#This Row],[RTH(max) (kΩ)]])</f>
        <v>1.9578669563447808</v>
      </c>
      <c r="AJ57" s="20">
        <f>Table9[[#This Row],[RLower(min) (kΩ)]]/(Table9[[#This Row],[RLower(min) (kΩ)]]+RT1_TH_S_MAX)*100</f>
        <v>26.250423740559075</v>
      </c>
      <c r="AK57" s="20">
        <f>Table9[[#This Row],[RLower(nom) (kΩ)]]/(Table9[[#This Row],[RLower(nom) (kΩ)]]+RT1_TH_S)*100</f>
        <v>26.752319805137514</v>
      </c>
      <c r="AL57" s="20">
        <f>Table9[[#This Row],[RLower(max) (kΩ)]]/(Table9[[#This Row],[RLower(max) (kΩ)]]+RT1_TH_S_MIN)*100</f>
        <v>27.246995575536253</v>
      </c>
      <c r="AM57" s="20">
        <f>IF(Table9[[#This Row],[Vmin (%)]]&lt;$BA$14, 0, IF(Table9[[#This Row],[Vmin (%)]]&lt;$BA$12, 4, IF(Table9[[#This Row],[Vmin (%)]]&lt;$BA$9, 3, IF(Table9[[#This Row],[Vmin (%)]]&lt;$BA$7, 2, 0))))</f>
        <v>0</v>
      </c>
      <c r="AN57" s="20">
        <f>IF(Table9[[#This Row],[Vmin (%)]]&lt;$BA$13, 0, IF(Table9[[#This Row],[Vmin (%)]]&lt;$BA$11, 4, IF(Table9[[#This Row],[Vmin (%)]]&lt;$BA$10, 3, IF(Table9[[#This Row],[Vmin (%)]]&lt;$BA$8, 2, 0))))</f>
        <v>0</v>
      </c>
      <c r="AO57" s="76" t="str">
        <f>IF(Table9[[#This Row],[Vmin (%)]]&lt;$BA$14, "Hot", IF(Table9[[#This Row],[Vmin (%)]]&lt;$BA$12, "Warm", IF(Table9[[#This Row],[Vmin (%)]]&lt;$BA$9, "Normal", IF(Table9[[#This Row],[Vmin (%)]]&lt;$BA$7, "Cool", "Cold"))))</f>
        <v>Hot</v>
      </c>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row>
    <row r="58" spans="1:210" x14ac:dyDescent="0.2">
      <c r="A58" s="113">
        <f t="shared" si="5"/>
        <v>72</v>
      </c>
      <c r="B58" s="163"/>
      <c r="C58" s="172" t="str">
        <f t="shared" si="7"/>
        <v>RTH at 72 °C</v>
      </c>
      <c r="D58" s="196">
        <f t="shared" si="6"/>
        <v>2.3823529411764706</v>
      </c>
      <c r="E58" s="197">
        <v>2.0459999999999998</v>
      </c>
      <c r="F58" s="198">
        <v>2.1</v>
      </c>
      <c r="G58" s="199">
        <v>2.1539999999999999</v>
      </c>
      <c r="H58" s="128" t="s">
        <v>30</v>
      </c>
      <c r="I58" s="29"/>
      <c r="J58" s="29">
        <v>2.1539999999999999</v>
      </c>
      <c r="K58" s="29">
        <v>2.1</v>
      </c>
      <c r="L58" s="29">
        <v>2.0459999999999998</v>
      </c>
      <c r="M58" s="29"/>
      <c r="N58" s="29"/>
      <c r="O58" s="29"/>
      <c r="P58" s="29"/>
      <c r="Q58" s="29"/>
      <c r="R58" s="29"/>
      <c r="S58" s="29"/>
      <c r="T58" s="29"/>
      <c r="U58" s="29"/>
      <c r="V58" s="29"/>
      <c r="W58" s="29"/>
      <c r="X58" s="29"/>
      <c r="Y58" s="30"/>
      <c r="Z58" s="18"/>
      <c r="AA58" s="19"/>
      <c r="AB58" s="19"/>
      <c r="AC58" s="20">
        <f t="shared" si="8"/>
        <v>72</v>
      </c>
      <c r="AD58" s="20">
        <f t="shared" si="9"/>
        <v>2.0459999999999998</v>
      </c>
      <c r="AE58" s="20">
        <f t="shared" si="10"/>
        <v>2.1</v>
      </c>
      <c r="AF58" s="20">
        <f t="shared" si="11"/>
        <v>2.1539999999999999</v>
      </c>
      <c r="AG58" s="20">
        <f>Table9[[#This Row],[RTH(min) (kΩ)]]*RT2_TH_MIN/(RT2_TH_MIN+Table9[[#This Row],[RTH(min) (kΩ)]])</f>
        <v>1.9172787079289955</v>
      </c>
      <c r="AH58" s="20">
        <f>Table9[[#This Row],[RTH(nom) (kΩ)]]*RT2_TH_S/(RT2_TH_S+Table9[[#This Row],[RTH(nom) (kΩ)]])</f>
        <v>1.9647458280248347</v>
      </c>
      <c r="AI58" s="20">
        <f>Table9[[#This Row],[RTH(max) (kΩ)]]*RT2_TH_S_MAX/(RT2_TH_S_MAX+Table9[[#This Row],[RTH(max) (kΩ)]])</f>
        <v>2.0120683196245945</v>
      </c>
      <c r="AJ58" s="20">
        <f>Table9[[#This Row],[RLower(min) (kΩ)]]/(Table9[[#This Row],[RLower(min) (kΩ)]]+RT1_TH_S_MAX)*100</f>
        <v>26.794465032321867</v>
      </c>
      <c r="AK58" s="20">
        <f>Table9[[#This Row],[RLower(nom) (kΩ)]]/(Table9[[#This Row],[RLower(nom) (kΩ)]]+RT1_TH_S)*100</f>
        <v>27.296716105252912</v>
      </c>
      <c r="AL58" s="20">
        <f>Table9[[#This Row],[RLower(max) (kΩ)]]/(Table9[[#This Row],[RLower(max) (kΩ)]]+RT1_TH_S_MIN)*100</f>
        <v>27.791664986600949</v>
      </c>
      <c r="AM58" s="20">
        <f>IF(Table9[[#This Row],[Vmin (%)]]&lt;$BA$14, 0, IF(Table9[[#This Row],[Vmin (%)]]&lt;$BA$12, 4, IF(Table9[[#This Row],[Vmin (%)]]&lt;$BA$9, 3, IF(Table9[[#This Row],[Vmin (%)]]&lt;$BA$7, 2, 0))))</f>
        <v>0</v>
      </c>
      <c r="AN58" s="20">
        <f>IF(Table9[[#This Row],[Vmin (%)]]&lt;$BA$13, 0, IF(Table9[[#This Row],[Vmin (%)]]&lt;$BA$11, 4, IF(Table9[[#This Row],[Vmin (%)]]&lt;$BA$10, 3, IF(Table9[[#This Row],[Vmin (%)]]&lt;$BA$8, 2, 0))))</f>
        <v>0</v>
      </c>
      <c r="AO58" s="76" t="str">
        <f>IF(Table9[[#This Row],[Vmin (%)]]&lt;$BA$14, "Hot", IF(Table9[[#This Row],[Vmin (%)]]&lt;$BA$12, "Warm", IF(Table9[[#This Row],[Vmin (%)]]&lt;$BA$9, "Normal", IF(Table9[[#This Row],[Vmin (%)]]&lt;$BA$7, "Cool", "Cold"))))</f>
        <v>Hot</v>
      </c>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c r="GR58" s="19"/>
      <c r="GS58" s="19"/>
      <c r="GT58" s="19"/>
      <c r="GU58" s="19"/>
      <c r="GV58" s="19"/>
      <c r="GW58" s="19"/>
      <c r="GX58" s="19"/>
      <c r="GY58" s="19"/>
      <c r="GZ58" s="19"/>
      <c r="HA58" s="19"/>
      <c r="HB58" s="19"/>
    </row>
    <row r="59" spans="1:210" x14ac:dyDescent="0.2">
      <c r="A59" s="113">
        <f t="shared" si="5"/>
        <v>71</v>
      </c>
      <c r="B59" s="163"/>
      <c r="C59" s="172" t="str">
        <f t="shared" si="7"/>
        <v>RTH at 71 °C</v>
      </c>
      <c r="D59" s="196">
        <f t="shared" si="6"/>
        <v>2.3529411764705883</v>
      </c>
      <c r="E59" s="197">
        <v>2.1080000000000001</v>
      </c>
      <c r="F59" s="198">
        <v>2.1629999999999998</v>
      </c>
      <c r="G59" s="199">
        <v>2.218</v>
      </c>
      <c r="H59" s="128" t="s">
        <v>30</v>
      </c>
      <c r="I59" s="29"/>
      <c r="J59" s="29">
        <v>2.218</v>
      </c>
      <c r="K59" s="29">
        <v>2.1629999999999998</v>
      </c>
      <c r="L59" s="29">
        <v>2.1080000000000001</v>
      </c>
      <c r="M59" s="29"/>
      <c r="N59" s="29"/>
      <c r="O59" s="29"/>
      <c r="P59" s="29"/>
      <c r="Q59" s="29"/>
      <c r="R59" s="29"/>
      <c r="S59" s="29"/>
      <c r="T59" s="29"/>
      <c r="U59" s="29"/>
      <c r="V59" s="29"/>
      <c r="W59" s="29"/>
      <c r="X59" s="29"/>
      <c r="Y59" s="30"/>
      <c r="Z59" s="18"/>
      <c r="AA59" s="19"/>
      <c r="AB59" s="19"/>
      <c r="AC59" s="20">
        <f t="shared" si="8"/>
        <v>71</v>
      </c>
      <c r="AD59" s="20">
        <f t="shared" si="9"/>
        <v>2.1080000000000001</v>
      </c>
      <c r="AE59" s="20">
        <f t="shared" si="10"/>
        <v>2.1629999999999998</v>
      </c>
      <c r="AF59" s="20">
        <f t="shared" si="11"/>
        <v>2.218</v>
      </c>
      <c r="AG59" s="20">
        <f>Table9[[#This Row],[RTH(min) (kΩ)]]*RT2_TH_MIN/(RT2_TH_MIN+Table9[[#This Row],[RTH(min) (kΩ)]])</f>
        <v>1.9716192224974194</v>
      </c>
      <c r="AH59" s="20">
        <f>Table9[[#This Row],[RTH(nom) (kΩ)]]*RT2_TH_S/(RT2_TH_S+Table9[[#This Row],[RTH(nom) (kΩ)]])</f>
        <v>2.0197855682284636</v>
      </c>
      <c r="AI59" s="20">
        <f>Table9[[#This Row],[RTH(max) (kΩ)]]*RT2_TH_S_MAX/(RT2_TH_S_MAX+Table9[[#This Row],[RTH(max) (kΩ)]])</f>
        <v>2.0678028816234399</v>
      </c>
      <c r="AJ59" s="20">
        <f>Table9[[#This Row],[RLower(min) (kΩ)]]/(Table9[[#This Row],[RLower(min) (kΩ)]]+RT1_TH_S_MAX)*100</f>
        <v>27.346214389487798</v>
      </c>
      <c r="AK59" s="20">
        <f>Table9[[#This Row],[RLower(nom) (kΩ)]]/(Table9[[#This Row],[RLower(nom) (kΩ)]]+RT1_TH_S)*100</f>
        <v>27.848445465570549</v>
      </c>
      <c r="AL59" s="20">
        <f>Table9[[#This Row],[RLower(max) (kΩ)]]/(Table9[[#This Row],[RLower(max) (kΩ)]]+RT1_TH_S_MIN)*100</f>
        <v>28.343301783835084</v>
      </c>
      <c r="AM59" s="20">
        <f>IF(Table9[[#This Row],[Vmin (%)]]&lt;$BA$14, 0, IF(Table9[[#This Row],[Vmin (%)]]&lt;$BA$12, 4, IF(Table9[[#This Row],[Vmin (%)]]&lt;$BA$9, 3, IF(Table9[[#This Row],[Vmin (%)]]&lt;$BA$7, 2, 0))))</f>
        <v>0</v>
      </c>
      <c r="AN59" s="20">
        <f>IF(Table9[[#This Row],[Vmin (%)]]&lt;$BA$13, 0, IF(Table9[[#This Row],[Vmin (%)]]&lt;$BA$11, 4, IF(Table9[[#This Row],[Vmin (%)]]&lt;$BA$10, 3, IF(Table9[[#This Row],[Vmin (%)]]&lt;$BA$8, 2, 0))))</f>
        <v>0</v>
      </c>
      <c r="AO59" s="76" t="str">
        <f>IF(Table9[[#This Row],[Vmin (%)]]&lt;$BA$14, "Hot", IF(Table9[[#This Row],[Vmin (%)]]&lt;$BA$12, "Warm", IF(Table9[[#This Row],[Vmin (%)]]&lt;$BA$9, "Normal", IF(Table9[[#This Row],[Vmin (%)]]&lt;$BA$7, "Cool", "Cold"))))</f>
        <v>Hot</v>
      </c>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c r="GR59" s="19"/>
      <c r="GS59" s="19"/>
      <c r="GT59" s="19"/>
      <c r="GU59" s="19"/>
      <c r="GV59" s="19"/>
      <c r="GW59" s="19"/>
      <c r="GX59" s="19"/>
      <c r="GY59" s="19"/>
      <c r="GZ59" s="19"/>
      <c r="HA59" s="19"/>
      <c r="HB59" s="19"/>
    </row>
    <row r="60" spans="1:210" x14ac:dyDescent="0.2">
      <c r="A60" s="113">
        <f t="shared" si="5"/>
        <v>70</v>
      </c>
      <c r="B60" s="163"/>
      <c r="C60" s="172" t="str">
        <f t="shared" si="7"/>
        <v>RTH at 70 °C</v>
      </c>
      <c r="D60" s="196">
        <f t="shared" si="6"/>
        <v>2.3235294117647056</v>
      </c>
      <c r="E60" s="197">
        <v>2.1720000000000002</v>
      </c>
      <c r="F60" s="198">
        <v>2.2280000000000002</v>
      </c>
      <c r="G60" s="199">
        <v>2.2839999999999998</v>
      </c>
      <c r="H60" s="128" t="s">
        <v>30</v>
      </c>
      <c r="I60" s="29"/>
      <c r="J60" s="29">
        <v>2.2839999999999998</v>
      </c>
      <c r="K60" s="29">
        <v>2.2280000000000002</v>
      </c>
      <c r="L60" s="29">
        <v>2.1720000000000002</v>
      </c>
      <c r="M60" s="29"/>
      <c r="N60" s="29"/>
      <c r="O60" s="29"/>
      <c r="P60" s="29"/>
      <c r="Q60" s="29"/>
      <c r="R60" s="29"/>
      <c r="S60" s="29"/>
      <c r="T60" s="29"/>
      <c r="U60" s="29"/>
      <c r="V60" s="29"/>
      <c r="W60" s="29"/>
      <c r="X60" s="29"/>
      <c r="Y60" s="30"/>
      <c r="Z60" s="18"/>
      <c r="AA60" s="19"/>
      <c r="AB60" s="19"/>
      <c r="AC60" s="20">
        <f t="shared" si="8"/>
        <v>70</v>
      </c>
      <c r="AD60" s="20">
        <f t="shared" si="9"/>
        <v>2.1720000000000002</v>
      </c>
      <c r="AE60" s="20">
        <f t="shared" si="10"/>
        <v>2.2280000000000002</v>
      </c>
      <c r="AF60" s="20">
        <f t="shared" si="11"/>
        <v>2.2839999999999998</v>
      </c>
      <c r="AG60" s="20">
        <f>Table9[[#This Row],[RTH(min) (kΩ)]]*RT2_TH_MIN/(RT2_TH_MIN+Table9[[#This Row],[RTH(min) (kΩ)]])</f>
        <v>2.0274961646634053</v>
      </c>
      <c r="AH60" s="20">
        <f>Table9[[#This Row],[RTH(nom) (kΩ)]]*RT2_TH_S/(RT2_TH_S+Table9[[#This Row],[RTH(nom) (kΩ)]])</f>
        <v>2.0763505421268671</v>
      </c>
      <c r="AI60" s="20">
        <f>Table9[[#This Row],[RTH(max) (kΩ)]]*RT2_TH_S_MAX/(RT2_TH_S_MAX+Table9[[#This Row],[RTH(max) (kΩ)]])</f>
        <v>2.125051483728861</v>
      </c>
      <c r="AJ60" s="20">
        <f>Table9[[#This Row],[RLower(min) (kΩ)]]/(Table9[[#This Row],[RLower(min) (kΩ)]]+RT1_TH_S_MAX)*100</f>
        <v>27.904957529549456</v>
      </c>
      <c r="AK60" s="20">
        <f>Table9[[#This Row],[RLower(nom) (kΩ)]]/(Table9[[#This Row],[RLower(nom) (kΩ)]]+RT1_TH_S)*100</f>
        <v>28.406806392265725</v>
      </c>
      <c r="AL60" s="20">
        <f>Table9[[#This Row],[RLower(max) (kΩ)]]/(Table9[[#This Row],[RLower(max) (kΩ)]]+RT1_TH_S_MIN)*100</f>
        <v>28.901217193800992</v>
      </c>
      <c r="AM60" s="20">
        <f>IF(Table9[[#This Row],[Vmin (%)]]&lt;$BA$14, 0, IF(Table9[[#This Row],[Vmin (%)]]&lt;$BA$12, 4, IF(Table9[[#This Row],[Vmin (%)]]&lt;$BA$9, 3, IF(Table9[[#This Row],[Vmin (%)]]&lt;$BA$7, 2, 0))))</f>
        <v>0</v>
      </c>
      <c r="AN60" s="20">
        <f>IF(Table9[[#This Row],[Vmin (%)]]&lt;$BA$13, 0, IF(Table9[[#This Row],[Vmin (%)]]&lt;$BA$11, 4, IF(Table9[[#This Row],[Vmin (%)]]&lt;$BA$10, 3, IF(Table9[[#This Row],[Vmin (%)]]&lt;$BA$8, 2, 0))))</f>
        <v>0</v>
      </c>
      <c r="AO60" s="76" t="str">
        <f>IF(Table9[[#This Row],[Vmin (%)]]&lt;$BA$14, "Hot", IF(Table9[[#This Row],[Vmin (%)]]&lt;$BA$12, "Warm", IF(Table9[[#This Row],[Vmin (%)]]&lt;$BA$9, "Normal", IF(Table9[[#This Row],[Vmin (%)]]&lt;$BA$7, "Cool", "Cold"))))</f>
        <v>Hot</v>
      </c>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row>
    <row r="61" spans="1:210" x14ac:dyDescent="0.2">
      <c r="A61" s="113">
        <f t="shared" si="5"/>
        <v>69</v>
      </c>
      <c r="B61" s="163"/>
      <c r="C61" s="172" t="str">
        <f t="shared" si="7"/>
        <v>RTH at 69 °C</v>
      </c>
      <c r="D61" s="196">
        <f t="shared" si="6"/>
        <v>2.2941176470588234</v>
      </c>
      <c r="E61" s="197">
        <v>2.238</v>
      </c>
      <c r="F61" s="198">
        <v>2.2949999999999999</v>
      </c>
      <c r="G61" s="199">
        <v>2.3519999999999999</v>
      </c>
      <c r="H61" s="128" t="s">
        <v>30</v>
      </c>
      <c r="I61" s="29"/>
      <c r="J61" s="29">
        <v>2.3519999999999999</v>
      </c>
      <c r="K61" s="29">
        <v>2.2949999999999999</v>
      </c>
      <c r="L61" s="29">
        <v>2.238</v>
      </c>
      <c r="M61" s="29"/>
      <c r="N61" s="29"/>
      <c r="O61" s="29"/>
      <c r="P61" s="29"/>
      <c r="Q61" s="29"/>
      <c r="R61" s="29"/>
      <c r="S61" s="29"/>
      <c r="T61" s="29"/>
      <c r="U61" s="29"/>
      <c r="V61" s="29"/>
      <c r="W61" s="29"/>
      <c r="X61" s="29"/>
      <c r="Y61" s="30"/>
      <c r="Z61" s="18"/>
      <c r="AA61" s="19"/>
      <c r="AB61" s="19"/>
      <c r="AC61" s="20">
        <f t="shared" si="8"/>
        <v>69</v>
      </c>
      <c r="AD61" s="20">
        <f t="shared" si="9"/>
        <v>2.238</v>
      </c>
      <c r="AE61" s="20">
        <f t="shared" si="10"/>
        <v>2.2949999999999999</v>
      </c>
      <c r="AF61" s="20">
        <f t="shared" si="11"/>
        <v>2.3519999999999999</v>
      </c>
      <c r="AG61" s="20">
        <f>Table9[[#This Row],[RTH(min) (kΩ)]]*RT2_TH_MIN/(RT2_TH_MIN+Table9[[#This Row],[RTH(min) (kΩ)]])</f>
        <v>2.0848902680767809</v>
      </c>
      <c r="AH61" s="20">
        <f>Table9[[#This Row],[RTH(nom) (kΩ)]]*RT2_TH_S/(RT2_TH_S+Table9[[#This Row],[RTH(nom) (kΩ)]])</f>
        <v>2.13442133493349</v>
      </c>
      <c r="AI61" s="20">
        <f>Table9[[#This Row],[RTH(max) (kΩ)]]*RT2_TH_S_MAX/(RT2_TH_S_MAX+Table9[[#This Row],[RTH(max) (kΩ)]])</f>
        <v>2.1837945663514926</v>
      </c>
      <c r="AJ61" s="20">
        <f>Table9[[#This Row],[RLower(min) (kΩ)]]/(Table9[[#This Row],[RLower(min) (kΩ)]]+RT1_TH_S_MAX)*100</f>
        <v>28.469994492474509</v>
      </c>
      <c r="AK61" s="20">
        <f>Table9[[#This Row],[RLower(nom) (kΩ)]]/(Table9[[#This Row],[RLower(nom) (kΩ)]]+RT1_TH_S)*100</f>
        <v>28.971112181124248</v>
      </c>
      <c r="AL61" s="20">
        <f>Table9[[#This Row],[RLower(max) (kΩ)]]/(Table9[[#This Row],[RLower(max) (kΩ)]]+RT1_TH_S_MIN)*100</f>
        <v>29.464737663721497</v>
      </c>
      <c r="AM61" s="20">
        <f>IF(Table9[[#This Row],[Vmin (%)]]&lt;$BA$14, 0, IF(Table9[[#This Row],[Vmin (%)]]&lt;$BA$12, 4, IF(Table9[[#This Row],[Vmin (%)]]&lt;$BA$9, 3, IF(Table9[[#This Row],[Vmin (%)]]&lt;$BA$7, 2, 0))))</f>
        <v>0</v>
      </c>
      <c r="AN61" s="20">
        <f>IF(Table9[[#This Row],[Vmin (%)]]&lt;$BA$13, 0, IF(Table9[[#This Row],[Vmin (%)]]&lt;$BA$11, 4, IF(Table9[[#This Row],[Vmin (%)]]&lt;$BA$10, 3, IF(Table9[[#This Row],[Vmin (%)]]&lt;$BA$8, 2, 0))))</f>
        <v>0</v>
      </c>
      <c r="AO61" s="76" t="str">
        <f>IF(Table9[[#This Row],[Vmin (%)]]&lt;$BA$14, "Hot", IF(Table9[[#This Row],[Vmin (%)]]&lt;$BA$12, "Warm", IF(Table9[[#This Row],[Vmin (%)]]&lt;$BA$9, "Normal", IF(Table9[[#This Row],[Vmin (%)]]&lt;$BA$7, "Cool", "Cold"))))</f>
        <v>Hot</v>
      </c>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c r="GR61" s="19"/>
      <c r="GS61" s="19"/>
      <c r="GT61" s="19"/>
      <c r="GU61" s="19"/>
      <c r="GV61" s="19"/>
      <c r="GW61" s="19"/>
      <c r="GX61" s="19"/>
      <c r="GY61" s="19"/>
      <c r="GZ61" s="19"/>
      <c r="HA61" s="19"/>
      <c r="HB61" s="19"/>
    </row>
    <row r="62" spans="1:210" x14ac:dyDescent="0.2">
      <c r="A62" s="113">
        <f t="shared" si="5"/>
        <v>68</v>
      </c>
      <c r="B62" s="163"/>
      <c r="C62" s="172" t="str">
        <f t="shared" si="7"/>
        <v>RTH at 68 °C</v>
      </c>
      <c r="D62" s="196">
        <f t="shared" si="6"/>
        <v>2.2647058823529411</v>
      </c>
      <c r="E62" s="197">
        <v>2.3069999999999999</v>
      </c>
      <c r="F62" s="198">
        <v>2.3639999999999999</v>
      </c>
      <c r="G62" s="199">
        <v>2.423</v>
      </c>
      <c r="H62" s="128" t="s">
        <v>30</v>
      </c>
      <c r="I62" s="29"/>
      <c r="J62" s="29">
        <v>2.423</v>
      </c>
      <c r="K62" s="29">
        <v>2.3639999999999999</v>
      </c>
      <c r="L62" s="29">
        <v>2.3069999999999999</v>
      </c>
      <c r="M62" s="29"/>
      <c r="N62" s="29"/>
      <c r="O62" s="29"/>
      <c r="P62" s="29"/>
      <c r="Q62" s="29"/>
      <c r="R62" s="29"/>
      <c r="S62" s="29"/>
      <c r="T62" s="29"/>
      <c r="U62" s="29"/>
      <c r="V62" s="29"/>
      <c r="W62" s="29"/>
      <c r="X62" s="29"/>
      <c r="Y62" s="30"/>
      <c r="Z62" s="18"/>
      <c r="AA62" s="19"/>
      <c r="AB62" s="19"/>
      <c r="AC62" s="20">
        <f t="shared" si="8"/>
        <v>68</v>
      </c>
      <c r="AD62" s="20">
        <f t="shared" si="9"/>
        <v>2.3069999999999999</v>
      </c>
      <c r="AE62" s="20">
        <f t="shared" si="10"/>
        <v>2.3639999999999999</v>
      </c>
      <c r="AF62" s="20">
        <f t="shared" si="11"/>
        <v>2.423</v>
      </c>
      <c r="AG62" s="20">
        <f>Table9[[#This Row],[RTH(min) (kΩ)]]*RT2_TH_MIN/(RT2_TH_MIN+Table9[[#This Row],[RTH(min) (kΩ)]])</f>
        <v>2.1446460937994751</v>
      </c>
      <c r="AH62" s="20">
        <f>Table9[[#This Row],[RTH(nom) (kΩ)]]*RT2_TH_S/(RT2_TH_S+Table9[[#This Row],[RTH(nom) (kΩ)]])</f>
        <v>2.1939781380495695</v>
      </c>
      <c r="AI62" s="20">
        <f>Table9[[#This Row],[RTH(max) (kΩ)]]*RT2_TH_S_MAX/(RT2_TH_S_MAX+Table9[[#This Row],[RTH(max) (kΩ)]])</f>
        <v>2.2448705833426219</v>
      </c>
      <c r="AJ62" s="20">
        <f>Table9[[#This Row],[RLower(min) (kΩ)]]/(Table9[[#This Row],[RLower(min) (kΩ)]]+RT1_TH_S_MAX)*100</f>
        <v>29.048947448286029</v>
      </c>
      <c r="AK62" s="20">
        <f>Table9[[#This Row],[RLower(nom) (kΩ)]]/(Table9[[#This Row],[RLower(nom) (kΩ)]]+RT1_TH_S)*100</f>
        <v>29.540692224494531</v>
      </c>
      <c r="AL62" s="20">
        <f>Table9[[#This Row],[RLower(max) (kΩ)]]/(Table9[[#This Row],[RLower(max) (kΩ)]]+RT1_TH_S_MIN)*100</f>
        <v>30.041243339486488</v>
      </c>
      <c r="AM62" s="20">
        <f>IF(Table9[[#This Row],[Vmin (%)]]&lt;$BA$14, 0, IF(Table9[[#This Row],[Vmin (%)]]&lt;$BA$12, 4, IF(Table9[[#This Row],[Vmin (%)]]&lt;$BA$9, 3, IF(Table9[[#This Row],[Vmin (%)]]&lt;$BA$7, 2, 0))))</f>
        <v>0</v>
      </c>
      <c r="AN62" s="20">
        <f>IF(Table9[[#This Row],[Vmin (%)]]&lt;$BA$13, 0, IF(Table9[[#This Row],[Vmin (%)]]&lt;$BA$11, 4, IF(Table9[[#This Row],[Vmin (%)]]&lt;$BA$10, 3, IF(Table9[[#This Row],[Vmin (%)]]&lt;$BA$8, 2, 0))))</f>
        <v>0</v>
      </c>
      <c r="AO62" s="76" t="str">
        <f>IF(Table9[[#This Row],[Vmin (%)]]&lt;$BA$14, "Hot", IF(Table9[[#This Row],[Vmin (%)]]&lt;$BA$12, "Warm", IF(Table9[[#This Row],[Vmin (%)]]&lt;$BA$9, "Normal", IF(Table9[[#This Row],[Vmin (%)]]&lt;$BA$7, "Cool", "Cold"))))</f>
        <v>Hot</v>
      </c>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row>
    <row r="63" spans="1:210" x14ac:dyDescent="0.2">
      <c r="A63" s="113">
        <f t="shared" si="5"/>
        <v>67</v>
      </c>
      <c r="B63" s="163"/>
      <c r="C63" s="172" t="str">
        <f t="shared" si="7"/>
        <v>RTH at 67 °C</v>
      </c>
      <c r="D63" s="196">
        <f t="shared" si="6"/>
        <v>2.2352941176470589</v>
      </c>
      <c r="E63" s="197">
        <v>2.3780000000000001</v>
      </c>
      <c r="F63" s="198">
        <v>2.4359999999999999</v>
      </c>
      <c r="G63" s="199">
        <v>2.496</v>
      </c>
      <c r="H63" s="128" t="s">
        <v>30</v>
      </c>
      <c r="I63" s="29"/>
      <c r="J63" s="29">
        <v>2.496</v>
      </c>
      <c r="K63" s="29">
        <v>2.4359999999999999</v>
      </c>
      <c r="L63" s="29">
        <v>2.3780000000000001</v>
      </c>
      <c r="M63" s="29"/>
      <c r="N63" s="29"/>
      <c r="O63" s="29"/>
      <c r="P63" s="29"/>
      <c r="Q63" s="29"/>
      <c r="R63" s="29"/>
      <c r="S63" s="29"/>
      <c r="T63" s="29"/>
      <c r="U63" s="29"/>
      <c r="V63" s="29"/>
      <c r="W63" s="29"/>
      <c r="X63" s="29"/>
      <c r="Y63" s="30"/>
      <c r="Z63" s="18"/>
      <c r="AA63" s="19"/>
      <c r="AB63" s="19"/>
      <c r="AC63" s="20">
        <f t="shared" si="8"/>
        <v>67</v>
      </c>
      <c r="AD63" s="20">
        <f t="shared" si="9"/>
        <v>2.3780000000000001</v>
      </c>
      <c r="AE63" s="20">
        <f t="shared" si="10"/>
        <v>2.4359999999999999</v>
      </c>
      <c r="AF63" s="20">
        <f t="shared" si="11"/>
        <v>2.496</v>
      </c>
      <c r="AG63" s="20">
        <f>Table9[[#This Row],[RTH(min) (kΩ)]]*RT2_TH_MIN/(RT2_TH_MIN+Table9[[#This Row],[RTH(min) (kΩ)]])</f>
        <v>2.2058719457674973</v>
      </c>
      <c r="AH63" s="20">
        <f>Table9[[#This Row],[RTH(nom) (kΩ)]]*RT2_TH_S/(RT2_TH_S+Table9[[#This Row],[RTH(nom) (kΩ)]])</f>
        <v>2.255858360158598</v>
      </c>
      <c r="AI63" s="20">
        <f>Table9[[#This Row],[RTH(max) (kΩ)]]*RT2_TH_S_MAX/(RT2_TH_S_MAX+Table9[[#This Row],[RTH(max) (kΩ)]])</f>
        <v>2.3073932942358142</v>
      </c>
      <c r="AJ63" s="20">
        <f>Table9[[#This Row],[RLower(min) (kΩ)]]/(Table9[[#This Row],[RLower(min) (kΩ)]]+RT1_TH_S_MAX)*100</f>
        <v>29.632502334150747</v>
      </c>
      <c r="AK63" s="20">
        <f>Table9[[#This Row],[RLower(nom) (kΩ)]]/(Table9[[#This Row],[RLower(nom) (kΩ)]]+RT1_TH_S)*100</f>
        <v>30.122896154582406</v>
      </c>
      <c r="AL63" s="20">
        <f>Table9[[#This Row],[RLower(max) (kΩ)]]/(Table9[[#This Row],[RLower(max) (kΩ)]]+RT1_TH_S_MIN)*100</f>
        <v>30.621724189302483</v>
      </c>
      <c r="AM63" s="20">
        <f>IF(Table9[[#This Row],[Vmin (%)]]&lt;$BA$14, 0, IF(Table9[[#This Row],[Vmin (%)]]&lt;$BA$12, 4, IF(Table9[[#This Row],[Vmin (%)]]&lt;$BA$9, 3, IF(Table9[[#This Row],[Vmin (%)]]&lt;$BA$7, 2, 0))))</f>
        <v>0</v>
      </c>
      <c r="AN63" s="20">
        <f>IF(Table9[[#This Row],[Vmin (%)]]&lt;$BA$13, 0, IF(Table9[[#This Row],[Vmin (%)]]&lt;$BA$11, 4, IF(Table9[[#This Row],[Vmin (%)]]&lt;$BA$10, 3, IF(Table9[[#This Row],[Vmin (%)]]&lt;$BA$8, 2, 0))))</f>
        <v>0</v>
      </c>
      <c r="AO63" s="76" t="str">
        <f>IF(Table9[[#This Row],[Vmin (%)]]&lt;$BA$14, "Hot", IF(Table9[[#This Row],[Vmin (%)]]&lt;$BA$12, "Warm", IF(Table9[[#This Row],[Vmin (%)]]&lt;$BA$9, "Normal", IF(Table9[[#This Row],[Vmin (%)]]&lt;$BA$7, "Cool", "Cold"))))</f>
        <v>Hot</v>
      </c>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row>
    <row r="64" spans="1:210" x14ac:dyDescent="0.2">
      <c r="A64" s="113">
        <f t="shared" si="5"/>
        <v>66</v>
      </c>
      <c r="B64" s="163"/>
      <c r="C64" s="172" t="str">
        <f t="shared" si="7"/>
        <v>RTH at 66 °C</v>
      </c>
      <c r="D64" s="196">
        <f t="shared" si="6"/>
        <v>2.2058823529411766</v>
      </c>
      <c r="E64" s="197">
        <v>2.4510000000000001</v>
      </c>
      <c r="F64" s="198">
        <v>2.5110000000000001</v>
      </c>
      <c r="G64" s="199">
        <v>2.5710000000000002</v>
      </c>
      <c r="H64" s="128" t="s">
        <v>30</v>
      </c>
      <c r="I64" s="29"/>
      <c r="J64" s="29">
        <v>2.5710000000000002</v>
      </c>
      <c r="K64" s="29">
        <v>2.5110000000000001</v>
      </c>
      <c r="L64" s="29">
        <v>2.4510000000000001</v>
      </c>
      <c r="M64" s="29"/>
      <c r="N64" s="29"/>
      <c r="O64" s="29"/>
      <c r="P64" s="29"/>
      <c r="Q64" s="29"/>
      <c r="R64" s="29"/>
      <c r="S64" s="29"/>
      <c r="T64" s="29"/>
      <c r="U64" s="29"/>
      <c r="V64" s="29"/>
      <c r="W64" s="29"/>
      <c r="X64" s="29"/>
      <c r="Y64" s="30"/>
      <c r="Z64" s="18"/>
      <c r="AA64" s="19"/>
      <c r="AB64" s="19"/>
      <c r="AC64" s="20">
        <f t="shared" si="8"/>
        <v>66</v>
      </c>
      <c r="AD64" s="20">
        <f t="shared" si="9"/>
        <v>2.4510000000000001</v>
      </c>
      <c r="AE64" s="20">
        <f t="shared" si="10"/>
        <v>2.5110000000000001</v>
      </c>
      <c r="AF64" s="20">
        <f t="shared" si="11"/>
        <v>2.5710000000000002</v>
      </c>
      <c r="AG64" s="20">
        <f>Table9[[#This Row],[RTH(min) (kΩ)]]*RT2_TH_MIN/(RT2_TH_MIN+Table9[[#This Row],[RTH(min) (kΩ)]])</f>
        <v>2.2685471571710152</v>
      </c>
      <c r="AH64" s="20">
        <f>Table9[[#This Row],[RTH(nom) (kΩ)]]*RT2_TH_S/(RT2_TH_S+Table9[[#This Row],[RTH(nom) (kΩ)]])</f>
        <v>2.3200299328223184</v>
      </c>
      <c r="AI64" s="20">
        <f>Table9[[#This Row],[RTH(max) (kΩ)]]*RT2_TH_S_MAX/(RT2_TH_S_MAX+Table9[[#This Row],[RTH(max) (kΩ)]])</f>
        <v>2.3713417981116054</v>
      </c>
      <c r="AJ64" s="20">
        <f>Table9[[#This Row],[RLower(min) (kΩ)]]/(Table9[[#This Row],[RLower(min) (kΩ)]]+RT1_TH_S_MAX)*100</f>
        <v>30.220011613273613</v>
      </c>
      <c r="AK64" s="20">
        <f>Table9[[#This Row],[RLower(nom) (kΩ)]]/(Table9[[#This Row],[RLower(nom) (kΩ)]]+RT1_TH_S)*100</f>
        <v>30.716582257092519</v>
      </c>
      <c r="AL64" s="20">
        <f>Table9[[#This Row],[RLower(max) (kΩ)]]/(Table9[[#This Row],[RLower(max) (kΩ)]]+RT1_TH_S_MIN)*100</f>
        <v>31.205561349829551</v>
      </c>
      <c r="AM64" s="20">
        <f>IF(Table9[[#This Row],[Vmin (%)]]&lt;$BA$14, 0, IF(Table9[[#This Row],[Vmin (%)]]&lt;$BA$12, 4, IF(Table9[[#This Row],[Vmin (%)]]&lt;$BA$9, 3, IF(Table9[[#This Row],[Vmin (%)]]&lt;$BA$7, 2, 0))))</f>
        <v>0</v>
      </c>
      <c r="AN64" s="20">
        <f>IF(Table9[[#This Row],[Vmin (%)]]&lt;$BA$13, 0, IF(Table9[[#This Row],[Vmin (%)]]&lt;$BA$11, 4, IF(Table9[[#This Row],[Vmin (%)]]&lt;$BA$10, 3, IF(Table9[[#This Row],[Vmin (%)]]&lt;$BA$8, 2, 0))))</f>
        <v>0</v>
      </c>
      <c r="AO64" s="76" t="str">
        <f>IF(Table9[[#This Row],[Vmin (%)]]&lt;$BA$14, "Hot", IF(Table9[[#This Row],[Vmin (%)]]&lt;$BA$12, "Warm", IF(Table9[[#This Row],[Vmin (%)]]&lt;$BA$9, "Normal", IF(Table9[[#This Row],[Vmin (%)]]&lt;$BA$7, "Cool", "Cold"))))</f>
        <v>Hot</v>
      </c>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row>
    <row r="65" spans="1:210" x14ac:dyDescent="0.2">
      <c r="A65" s="113">
        <f t="shared" si="5"/>
        <v>65</v>
      </c>
      <c r="B65" s="163"/>
      <c r="C65" s="172" t="str">
        <f t="shared" si="7"/>
        <v>RTH at 65 °C</v>
      </c>
      <c r="D65" s="196">
        <f t="shared" si="6"/>
        <v>2.1764705882352944</v>
      </c>
      <c r="E65" s="197">
        <v>2.5270000000000001</v>
      </c>
      <c r="F65" s="198">
        <v>2.5880000000000001</v>
      </c>
      <c r="G65" s="199">
        <v>2.65</v>
      </c>
      <c r="H65" s="128" t="s">
        <v>30</v>
      </c>
      <c r="I65" s="29"/>
      <c r="J65" s="29">
        <v>2.65</v>
      </c>
      <c r="K65" s="29">
        <v>2.5880000000000001</v>
      </c>
      <c r="L65" s="29">
        <v>2.5270000000000001</v>
      </c>
      <c r="M65" s="29"/>
      <c r="N65" s="29"/>
      <c r="O65" s="29"/>
      <c r="P65" s="29"/>
      <c r="Q65" s="29"/>
      <c r="R65" s="29"/>
      <c r="S65" s="29"/>
      <c r="T65" s="29"/>
      <c r="U65" s="29"/>
      <c r="V65" s="29"/>
      <c r="W65" s="29"/>
      <c r="X65" s="29"/>
      <c r="Y65" s="30"/>
      <c r="Z65" s="18"/>
      <c r="AA65" s="19"/>
      <c r="AB65" s="19"/>
      <c r="AC65" s="20">
        <f t="shared" si="8"/>
        <v>65</v>
      </c>
      <c r="AD65" s="20">
        <f t="shared" si="9"/>
        <v>2.5270000000000001</v>
      </c>
      <c r="AE65" s="20">
        <f t="shared" si="10"/>
        <v>2.5880000000000001</v>
      </c>
      <c r="AF65" s="20">
        <f t="shared" si="11"/>
        <v>2.65</v>
      </c>
      <c r="AG65" s="20">
        <f>Table9[[#This Row],[RTH(min) (kΩ)]]*RT2_TH_MIN/(RT2_TH_MIN+Table9[[#This Row],[RTH(min) (kΩ)]])</f>
        <v>2.3335034603049016</v>
      </c>
      <c r="AH65" s="20">
        <f>Table9[[#This Row],[RTH(nom) (kΩ)]]*RT2_TH_S/(RT2_TH_S+Table9[[#This Row],[RTH(nom) (kΩ)]])</f>
        <v>2.3856101425398628</v>
      </c>
      <c r="AI65" s="20">
        <f>Table9[[#This Row],[RTH(max) (kΩ)]]*RT2_TH_S_MAX/(RT2_TH_S_MAX+Table9[[#This Row],[RTH(max) (kΩ)]])</f>
        <v>2.4383883062224156</v>
      </c>
      <c r="AJ65" s="20">
        <f>Table9[[#This Row],[RLower(min) (kΩ)]]/(Table9[[#This Row],[RLower(min) (kΩ)]]+RT1_TH_S_MAX)*100</f>
        <v>30.818639868120616</v>
      </c>
      <c r="AK65" s="20">
        <f>Table9[[#This Row],[RLower(nom) (kΩ)]]/(Table9[[#This Row],[RLower(nom) (kΩ)]]+RT1_TH_S)*100</f>
        <v>31.312967458648711</v>
      </c>
      <c r="AL65" s="20">
        <f>Table9[[#This Row],[RLower(max) (kΩ)]]/(Table9[[#This Row],[RLower(max) (kΩ)]]+RT1_TH_S_MIN)*100</f>
        <v>31.807223072817276</v>
      </c>
      <c r="AM65" s="20">
        <f>IF(Table9[[#This Row],[Vmin (%)]]&lt;$BA$14, 0, IF(Table9[[#This Row],[Vmin (%)]]&lt;$BA$12, 4, IF(Table9[[#This Row],[Vmin (%)]]&lt;$BA$9, 3, IF(Table9[[#This Row],[Vmin (%)]]&lt;$BA$7, 2, 0))))</f>
        <v>0</v>
      </c>
      <c r="AN65" s="20">
        <f>IF(Table9[[#This Row],[Vmin (%)]]&lt;$BA$13, 0, IF(Table9[[#This Row],[Vmin (%)]]&lt;$BA$11, 4, IF(Table9[[#This Row],[Vmin (%)]]&lt;$BA$10, 3, IF(Table9[[#This Row],[Vmin (%)]]&lt;$BA$8, 2, 0))))</f>
        <v>0</v>
      </c>
      <c r="AO65" s="76" t="str">
        <f>IF(Table9[[#This Row],[Vmin (%)]]&lt;$BA$14, "Hot", IF(Table9[[#This Row],[Vmin (%)]]&lt;$BA$12, "Warm", IF(Table9[[#This Row],[Vmin (%)]]&lt;$BA$9, "Normal", IF(Table9[[#This Row],[Vmin (%)]]&lt;$BA$7, "Cool", "Cold"))))</f>
        <v>Hot</v>
      </c>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row>
    <row r="66" spans="1:210" x14ac:dyDescent="0.2">
      <c r="A66" s="113">
        <f t="shared" si="5"/>
        <v>64</v>
      </c>
      <c r="B66" s="163"/>
      <c r="C66" s="172" t="str">
        <f t="shared" si="7"/>
        <v>RTH at 64 °C</v>
      </c>
      <c r="D66" s="196">
        <f t="shared" si="6"/>
        <v>2.1470588235294117</v>
      </c>
      <c r="E66" s="197">
        <v>2.6059999999999999</v>
      </c>
      <c r="F66" s="198">
        <v>2.6680000000000001</v>
      </c>
      <c r="G66" s="199">
        <v>2.7309999999999999</v>
      </c>
      <c r="H66" s="128" t="s">
        <v>30</v>
      </c>
      <c r="I66" s="29"/>
      <c r="J66" s="29">
        <v>2.7309999999999999</v>
      </c>
      <c r="K66" s="29">
        <v>2.6680000000000001</v>
      </c>
      <c r="L66" s="29">
        <v>2.6059999999999999</v>
      </c>
      <c r="M66" s="29"/>
      <c r="N66" s="29"/>
      <c r="O66" s="29"/>
      <c r="P66" s="29"/>
      <c r="Q66" s="29"/>
      <c r="R66" s="29"/>
      <c r="S66" s="29"/>
      <c r="T66" s="29"/>
      <c r="U66" s="29"/>
      <c r="V66" s="29"/>
      <c r="W66" s="29"/>
      <c r="X66" s="29"/>
      <c r="Y66" s="30"/>
      <c r="Z66" s="18"/>
      <c r="AA66" s="19"/>
      <c r="AB66" s="19"/>
      <c r="AC66" s="20">
        <f t="shared" si="8"/>
        <v>64</v>
      </c>
      <c r="AD66" s="20">
        <f t="shared" si="9"/>
        <v>2.6059999999999999</v>
      </c>
      <c r="AE66" s="20">
        <f t="shared" si="10"/>
        <v>2.6680000000000001</v>
      </c>
      <c r="AF66" s="20">
        <f t="shared" si="11"/>
        <v>2.7309999999999999</v>
      </c>
      <c r="AG66" s="20">
        <f>Table9[[#This Row],[RTH(min) (kΩ)]]*RT2_TH_MIN/(RT2_TH_MIN+Table9[[#This Row],[RTH(min) (kΩ)]])</f>
        <v>2.4007074612813559</v>
      </c>
      <c r="AH66" s="20">
        <f>Table9[[#This Row],[RTH(nom) (kΩ)]]*RT2_TH_S/(RT2_TH_S+Table9[[#This Row],[RTH(nom) (kΩ)]])</f>
        <v>2.4534229598200192</v>
      </c>
      <c r="AI66" s="20">
        <f>Table9[[#This Row],[RTH(max) (kΩ)]]*RT2_TH_S_MAX/(RT2_TH_S_MAX+Table9[[#This Row],[RTH(max) (kΩ)]])</f>
        <v>2.5068015635268006</v>
      </c>
      <c r="AJ66" s="20">
        <f>Table9[[#This Row],[RLower(min) (kΩ)]]/(Table9[[#This Row],[RLower(min) (kΩ)]]+RT1_TH_S_MAX)*100</f>
        <v>31.427267414192102</v>
      </c>
      <c r="AK66" s="20">
        <f>Table9[[#This Row],[RLower(nom) (kΩ)]]/(Table9[[#This Row],[RLower(nom) (kΩ)]]+RT1_TH_S)*100</f>
        <v>31.918953699127496</v>
      </c>
      <c r="AL66" s="20">
        <f>Table9[[#This Row],[RLower(max) (kΩ)]]/(Table9[[#This Row],[RLower(max) (kΩ)]]+RT1_TH_S_MIN)*100</f>
        <v>32.410397676620768</v>
      </c>
      <c r="AM66" s="20">
        <f>IF(Table9[[#This Row],[Vmin (%)]]&lt;$BA$14, 0, IF(Table9[[#This Row],[Vmin (%)]]&lt;$BA$12, 4, IF(Table9[[#This Row],[Vmin (%)]]&lt;$BA$9, 3, IF(Table9[[#This Row],[Vmin (%)]]&lt;$BA$7, 2, 0))))</f>
        <v>0</v>
      </c>
      <c r="AN66" s="20">
        <f>IF(Table9[[#This Row],[Vmin (%)]]&lt;$BA$13, 0, IF(Table9[[#This Row],[Vmin (%)]]&lt;$BA$11, 4, IF(Table9[[#This Row],[Vmin (%)]]&lt;$BA$10, 3, IF(Table9[[#This Row],[Vmin (%)]]&lt;$BA$8, 2, 0))))</f>
        <v>0</v>
      </c>
      <c r="AO66" s="76" t="str">
        <f>IF(Table9[[#This Row],[Vmin (%)]]&lt;$BA$14, "Hot", IF(Table9[[#This Row],[Vmin (%)]]&lt;$BA$12, "Warm", IF(Table9[[#This Row],[Vmin (%)]]&lt;$BA$9, "Normal", IF(Table9[[#This Row],[Vmin (%)]]&lt;$BA$7, "Cool", "Cold"))))</f>
        <v>Hot</v>
      </c>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row>
    <row r="67" spans="1:210" x14ac:dyDescent="0.2">
      <c r="A67" s="113">
        <f t="shared" si="5"/>
        <v>63</v>
      </c>
      <c r="B67" s="163"/>
      <c r="C67" s="172" t="str">
        <f t="shared" si="7"/>
        <v>RTH at 63 °C</v>
      </c>
      <c r="D67" s="196">
        <f t="shared" si="6"/>
        <v>2.1176470588235294</v>
      </c>
      <c r="E67" s="197">
        <v>2.6880000000000002</v>
      </c>
      <c r="F67" s="198">
        <v>2.7509999999999999</v>
      </c>
      <c r="G67" s="199">
        <v>2.8149999999999999</v>
      </c>
      <c r="H67" s="128" t="s">
        <v>30</v>
      </c>
      <c r="I67" s="29"/>
      <c r="J67" s="29">
        <v>2.8149999999999999</v>
      </c>
      <c r="K67" s="29">
        <v>2.7509999999999999</v>
      </c>
      <c r="L67" s="29">
        <v>2.6880000000000002</v>
      </c>
      <c r="M67" s="29"/>
      <c r="N67" s="29"/>
      <c r="O67" s="29"/>
      <c r="P67" s="29"/>
      <c r="Q67" s="29"/>
      <c r="R67" s="29"/>
      <c r="S67" s="29"/>
      <c r="T67" s="29"/>
      <c r="U67" s="29"/>
      <c r="V67" s="29"/>
      <c r="W67" s="29"/>
      <c r="X67" s="29"/>
      <c r="Y67" s="30"/>
      <c r="Z67" s="18"/>
      <c r="AA67" s="19"/>
      <c r="AB67" s="19"/>
      <c r="AC67" s="20">
        <f t="shared" si="8"/>
        <v>63</v>
      </c>
      <c r="AD67" s="20">
        <f t="shared" si="9"/>
        <v>2.6880000000000002</v>
      </c>
      <c r="AE67" s="20">
        <f t="shared" si="10"/>
        <v>2.7509999999999999</v>
      </c>
      <c r="AF67" s="20">
        <f t="shared" si="11"/>
        <v>2.8149999999999999</v>
      </c>
      <c r="AG67" s="20">
        <f>Table9[[#This Row],[RTH(min) (kΩ)]]*RT2_TH_MIN/(RT2_TH_MIN+Table9[[#This Row],[RTH(min) (kΩ)]])</f>
        <v>2.470124858373679</v>
      </c>
      <c r="AH67" s="20">
        <f>Table9[[#This Row],[RTH(nom) (kΩ)]]*RT2_TH_S/(RT2_TH_S+Table9[[#This Row],[RTH(nom) (kΩ)]])</f>
        <v>2.5234339207597776</v>
      </c>
      <c r="AI67" s="20">
        <f>Table9[[#This Row],[RTH(max) (kΩ)]]*RT2_TH_S_MAX/(RT2_TH_S_MAX+Table9[[#This Row],[RTH(max) (kΩ)]])</f>
        <v>2.5773976408813106</v>
      </c>
      <c r="AJ67" s="20">
        <f>Table9[[#This Row],[RLower(min) (kΩ)]]/(Table9[[#This Row],[RLower(min) (kΩ)]]+RT1_TH_S_MAX)*100</f>
        <v>32.044797913898023</v>
      </c>
      <c r="AK67" s="20">
        <f>Table9[[#This Row],[RLower(nom) (kΩ)]]/(Table9[[#This Row],[RLower(nom) (kΩ)]]+RT1_TH_S)*100</f>
        <v>32.533466110680855</v>
      </c>
      <c r="AL67" s="20">
        <f>Table9[[#This Row],[RLower(max) (kΩ)]]/(Table9[[#This Row],[RLower(max) (kΩ)]]+RT1_TH_S_MIN)*100</f>
        <v>33.021732148136543</v>
      </c>
      <c r="AM67" s="20">
        <f>IF(Table9[[#This Row],[Vmin (%)]]&lt;$BA$14, 0, IF(Table9[[#This Row],[Vmin (%)]]&lt;$BA$12, 4, IF(Table9[[#This Row],[Vmin (%)]]&lt;$BA$9, 3, IF(Table9[[#This Row],[Vmin (%)]]&lt;$BA$7, 2, 0))))</f>
        <v>0</v>
      </c>
      <c r="AN67" s="20">
        <f>IF(Table9[[#This Row],[Vmin (%)]]&lt;$BA$13, 0, IF(Table9[[#This Row],[Vmin (%)]]&lt;$BA$11, 4, IF(Table9[[#This Row],[Vmin (%)]]&lt;$BA$10, 3, IF(Table9[[#This Row],[Vmin (%)]]&lt;$BA$8, 2, 0))))</f>
        <v>0</v>
      </c>
      <c r="AO67" s="76" t="str">
        <f>IF(Table9[[#This Row],[Vmin (%)]]&lt;$BA$14, "Hot", IF(Table9[[#This Row],[Vmin (%)]]&lt;$BA$12, "Warm", IF(Table9[[#This Row],[Vmin (%)]]&lt;$BA$9, "Normal", IF(Table9[[#This Row],[Vmin (%)]]&lt;$BA$7, "Cool", "Cold"))))</f>
        <v>Hot</v>
      </c>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row>
    <row r="68" spans="1:210" x14ac:dyDescent="0.2">
      <c r="A68" s="113">
        <f t="shared" si="5"/>
        <v>62</v>
      </c>
      <c r="B68" s="163"/>
      <c r="C68" s="172" t="str">
        <f t="shared" si="7"/>
        <v>RTH at 62 °C</v>
      </c>
      <c r="D68" s="196">
        <f t="shared" si="6"/>
        <v>2.0882352941176467</v>
      </c>
      <c r="E68" s="197">
        <v>2.774</v>
      </c>
      <c r="F68" s="198">
        <v>2.8380000000000001</v>
      </c>
      <c r="G68" s="199">
        <v>2.9020000000000001</v>
      </c>
      <c r="H68" s="128" t="s">
        <v>30</v>
      </c>
      <c r="I68" s="29"/>
      <c r="J68" s="29">
        <v>2.9020000000000001</v>
      </c>
      <c r="K68" s="29">
        <v>2.8380000000000001</v>
      </c>
      <c r="L68" s="29">
        <v>2.774</v>
      </c>
      <c r="M68" s="29"/>
      <c r="N68" s="29"/>
      <c r="O68" s="29"/>
      <c r="P68" s="29"/>
      <c r="Q68" s="29"/>
      <c r="R68" s="29"/>
      <c r="S68" s="29"/>
      <c r="T68" s="29"/>
      <c r="U68" s="29"/>
      <c r="V68" s="29"/>
      <c r="W68" s="29"/>
      <c r="X68" s="29"/>
      <c r="Y68" s="30"/>
      <c r="Z68" s="18"/>
      <c r="AA68" s="19"/>
      <c r="AB68" s="19"/>
      <c r="AC68" s="20">
        <f t="shared" si="8"/>
        <v>62</v>
      </c>
      <c r="AD68" s="20">
        <f t="shared" si="9"/>
        <v>2.774</v>
      </c>
      <c r="AE68" s="20">
        <f t="shared" si="10"/>
        <v>2.8380000000000001</v>
      </c>
      <c r="AF68" s="20">
        <f t="shared" si="11"/>
        <v>2.9020000000000001</v>
      </c>
      <c r="AG68" s="20">
        <f>Table9[[#This Row],[RTH(min) (kΩ)]]*RT2_TH_MIN/(RT2_TH_MIN+Table9[[#This Row],[RTH(min) (kΩ)]])</f>
        <v>2.5425606065632675</v>
      </c>
      <c r="AH68" s="20">
        <f>Table9[[#This Row],[RTH(nom) (kΩ)]]*RT2_TH_S/(RT2_TH_S+Table9[[#This Row],[RTH(nom) (kΩ)]])</f>
        <v>2.5964447521339906</v>
      </c>
      <c r="AI68" s="20">
        <f>Table9[[#This Row],[RTH(max) (kΩ)]]*RT2_TH_S_MAX/(RT2_TH_S_MAX+Table9[[#This Row],[RTH(max) (kΩ)]])</f>
        <v>2.6501410863151329</v>
      </c>
      <c r="AJ68" s="20">
        <f>Table9[[#This Row],[RLower(min) (kΩ)]]/(Table9[[#This Row],[RLower(min) (kΩ)]]+RT1_TH_S_MAX)*100</f>
        <v>32.677431519389437</v>
      </c>
      <c r="AK68" s="20">
        <f>Table9[[#This Row],[RLower(nom) (kΩ)]]/(Table9[[#This Row],[RLower(nom) (kΩ)]]+RT1_TH_S)*100</f>
        <v>33.162603099957053</v>
      </c>
      <c r="AL68" s="20">
        <f>Table9[[#This Row],[RLower(max) (kΩ)]]/(Table9[[#This Row],[RLower(max) (kΩ)]]+RT1_TH_S_MIN)*100</f>
        <v>33.640200323861443</v>
      </c>
      <c r="AM68" s="20">
        <f>IF(Table9[[#This Row],[Vmin (%)]]&lt;$BA$14, 0, IF(Table9[[#This Row],[Vmin (%)]]&lt;$BA$12, 4, IF(Table9[[#This Row],[Vmin (%)]]&lt;$BA$9, 3, IF(Table9[[#This Row],[Vmin (%)]]&lt;$BA$7, 2, 0))))</f>
        <v>0</v>
      </c>
      <c r="AN68" s="20">
        <f>IF(Table9[[#This Row],[Vmin (%)]]&lt;$BA$13, 0, IF(Table9[[#This Row],[Vmin (%)]]&lt;$BA$11, 4, IF(Table9[[#This Row],[Vmin (%)]]&lt;$BA$10, 3, IF(Table9[[#This Row],[Vmin (%)]]&lt;$BA$8, 2, 0))))</f>
        <v>0</v>
      </c>
      <c r="AO68" s="76" t="str">
        <f>IF(Table9[[#This Row],[Vmin (%)]]&lt;$BA$14, "Hot", IF(Table9[[#This Row],[Vmin (%)]]&lt;$BA$12, "Warm", IF(Table9[[#This Row],[Vmin (%)]]&lt;$BA$9, "Normal", IF(Table9[[#This Row],[Vmin (%)]]&lt;$BA$7, "Cool", "Cold"))))</f>
        <v>Hot</v>
      </c>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row>
    <row r="69" spans="1:210" x14ac:dyDescent="0.2">
      <c r="A69" s="113">
        <f t="shared" si="5"/>
        <v>61</v>
      </c>
      <c r="B69" s="163"/>
      <c r="C69" s="172" t="str">
        <f t="shared" si="7"/>
        <v>RTH at 61 °C</v>
      </c>
      <c r="D69" s="196">
        <f t="shared" si="6"/>
        <v>2.0588235294117645</v>
      </c>
      <c r="E69" s="197">
        <v>2.8620000000000001</v>
      </c>
      <c r="F69" s="198">
        <v>2.927</v>
      </c>
      <c r="G69" s="199">
        <v>2.9929999999999999</v>
      </c>
      <c r="H69" s="128" t="s">
        <v>30</v>
      </c>
      <c r="I69" s="29"/>
      <c r="J69" s="29">
        <v>2.9929999999999999</v>
      </c>
      <c r="K69" s="29">
        <v>2.927</v>
      </c>
      <c r="L69" s="29">
        <v>2.8620000000000001</v>
      </c>
      <c r="M69" s="29"/>
      <c r="N69" s="29"/>
      <c r="O69" s="29"/>
      <c r="P69" s="29"/>
      <c r="Q69" s="29"/>
      <c r="R69" s="29"/>
      <c r="S69" s="29"/>
      <c r="T69" s="29"/>
      <c r="U69" s="29"/>
      <c r="V69" s="29"/>
      <c r="W69" s="29"/>
      <c r="X69" s="29"/>
      <c r="Y69" s="30"/>
      <c r="Z69" s="18"/>
      <c r="AA69" s="19"/>
      <c r="AB69" s="19"/>
      <c r="AC69" s="20">
        <f t="shared" si="8"/>
        <v>61</v>
      </c>
      <c r="AD69" s="20">
        <f t="shared" si="9"/>
        <v>2.8620000000000001</v>
      </c>
      <c r="AE69" s="20">
        <f t="shared" si="10"/>
        <v>2.927</v>
      </c>
      <c r="AF69" s="20">
        <f t="shared" si="11"/>
        <v>2.9929999999999999</v>
      </c>
      <c r="AG69" s="20">
        <f>Table9[[#This Row],[RTH(min) (kΩ)]]*RT2_TH_MIN/(RT2_TH_MIN+Table9[[#This Row],[RTH(min) (kΩ)]])</f>
        <v>2.6162940389960183</v>
      </c>
      <c r="AH69" s="20">
        <f>Table9[[#This Row],[RTH(nom) (kΩ)]]*RT2_TH_S/(RT2_TH_S+Table9[[#This Row],[RTH(nom) (kΩ)]])</f>
        <v>2.6707408013691909</v>
      </c>
      <c r="AI69" s="20">
        <f>Table9[[#This Row],[RTH(max) (kΩ)]]*RT2_TH_S_MAX/(RT2_TH_S_MAX+Table9[[#This Row],[RTH(max) (kΩ)]])</f>
        <v>2.725825116726921</v>
      </c>
      <c r="AJ69" s="20">
        <f>Table9[[#This Row],[RLower(min) (kΩ)]]/(Table9[[#This Row],[RLower(min) (kΩ)]]+RT1_TH_S_MAX)*100</f>
        <v>33.309414785890326</v>
      </c>
      <c r="AK69" s="20">
        <f>Table9[[#This Row],[RLower(nom) (kΩ)]]/(Table9[[#This Row],[RLower(nom) (kΩ)]]+RT1_TH_S)*100</f>
        <v>33.790882824445816</v>
      </c>
      <c r="AL69" s="20">
        <f>Table9[[#This Row],[RLower(max) (kΩ)]]/(Table9[[#This Row],[RLower(max) (kΩ)]]+RT1_TH_S_MIN)*100</f>
        <v>34.271661254715148</v>
      </c>
      <c r="AM69" s="20">
        <f>IF(Table9[[#This Row],[Vmin (%)]]&lt;$BA$14, 0, IF(Table9[[#This Row],[Vmin (%)]]&lt;$BA$12, 4, IF(Table9[[#This Row],[Vmin (%)]]&lt;$BA$9, 3, IF(Table9[[#This Row],[Vmin (%)]]&lt;$BA$7, 2, 0))))</f>
        <v>0</v>
      </c>
      <c r="AN69" s="20">
        <f>IF(Table9[[#This Row],[Vmin (%)]]&lt;$BA$13, 0, IF(Table9[[#This Row],[Vmin (%)]]&lt;$BA$11, 4, IF(Table9[[#This Row],[Vmin (%)]]&lt;$BA$10, 3, IF(Table9[[#This Row],[Vmin (%)]]&lt;$BA$8, 2, 0))))</f>
        <v>0</v>
      </c>
      <c r="AO69" s="76" t="str">
        <f>IF(Table9[[#This Row],[Vmin (%)]]&lt;$BA$14, "Hot", IF(Table9[[#This Row],[Vmin (%)]]&lt;$BA$12, "Warm", IF(Table9[[#This Row],[Vmin (%)]]&lt;$BA$9, "Normal", IF(Table9[[#This Row],[Vmin (%)]]&lt;$BA$7, "Cool", "Cold"))))</f>
        <v>Hot</v>
      </c>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row>
    <row r="70" spans="1:210" x14ac:dyDescent="0.2">
      <c r="A70" s="113">
        <f t="shared" si="5"/>
        <v>60</v>
      </c>
      <c r="B70" s="163"/>
      <c r="C70" s="172" t="str">
        <f t="shared" si="7"/>
        <v>RTH at 60 °C</v>
      </c>
      <c r="D70" s="196">
        <f t="shared" si="6"/>
        <v>2.0294117647058822</v>
      </c>
      <c r="E70" s="197">
        <v>2.9540000000000002</v>
      </c>
      <c r="F70" s="198">
        <v>3.02</v>
      </c>
      <c r="G70" s="199">
        <v>3.0870000000000002</v>
      </c>
      <c r="H70" s="128" t="s">
        <v>30</v>
      </c>
      <c r="I70" s="29"/>
      <c r="J70" s="29">
        <v>3.0870000000000002</v>
      </c>
      <c r="K70" s="29">
        <v>3.02</v>
      </c>
      <c r="L70" s="29">
        <v>2.9540000000000002</v>
      </c>
      <c r="M70" s="29"/>
      <c r="N70" s="29"/>
      <c r="O70" s="29"/>
      <c r="P70" s="29"/>
      <c r="Q70" s="29"/>
      <c r="R70" s="29"/>
      <c r="S70" s="29"/>
      <c r="T70" s="29"/>
      <c r="U70" s="29"/>
      <c r="V70" s="29"/>
      <c r="W70" s="29"/>
      <c r="X70" s="29"/>
      <c r="Y70" s="30"/>
      <c r="Z70" s="18"/>
      <c r="AA70" s="19"/>
      <c r="AB70" s="19"/>
      <c r="AC70" s="20">
        <f t="shared" si="8"/>
        <v>60</v>
      </c>
      <c r="AD70" s="20">
        <f t="shared" si="9"/>
        <v>2.9540000000000002</v>
      </c>
      <c r="AE70" s="20">
        <f t="shared" si="10"/>
        <v>3.02</v>
      </c>
      <c r="AF70" s="20">
        <f t="shared" si="11"/>
        <v>3.0870000000000002</v>
      </c>
      <c r="AG70" s="20">
        <f>Table9[[#This Row],[RTH(min) (kΩ)]]*RT2_TH_MIN/(RT2_TH_MIN+Table9[[#This Row],[RTH(min) (kΩ)]])</f>
        <v>2.6929639207764478</v>
      </c>
      <c r="AH70" s="20">
        <f>Table9[[#This Row],[RTH(nom) (kΩ)]]*RT2_TH_S/(RT2_TH_S+Table9[[#This Row],[RTH(nom) (kΩ)]])</f>
        <v>2.7479545376347763</v>
      </c>
      <c r="AI70" s="20">
        <f>Table9[[#This Row],[RTH(max) (kΩ)]]*RT2_TH_S_MAX/(RT2_TH_S_MAX+Table9[[#This Row],[RTH(max) (kΩ)]])</f>
        <v>2.8035740663076107</v>
      </c>
      <c r="AJ70" s="20">
        <f>Table9[[#This Row],[RLower(min) (kΩ)]]/(Table9[[#This Row],[RLower(min) (kΩ)]]+RT1_TH_S_MAX)*100</f>
        <v>33.954104994515497</v>
      </c>
      <c r="AK70" s="20">
        <f>Table9[[#This Row],[RLower(nom) (kΩ)]]/(Table9[[#This Row],[RLower(nom) (kΩ)]]+RT1_TH_S)*100</f>
        <v>34.431440161144813</v>
      </c>
      <c r="AL70" s="20">
        <f>Table9[[#This Row],[RLower(max) (kΩ)]]/(Table9[[#This Row],[RLower(max) (kΩ)]]+RT1_TH_S_MIN)*100</f>
        <v>34.907957843361622</v>
      </c>
      <c r="AM70" s="20">
        <f>IF(Table9[[#This Row],[Vmin (%)]]&lt;$BA$14, 0, IF(Table9[[#This Row],[Vmin (%)]]&lt;$BA$12, 4, IF(Table9[[#This Row],[Vmin (%)]]&lt;$BA$9, 3, IF(Table9[[#This Row],[Vmin (%)]]&lt;$BA$7, 2, 0))))</f>
        <v>0</v>
      </c>
      <c r="AN70" s="20">
        <f>IF(Table9[[#This Row],[Vmin (%)]]&lt;$BA$13, 0, IF(Table9[[#This Row],[Vmin (%)]]&lt;$BA$11, 4, IF(Table9[[#This Row],[Vmin (%)]]&lt;$BA$10, 3, IF(Table9[[#This Row],[Vmin (%)]]&lt;$BA$8, 2, 0))))</f>
        <v>0</v>
      </c>
      <c r="AO70" s="76" t="str">
        <f>IF(Table9[[#This Row],[Vmin (%)]]&lt;$BA$14, "Hot", IF(Table9[[#This Row],[Vmin (%)]]&lt;$BA$12, "Warm", IF(Table9[[#This Row],[Vmin (%)]]&lt;$BA$9, "Normal", IF(Table9[[#This Row],[Vmin (%)]]&lt;$BA$7, "Cool", "Cold"))))</f>
        <v>Hot</v>
      </c>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row>
    <row r="71" spans="1:210" x14ac:dyDescent="0.2">
      <c r="A71" s="113">
        <f t="shared" si="5"/>
        <v>59</v>
      </c>
      <c r="B71" s="163"/>
      <c r="C71" s="172" t="str">
        <f t="shared" si="7"/>
        <v>RTH at 59 °C</v>
      </c>
      <c r="D71" s="196">
        <f t="shared" si="6"/>
        <v>2</v>
      </c>
      <c r="E71" s="197">
        <v>3.048</v>
      </c>
      <c r="F71" s="198">
        <v>3.1160000000000001</v>
      </c>
      <c r="G71" s="199">
        <v>3.1840000000000002</v>
      </c>
      <c r="H71" s="128" t="s">
        <v>30</v>
      </c>
      <c r="I71" s="29"/>
      <c r="J71" s="29">
        <v>3.1840000000000002</v>
      </c>
      <c r="K71" s="29">
        <v>3.1160000000000001</v>
      </c>
      <c r="L71" s="29">
        <v>3.048</v>
      </c>
      <c r="M71" s="29"/>
      <c r="N71" s="29"/>
      <c r="O71" s="29"/>
      <c r="P71" s="29"/>
      <c r="Q71" s="29"/>
      <c r="R71" s="29"/>
      <c r="S71" s="29"/>
      <c r="T71" s="29"/>
      <c r="U71" s="29"/>
      <c r="V71" s="29"/>
      <c r="W71" s="29"/>
      <c r="X71" s="29"/>
      <c r="Y71" s="30"/>
      <c r="Z71" s="18"/>
      <c r="AA71" s="19"/>
      <c r="AB71" s="19"/>
      <c r="AC71" s="20">
        <f t="shared" si="8"/>
        <v>59</v>
      </c>
      <c r="AD71" s="20">
        <f t="shared" si="9"/>
        <v>3.048</v>
      </c>
      <c r="AE71" s="20">
        <f t="shared" si="10"/>
        <v>3.1160000000000001</v>
      </c>
      <c r="AF71" s="20">
        <f t="shared" si="11"/>
        <v>3.1840000000000002</v>
      </c>
      <c r="AG71" s="20">
        <f>Table9[[#This Row],[RTH(min) (kΩ)]]*RT2_TH_MIN/(RT2_TH_MIN+Table9[[#This Row],[RTH(min) (kΩ)]])</f>
        <v>2.7708658909830426</v>
      </c>
      <c r="AH71" s="20">
        <f>Table9[[#This Row],[RTH(nom) (kΩ)]]*RT2_TH_S/(RT2_TH_S+Table9[[#This Row],[RTH(nom) (kΩ)]])</f>
        <v>2.827210985515817</v>
      </c>
      <c r="AI71" s="20">
        <f>Table9[[#This Row],[RTH(max) (kΩ)]]*RT2_TH_S_MAX/(RT2_TH_S_MAX+Table9[[#This Row],[RTH(max) (kΩ)]])</f>
        <v>2.8833499144178956</v>
      </c>
      <c r="AJ71" s="20">
        <f>Table9[[#This Row],[RLower(min) (kΩ)]]/(Table9[[#This Row],[RLower(min) (kΩ)]]+RT1_TH_S_MAX)*100</f>
        <v>34.59651322396364</v>
      </c>
      <c r="AK71" s="20">
        <f>Table9[[#This Row],[RLower(nom) (kΩ)]]/(Table9[[#This Row],[RLower(nom) (kΩ)]]+RT1_TH_S)*100</f>
        <v>35.076179717322717</v>
      </c>
      <c r="AL71" s="20">
        <f>Table9[[#This Row],[RLower(max) (kΩ)]]/(Table9[[#This Row],[RLower(max) (kΩ)]]+RT1_TH_S_MIN)*100</f>
        <v>35.548162957558937</v>
      </c>
      <c r="AM71" s="20">
        <f>IF(Table9[[#This Row],[Vmin (%)]]&lt;$BA$14, 0, IF(Table9[[#This Row],[Vmin (%)]]&lt;$BA$12, 4, IF(Table9[[#This Row],[Vmin (%)]]&lt;$BA$9, 3, IF(Table9[[#This Row],[Vmin (%)]]&lt;$BA$7, 2, 0))))</f>
        <v>4</v>
      </c>
      <c r="AN71" s="20">
        <f>IF(Table9[[#This Row],[Vmin (%)]]&lt;$BA$13, 0, IF(Table9[[#This Row],[Vmin (%)]]&lt;$BA$11, 4, IF(Table9[[#This Row],[Vmin (%)]]&lt;$BA$10, 3, IF(Table9[[#This Row],[Vmin (%)]]&lt;$BA$8, 2, 0))))</f>
        <v>0</v>
      </c>
      <c r="AO71" s="76" t="str">
        <f>IF(Table9[[#This Row],[Vmin (%)]]&lt;$BA$14, "Hot", IF(Table9[[#This Row],[Vmin (%)]]&lt;$BA$12, "Warm", IF(Table9[[#This Row],[Vmin (%)]]&lt;$BA$9, "Normal", IF(Table9[[#This Row],[Vmin (%)]]&lt;$BA$7, "Cool", "Cold"))))</f>
        <v>Warm</v>
      </c>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row>
    <row r="72" spans="1:210" x14ac:dyDescent="0.2">
      <c r="A72" s="113">
        <f t="shared" si="5"/>
        <v>58</v>
      </c>
      <c r="B72" s="163"/>
      <c r="C72" s="172" t="str">
        <f t="shared" si="7"/>
        <v>RTH at 58 °C</v>
      </c>
      <c r="D72" s="196">
        <f t="shared" si="6"/>
        <v>1.9705882352941178</v>
      </c>
      <c r="E72" s="197">
        <v>3.1459999999999999</v>
      </c>
      <c r="F72" s="198">
        <v>3.2149999999999999</v>
      </c>
      <c r="G72" s="199">
        <v>3.2839999999999998</v>
      </c>
      <c r="H72" s="128" t="s">
        <v>30</v>
      </c>
      <c r="I72" s="29"/>
      <c r="J72" s="29">
        <v>3.2839999999999998</v>
      </c>
      <c r="K72" s="29">
        <v>3.2149999999999999</v>
      </c>
      <c r="L72" s="29">
        <v>3.1459999999999999</v>
      </c>
      <c r="M72" s="29"/>
      <c r="N72" s="29"/>
      <c r="O72" s="29"/>
      <c r="P72" s="29"/>
      <c r="Q72" s="29"/>
      <c r="R72" s="29"/>
      <c r="S72" s="29"/>
      <c r="T72" s="29"/>
      <c r="U72" s="29"/>
      <c r="V72" s="29"/>
      <c r="W72" s="29"/>
      <c r="X72" s="29"/>
      <c r="Y72" s="30"/>
      <c r="Z72" s="18"/>
      <c r="AA72" s="19"/>
      <c r="AB72" s="19"/>
      <c r="AC72" s="20">
        <f t="shared" si="8"/>
        <v>58</v>
      </c>
      <c r="AD72" s="20">
        <f t="shared" si="9"/>
        <v>3.1459999999999999</v>
      </c>
      <c r="AE72" s="20">
        <f t="shared" si="10"/>
        <v>3.2149999999999999</v>
      </c>
      <c r="AF72" s="20">
        <f t="shared" si="11"/>
        <v>3.2839999999999998</v>
      </c>
      <c r="AG72" s="20">
        <f>Table9[[#This Row],[RTH(min) (kΩ)]]*RT2_TH_MIN/(RT2_TH_MIN+Table9[[#This Row],[RTH(min) (kΩ)]])</f>
        <v>2.8516190285578893</v>
      </c>
      <c r="AH72" s="20">
        <f>Table9[[#This Row],[RTH(nom) (kΩ)]]*RT2_TH_S/(RT2_TH_S+Table9[[#This Row],[RTH(nom) (kΩ)]])</f>
        <v>2.9084715448281329</v>
      </c>
      <c r="AI72" s="20">
        <f>Table9[[#This Row],[RTH(max) (kΩ)]]*RT2_TH_S_MAX/(RT2_TH_S_MAX+Table9[[#This Row],[RTH(max) (kΩ)]])</f>
        <v>2.9651139910858406</v>
      </c>
      <c r="AJ72" s="20">
        <f>Table9[[#This Row],[RLower(min) (kΩ)]]/(Table9[[#This Row],[RLower(min) (kΩ)]]+RT1_TH_S_MAX)*100</f>
        <v>35.24937344100195</v>
      </c>
      <c r="AK72" s="20">
        <f>Table9[[#This Row],[RLower(nom) (kΩ)]]/(Table9[[#This Row],[RLower(nom) (kΩ)]]+RT1_TH_S)*100</f>
        <v>35.724189313224691</v>
      </c>
      <c r="AL72" s="20">
        <f>Table9[[#This Row],[RLower(max) (kΩ)]]/(Table9[[#This Row],[RLower(max) (kΩ)]]+RT1_TH_S_MIN)*100</f>
        <v>36.191386097250678</v>
      </c>
      <c r="AM72" s="20">
        <f>IF(Table9[[#This Row],[Vmin (%)]]&lt;$BA$14, 0, IF(Table9[[#This Row],[Vmin (%)]]&lt;$BA$12, 4, IF(Table9[[#This Row],[Vmin (%)]]&lt;$BA$9, 3, IF(Table9[[#This Row],[Vmin (%)]]&lt;$BA$7, 2, 0))))</f>
        <v>4</v>
      </c>
      <c r="AN72" s="20">
        <f>IF(Table9[[#This Row],[Vmin (%)]]&lt;$BA$13, 0, IF(Table9[[#This Row],[Vmin (%)]]&lt;$BA$11, 4, IF(Table9[[#This Row],[Vmin (%)]]&lt;$BA$10, 3, IF(Table9[[#This Row],[Vmin (%)]]&lt;$BA$8, 2, 0))))</f>
        <v>0</v>
      </c>
      <c r="AO72" s="76" t="str">
        <f>IF(Table9[[#This Row],[Vmin (%)]]&lt;$BA$14, "Hot", IF(Table9[[#This Row],[Vmin (%)]]&lt;$BA$12, "Warm", IF(Table9[[#This Row],[Vmin (%)]]&lt;$BA$9, "Normal", IF(Table9[[#This Row],[Vmin (%)]]&lt;$BA$7, "Cool", "Cold"))))</f>
        <v>Warm</v>
      </c>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row>
    <row r="73" spans="1:210" x14ac:dyDescent="0.2">
      <c r="A73" s="113">
        <f t="shared" si="5"/>
        <v>57</v>
      </c>
      <c r="B73" s="163"/>
      <c r="C73" s="172" t="str">
        <f t="shared" si="7"/>
        <v>RTH at 57 °C</v>
      </c>
      <c r="D73" s="196">
        <f t="shared" si="6"/>
        <v>1.9411764705882353</v>
      </c>
      <c r="E73" s="197">
        <v>3.2480000000000002</v>
      </c>
      <c r="F73" s="198">
        <v>3.3180000000000001</v>
      </c>
      <c r="G73" s="199">
        <v>3.3879999999999999</v>
      </c>
      <c r="H73" s="128" t="s">
        <v>30</v>
      </c>
      <c r="I73" s="29"/>
      <c r="J73" s="29">
        <v>3.3879999999999999</v>
      </c>
      <c r="K73" s="29">
        <v>3.3180000000000001</v>
      </c>
      <c r="L73" s="29">
        <v>3.2480000000000002</v>
      </c>
      <c r="M73" s="29"/>
      <c r="N73" s="29"/>
      <c r="O73" s="29"/>
      <c r="P73" s="29"/>
      <c r="Q73" s="29"/>
      <c r="R73" s="29"/>
      <c r="S73" s="29"/>
      <c r="T73" s="29"/>
      <c r="U73" s="29"/>
      <c r="V73" s="29"/>
      <c r="W73" s="29"/>
      <c r="X73" s="29"/>
      <c r="Y73" s="30"/>
      <c r="Z73" s="18"/>
      <c r="AA73" s="19"/>
      <c r="AB73" s="19"/>
      <c r="AC73" s="20">
        <f t="shared" si="8"/>
        <v>57</v>
      </c>
      <c r="AD73" s="20">
        <f t="shared" si="9"/>
        <v>3.2480000000000002</v>
      </c>
      <c r="AE73" s="20">
        <f t="shared" si="10"/>
        <v>3.3180000000000001</v>
      </c>
      <c r="AF73" s="20">
        <f t="shared" si="11"/>
        <v>3.3879999999999999</v>
      </c>
      <c r="AG73" s="20">
        <f>Table9[[#This Row],[RTH(min) (kΩ)]]*RT2_TH_MIN/(RT2_TH_MIN+Table9[[#This Row],[RTH(min) (kΩ)]])</f>
        <v>2.9351697412052493</v>
      </c>
      <c r="AH73" s="20">
        <f>Table9[[#This Row],[RTH(nom) (kΩ)]]*RT2_TH_S/(RT2_TH_S+Table9[[#This Row],[RTH(nom) (kΩ)]])</f>
        <v>2.9925104449607089</v>
      </c>
      <c r="AI73" s="20">
        <f>Table9[[#This Row],[RTH(max) (kΩ)]]*RT2_TH_S_MAX/(RT2_TH_S_MAX+Table9[[#This Row],[RTH(max) (kΩ)]])</f>
        <v>3.049637276709388</v>
      </c>
      <c r="AJ73" s="20">
        <f>Table9[[#This Row],[RLower(min) (kΩ)]]/(Table9[[#This Row],[RLower(min) (kΩ)]]+RT1_TH_S_MAX)*100</f>
        <v>35.911272411410891</v>
      </c>
      <c r="AK73" s="20">
        <f>Table9[[#This Row],[RLower(nom) (kΩ)]]/(Table9[[#This Row],[RLower(nom) (kΩ)]]+RT1_TH_S)*100</f>
        <v>36.380887068975802</v>
      </c>
      <c r="AL73" s="20">
        <f>Table9[[#This Row],[RLower(max) (kΩ)]]/(Table9[[#This Row],[RLower(max) (kΩ)]]+RT1_TH_S_MIN)*100</f>
        <v>36.84295744505031</v>
      </c>
      <c r="AM73" s="20">
        <f>IF(Table9[[#This Row],[Vmin (%)]]&lt;$BA$14, 0, IF(Table9[[#This Row],[Vmin (%)]]&lt;$BA$12, 4, IF(Table9[[#This Row],[Vmin (%)]]&lt;$BA$9, 3, IF(Table9[[#This Row],[Vmin (%)]]&lt;$BA$7, 2, 0))))</f>
        <v>4</v>
      </c>
      <c r="AN73" s="20">
        <f>IF(Table9[[#This Row],[Vmin (%)]]&lt;$BA$13, 0, IF(Table9[[#This Row],[Vmin (%)]]&lt;$BA$11, 4, IF(Table9[[#This Row],[Vmin (%)]]&lt;$BA$10, 3, IF(Table9[[#This Row],[Vmin (%)]]&lt;$BA$8, 2, 0))))</f>
        <v>4</v>
      </c>
      <c r="AO73" s="76" t="str">
        <f>IF(Table9[[#This Row],[Vmin (%)]]&lt;$BA$14, "Hot", IF(Table9[[#This Row],[Vmin (%)]]&lt;$BA$12, "Warm", IF(Table9[[#This Row],[Vmin (%)]]&lt;$BA$9, "Normal", IF(Table9[[#This Row],[Vmin (%)]]&lt;$BA$7, "Cool", "Cold"))))</f>
        <v>Warm</v>
      </c>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row>
    <row r="74" spans="1:210" x14ac:dyDescent="0.2">
      <c r="A74" s="113">
        <f t="shared" si="5"/>
        <v>56</v>
      </c>
      <c r="B74" s="163"/>
      <c r="C74" s="172" t="str">
        <f t="shared" si="7"/>
        <v>RTH at 56 °C</v>
      </c>
      <c r="D74" s="196">
        <f t="shared" si="6"/>
        <v>1.911764705882353</v>
      </c>
      <c r="E74" s="197">
        <v>3.3540000000000001</v>
      </c>
      <c r="F74" s="198">
        <v>3.4249999999999998</v>
      </c>
      <c r="G74" s="199">
        <v>3.496</v>
      </c>
      <c r="H74" s="128" t="s">
        <v>30</v>
      </c>
      <c r="I74" s="29"/>
      <c r="J74" s="29">
        <v>3.496</v>
      </c>
      <c r="K74" s="29">
        <v>3.4249999999999998</v>
      </c>
      <c r="L74" s="29">
        <v>3.3540000000000001</v>
      </c>
      <c r="M74" s="29"/>
      <c r="N74" s="29"/>
      <c r="O74" s="29"/>
      <c r="P74" s="29"/>
      <c r="Q74" s="29"/>
      <c r="R74" s="29"/>
      <c r="S74" s="29"/>
      <c r="T74" s="29"/>
      <c r="U74" s="29"/>
      <c r="V74" s="29"/>
      <c r="W74" s="29"/>
      <c r="X74" s="29"/>
      <c r="Y74" s="30"/>
      <c r="Z74" s="18"/>
      <c r="AA74" s="19"/>
      <c r="AB74" s="19"/>
      <c r="AC74" s="20">
        <f t="shared" si="8"/>
        <v>56</v>
      </c>
      <c r="AD74" s="20">
        <f t="shared" si="9"/>
        <v>3.3540000000000001</v>
      </c>
      <c r="AE74" s="20">
        <f t="shared" si="10"/>
        <v>3.4249999999999998</v>
      </c>
      <c r="AF74" s="20">
        <f t="shared" si="11"/>
        <v>3.496</v>
      </c>
      <c r="AG74" s="20">
        <f>Table9[[#This Row],[RTH(min) (kΩ)]]*RT2_TH_MIN/(RT2_TH_MIN+Table9[[#This Row],[RTH(min) (kΩ)]])</f>
        <v>3.0214630855640476</v>
      </c>
      <c r="AH74" s="20">
        <f>Table9[[#This Row],[RTH(nom) (kΩ)]]*RT2_TH_S/(RT2_TH_S+Table9[[#This Row],[RTH(nom) (kΩ)]])</f>
        <v>3.0792726620771509</v>
      </c>
      <c r="AI74" s="20">
        <f>Table9[[#This Row],[RTH(max) (kΩ)]]*RT2_TH_S_MAX/(RT2_TH_S_MAX+Table9[[#This Row],[RTH(max) (kΩ)]])</f>
        <v>3.1368646712499482</v>
      </c>
      <c r="AJ74" s="20">
        <f>Table9[[#This Row],[RLower(min) (kΩ)]]/(Table9[[#This Row],[RLower(min) (kΩ)]]+RT1_TH_S_MAX)*100</f>
        <v>36.580841426514411</v>
      </c>
      <c r="AK74" s="20">
        <f>Table9[[#This Row],[RLower(nom) (kΩ)]]/(Table9[[#This Row],[RLower(nom) (kΩ)]]+RT1_TH_S)*100</f>
        <v>37.044934242619668</v>
      </c>
      <c r="AL74" s="20">
        <f>Table9[[#This Row],[RLower(max) (kΩ)]]/(Table9[[#This Row],[RLower(max) (kΩ)]]+RT1_TH_S_MIN)*100</f>
        <v>37.501567448507615</v>
      </c>
      <c r="AM74" s="20">
        <f>IF(Table9[[#This Row],[Vmin (%)]]&lt;$BA$14, 0, IF(Table9[[#This Row],[Vmin (%)]]&lt;$BA$12, 4, IF(Table9[[#This Row],[Vmin (%)]]&lt;$BA$9, 3, IF(Table9[[#This Row],[Vmin (%)]]&lt;$BA$7, 2, 0))))</f>
        <v>4</v>
      </c>
      <c r="AN74" s="20">
        <f>IF(Table9[[#This Row],[Vmin (%)]]&lt;$BA$13, 0, IF(Table9[[#This Row],[Vmin (%)]]&lt;$BA$11, 4, IF(Table9[[#This Row],[Vmin (%)]]&lt;$BA$10, 3, IF(Table9[[#This Row],[Vmin (%)]]&lt;$BA$8, 2, 0))))</f>
        <v>4</v>
      </c>
      <c r="AO74" s="76" t="str">
        <f>IF(Table9[[#This Row],[Vmin (%)]]&lt;$BA$14, "Hot", IF(Table9[[#This Row],[Vmin (%)]]&lt;$BA$12, "Warm", IF(Table9[[#This Row],[Vmin (%)]]&lt;$BA$9, "Normal", IF(Table9[[#This Row],[Vmin (%)]]&lt;$BA$7, "Cool", "Cold"))))</f>
        <v>Warm</v>
      </c>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row>
    <row r="75" spans="1:210" x14ac:dyDescent="0.2">
      <c r="A75" s="113">
        <f t="shared" si="5"/>
        <v>55</v>
      </c>
      <c r="B75" s="163"/>
      <c r="C75" s="172" t="str">
        <f t="shared" si="7"/>
        <v>RTH at 55 °C</v>
      </c>
      <c r="D75" s="196">
        <f t="shared" si="6"/>
        <v>1.8823529411764706</v>
      </c>
      <c r="E75" s="197">
        <v>3.464</v>
      </c>
      <c r="F75" s="198">
        <v>3.536</v>
      </c>
      <c r="G75" s="199">
        <v>3.609</v>
      </c>
      <c r="H75" s="128" t="s">
        <v>30</v>
      </c>
      <c r="I75" s="29"/>
      <c r="J75" s="29">
        <v>3.609</v>
      </c>
      <c r="K75" s="29">
        <v>3.536</v>
      </c>
      <c r="L75" s="29">
        <v>3.464</v>
      </c>
      <c r="M75" s="29"/>
      <c r="N75" s="29"/>
      <c r="O75" s="29"/>
      <c r="P75" s="29"/>
      <c r="Q75" s="29"/>
      <c r="R75" s="29"/>
      <c r="S75" s="29"/>
      <c r="T75" s="29"/>
      <c r="U75" s="29"/>
      <c r="V75" s="29"/>
      <c r="W75" s="29"/>
      <c r="X75" s="29"/>
      <c r="Y75" s="30"/>
      <c r="Z75" s="18"/>
      <c r="AA75" s="19"/>
      <c r="AB75" s="19"/>
      <c r="AC75" s="20">
        <f t="shared" si="8"/>
        <v>55</v>
      </c>
      <c r="AD75" s="20">
        <f t="shared" si="9"/>
        <v>3.464</v>
      </c>
      <c r="AE75" s="20">
        <f t="shared" si="10"/>
        <v>3.536</v>
      </c>
      <c r="AF75" s="20">
        <f t="shared" si="11"/>
        <v>3.609</v>
      </c>
      <c r="AG75" s="20">
        <f>Table9[[#This Row],[RTH(min) (kΩ)]]*RT2_TH_MIN/(RT2_TH_MIN+Table9[[#This Row],[RTH(min) (kΩ)]])</f>
        <v>3.1104428522662704</v>
      </c>
      <c r="AH75" s="20">
        <f>Table9[[#This Row],[RTH(nom) (kΩ)]]*RT2_TH_S/(RT2_TH_S+Table9[[#This Row],[RTH(nom) (kΩ)]])</f>
        <v>3.1687019312127189</v>
      </c>
      <c r="AI75" s="20">
        <f>Table9[[#This Row],[RTH(max) (kΩ)]]*RT2_TH_S_MAX/(RT2_TH_S_MAX+Table9[[#This Row],[RTH(max) (kΩ)]])</f>
        <v>3.2275396595059109</v>
      </c>
      <c r="AJ75" s="20">
        <f>Table9[[#This Row],[RLower(min) (kΩ)]]/(Table9[[#This Row],[RLower(min) (kΩ)]]+RT1_TH_S_MAX)*100</f>
        <v>37.256760341584936</v>
      </c>
      <c r="AK75" s="20">
        <f>Table9[[#This Row],[RLower(nom) (kΩ)]]/(Table9[[#This Row],[RLower(nom) (kΩ)]]+RT1_TH_S)*100</f>
        <v>37.715040311334313</v>
      </c>
      <c r="AL75" s="20">
        <f>Table9[[#This Row],[RLower(max) (kΩ)]]/(Table9[[#This Row],[RLower(max) (kΩ)]]+RT1_TH_S_MIN)*100</f>
        <v>38.171803407252014</v>
      </c>
      <c r="AM75" s="20">
        <f>IF(Table9[[#This Row],[Vmin (%)]]&lt;$BA$14, 0, IF(Table9[[#This Row],[Vmin (%)]]&lt;$BA$12, 4, IF(Table9[[#This Row],[Vmin (%)]]&lt;$BA$9, 3, IF(Table9[[#This Row],[Vmin (%)]]&lt;$BA$7, 2, 0))))</f>
        <v>4</v>
      </c>
      <c r="AN75" s="20">
        <f>IF(Table9[[#This Row],[Vmin (%)]]&lt;$BA$13, 0, IF(Table9[[#This Row],[Vmin (%)]]&lt;$BA$11, 4, IF(Table9[[#This Row],[Vmin (%)]]&lt;$BA$10, 3, IF(Table9[[#This Row],[Vmin (%)]]&lt;$BA$8, 2, 0))))</f>
        <v>4</v>
      </c>
      <c r="AO75" s="76" t="str">
        <f>IF(Table9[[#This Row],[Vmin (%)]]&lt;$BA$14, "Hot", IF(Table9[[#This Row],[Vmin (%)]]&lt;$BA$12, "Warm", IF(Table9[[#This Row],[Vmin (%)]]&lt;$BA$9, "Normal", IF(Table9[[#This Row],[Vmin (%)]]&lt;$BA$7, "Cool", "Cold"))))</f>
        <v>Warm</v>
      </c>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row>
    <row r="76" spans="1:210" x14ac:dyDescent="0.2">
      <c r="A76" s="113">
        <f t="shared" si="5"/>
        <v>54</v>
      </c>
      <c r="B76" s="163"/>
      <c r="C76" s="172" t="str">
        <f t="shared" si="7"/>
        <v>RTH at 54 °C</v>
      </c>
      <c r="D76" s="196">
        <f t="shared" si="6"/>
        <v>1.8529411764705883</v>
      </c>
      <c r="E76" s="197">
        <v>3.5779999999999998</v>
      </c>
      <c r="F76" s="198">
        <v>3.6509999999999998</v>
      </c>
      <c r="G76" s="199">
        <v>3.7250000000000001</v>
      </c>
      <c r="H76" s="128" t="s">
        <v>30</v>
      </c>
      <c r="I76" s="29"/>
      <c r="J76" s="29">
        <v>3.7250000000000001</v>
      </c>
      <c r="K76" s="29">
        <v>3.6509999999999998</v>
      </c>
      <c r="L76" s="29">
        <v>3.5779999999999998</v>
      </c>
      <c r="M76" s="29"/>
      <c r="N76" s="29"/>
      <c r="O76" s="29"/>
      <c r="P76" s="29"/>
      <c r="Q76" s="29"/>
      <c r="R76" s="29"/>
      <c r="S76" s="29"/>
      <c r="T76" s="29"/>
      <c r="U76" s="29"/>
      <c r="V76" s="29"/>
      <c r="W76" s="29"/>
      <c r="X76" s="29"/>
      <c r="Y76" s="30"/>
      <c r="Z76" s="18"/>
      <c r="AA76" s="19"/>
      <c r="AB76" s="19"/>
      <c r="AC76" s="20">
        <f t="shared" si="8"/>
        <v>54</v>
      </c>
      <c r="AD76" s="20">
        <f t="shared" si="9"/>
        <v>3.5779999999999998</v>
      </c>
      <c r="AE76" s="20">
        <f t="shared" si="10"/>
        <v>3.6509999999999998</v>
      </c>
      <c r="AF76" s="20">
        <f t="shared" si="11"/>
        <v>3.7250000000000001</v>
      </c>
      <c r="AG76" s="20">
        <f>Table9[[#This Row],[RTH(min) (kΩ)]]*RT2_TH_MIN/(RT2_TH_MIN+Table9[[#This Row],[RTH(min) (kΩ)]])</f>
        <v>3.2020516516673805</v>
      </c>
      <c r="AH76" s="20">
        <f>Table9[[#This Row],[RTH(nom) (kΩ)]]*RT2_TH_S/(RT2_TH_S+Table9[[#This Row],[RTH(nom) (kΩ)]])</f>
        <v>3.2607408316056965</v>
      </c>
      <c r="AI76" s="20">
        <f>Table9[[#This Row],[RTH(max) (kΩ)]]*RT2_TH_S_MAX/(RT2_TH_S_MAX+Table9[[#This Row],[RTH(max) (kΩ)]])</f>
        <v>3.3199997838209736</v>
      </c>
      <c r="AJ76" s="20">
        <f>Table9[[#This Row],[RLower(min) (kΩ)]]/(Table9[[#This Row],[RLower(min) (kΩ)]]+RT1_TH_S_MAX)*100</f>
        <v>37.937760939066131</v>
      </c>
      <c r="AK76" s="20">
        <f>Table9[[#This Row],[RLower(nom) (kΩ)]]/(Table9[[#This Row],[RLower(nom) (kΩ)]]+RT1_TH_S)*100</f>
        <v>38.389966152569968</v>
      </c>
      <c r="AL76" s="20">
        <f>Table9[[#This Row],[RLower(max) (kΩ)]]/(Table9[[#This Row],[RLower(max) (kΩ)]]+RT1_TH_S_MIN)*100</f>
        <v>38.84059196954059</v>
      </c>
      <c r="AM76" s="20">
        <f>IF(Table9[[#This Row],[Vmin (%)]]&lt;$BA$14, 0, IF(Table9[[#This Row],[Vmin (%)]]&lt;$BA$12, 4, IF(Table9[[#This Row],[Vmin (%)]]&lt;$BA$9, 3, IF(Table9[[#This Row],[Vmin (%)]]&lt;$BA$7, 2, 0))))</f>
        <v>4</v>
      </c>
      <c r="AN76" s="20">
        <f>IF(Table9[[#This Row],[Vmin (%)]]&lt;$BA$13, 0, IF(Table9[[#This Row],[Vmin (%)]]&lt;$BA$11, 4, IF(Table9[[#This Row],[Vmin (%)]]&lt;$BA$10, 3, IF(Table9[[#This Row],[Vmin (%)]]&lt;$BA$8, 2, 0))))</f>
        <v>4</v>
      </c>
      <c r="AO76" s="76" t="str">
        <f>IF(Table9[[#This Row],[Vmin (%)]]&lt;$BA$14, "Hot", IF(Table9[[#This Row],[Vmin (%)]]&lt;$BA$12, "Warm", IF(Table9[[#This Row],[Vmin (%)]]&lt;$BA$9, "Normal", IF(Table9[[#This Row],[Vmin (%)]]&lt;$BA$7, "Cool", "Cold"))))</f>
        <v>Warm</v>
      </c>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row>
    <row r="77" spans="1:210" x14ac:dyDescent="0.2">
      <c r="A77" s="113">
        <f t="shared" si="5"/>
        <v>53</v>
      </c>
      <c r="B77" s="163"/>
      <c r="C77" s="172" t="str">
        <f t="shared" si="7"/>
        <v>RTH at 53 °C</v>
      </c>
      <c r="D77" s="196">
        <f t="shared" si="6"/>
        <v>1.8235294117647058</v>
      </c>
      <c r="E77" s="197">
        <v>3.6970000000000001</v>
      </c>
      <c r="F77" s="198">
        <v>3.7709999999999999</v>
      </c>
      <c r="G77" s="199">
        <v>3.8460000000000001</v>
      </c>
      <c r="H77" s="128" t="s">
        <v>30</v>
      </c>
      <c r="I77" s="29"/>
      <c r="J77" s="29">
        <v>3.8460000000000001</v>
      </c>
      <c r="K77" s="29">
        <v>3.7709999999999999</v>
      </c>
      <c r="L77" s="29">
        <v>3.6970000000000001</v>
      </c>
      <c r="M77" s="29"/>
      <c r="N77" s="29"/>
      <c r="O77" s="29"/>
      <c r="P77" s="29"/>
      <c r="Q77" s="29"/>
      <c r="R77" s="29"/>
      <c r="S77" s="29"/>
      <c r="T77" s="29"/>
      <c r="U77" s="29"/>
      <c r="V77" s="29"/>
      <c r="W77" s="29"/>
      <c r="X77" s="29"/>
      <c r="Y77" s="30"/>
      <c r="Z77" s="18"/>
      <c r="AA77" s="19"/>
      <c r="AB77" s="19"/>
      <c r="AC77" s="20">
        <f t="shared" si="8"/>
        <v>53</v>
      </c>
      <c r="AD77" s="20">
        <f t="shared" si="9"/>
        <v>3.6970000000000001</v>
      </c>
      <c r="AE77" s="20">
        <f t="shared" si="10"/>
        <v>3.7709999999999999</v>
      </c>
      <c r="AF77" s="20">
        <f t="shared" si="11"/>
        <v>3.8460000000000001</v>
      </c>
      <c r="AG77" s="20">
        <f>Table9[[#This Row],[RTH(min) (kΩ)]]*RT2_TH_MIN/(RT2_TH_MIN+Table9[[#This Row],[RTH(min) (kΩ)]])</f>
        <v>3.2970263506810316</v>
      </c>
      <c r="AH77" s="20">
        <f>Table9[[#This Row],[RTH(nom) (kΩ)]]*RT2_TH_S/(RT2_TH_S+Table9[[#This Row],[RTH(nom) (kΩ)]])</f>
        <v>3.3561229638905701</v>
      </c>
      <c r="AI77" s="20">
        <f>Table9[[#This Row],[RTH(max) (kΩ)]]*RT2_TH_S_MAX/(RT2_TH_S_MAX+Table9[[#This Row],[RTH(max) (kΩ)]])</f>
        <v>3.4157804418210591</v>
      </c>
      <c r="AJ77" s="20">
        <f>Table9[[#This Row],[RLower(min) (kΩ)]]/(Table9[[#This Row],[RLower(min) (kΩ)]]+RT1_TH_S_MAX)*100</f>
        <v>38.628349045738403</v>
      </c>
      <c r="AK77" s="20">
        <f>Table9[[#This Row],[RLower(nom) (kΩ)]]/(Table9[[#This Row],[RLower(nom) (kΩ)]]+RT1_TH_S)*100</f>
        <v>39.074145722519631</v>
      </c>
      <c r="AL77" s="20">
        <f>Table9[[#This Row],[RLower(max) (kΩ)]]/(Table9[[#This Row],[RLower(max) (kΩ)]]+RT1_TH_S_MIN)*100</f>
        <v>39.518310739229975</v>
      </c>
      <c r="AM77" s="20">
        <f>IF(Table9[[#This Row],[Vmin (%)]]&lt;$BA$14, 0, IF(Table9[[#This Row],[Vmin (%)]]&lt;$BA$12, 4, IF(Table9[[#This Row],[Vmin (%)]]&lt;$BA$9, 3, IF(Table9[[#This Row],[Vmin (%)]]&lt;$BA$7, 2, 0))))</f>
        <v>4</v>
      </c>
      <c r="AN77" s="20">
        <f>IF(Table9[[#This Row],[Vmin (%)]]&lt;$BA$13, 0, IF(Table9[[#This Row],[Vmin (%)]]&lt;$BA$11, 4, IF(Table9[[#This Row],[Vmin (%)]]&lt;$BA$10, 3, IF(Table9[[#This Row],[Vmin (%)]]&lt;$BA$8, 2, 0))))</f>
        <v>4</v>
      </c>
      <c r="AO77" s="76" t="str">
        <f>IF(Table9[[#This Row],[Vmin (%)]]&lt;$BA$14, "Hot", IF(Table9[[#This Row],[Vmin (%)]]&lt;$BA$12, "Warm", IF(Table9[[#This Row],[Vmin (%)]]&lt;$BA$9, "Normal", IF(Table9[[#This Row],[Vmin (%)]]&lt;$BA$7, "Cool", "Cold"))))</f>
        <v>Warm</v>
      </c>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row>
    <row r="78" spans="1:210" x14ac:dyDescent="0.2">
      <c r="A78" s="113">
        <f t="shared" si="5"/>
        <v>52</v>
      </c>
      <c r="B78" s="163"/>
      <c r="C78" s="172" t="str">
        <f t="shared" si="7"/>
        <v>RTH at 52 °C</v>
      </c>
      <c r="D78" s="196">
        <f t="shared" si="6"/>
        <v>1.7941176470588236</v>
      </c>
      <c r="E78" s="197">
        <v>3.82</v>
      </c>
      <c r="F78" s="198">
        <v>3.8959999999999999</v>
      </c>
      <c r="G78" s="199">
        <v>3.972</v>
      </c>
      <c r="H78" s="128" t="s">
        <v>30</v>
      </c>
      <c r="I78" s="29"/>
      <c r="J78" s="29">
        <v>3.972</v>
      </c>
      <c r="K78" s="29">
        <v>3.8959999999999999</v>
      </c>
      <c r="L78" s="29">
        <v>3.82</v>
      </c>
      <c r="M78" s="29"/>
      <c r="N78" s="29"/>
      <c r="O78" s="29"/>
      <c r="P78" s="29"/>
      <c r="Q78" s="29"/>
      <c r="R78" s="29"/>
      <c r="S78" s="29"/>
      <c r="T78" s="29"/>
      <c r="U78" s="29"/>
      <c r="V78" s="29"/>
      <c r="W78" s="29"/>
      <c r="X78" s="29"/>
      <c r="Y78" s="30"/>
      <c r="Z78" s="18"/>
      <c r="AA78" s="19"/>
      <c r="AB78" s="19"/>
      <c r="AC78" s="20">
        <f t="shared" si="8"/>
        <v>52</v>
      </c>
      <c r="AD78" s="20">
        <f t="shared" si="9"/>
        <v>3.82</v>
      </c>
      <c r="AE78" s="20">
        <f t="shared" si="10"/>
        <v>3.8959999999999999</v>
      </c>
      <c r="AF78" s="20">
        <f t="shared" si="11"/>
        <v>3.972</v>
      </c>
      <c r="AG78" s="20">
        <f>Table9[[#This Row],[RTH(min) (kΩ)]]*RT2_TH_MIN/(RT2_TH_MIN+Table9[[#This Row],[RTH(min) (kΩ)]])</f>
        <v>3.3945007632916138</v>
      </c>
      <c r="AH78" s="20">
        <f>Table9[[#This Row],[RTH(nom) (kΩ)]]*RT2_TH_S/(RT2_TH_S+Table9[[#This Row],[RTH(nom) (kΩ)]])</f>
        <v>3.4547717525576696</v>
      </c>
      <c r="AI78" s="20">
        <f>Table9[[#This Row],[RTH(max) (kΩ)]]*RT2_TH_S_MAX/(RT2_TH_S_MAX+Table9[[#This Row],[RTH(max) (kΩ)]])</f>
        <v>3.5148050692276911</v>
      </c>
      <c r="AJ78" s="20">
        <f>Table9[[#This Row],[RLower(min) (kΩ)]]/(Table9[[#This Row],[RLower(min) (kΩ)]]+RT1_TH_S_MAX)*100</f>
        <v>39.321312819765289</v>
      </c>
      <c r="AK78" s="20">
        <f>Table9[[#This Row],[RLower(nom) (kΩ)]]/(Table9[[#This Row],[RLower(nom) (kΩ)]]+RT1_TH_S)*100</f>
        <v>39.765953474710429</v>
      </c>
      <c r="AL78" s="20">
        <f>Table9[[#This Row],[RLower(max) (kΩ)]]/(Table9[[#This Row],[RLower(max) (kΩ)]]+RT1_TH_S_MIN)*100</f>
        <v>40.203370325292362</v>
      </c>
      <c r="AM78" s="20">
        <f>IF(Table9[[#This Row],[Vmin (%)]]&lt;$BA$14, 0, IF(Table9[[#This Row],[Vmin (%)]]&lt;$BA$12, 4, IF(Table9[[#This Row],[Vmin (%)]]&lt;$BA$9, 3, IF(Table9[[#This Row],[Vmin (%)]]&lt;$BA$7, 2, 0))))</f>
        <v>4</v>
      </c>
      <c r="AN78" s="20">
        <f>IF(Table9[[#This Row],[Vmin (%)]]&lt;$BA$13, 0, IF(Table9[[#This Row],[Vmin (%)]]&lt;$BA$11, 4, IF(Table9[[#This Row],[Vmin (%)]]&lt;$BA$10, 3, IF(Table9[[#This Row],[Vmin (%)]]&lt;$BA$8, 2, 0))))</f>
        <v>4</v>
      </c>
      <c r="AO78" s="76" t="str">
        <f>IF(Table9[[#This Row],[Vmin (%)]]&lt;$BA$14, "Hot", IF(Table9[[#This Row],[Vmin (%)]]&lt;$BA$12, "Warm", IF(Table9[[#This Row],[Vmin (%)]]&lt;$BA$9, "Normal", IF(Table9[[#This Row],[Vmin (%)]]&lt;$BA$7, "Cool", "Cold"))))</f>
        <v>Warm</v>
      </c>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row>
    <row r="79" spans="1:210" x14ac:dyDescent="0.2">
      <c r="A79" s="113">
        <f t="shared" si="5"/>
        <v>51</v>
      </c>
      <c r="B79" s="163"/>
      <c r="C79" s="172" t="str">
        <f t="shared" si="7"/>
        <v>RTH at 51 °C</v>
      </c>
      <c r="D79" s="196">
        <f t="shared" si="6"/>
        <v>1.7647058823529411</v>
      </c>
      <c r="E79" s="197">
        <v>3.9489999999999998</v>
      </c>
      <c r="F79" s="198">
        <v>4.0259999999999998</v>
      </c>
      <c r="G79" s="199">
        <v>4.1029999999999998</v>
      </c>
      <c r="H79" s="128" t="s">
        <v>30</v>
      </c>
      <c r="I79" s="29"/>
      <c r="J79" s="29">
        <v>4.1029999999999998</v>
      </c>
      <c r="K79" s="29">
        <v>4.0259999999999998</v>
      </c>
      <c r="L79" s="29">
        <v>3.9489999999999998</v>
      </c>
      <c r="M79" s="29"/>
      <c r="N79" s="29"/>
      <c r="O79" s="29"/>
      <c r="P79" s="29"/>
      <c r="Q79" s="29"/>
      <c r="R79" s="29"/>
      <c r="S79" s="29"/>
      <c r="T79" s="29"/>
      <c r="U79" s="29"/>
      <c r="V79" s="29"/>
      <c r="W79" s="29"/>
      <c r="X79" s="29"/>
      <c r="Y79" s="30"/>
      <c r="Z79" s="18"/>
      <c r="AA79" s="19"/>
      <c r="AB79" s="19"/>
      <c r="AC79" s="20">
        <f t="shared" si="8"/>
        <v>51</v>
      </c>
      <c r="AD79" s="20">
        <f t="shared" si="9"/>
        <v>3.9489999999999998</v>
      </c>
      <c r="AE79" s="20">
        <f t="shared" si="10"/>
        <v>4.0259999999999998</v>
      </c>
      <c r="AF79" s="20">
        <f t="shared" si="11"/>
        <v>4.1029999999999998</v>
      </c>
      <c r="AG79" s="20">
        <f>Table9[[#This Row],[RTH(min) (kΩ)]]*RT2_TH_MIN/(RT2_TH_MIN+Table9[[#This Row],[RTH(min) (kΩ)]])</f>
        <v>3.4959816537129194</v>
      </c>
      <c r="AH79" s="20">
        <f>Table9[[#This Row],[RTH(nom) (kΩ)]]*RT2_TH_S/(RT2_TH_S+Table9[[#This Row],[RTH(nom) (kΩ)]])</f>
        <v>3.5566088707086201</v>
      </c>
      <c r="AI79" s="20">
        <f>Table9[[#This Row],[RTH(max) (kΩ)]]*RT2_TH_S_MAX/(RT2_TH_S_MAX+Table9[[#This Row],[RTH(max) (kΩ)]])</f>
        <v>3.6169953841406577</v>
      </c>
      <c r="AJ79" s="20">
        <f>Table9[[#This Row],[RLower(min) (kΩ)]]/(Table9[[#This Row],[RLower(min) (kΩ)]]+RT1_TH_S_MAX)*100</f>
        <v>40.026325656824326</v>
      </c>
      <c r="AK79" s="20">
        <f>Table9[[#This Row],[RLower(nom) (kΩ)]]/(Table9[[#This Row],[RLower(nom) (kΩ)]]+RT1_TH_S)*100</f>
        <v>40.463830704672716</v>
      </c>
      <c r="AL79" s="20">
        <f>Table9[[#This Row],[RLower(max) (kΩ)]]/(Table9[[#This Row],[RLower(max) (kΩ)]]+RT1_TH_S_MIN)*100</f>
        <v>40.894247282992708</v>
      </c>
      <c r="AM79" s="20">
        <f>IF(Table9[[#This Row],[Vmin (%)]]&lt;$BA$14, 0, IF(Table9[[#This Row],[Vmin (%)]]&lt;$BA$12, 4, IF(Table9[[#This Row],[Vmin (%)]]&lt;$BA$9, 3, IF(Table9[[#This Row],[Vmin (%)]]&lt;$BA$7, 2, 0))))</f>
        <v>4</v>
      </c>
      <c r="AN79" s="20">
        <f>IF(Table9[[#This Row],[Vmin (%)]]&lt;$BA$13, 0, IF(Table9[[#This Row],[Vmin (%)]]&lt;$BA$11, 4, IF(Table9[[#This Row],[Vmin (%)]]&lt;$BA$10, 3, IF(Table9[[#This Row],[Vmin (%)]]&lt;$BA$8, 2, 0))))</f>
        <v>4</v>
      </c>
      <c r="AO79" s="76" t="str">
        <f>IF(Table9[[#This Row],[Vmin (%)]]&lt;$BA$14, "Hot", IF(Table9[[#This Row],[Vmin (%)]]&lt;$BA$12, "Warm", IF(Table9[[#This Row],[Vmin (%)]]&lt;$BA$9, "Normal", IF(Table9[[#This Row],[Vmin (%)]]&lt;$BA$7, "Cool", "Cold"))))</f>
        <v>Warm</v>
      </c>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row>
    <row r="80" spans="1:210" x14ac:dyDescent="0.2">
      <c r="A80" s="113">
        <f t="shared" si="5"/>
        <v>50</v>
      </c>
      <c r="B80" s="163"/>
      <c r="C80" s="172" t="str">
        <f t="shared" si="7"/>
        <v>RTH at 50 °C</v>
      </c>
      <c r="D80" s="196">
        <f t="shared" si="6"/>
        <v>1.7352941176470589</v>
      </c>
      <c r="E80" s="197">
        <v>4.0819999999999999</v>
      </c>
      <c r="F80" s="198">
        <v>4.16</v>
      </c>
      <c r="G80" s="199">
        <v>4.2389999999999999</v>
      </c>
      <c r="H80" s="128" t="s">
        <v>30</v>
      </c>
      <c r="I80" s="29"/>
      <c r="J80" s="29">
        <v>4.2389999999999999</v>
      </c>
      <c r="K80" s="29">
        <v>4.16</v>
      </c>
      <c r="L80" s="29">
        <v>4.0819999999999999</v>
      </c>
      <c r="M80" s="29"/>
      <c r="N80" s="29"/>
      <c r="O80" s="29"/>
      <c r="P80" s="29"/>
      <c r="Q80" s="29"/>
      <c r="R80" s="29"/>
      <c r="S80" s="29"/>
      <c r="T80" s="29"/>
      <c r="U80" s="29"/>
      <c r="V80" s="29"/>
      <c r="W80" s="29"/>
      <c r="X80" s="29"/>
      <c r="Y80" s="30"/>
      <c r="Z80" s="18"/>
      <c r="AA80" s="19"/>
      <c r="AB80" s="19"/>
      <c r="AC80" s="20">
        <f t="shared" si="8"/>
        <v>50</v>
      </c>
      <c r="AD80" s="20">
        <f t="shared" si="9"/>
        <v>4.0819999999999999</v>
      </c>
      <c r="AE80" s="20">
        <f t="shared" si="10"/>
        <v>4.16</v>
      </c>
      <c r="AF80" s="20">
        <f t="shared" si="11"/>
        <v>4.2389999999999999</v>
      </c>
      <c r="AG80" s="20">
        <f>Table9[[#This Row],[RTH(min) (kΩ)]]*RT2_TH_MIN/(RT2_TH_MIN+Table9[[#This Row],[RTH(min) (kΩ)]])</f>
        <v>3.5998159806985095</v>
      </c>
      <c r="AH80" s="20">
        <f>Table9[[#This Row],[RTH(nom) (kΩ)]]*RT2_TH_S/(RT2_TH_S+Table9[[#This Row],[RTH(nom) (kΩ)]])</f>
        <v>3.6607800153984353</v>
      </c>
      <c r="AI80" s="20">
        <f>Table9[[#This Row],[RTH(max) (kΩ)]]*RT2_TH_S_MAX/(RT2_TH_S_MAX+Table9[[#This Row],[RTH(max) (kΩ)]])</f>
        <v>3.7222715307109859</v>
      </c>
      <c r="AJ80" s="20">
        <f>Table9[[#This Row],[RLower(min) (kΩ)]]/(Table9[[#This Row],[RLower(min) (kΩ)]]+RT1_TH_S_MAX)*100</f>
        <v>40.730930527210518</v>
      </c>
      <c r="AK80" s="20">
        <f>Table9[[#This Row],[RLower(nom) (kΩ)]]/(Table9[[#This Row],[RLower(nom) (kΩ)]]+RT1_TH_S)*100</f>
        <v>41.161167165530948</v>
      </c>
      <c r="AL80" s="20">
        <f>Table9[[#This Row],[RLower(max) (kΩ)]]/(Table9[[#This Row],[RLower(max) (kΩ)]]+RT1_TH_S_MIN)*100</f>
        <v>41.589488092713708</v>
      </c>
      <c r="AM80" s="20">
        <f>IF(Table9[[#This Row],[Vmin (%)]]&lt;$BA$14, 0, IF(Table9[[#This Row],[Vmin (%)]]&lt;$BA$12, 4, IF(Table9[[#This Row],[Vmin (%)]]&lt;$BA$9, 3, IF(Table9[[#This Row],[Vmin (%)]]&lt;$BA$7, 2, 0))))</f>
        <v>4</v>
      </c>
      <c r="AN80" s="20">
        <f>IF(Table9[[#This Row],[Vmin (%)]]&lt;$BA$13, 0, IF(Table9[[#This Row],[Vmin (%)]]&lt;$BA$11, 4, IF(Table9[[#This Row],[Vmin (%)]]&lt;$BA$10, 3, IF(Table9[[#This Row],[Vmin (%)]]&lt;$BA$8, 2, 0))))</f>
        <v>4</v>
      </c>
      <c r="AO80" s="76" t="str">
        <f>IF(Table9[[#This Row],[Vmin (%)]]&lt;$BA$14, "Hot", IF(Table9[[#This Row],[Vmin (%)]]&lt;$BA$12, "Warm", IF(Table9[[#This Row],[Vmin (%)]]&lt;$BA$9, "Normal", IF(Table9[[#This Row],[Vmin (%)]]&lt;$BA$7, "Cool", "Cold"))))</f>
        <v>Warm</v>
      </c>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row>
    <row r="81" spans="1:210" x14ac:dyDescent="0.2">
      <c r="A81" s="113">
        <f t="shared" si="5"/>
        <v>49</v>
      </c>
      <c r="B81" s="163"/>
      <c r="C81" s="172" t="str">
        <f t="shared" si="7"/>
        <v>RTH at 49 °C</v>
      </c>
      <c r="D81" s="196">
        <f t="shared" si="6"/>
        <v>1.7058823529411764</v>
      </c>
      <c r="E81" s="197">
        <v>4.22</v>
      </c>
      <c r="F81" s="198">
        <v>4.2990000000000004</v>
      </c>
      <c r="G81" s="199">
        <v>4.3789999999999996</v>
      </c>
      <c r="H81" s="128" t="s">
        <v>30</v>
      </c>
      <c r="I81" s="29"/>
      <c r="J81" s="29">
        <v>4.3789999999999996</v>
      </c>
      <c r="K81" s="29">
        <v>4.2990000000000004</v>
      </c>
      <c r="L81" s="29">
        <v>4.22</v>
      </c>
      <c r="M81" s="29"/>
      <c r="N81" s="29"/>
      <c r="O81" s="29"/>
      <c r="P81" s="29"/>
      <c r="Q81" s="29"/>
      <c r="R81" s="29"/>
      <c r="S81" s="29"/>
      <c r="T81" s="29"/>
      <c r="U81" s="29"/>
      <c r="V81" s="29"/>
      <c r="W81" s="29"/>
      <c r="X81" s="29"/>
      <c r="Y81" s="30"/>
      <c r="Z81" s="18"/>
      <c r="AA81" s="19"/>
      <c r="AB81" s="19"/>
      <c r="AC81" s="20">
        <f t="shared" si="8"/>
        <v>49</v>
      </c>
      <c r="AD81" s="20">
        <f t="shared" si="9"/>
        <v>4.22</v>
      </c>
      <c r="AE81" s="20">
        <f t="shared" si="10"/>
        <v>4.2990000000000004</v>
      </c>
      <c r="AF81" s="20">
        <f t="shared" si="11"/>
        <v>4.3789999999999996</v>
      </c>
      <c r="AG81" s="20">
        <f>Table9[[#This Row],[RTH(min) (kΩ)]]*RT2_TH_MIN/(RT2_TH_MIN+Table9[[#This Row],[RTH(min) (kΩ)]])</f>
        <v>3.7067123160071462</v>
      </c>
      <c r="AH81" s="20">
        <f>Table9[[#This Row],[RTH(nom) (kΩ)]]*RT2_TH_S/(RT2_TH_S+Table9[[#This Row],[RTH(nom) (kΩ)]])</f>
        <v>3.7679905499354547</v>
      </c>
      <c r="AI81" s="20">
        <f>Table9[[#This Row],[RTH(max) (kΩ)]]*RT2_TH_S_MAX/(RT2_TH_S_MAX+Table9[[#This Row],[RTH(max) (kΩ)]])</f>
        <v>3.829787354139786</v>
      </c>
      <c r="AJ81" s="20">
        <f>Table9[[#This Row],[RLower(min) (kΩ)]]/(Table9[[#This Row],[RLower(min) (kΩ)]]+RT1_TH_S_MAX)*100</f>
        <v>41.439224695246004</v>
      </c>
      <c r="AK81" s="20">
        <f>Table9[[#This Row],[RLower(nom) (kΩ)]]/(Table9[[#This Row],[RLower(nom) (kΩ)]]+RT1_TH_S)*100</f>
        <v>41.861995467625505</v>
      </c>
      <c r="AL81" s="20">
        <f>Table9[[#This Row],[RLower(max) (kΩ)]]/(Table9[[#This Row],[RLower(max) (kΩ)]]+RT1_TH_S_MIN)*100</f>
        <v>42.282838656374608</v>
      </c>
      <c r="AM81" s="20">
        <f>IF(Table9[[#This Row],[Vmin (%)]]&lt;$BA$14, 0, IF(Table9[[#This Row],[Vmin (%)]]&lt;$BA$12, 4, IF(Table9[[#This Row],[Vmin (%)]]&lt;$BA$9, 3, IF(Table9[[#This Row],[Vmin (%)]]&lt;$BA$7, 2, 0))))</f>
        <v>3</v>
      </c>
      <c r="AN81" s="20">
        <f>IF(Table9[[#This Row],[Vmin (%)]]&lt;$BA$13, 0, IF(Table9[[#This Row],[Vmin (%)]]&lt;$BA$11, 4, IF(Table9[[#This Row],[Vmin (%)]]&lt;$BA$10, 3, IF(Table9[[#This Row],[Vmin (%)]]&lt;$BA$8, 2, 0))))</f>
        <v>4</v>
      </c>
      <c r="AO81" s="76" t="str">
        <f>IF(Table9[[#This Row],[Vmin (%)]]&lt;$BA$14, "Hot", IF(Table9[[#This Row],[Vmin (%)]]&lt;$BA$12, "Warm", IF(Table9[[#This Row],[Vmin (%)]]&lt;$BA$9, "Normal", IF(Table9[[#This Row],[Vmin (%)]]&lt;$BA$7, "Cool", "Cold"))))</f>
        <v>Normal</v>
      </c>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row>
    <row r="82" spans="1:210" x14ac:dyDescent="0.2">
      <c r="A82" s="113">
        <f t="shared" si="5"/>
        <v>48</v>
      </c>
      <c r="B82" s="163"/>
      <c r="C82" s="172" t="str">
        <f t="shared" si="7"/>
        <v>RTH at 48 °C</v>
      </c>
      <c r="D82" s="196">
        <f t="shared" si="6"/>
        <v>1.6764705882352942</v>
      </c>
      <c r="E82" s="197">
        <v>4.3630000000000004</v>
      </c>
      <c r="F82" s="198">
        <v>4.4429999999999996</v>
      </c>
      <c r="G82" s="199">
        <v>4.524</v>
      </c>
      <c r="H82" s="128" t="s">
        <v>30</v>
      </c>
      <c r="I82" s="29"/>
      <c r="J82" s="29">
        <v>4.524</v>
      </c>
      <c r="K82" s="29">
        <v>4.4429999999999996</v>
      </c>
      <c r="L82" s="29">
        <v>4.3630000000000004</v>
      </c>
      <c r="M82" s="29"/>
      <c r="N82" s="29"/>
      <c r="O82" s="29"/>
      <c r="P82" s="29"/>
      <c r="Q82" s="29"/>
      <c r="R82" s="29"/>
      <c r="S82" s="29"/>
      <c r="T82" s="29"/>
      <c r="U82" s="29"/>
      <c r="V82" s="29"/>
      <c r="W82" s="29"/>
      <c r="X82" s="29"/>
      <c r="Y82" s="30"/>
      <c r="Z82" s="18"/>
      <c r="AA82" s="19"/>
      <c r="AB82" s="19"/>
      <c r="AC82" s="20">
        <f t="shared" si="8"/>
        <v>48</v>
      </c>
      <c r="AD82" s="20">
        <f t="shared" si="9"/>
        <v>4.3630000000000004</v>
      </c>
      <c r="AE82" s="20">
        <f t="shared" si="10"/>
        <v>4.4429999999999996</v>
      </c>
      <c r="AF82" s="20">
        <f t="shared" si="11"/>
        <v>4.524</v>
      </c>
      <c r="AG82" s="20">
        <f>Table9[[#This Row],[RTH(min) (kΩ)]]*RT2_TH_MIN/(RT2_TH_MIN+Table9[[#This Row],[RTH(min) (kΩ)]])</f>
        <v>3.8165882457479112</v>
      </c>
      <c r="AH82" s="20">
        <f>Table9[[#This Row],[RTH(nom) (kΩ)]]*RT2_TH_S/(RT2_TH_S+Table9[[#This Row],[RTH(nom) (kΩ)]])</f>
        <v>3.8781581931981286</v>
      </c>
      <c r="AI82" s="20">
        <f>Table9[[#This Row],[RTH(max) (kΩ)]]*RT2_TH_S_MAX/(RT2_TH_S_MAX+Table9[[#This Row],[RTH(max) (kΩ)]])</f>
        <v>3.940237821259692</v>
      </c>
      <c r="AJ82" s="20">
        <f>Table9[[#This Row],[RLower(min) (kΩ)]]/(Table9[[#This Row],[RLower(min) (kΩ)]]+RT1_TH_S_MAX)*100</f>
        <v>42.14983242076066</v>
      </c>
      <c r="AK82" s="20">
        <f>Table9[[#This Row],[RLower(nom) (kΩ)]]/(Table9[[#This Row],[RLower(nom) (kΩ)]]+RT1_TH_S)*100</f>
        <v>42.564972304499207</v>
      </c>
      <c r="AL82" s="20">
        <f>Table9[[#This Row],[RLower(max) (kΩ)]]/(Table9[[#This Row],[RLower(max) (kΩ)]]+RT1_TH_S_MIN)*100</f>
        <v>42.978180086200872</v>
      </c>
      <c r="AM82" s="20">
        <f>IF(Table9[[#This Row],[Vmin (%)]]&lt;$BA$14, 0, IF(Table9[[#This Row],[Vmin (%)]]&lt;$BA$12, 4, IF(Table9[[#This Row],[Vmin (%)]]&lt;$BA$9, 3, IF(Table9[[#This Row],[Vmin (%)]]&lt;$BA$7, 2, 0))))</f>
        <v>3</v>
      </c>
      <c r="AN82" s="20">
        <f>IF(Table9[[#This Row],[Vmin (%)]]&lt;$BA$13, 0, IF(Table9[[#This Row],[Vmin (%)]]&lt;$BA$11, 4, IF(Table9[[#This Row],[Vmin (%)]]&lt;$BA$10, 3, IF(Table9[[#This Row],[Vmin (%)]]&lt;$BA$8, 2, 0))))</f>
        <v>4</v>
      </c>
      <c r="AO82" s="76" t="str">
        <f>IF(Table9[[#This Row],[Vmin (%)]]&lt;$BA$14, "Hot", IF(Table9[[#This Row],[Vmin (%)]]&lt;$BA$12, "Warm", IF(Table9[[#This Row],[Vmin (%)]]&lt;$BA$9, "Normal", IF(Table9[[#This Row],[Vmin (%)]]&lt;$BA$7, "Cool", "Cold"))))</f>
        <v>Normal</v>
      </c>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row>
    <row r="83" spans="1:210" x14ac:dyDescent="0.2">
      <c r="A83" s="113">
        <f t="shared" si="5"/>
        <v>47</v>
      </c>
      <c r="B83" s="163"/>
      <c r="C83" s="172" t="str">
        <f t="shared" si="7"/>
        <v>RTH at 47 °C</v>
      </c>
      <c r="D83" s="196">
        <f t="shared" si="6"/>
        <v>1.6470588235294117</v>
      </c>
      <c r="E83" s="197">
        <v>4.5110000000000001</v>
      </c>
      <c r="F83" s="198">
        <v>4.593</v>
      </c>
      <c r="G83" s="199">
        <v>4.6749999999999998</v>
      </c>
      <c r="H83" s="128" t="s">
        <v>30</v>
      </c>
      <c r="I83" s="29"/>
      <c r="J83" s="29">
        <v>4.6749999999999998</v>
      </c>
      <c r="K83" s="29">
        <v>4.593</v>
      </c>
      <c r="L83" s="29">
        <v>4.5110000000000001</v>
      </c>
      <c r="M83" s="29"/>
      <c r="N83" s="29"/>
      <c r="O83" s="29"/>
      <c r="P83" s="29"/>
      <c r="Q83" s="29"/>
      <c r="R83" s="29"/>
      <c r="S83" s="29"/>
      <c r="T83" s="29"/>
      <c r="U83" s="29"/>
      <c r="V83" s="29"/>
      <c r="W83" s="29"/>
      <c r="X83" s="29"/>
      <c r="Y83" s="30"/>
      <c r="Z83" s="18"/>
      <c r="AA83" s="19"/>
      <c r="AB83" s="19"/>
      <c r="AC83" s="20">
        <f t="shared" si="8"/>
        <v>47</v>
      </c>
      <c r="AD83" s="20">
        <f t="shared" si="9"/>
        <v>4.5110000000000001</v>
      </c>
      <c r="AE83" s="20">
        <f t="shared" si="10"/>
        <v>4.593</v>
      </c>
      <c r="AF83" s="20">
        <f t="shared" si="11"/>
        <v>4.6749999999999998</v>
      </c>
      <c r="AG83" s="20">
        <f>Table9[[#This Row],[RTH(min) (kΩ)]]*RT2_TH_MIN/(RT2_TH_MIN+Table9[[#This Row],[RTH(min) (kΩ)]])</f>
        <v>3.9293601249230115</v>
      </c>
      <c r="AH83" s="20">
        <f>Table9[[#This Row],[RTH(nom) (kΩ)]]*RT2_TH_S/(RT2_TH_S+Table9[[#This Row],[RTH(nom) (kΩ)]])</f>
        <v>3.9919548872610084</v>
      </c>
      <c r="AI83" s="20">
        <f>Table9[[#This Row],[RTH(max) (kΩ)]]*RT2_TH_S_MAX/(RT2_TH_S_MAX+Table9[[#This Row],[RTH(max) (kΩ)]])</f>
        <v>4.0542917281450999</v>
      </c>
      <c r="AJ83" s="20">
        <f>Table9[[#This Row],[RLower(min) (kΩ)]]/(Table9[[#This Row],[RLower(min) (kΩ)]]+RT1_TH_S_MAX)*100</f>
        <v>42.861456325317214</v>
      </c>
      <c r="AK83" s="20">
        <f>Table9[[#This Row],[RLower(nom) (kΩ)]]/(Table9[[#This Row],[RLower(nom) (kΩ)]]+RT1_TH_S)*100</f>
        <v>43.27347685845703</v>
      </c>
      <c r="AL83" s="20">
        <f>Table9[[#This Row],[RLower(max) (kΩ)]]/(Table9[[#This Row],[RLower(max) (kΩ)]]+RT1_TH_S_MIN)*100</f>
        <v>43.67884011499757</v>
      </c>
      <c r="AM83" s="20">
        <f>IF(Table9[[#This Row],[Vmin (%)]]&lt;$BA$14, 0, IF(Table9[[#This Row],[Vmin (%)]]&lt;$BA$12, 4, IF(Table9[[#This Row],[Vmin (%)]]&lt;$BA$9, 3, IF(Table9[[#This Row],[Vmin (%)]]&lt;$BA$7, 2, 0))))</f>
        <v>3</v>
      </c>
      <c r="AN83" s="20">
        <f>IF(Table9[[#This Row],[Vmin (%)]]&lt;$BA$13, 0, IF(Table9[[#This Row],[Vmin (%)]]&lt;$BA$11, 4, IF(Table9[[#This Row],[Vmin (%)]]&lt;$BA$10, 3, IF(Table9[[#This Row],[Vmin (%)]]&lt;$BA$8, 2, 0))))</f>
        <v>3</v>
      </c>
      <c r="AO83" s="76" t="str">
        <f>IF(Table9[[#This Row],[Vmin (%)]]&lt;$BA$14, "Hot", IF(Table9[[#This Row],[Vmin (%)]]&lt;$BA$12, "Warm", IF(Table9[[#This Row],[Vmin (%)]]&lt;$BA$9, "Normal", IF(Table9[[#This Row],[Vmin (%)]]&lt;$BA$7, "Cool", "Cold"))))</f>
        <v>Normal</v>
      </c>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row>
    <row r="84" spans="1:210" x14ac:dyDescent="0.2">
      <c r="A84" s="113">
        <f t="shared" si="5"/>
        <v>46</v>
      </c>
      <c r="B84" s="163"/>
      <c r="C84" s="172" t="str">
        <f t="shared" ref="C84:C115" si="12">_xlfn.CONCAT("RTH at ",A84, " °C")</f>
        <v>RTH at 46 °C</v>
      </c>
      <c r="D84" s="196">
        <f t="shared" si="6"/>
        <v>1.6176470588235294</v>
      </c>
      <c r="E84" s="197">
        <v>4.6660000000000004</v>
      </c>
      <c r="F84" s="198">
        <v>4.7489999999999997</v>
      </c>
      <c r="G84" s="199">
        <v>4.8319999999999999</v>
      </c>
      <c r="H84" s="128" t="s">
        <v>30</v>
      </c>
      <c r="I84" s="29"/>
      <c r="J84" s="29">
        <v>4.8319999999999999</v>
      </c>
      <c r="K84" s="29">
        <v>4.7489999999999997</v>
      </c>
      <c r="L84" s="29">
        <v>4.6660000000000004</v>
      </c>
      <c r="M84" s="29"/>
      <c r="N84" s="29"/>
      <c r="O84" s="29"/>
      <c r="P84" s="29"/>
      <c r="Q84" s="29"/>
      <c r="R84" s="29"/>
      <c r="S84" s="29"/>
      <c r="T84" s="29"/>
      <c r="U84" s="29"/>
      <c r="V84" s="29"/>
      <c r="W84" s="29"/>
      <c r="X84" s="29"/>
      <c r="Y84" s="30"/>
      <c r="Z84" s="18"/>
      <c r="AA84" s="19"/>
      <c r="AB84" s="19"/>
      <c r="AC84" s="20">
        <f t="shared" ref="AC84:AC115" si="13">A84</f>
        <v>46</v>
      </c>
      <c r="AD84" s="20">
        <f t="shared" ref="AD84:AD115" si="14">E84</f>
        <v>4.6660000000000004</v>
      </c>
      <c r="AE84" s="20">
        <f t="shared" ref="AE84:AE115" si="15">F84</f>
        <v>4.7489999999999997</v>
      </c>
      <c r="AF84" s="20">
        <f t="shared" ref="AF84:AF115" si="16">G84</f>
        <v>4.8319999999999999</v>
      </c>
      <c r="AG84" s="20">
        <f>Table9[[#This Row],[RTH(min) (kΩ)]]*RT2_TH_MIN/(RT2_TH_MIN+Table9[[#This Row],[RTH(min) (kΩ)]])</f>
        <v>4.0464474473699488</v>
      </c>
      <c r="AH84" s="20">
        <f>Table9[[#This Row],[RTH(nom) (kΩ)]]*RT2_TH_S/(RT2_TH_S+Table9[[#This Row],[RTH(nom) (kΩ)]])</f>
        <v>4.1092762075416669</v>
      </c>
      <c r="AI84" s="20">
        <f>Table9[[#This Row],[RTH(max) (kΩ)]]*RT2_TH_S_MAX/(RT2_TH_S_MAX+Table9[[#This Row],[RTH(max) (kΩ)]])</f>
        <v>4.1718448746425922</v>
      </c>
      <c r="AJ84" s="20">
        <f>Table9[[#This Row],[RLower(min) (kΩ)]]/(Table9[[#This Row],[RLower(min) (kΩ)]]+RT1_TH_S_MAX)*100</f>
        <v>43.582020216662109</v>
      </c>
      <c r="AK84" s="20">
        <f>Table9[[#This Row],[RLower(nom) (kΩ)]]/(Table9[[#This Row],[RLower(nom) (kΩ)]]+RT1_TH_S)*100</f>
        <v>43.985855378302489</v>
      </c>
      <c r="AL84" s="20">
        <f>Table9[[#This Row],[RLower(max) (kΩ)]]/(Table9[[#This Row],[RLower(max) (kΩ)]]+RT1_TH_S_MIN)*100</f>
        <v>44.383202792604344</v>
      </c>
      <c r="AM84" s="20">
        <f>IF(Table9[[#This Row],[Vmin (%)]]&lt;$BA$14, 0, IF(Table9[[#This Row],[Vmin (%)]]&lt;$BA$12, 4, IF(Table9[[#This Row],[Vmin (%)]]&lt;$BA$9, 3, IF(Table9[[#This Row],[Vmin (%)]]&lt;$BA$7, 2, 0))))</f>
        <v>3</v>
      </c>
      <c r="AN84" s="20">
        <f>IF(Table9[[#This Row],[Vmin (%)]]&lt;$BA$13, 0, IF(Table9[[#This Row],[Vmin (%)]]&lt;$BA$11, 4, IF(Table9[[#This Row],[Vmin (%)]]&lt;$BA$10, 3, IF(Table9[[#This Row],[Vmin (%)]]&lt;$BA$8, 2, 0))))</f>
        <v>3</v>
      </c>
      <c r="AO84" s="76" t="str">
        <f>IF(Table9[[#This Row],[Vmin (%)]]&lt;$BA$14, "Hot", IF(Table9[[#This Row],[Vmin (%)]]&lt;$BA$12, "Warm", IF(Table9[[#This Row],[Vmin (%)]]&lt;$BA$9, "Normal", IF(Table9[[#This Row],[Vmin (%)]]&lt;$BA$7, "Cool", "Cold"))))</f>
        <v>Normal</v>
      </c>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row>
    <row r="85" spans="1:210" x14ac:dyDescent="0.2">
      <c r="A85" s="113">
        <f t="shared" si="5"/>
        <v>45</v>
      </c>
      <c r="B85" s="163"/>
      <c r="C85" s="172" t="str">
        <f t="shared" si="12"/>
        <v>RTH at 45 °C</v>
      </c>
      <c r="D85" s="196">
        <f t="shared" si="6"/>
        <v>1.588235294117647</v>
      </c>
      <c r="E85" s="197">
        <v>4.827</v>
      </c>
      <c r="F85" s="198">
        <v>4.9109999999999996</v>
      </c>
      <c r="G85" s="199">
        <v>4.9950000000000001</v>
      </c>
      <c r="H85" s="128" t="s">
        <v>30</v>
      </c>
      <c r="I85" s="29"/>
      <c r="J85" s="29">
        <v>4.9950000000000001</v>
      </c>
      <c r="K85" s="29">
        <v>4.9109999999999996</v>
      </c>
      <c r="L85" s="29">
        <v>4.827</v>
      </c>
      <c r="M85" s="29"/>
      <c r="N85" s="29"/>
      <c r="O85" s="29"/>
      <c r="P85" s="29"/>
      <c r="Q85" s="29"/>
      <c r="R85" s="29"/>
      <c r="S85" s="29"/>
      <c r="T85" s="29"/>
      <c r="U85" s="29"/>
      <c r="V85" s="29"/>
      <c r="W85" s="29"/>
      <c r="X85" s="29"/>
      <c r="Y85" s="30"/>
      <c r="Z85" s="18"/>
      <c r="AA85" s="19"/>
      <c r="AB85" s="19"/>
      <c r="AC85" s="20">
        <f t="shared" si="13"/>
        <v>45</v>
      </c>
      <c r="AD85" s="20">
        <f t="shared" si="14"/>
        <v>4.827</v>
      </c>
      <c r="AE85" s="20">
        <f t="shared" si="15"/>
        <v>4.9109999999999996</v>
      </c>
      <c r="AF85" s="20">
        <f t="shared" si="16"/>
        <v>4.9950000000000001</v>
      </c>
      <c r="AG85" s="20">
        <f>Table9[[#This Row],[RTH(min) (kΩ)]]*RT2_TH_MIN/(RT2_TH_MIN+Table9[[#This Row],[RTH(min) (kΩ)]])</f>
        <v>4.1669785164246562</v>
      </c>
      <c r="AH85" s="20">
        <f>Table9[[#This Row],[RTH(nom) (kΩ)]]*RT2_TH_S/(RT2_TH_S+Table9[[#This Row],[RTH(nom) (kΩ)]])</f>
        <v>4.2300159512161049</v>
      </c>
      <c r="AI85" s="20">
        <f>Table9[[#This Row],[RTH(max) (kΩ)]]*RT2_TH_S_MAX/(RT2_TH_S_MAX+Table9[[#This Row],[RTH(max) (kΩ)]])</f>
        <v>4.292791321674807</v>
      </c>
      <c r="AJ85" s="20">
        <f>Table9[[#This Row],[RLower(min) (kΩ)]]/(Table9[[#This Row],[RLower(min) (kΩ)]]+RT1_TH_S_MAX)*100</f>
        <v>44.305037005037335</v>
      </c>
      <c r="AK85" s="20">
        <f>Table9[[#This Row],[RLower(nom) (kΩ)]]/(Table9[[#This Row],[RLower(nom) (kΩ)]]+RT1_TH_S)*100</f>
        <v>44.700547166410082</v>
      </c>
      <c r="AL85" s="20">
        <f>Table9[[#This Row],[RLower(max) (kΩ)]]/(Table9[[#This Row],[RLower(max) (kΩ)]]+RT1_TH_S_MIN)*100</f>
        <v>45.08974331671525</v>
      </c>
      <c r="AM85" s="20">
        <f>IF(Table9[[#This Row],[Vmin (%)]]&lt;$BA$14, 0, IF(Table9[[#This Row],[Vmin (%)]]&lt;$BA$12, 4, IF(Table9[[#This Row],[Vmin (%)]]&lt;$BA$9, 3, IF(Table9[[#This Row],[Vmin (%)]]&lt;$BA$7, 2, 0))))</f>
        <v>3</v>
      </c>
      <c r="AN85" s="20">
        <f>IF(Table9[[#This Row],[Vmin (%)]]&lt;$BA$13, 0, IF(Table9[[#This Row],[Vmin (%)]]&lt;$BA$11, 4, IF(Table9[[#This Row],[Vmin (%)]]&lt;$BA$10, 3, IF(Table9[[#This Row],[Vmin (%)]]&lt;$BA$8, 2, 0))))</f>
        <v>3</v>
      </c>
      <c r="AO85" s="76" t="str">
        <f>IF(Table9[[#This Row],[Vmin (%)]]&lt;$BA$14, "Hot", IF(Table9[[#This Row],[Vmin (%)]]&lt;$BA$12, "Warm", IF(Table9[[#This Row],[Vmin (%)]]&lt;$BA$9, "Normal", IF(Table9[[#This Row],[Vmin (%)]]&lt;$BA$7, "Cool", "Cold"))))</f>
        <v>Normal</v>
      </c>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row>
    <row r="86" spans="1:210" x14ac:dyDescent="0.2">
      <c r="A86" s="113">
        <f t="shared" ref="A86:A149" si="17">A85-1</f>
        <v>44</v>
      </c>
      <c r="B86" s="163"/>
      <c r="C86" s="172" t="str">
        <f t="shared" si="12"/>
        <v>RTH at 44 °C</v>
      </c>
      <c r="D86" s="196">
        <f t="shared" ref="D86:D104" si="18">$D$20-(ROW(D86)-ROW($D$20))*($D$20-$D$105)/(ROW($D$105)-ROW($D$20))</f>
        <v>1.5588235294117647</v>
      </c>
      <c r="E86" s="197">
        <v>4.9939999999999998</v>
      </c>
      <c r="F86" s="198">
        <v>5.08</v>
      </c>
      <c r="G86" s="199">
        <v>5.165</v>
      </c>
      <c r="H86" s="128" t="s">
        <v>30</v>
      </c>
      <c r="I86" s="29"/>
      <c r="J86" s="29">
        <v>5.165</v>
      </c>
      <c r="K86" s="29">
        <v>5.08</v>
      </c>
      <c r="L86" s="29">
        <v>4.9939999999999998</v>
      </c>
      <c r="M86" s="29"/>
      <c r="N86" s="29"/>
      <c r="O86" s="29"/>
      <c r="P86" s="29"/>
      <c r="Q86" s="29"/>
      <c r="R86" s="29"/>
      <c r="S86" s="29"/>
      <c r="T86" s="29"/>
      <c r="U86" s="29"/>
      <c r="V86" s="29"/>
      <c r="W86" s="29"/>
      <c r="X86" s="29"/>
      <c r="Y86" s="30"/>
      <c r="Z86" s="18"/>
      <c r="AA86" s="19"/>
      <c r="AB86" s="19"/>
      <c r="AC86" s="20">
        <f t="shared" si="13"/>
        <v>44</v>
      </c>
      <c r="AD86" s="20">
        <f t="shared" si="14"/>
        <v>4.9939999999999998</v>
      </c>
      <c r="AE86" s="20">
        <f t="shared" si="15"/>
        <v>5.08</v>
      </c>
      <c r="AF86" s="20">
        <f t="shared" si="16"/>
        <v>5.165</v>
      </c>
      <c r="AG86" s="20">
        <f>Table9[[#This Row],[RTH(min) (kΩ)]]*RT2_TH_MIN/(RT2_TH_MIN+Table9[[#This Row],[RTH(min) (kΩ)]])</f>
        <v>4.2908452683323759</v>
      </c>
      <c r="AH86" s="20">
        <f>Table9[[#This Row],[RTH(nom) (kΩ)]]*RT2_TH_S/(RT2_TH_S+Table9[[#This Row],[RTH(nom) (kΩ)]])</f>
        <v>4.3548012437788275</v>
      </c>
      <c r="AI86" s="20">
        <f>Table9[[#This Row],[RTH(max) (kΩ)]]*RT2_TH_S_MAX/(RT2_TH_S_MAX+Table9[[#This Row],[RTH(max) (kΩ)]])</f>
        <v>4.4177552094004273</v>
      </c>
      <c r="AJ86" s="20">
        <f>Table9[[#This Row],[RLower(min) (kΩ)]]/(Table9[[#This Row],[RLower(min) (kΩ)]]+RT1_TH_S_MAX)*100</f>
        <v>45.029006352899351</v>
      </c>
      <c r="AK86" s="20">
        <f>Table9[[#This Row],[RLower(nom) (kΩ)]]/(Table9[[#This Row],[RLower(nom) (kΩ)]]+RT1_TH_S)*100</f>
        <v>45.420270552073696</v>
      </c>
      <c r="AL86" s="20">
        <f>Table9[[#This Row],[RLower(max) (kΩ)]]/(Table9[[#This Row],[RLower(max) (kΩ)]]+RT1_TH_S_MIN)*100</f>
        <v>45.801141341003429</v>
      </c>
      <c r="AM86" s="20">
        <f>IF(Table9[[#This Row],[Vmin (%)]]&lt;$BA$14, 0, IF(Table9[[#This Row],[Vmin (%)]]&lt;$BA$12, 4, IF(Table9[[#This Row],[Vmin (%)]]&lt;$BA$9, 3, IF(Table9[[#This Row],[Vmin (%)]]&lt;$BA$7, 2, 0))))</f>
        <v>3</v>
      </c>
      <c r="AN86" s="20">
        <f>IF(Table9[[#This Row],[Vmin (%)]]&lt;$BA$13, 0, IF(Table9[[#This Row],[Vmin (%)]]&lt;$BA$11, 4, IF(Table9[[#This Row],[Vmin (%)]]&lt;$BA$10, 3, IF(Table9[[#This Row],[Vmin (%)]]&lt;$BA$8, 2, 0))))</f>
        <v>3</v>
      </c>
      <c r="AO86" s="76" t="str">
        <f>IF(Table9[[#This Row],[Vmin (%)]]&lt;$BA$14, "Hot", IF(Table9[[#This Row],[Vmin (%)]]&lt;$BA$12, "Warm", IF(Table9[[#This Row],[Vmin (%)]]&lt;$BA$9, "Normal", IF(Table9[[#This Row],[Vmin (%)]]&lt;$BA$7, "Cool", "Cold"))))</f>
        <v>Normal</v>
      </c>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row>
    <row r="87" spans="1:210" x14ac:dyDescent="0.2">
      <c r="A87" s="113">
        <f t="shared" si="17"/>
        <v>43</v>
      </c>
      <c r="B87" s="163"/>
      <c r="C87" s="172" t="str">
        <f t="shared" si="12"/>
        <v>RTH at 43 °C</v>
      </c>
      <c r="D87" s="196">
        <f t="shared" si="18"/>
        <v>1.5294117647058822</v>
      </c>
      <c r="E87" s="197">
        <v>5.1689999999999996</v>
      </c>
      <c r="F87" s="198">
        <v>5.2549999999999999</v>
      </c>
      <c r="G87" s="199">
        <v>5.3419999999999996</v>
      </c>
      <c r="H87" s="128" t="s">
        <v>30</v>
      </c>
      <c r="I87" s="29"/>
      <c r="J87" s="29">
        <v>5.3419999999999996</v>
      </c>
      <c r="K87" s="29">
        <v>5.2549999999999999</v>
      </c>
      <c r="L87" s="29">
        <v>5.1689999999999996</v>
      </c>
      <c r="M87" s="29"/>
      <c r="N87" s="29"/>
      <c r="O87" s="29"/>
      <c r="P87" s="29"/>
      <c r="Q87" s="29"/>
      <c r="R87" s="29"/>
      <c r="S87" s="29"/>
      <c r="T87" s="29"/>
      <c r="U87" s="29"/>
      <c r="V87" s="29"/>
      <c r="W87" s="29"/>
      <c r="X87" s="29"/>
      <c r="Y87" s="30"/>
      <c r="Z87" s="18"/>
      <c r="AA87" s="19"/>
      <c r="AB87" s="19"/>
      <c r="AC87" s="20">
        <f t="shared" si="13"/>
        <v>43</v>
      </c>
      <c r="AD87" s="20">
        <f t="shared" si="14"/>
        <v>5.1689999999999996</v>
      </c>
      <c r="AE87" s="20">
        <f t="shared" si="15"/>
        <v>5.2549999999999999</v>
      </c>
      <c r="AF87" s="20">
        <f t="shared" si="16"/>
        <v>5.3419999999999996</v>
      </c>
      <c r="AG87" s="20">
        <f>Table9[[#This Row],[RTH(min) (kΩ)]]*RT2_TH_MIN/(RT2_TH_MIN+Table9[[#This Row],[RTH(min) (kΩ)]])</f>
        <v>4.4194003284830696</v>
      </c>
      <c r="AH87" s="20">
        <f>Table9[[#This Row],[RTH(nom) (kΩ)]]*RT2_TH_S/(RT2_TH_S+Table9[[#This Row],[RTH(nom) (kΩ)]])</f>
        <v>4.4827737800882197</v>
      </c>
      <c r="AI87" s="20">
        <f>Table9[[#This Row],[RTH(max) (kΩ)]]*RT2_TH_S_MAX/(RT2_TH_S_MAX+Table9[[#This Row],[RTH(max) (kΩ)]])</f>
        <v>4.5466062862862975</v>
      </c>
      <c r="AJ87" s="20">
        <f>Table9[[#This Row],[RLower(min) (kΩ)]]/(Table9[[#This Row],[RLower(min) (kΩ)]]+RT1_TH_S_MAX)*100</f>
        <v>45.760739028921257</v>
      </c>
      <c r="AK87" s="20">
        <f>Table9[[#This Row],[RLower(nom) (kΩ)]]/(Table9[[#This Row],[RLower(nom) (kΩ)]]+RT1_TH_S)*100</f>
        <v>46.139174978135998</v>
      </c>
      <c r="AL87" s="20">
        <f>Table9[[#This Row],[RLower(max) (kΩ)]]/(Table9[[#This Row],[RLower(max) (kΩ)]]+RT1_TH_S_MIN)*100</f>
        <v>46.515620665533334</v>
      </c>
      <c r="AM87" s="20">
        <f>IF(Table9[[#This Row],[Vmin (%)]]&lt;$BA$14, 0, IF(Table9[[#This Row],[Vmin (%)]]&lt;$BA$12, 4, IF(Table9[[#This Row],[Vmin (%)]]&lt;$BA$9, 3, IF(Table9[[#This Row],[Vmin (%)]]&lt;$BA$7, 2, 0))))</f>
        <v>3</v>
      </c>
      <c r="AN87" s="20">
        <f>IF(Table9[[#This Row],[Vmin (%)]]&lt;$BA$13, 0, IF(Table9[[#This Row],[Vmin (%)]]&lt;$BA$11, 4, IF(Table9[[#This Row],[Vmin (%)]]&lt;$BA$10, 3, IF(Table9[[#This Row],[Vmin (%)]]&lt;$BA$8, 2, 0))))</f>
        <v>3</v>
      </c>
      <c r="AO87" s="76" t="str">
        <f>IF(Table9[[#This Row],[Vmin (%)]]&lt;$BA$14, "Hot", IF(Table9[[#This Row],[Vmin (%)]]&lt;$BA$12, "Warm", IF(Table9[[#This Row],[Vmin (%)]]&lt;$BA$9, "Normal", IF(Table9[[#This Row],[Vmin (%)]]&lt;$BA$7, "Cool", "Cold"))))</f>
        <v>Normal</v>
      </c>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row>
    <row r="88" spans="1:210" x14ac:dyDescent="0.2">
      <c r="A88" s="113">
        <f t="shared" si="17"/>
        <v>42</v>
      </c>
      <c r="B88" s="163"/>
      <c r="C88" s="172" t="str">
        <f t="shared" si="12"/>
        <v>RTH at 42 °C</v>
      </c>
      <c r="D88" s="196">
        <f t="shared" si="18"/>
        <v>1.5</v>
      </c>
      <c r="E88" s="197">
        <v>5.351</v>
      </c>
      <c r="F88" s="198">
        <v>5.4379999999999997</v>
      </c>
      <c r="G88" s="199">
        <v>5.5259999999999998</v>
      </c>
      <c r="H88" s="128" t="s">
        <v>30</v>
      </c>
      <c r="I88" s="29"/>
      <c r="J88" s="29">
        <v>5.5259999999999998</v>
      </c>
      <c r="K88" s="29">
        <v>5.4379999999999997</v>
      </c>
      <c r="L88" s="29">
        <v>5.351</v>
      </c>
      <c r="M88" s="29"/>
      <c r="N88" s="29"/>
      <c r="O88" s="29"/>
      <c r="P88" s="29"/>
      <c r="Q88" s="29"/>
      <c r="R88" s="29"/>
      <c r="S88" s="29"/>
      <c r="T88" s="29"/>
      <c r="U88" s="29"/>
      <c r="V88" s="29"/>
      <c r="W88" s="29"/>
      <c r="X88" s="29"/>
      <c r="Y88" s="30"/>
      <c r="Z88" s="18"/>
      <c r="AA88" s="19"/>
      <c r="AB88" s="19"/>
      <c r="AC88" s="20">
        <f t="shared" si="13"/>
        <v>42</v>
      </c>
      <c r="AD88" s="20">
        <f t="shared" si="14"/>
        <v>5.351</v>
      </c>
      <c r="AE88" s="20">
        <f t="shared" si="15"/>
        <v>5.4379999999999997</v>
      </c>
      <c r="AF88" s="20">
        <f t="shared" si="16"/>
        <v>5.5259999999999998</v>
      </c>
      <c r="AG88" s="20">
        <f>Table9[[#This Row],[RTH(min) (kΩ)]]*RT2_TH_MIN/(RT2_TH_MIN+Table9[[#This Row],[RTH(min) (kΩ)]])</f>
        <v>4.5517653121270181</v>
      </c>
      <c r="AH88" s="20">
        <f>Table9[[#This Row],[RTH(nom) (kΩ)]]*RT2_TH_S/(RT2_TH_S+Table9[[#This Row],[RTH(nom) (kΩ)]])</f>
        <v>4.6152635969000837</v>
      </c>
      <c r="AI88" s="20">
        <f>Table9[[#This Row],[RTH(max) (kΩ)]]*RT2_TH_S_MAX/(RT2_TH_S_MAX+Table9[[#This Row],[RTH(max) (kΩ)]])</f>
        <v>4.6792122801732088</v>
      </c>
      <c r="AJ88" s="20">
        <f>Table9[[#This Row],[RLower(min) (kΩ)]]/(Table9[[#This Row],[RLower(min) (kΩ)]]+RT1_TH_S_MAX)*100</f>
        <v>46.494077806036252</v>
      </c>
      <c r="AK88" s="20">
        <f>Table9[[#This Row],[RLower(nom) (kΩ)]]/(Table9[[#This Row],[RLower(nom) (kΩ)]]+RT1_TH_S)*100</f>
        <v>46.863771470223767</v>
      </c>
      <c r="AL88" s="20">
        <f>Table9[[#This Row],[RLower(max) (kΩ)]]/(Table9[[#This Row],[RLower(max) (kΩ)]]+RT1_TH_S_MIN)*100</f>
        <v>47.23151553218328</v>
      </c>
      <c r="AM88" s="20">
        <f>IF(Table9[[#This Row],[Vmin (%)]]&lt;$BA$14, 0, IF(Table9[[#This Row],[Vmin (%)]]&lt;$BA$12, 4, IF(Table9[[#This Row],[Vmin (%)]]&lt;$BA$9, 3, IF(Table9[[#This Row],[Vmin (%)]]&lt;$BA$7, 2, 0))))</f>
        <v>3</v>
      </c>
      <c r="AN88" s="20">
        <f>IF(Table9[[#This Row],[Vmin (%)]]&lt;$BA$13, 0, IF(Table9[[#This Row],[Vmin (%)]]&lt;$BA$11, 4, IF(Table9[[#This Row],[Vmin (%)]]&lt;$BA$10, 3, IF(Table9[[#This Row],[Vmin (%)]]&lt;$BA$8, 2, 0))))</f>
        <v>3</v>
      </c>
      <c r="AO88" s="76" t="str">
        <f>IF(Table9[[#This Row],[Vmin (%)]]&lt;$BA$14, "Hot", IF(Table9[[#This Row],[Vmin (%)]]&lt;$BA$12, "Warm", IF(Table9[[#This Row],[Vmin (%)]]&lt;$BA$9, "Normal", IF(Table9[[#This Row],[Vmin (%)]]&lt;$BA$7, "Cool", "Cold"))))</f>
        <v>Normal</v>
      </c>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row>
    <row r="89" spans="1:210" x14ac:dyDescent="0.2">
      <c r="A89" s="113">
        <f t="shared" si="17"/>
        <v>41</v>
      </c>
      <c r="B89" s="163"/>
      <c r="C89" s="172" t="str">
        <f t="shared" si="12"/>
        <v>RTH at 41 °C</v>
      </c>
      <c r="D89" s="196">
        <f t="shared" si="18"/>
        <v>1.4705882352941178</v>
      </c>
      <c r="E89" s="197">
        <v>5.54</v>
      </c>
      <c r="F89" s="198">
        <v>5.6289999999999996</v>
      </c>
      <c r="G89" s="199">
        <v>5.718</v>
      </c>
      <c r="H89" s="128" t="s">
        <v>30</v>
      </c>
      <c r="I89" s="29"/>
      <c r="J89" s="29">
        <v>5.718</v>
      </c>
      <c r="K89" s="29">
        <v>5.6289999999999996</v>
      </c>
      <c r="L89" s="29">
        <v>5.54</v>
      </c>
      <c r="M89" s="29"/>
      <c r="N89" s="29"/>
      <c r="O89" s="29"/>
      <c r="P89" s="29"/>
      <c r="Q89" s="29"/>
      <c r="R89" s="29"/>
      <c r="S89" s="29"/>
      <c r="T89" s="29"/>
      <c r="U89" s="29"/>
      <c r="V89" s="29"/>
      <c r="W89" s="29"/>
      <c r="X89" s="29"/>
      <c r="Y89" s="30"/>
      <c r="Z89" s="18"/>
      <c r="AA89" s="19"/>
      <c r="AB89" s="19"/>
      <c r="AC89" s="20">
        <f t="shared" si="13"/>
        <v>41</v>
      </c>
      <c r="AD89" s="20">
        <f t="shared" si="14"/>
        <v>5.54</v>
      </c>
      <c r="AE89" s="20">
        <f t="shared" si="15"/>
        <v>5.6289999999999996</v>
      </c>
      <c r="AF89" s="20">
        <f t="shared" si="16"/>
        <v>5.718</v>
      </c>
      <c r="AG89" s="20">
        <f>Table9[[#This Row],[RTH(min) (kΩ)]]*RT2_TH_MIN/(RT2_TH_MIN+Table9[[#This Row],[RTH(min) (kΩ)]])</f>
        <v>4.6878052778944754</v>
      </c>
      <c r="AH89" s="20">
        <f>Table9[[#This Row],[RTH(nom) (kΩ)]]*RT2_TH_S/(RT2_TH_S+Table9[[#This Row],[RTH(nom) (kΩ)]])</f>
        <v>4.7521140633704881</v>
      </c>
      <c r="AI89" s="20">
        <f>Table9[[#This Row],[RTH(max) (kΩ)]]*RT2_TH_S_MAX/(RT2_TH_S_MAX+Table9[[#This Row],[RTH(max) (kΩ)]])</f>
        <v>4.8161486557031337</v>
      </c>
      <c r="AJ89" s="20">
        <f>Table9[[#This Row],[RLower(min) (kΩ)]]/(Table9[[#This Row],[RLower(min) (kΩ)]]+RT1_TH_S_MAX)*100</f>
        <v>47.227396590281984</v>
      </c>
      <c r="AK89" s="20">
        <f>Table9[[#This Row],[RLower(nom) (kΩ)]]/(Table9[[#This Row],[RLower(nom) (kΩ)]]+RT1_TH_S)*100</f>
        <v>47.592027959034752</v>
      </c>
      <c r="AL89" s="20">
        <f>Table9[[#This Row],[RLower(max) (kΩ)]]/(Table9[[#This Row],[RLower(max) (kΩ)]]+RT1_TH_S_MIN)*100</f>
        <v>47.950949228745365</v>
      </c>
      <c r="AM89" s="20">
        <f>IF(Table9[[#This Row],[Vmin (%)]]&lt;$BA$14, 0, IF(Table9[[#This Row],[Vmin (%)]]&lt;$BA$12, 4, IF(Table9[[#This Row],[Vmin (%)]]&lt;$BA$9, 3, IF(Table9[[#This Row],[Vmin (%)]]&lt;$BA$7, 2, 0))))</f>
        <v>3</v>
      </c>
      <c r="AN89" s="20">
        <f>IF(Table9[[#This Row],[Vmin (%)]]&lt;$BA$13, 0, IF(Table9[[#This Row],[Vmin (%)]]&lt;$BA$11, 4, IF(Table9[[#This Row],[Vmin (%)]]&lt;$BA$10, 3, IF(Table9[[#This Row],[Vmin (%)]]&lt;$BA$8, 2, 0))))</f>
        <v>3</v>
      </c>
      <c r="AO89" s="76" t="str">
        <f>IF(Table9[[#This Row],[Vmin (%)]]&lt;$BA$14, "Hot", IF(Table9[[#This Row],[Vmin (%)]]&lt;$BA$12, "Warm", IF(Table9[[#This Row],[Vmin (%)]]&lt;$BA$9, "Normal", IF(Table9[[#This Row],[Vmin (%)]]&lt;$BA$7, "Cool", "Cold"))))</f>
        <v>Normal</v>
      </c>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row>
    <row r="90" spans="1:210" x14ac:dyDescent="0.2">
      <c r="A90" s="113">
        <f t="shared" si="17"/>
        <v>40</v>
      </c>
      <c r="B90" s="163"/>
      <c r="C90" s="172" t="str">
        <f t="shared" si="12"/>
        <v>RTH at 40 °C</v>
      </c>
      <c r="D90" s="196">
        <f t="shared" si="18"/>
        <v>1.4411764705882355</v>
      </c>
      <c r="E90" s="197">
        <v>5.7380000000000004</v>
      </c>
      <c r="F90" s="198">
        <v>5.827</v>
      </c>
      <c r="G90" s="199">
        <v>5.9180000000000001</v>
      </c>
      <c r="H90" s="128" t="s">
        <v>30</v>
      </c>
      <c r="I90" s="29"/>
      <c r="J90" s="29">
        <v>5.9180000000000001</v>
      </c>
      <c r="K90" s="29">
        <v>5.827</v>
      </c>
      <c r="L90" s="29">
        <v>5.7380000000000004</v>
      </c>
      <c r="M90" s="29"/>
      <c r="N90" s="29"/>
      <c r="O90" s="29"/>
      <c r="P90" s="29"/>
      <c r="Q90" s="29"/>
      <c r="R90" s="29"/>
      <c r="S90" s="29"/>
      <c r="T90" s="29"/>
      <c r="U90" s="29"/>
      <c r="V90" s="29"/>
      <c r="W90" s="29"/>
      <c r="X90" s="29"/>
      <c r="Y90" s="30"/>
      <c r="Z90" s="18"/>
      <c r="AA90" s="19"/>
      <c r="AB90" s="19"/>
      <c r="AC90" s="20">
        <f t="shared" si="13"/>
        <v>40</v>
      </c>
      <c r="AD90" s="20">
        <f t="shared" si="14"/>
        <v>5.7380000000000004</v>
      </c>
      <c r="AE90" s="20">
        <f t="shared" si="15"/>
        <v>5.827</v>
      </c>
      <c r="AF90" s="20">
        <f t="shared" si="16"/>
        <v>5.9180000000000001</v>
      </c>
      <c r="AG90" s="20">
        <f>Table9[[#This Row],[RTH(min) (kΩ)]]*RT2_TH_MIN/(RT2_TH_MIN+Table9[[#This Row],[RTH(min) (kΩ)]])</f>
        <v>4.8288002700353641</v>
      </c>
      <c r="AH90" s="20">
        <f>Table9[[#This Row],[RTH(nom) (kΩ)]]*RT2_TH_S/(RT2_TH_S+Table9[[#This Row],[RTH(nom) (kΩ)]])</f>
        <v>4.8924610713806747</v>
      </c>
      <c r="AI90" s="20">
        <f>Table9[[#This Row],[RTH(max) (kΩ)]]*RT2_TH_S_MAX/(RT2_TH_S_MAX+Table9[[#This Row],[RTH(max) (kΩ)]])</f>
        <v>4.9572568347484847</v>
      </c>
      <c r="AJ90" s="20">
        <f>Table9[[#This Row],[RLower(min) (kΩ)]]/(Table9[[#This Row],[RLower(min) (kΩ)]]+RT1_TH_S_MAX)*100</f>
        <v>47.966510006665139</v>
      </c>
      <c r="AK90" s="20">
        <f>Table9[[#This Row],[RLower(nom) (kΩ)]]/(Table9[[#This Row],[RLower(nom) (kΩ)]]+RT1_TH_S)*100</f>
        <v>48.3184451020255</v>
      </c>
      <c r="AL90" s="20">
        <f>Table9[[#This Row],[RLower(max) (kΩ)]]/(Table9[[#This Row],[RLower(max) (kΩ)]]+RT1_TH_S_MIN)*100</f>
        <v>48.672062234693946</v>
      </c>
      <c r="AM90" s="20">
        <f>IF(Table9[[#This Row],[Vmin (%)]]&lt;$BA$14, 0, IF(Table9[[#This Row],[Vmin (%)]]&lt;$BA$12, 4, IF(Table9[[#This Row],[Vmin (%)]]&lt;$BA$9, 3, IF(Table9[[#This Row],[Vmin (%)]]&lt;$BA$7, 2, 0))))</f>
        <v>3</v>
      </c>
      <c r="AN90" s="20">
        <f>IF(Table9[[#This Row],[Vmin (%)]]&lt;$BA$13, 0, IF(Table9[[#This Row],[Vmin (%)]]&lt;$BA$11, 4, IF(Table9[[#This Row],[Vmin (%)]]&lt;$BA$10, 3, IF(Table9[[#This Row],[Vmin (%)]]&lt;$BA$8, 2, 0))))</f>
        <v>3</v>
      </c>
      <c r="AO90" s="76" t="str">
        <f>IF(Table9[[#This Row],[Vmin (%)]]&lt;$BA$14, "Hot", IF(Table9[[#This Row],[Vmin (%)]]&lt;$BA$12, "Warm", IF(Table9[[#This Row],[Vmin (%)]]&lt;$BA$9, "Normal", IF(Table9[[#This Row],[Vmin (%)]]&lt;$BA$7, "Cool", "Cold"))))</f>
        <v>Normal</v>
      </c>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row>
    <row r="91" spans="1:210" x14ac:dyDescent="0.2">
      <c r="A91" s="113">
        <f t="shared" si="17"/>
        <v>39</v>
      </c>
      <c r="B91" s="163"/>
      <c r="C91" s="172" t="str">
        <f t="shared" si="12"/>
        <v>RTH at 39 °C</v>
      </c>
      <c r="D91" s="196">
        <f t="shared" si="18"/>
        <v>1.4117647058823528</v>
      </c>
      <c r="E91" s="197">
        <v>5.9409999999999998</v>
      </c>
      <c r="F91" s="198">
        <v>6.032</v>
      </c>
      <c r="G91" s="199">
        <v>6.1230000000000002</v>
      </c>
      <c r="H91" s="128" t="s">
        <v>30</v>
      </c>
      <c r="I91" s="29"/>
      <c r="J91" s="29">
        <v>6.1230000000000002</v>
      </c>
      <c r="K91" s="29">
        <v>6.032</v>
      </c>
      <c r="L91" s="29">
        <v>5.9409999999999998</v>
      </c>
      <c r="M91" s="29"/>
      <c r="N91" s="29"/>
      <c r="O91" s="29"/>
      <c r="P91" s="29"/>
      <c r="Q91" s="29"/>
      <c r="R91" s="29"/>
      <c r="S91" s="29"/>
      <c r="T91" s="29"/>
      <c r="U91" s="29"/>
      <c r="V91" s="29"/>
      <c r="W91" s="29"/>
      <c r="X91" s="29"/>
      <c r="Y91" s="30"/>
      <c r="Z91" s="18"/>
      <c r="AA91" s="19"/>
      <c r="AB91" s="19"/>
      <c r="AC91" s="20">
        <f t="shared" si="13"/>
        <v>39</v>
      </c>
      <c r="AD91" s="20">
        <f t="shared" si="14"/>
        <v>5.9409999999999998</v>
      </c>
      <c r="AE91" s="20">
        <f t="shared" si="15"/>
        <v>6.032</v>
      </c>
      <c r="AF91" s="20">
        <f t="shared" si="16"/>
        <v>6.1230000000000002</v>
      </c>
      <c r="AG91" s="20">
        <f>Table9[[#This Row],[RTH(min) (kΩ)]]*RT2_TH_MIN/(RT2_TH_MIN+Table9[[#This Row],[RTH(min) (kΩ)]])</f>
        <v>4.9717639385982011</v>
      </c>
      <c r="AH91" s="20">
        <f>Table9[[#This Row],[RTH(nom) (kΩ)]]*RT2_TH_S/(RT2_TH_S+Table9[[#This Row],[RTH(nom) (kΩ)]])</f>
        <v>5.0361671111599708</v>
      </c>
      <c r="AI91" s="20">
        <f>Table9[[#This Row],[RTH(max) (kΩ)]]*RT2_TH_S_MAX/(RT2_TH_S_MAX+Table9[[#This Row],[RTH(max) (kΩ)]])</f>
        <v>5.100294805678649</v>
      </c>
      <c r="AJ91" s="20">
        <f>Table9[[#This Row],[RLower(min) (kΩ)]]/(Table9[[#This Row],[RLower(min) (kΩ)]]+RT1_TH_S_MAX)*100</f>
        <v>48.695100340149764</v>
      </c>
      <c r="AK91" s="20">
        <f>Table9[[#This Row],[RLower(nom) (kΩ)]]/(Table9[[#This Row],[RLower(nom) (kΩ)]]+RT1_TH_S)*100</f>
        <v>49.041673958514927</v>
      </c>
      <c r="AL91" s="20">
        <f>Table9[[#This Row],[RLower(max) (kΩ)]]/(Table9[[#This Row],[RLower(max) (kΩ)]]+RT1_TH_S_MIN)*100</f>
        <v>49.382926528037181</v>
      </c>
      <c r="AM91" s="20">
        <f>IF(Table9[[#This Row],[Vmin (%)]]&lt;$BA$14, 0, IF(Table9[[#This Row],[Vmin (%)]]&lt;$BA$12, 4, IF(Table9[[#This Row],[Vmin (%)]]&lt;$BA$9, 3, IF(Table9[[#This Row],[Vmin (%)]]&lt;$BA$7, 2, 0))))</f>
        <v>3</v>
      </c>
      <c r="AN91" s="20">
        <f>IF(Table9[[#This Row],[Vmin (%)]]&lt;$BA$13, 0, IF(Table9[[#This Row],[Vmin (%)]]&lt;$BA$11, 4, IF(Table9[[#This Row],[Vmin (%)]]&lt;$BA$10, 3, IF(Table9[[#This Row],[Vmin (%)]]&lt;$BA$8, 2, 0))))</f>
        <v>3</v>
      </c>
      <c r="AO91" s="76" t="str">
        <f>IF(Table9[[#This Row],[Vmin (%)]]&lt;$BA$14, "Hot", IF(Table9[[#This Row],[Vmin (%)]]&lt;$BA$12, "Warm", IF(Table9[[#This Row],[Vmin (%)]]&lt;$BA$9, "Normal", IF(Table9[[#This Row],[Vmin (%)]]&lt;$BA$7, "Cool", "Cold"))))</f>
        <v>Normal</v>
      </c>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row>
    <row r="92" spans="1:210" x14ac:dyDescent="0.2">
      <c r="A92" s="113">
        <f t="shared" si="17"/>
        <v>38</v>
      </c>
      <c r="B92" s="163"/>
      <c r="C92" s="172" t="str">
        <f t="shared" si="12"/>
        <v>RTH at 38 °C</v>
      </c>
      <c r="D92" s="196">
        <f t="shared" si="18"/>
        <v>1.3823529411764706</v>
      </c>
      <c r="E92" s="197">
        <v>6.1529999999999996</v>
      </c>
      <c r="F92" s="198">
        <v>6.2450000000000001</v>
      </c>
      <c r="G92" s="199">
        <v>6.3369999999999997</v>
      </c>
      <c r="H92" s="128" t="s">
        <v>30</v>
      </c>
      <c r="I92" s="29"/>
      <c r="J92" s="29">
        <v>6.3369999999999997</v>
      </c>
      <c r="K92" s="29">
        <v>6.2450000000000001</v>
      </c>
      <c r="L92" s="29">
        <v>6.1529999999999996</v>
      </c>
      <c r="M92" s="29"/>
      <c r="N92" s="29"/>
      <c r="O92" s="29"/>
      <c r="P92" s="29"/>
      <c r="Q92" s="29"/>
      <c r="R92" s="29"/>
      <c r="S92" s="29"/>
      <c r="T92" s="29"/>
      <c r="U92" s="29"/>
      <c r="V92" s="29"/>
      <c r="W92" s="29"/>
      <c r="X92" s="29"/>
      <c r="Y92" s="30"/>
      <c r="Z92" s="18"/>
      <c r="AA92" s="19"/>
      <c r="AB92" s="19"/>
      <c r="AC92" s="20">
        <f t="shared" si="13"/>
        <v>38</v>
      </c>
      <c r="AD92" s="20">
        <f t="shared" si="14"/>
        <v>6.1529999999999996</v>
      </c>
      <c r="AE92" s="20">
        <f t="shared" si="15"/>
        <v>6.2450000000000001</v>
      </c>
      <c r="AF92" s="20">
        <f t="shared" si="16"/>
        <v>6.3369999999999997</v>
      </c>
      <c r="AG92" s="20">
        <f>Table9[[#This Row],[RTH(min) (kΩ)]]*RT2_TH_MIN/(RT2_TH_MIN+Table9[[#This Row],[RTH(min) (kΩ)]])</f>
        <v>5.1193742768292845</v>
      </c>
      <c r="AH92" s="20">
        <f>Table9[[#This Row],[RTH(nom) (kΩ)]]*RT2_TH_S/(RT2_TH_S+Table9[[#This Row],[RTH(nom) (kΩ)]])</f>
        <v>5.1837828837085027</v>
      </c>
      <c r="AI92" s="20">
        <f>Table9[[#This Row],[RTH(max) (kΩ)]]*RT2_TH_S_MAX/(RT2_TH_S_MAX+Table9[[#This Row],[RTH(max) (kΩ)]])</f>
        <v>5.2479157365971654</v>
      </c>
      <c r="AJ92" s="20">
        <f>Table9[[#This Row],[RLower(min) (kΩ)]]/(Table9[[#This Row],[RLower(min) (kΩ)]]+RT1_TH_S_MAX)*100</f>
        <v>49.426267285267812</v>
      </c>
      <c r="AK92" s="20">
        <f>Table9[[#This Row],[RLower(nom) (kΩ)]]/(Table9[[#This Row],[RLower(nom) (kΩ)]]+RT1_TH_S)*100</f>
        <v>49.763802771557422</v>
      </c>
      <c r="AL92" s="20">
        <f>Table9[[#This Row],[RLower(max) (kΩ)]]/(Table9[[#This Row],[RLower(max) (kΩ)]]+RT1_TH_S_MIN)*100</f>
        <v>50.096211380462677</v>
      </c>
      <c r="AM92" s="20">
        <f>IF(Table9[[#This Row],[Vmin (%)]]&lt;$BA$14, 0, IF(Table9[[#This Row],[Vmin (%)]]&lt;$BA$12, 4, IF(Table9[[#This Row],[Vmin (%)]]&lt;$BA$9, 3, IF(Table9[[#This Row],[Vmin (%)]]&lt;$BA$7, 2, 0))))</f>
        <v>3</v>
      </c>
      <c r="AN92" s="20">
        <f>IF(Table9[[#This Row],[Vmin (%)]]&lt;$BA$13, 0, IF(Table9[[#This Row],[Vmin (%)]]&lt;$BA$11, 4, IF(Table9[[#This Row],[Vmin (%)]]&lt;$BA$10, 3, IF(Table9[[#This Row],[Vmin (%)]]&lt;$BA$8, 2, 0))))</f>
        <v>3</v>
      </c>
      <c r="AO92" s="76" t="str">
        <f>IF(Table9[[#This Row],[Vmin (%)]]&lt;$BA$14, "Hot", IF(Table9[[#This Row],[Vmin (%)]]&lt;$BA$12, "Warm", IF(Table9[[#This Row],[Vmin (%)]]&lt;$BA$9, "Normal", IF(Table9[[#This Row],[Vmin (%)]]&lt;$BA$7, "Cool", "Cold"))))</f>
        <v>Normal</v>
      </c>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row>
    <row r="93" spans="1:210" x14ac:dyDescent="0.2">
      <c r="A93" s="113">
        <f t="shared" si="17"/>
        <v>37</v>
      </c>
      <c r="B93" s="163"/>
      <c r="C93" s="172" t="str">
        <f t="shared" si="12"/>
        <v>RTH at 37 °C</v>
      </c>
      <c r="D93" s="196">
        <f t="shared" si="18"/>
        <v>1.3529411764705883</v>
      </c>
      <c r="E93" s="197">
        <v>6.3739999999999997</v>
      </c>
      <c r="F93" s="198">
        <v>6.4669999999999996</v>
      </c>
      <c r="G93" s="199">
        <v>6.56</v>
      </c>
      <c r="H93" s="128" t="s">
        <v>30</v>
      </c>
      <c r="I93" s="29"/>
      <c r="J93" s="29">
        <v>6.56</v>
      </c>
      <c r="K93" s="29">
        <v>6.4669999999999996</v>
      </c>
      <c r="L93" s="29">
        <v>6.3739999999999997</v>
      </c>
      <c r="M93" s="29"/>
      <c r="N93" s="29"/>
      <c r="O93" s="29"/>
      <c r="P93" s="29"/>
      <c r="Q93" s="29"/>
      <c r="R93" s="29"/>
      <c r="S93" s="29"/>
      <c r="T93" s="29"/>
      <c r="U93" s="29"/>
      <c r="V93" s="29"/>
      <c r="W93" s="29"/>
      <c r="X93" s="29"/>
      <c r="Y93" s="30"/>
      <c r="Z93" s="18"/>
      <c r="AA93" s="19"/>
      <c r="AB93" s="19"/>
      <c r="AC93" s="20">
        <f t="shared" si="13"/>
        <v>37</v>
      </c>
      <c r="AD93" s="20">
        <f t="shared" si="14"/>
        <v>6.3739999999999997</v>
      </c>
      <c r="AE93" s="20">
        <f t="shared" si="15"/>
        <v>6.4669999999999996</v>
      </c>
      <c r="AF93" s="20">
        <f t="shared" si="16"/>
        <v>6.56</v>
      </c>
      <c r="AG93" s="20">
        <f>Table9[[#This Row],[RTH(min) (kΩ)]]*RT2_TH_MIN/(RT2_TH_MIN+Table9[[#This Row],[RTH(min) (kΩ)]])</f>
        <v>5.2714429267356975</v>
      </c>
      <c r="AH93" s="20">
        <f>Table9[[#This Row],[RTH(nom) (kΩ)]]*RT2_TH_S/(RT2_TH_S+Table9[[#This Row],[RTH(nom) (kΩ)]])</f>
        <v>5.3358257732206091</v>
      </c>
      <c r="AI93" s="20">
        <f>Table9[[#This Row],[RTH(max) (kΩ)]]*RT2_TH_S_MAX/(RT2_TH_S_MAX+Table9[[#This Row],[RTH(max) (kΩ)]])</f>
        <v>5.3999328670513274</v>
      </c>
      <c r="AJ93" s="20">
        <f>Table9[[#This Row],[RLower(min) (kΩ)]]/(Table9[[#This Row],[RLower(min) (kΩ)]]+RT1_TH_S_MAX)*100</f>
        <v>50.158039206044492</v>
      </c>
      <c r="AK93" s="20">
        <f>Table9[[#This Row],[RLower(nom) (kΩ)]]/(Table9[[#This Row],[RLower(nom) (kΩ)]]+RT1_TH_S)*100</f>
        <v>50.486500178703608</v>
      </c>
      <c r="AL93" s="20">
        <f>Table9[[#This Row],[RLower(max) (kΩ)]]/(Table9[[#This Row],[RLower(max) (kΩ)]]+RT1_TH_S_MIN)*100</f>
        <v>50.810028777723801</v>
      </c>
      <c r="AM93" s="20">
        <f>IF(Table9[[#This Row],[Vmin (%)]]&lt;$BA$14, 0, IF(Table9[[#This Row],[Vmin (%)]]&lt;$BA$12, 4, IF(Table9[[#This Row],[Vmin (%)]]&lt;$BA$9, 3, IF(Table9[[#This Row],[Vmin (%)]]&lt;$BA$7, 2, 0))))</f>
        <v>3</v>
      </c>
      <c r="AN93" s="20">
        <f>IF(Table9[[#This Row],[Vmin (%)]]&lt;$BA$13, 0, IF(Table9[[#This Row],[Vmin (%)]]&lt;$BA$11, 4, IF(Table9[[#This Row],[Vmin (%)]]&lt;$BA$10, 3, IF(Table9[[#This Row],[Vmin (%)]]&lt;$BA$8, 2, 0))))</f>
        <v>3</v>
      </c>
      <c r="AO93" s="76" t="str">
        <f>IF(Table9[[#This Row],[Vmin (%)]]&lt;$BA$14, "Hot", IF(Table9[[#This Row],[Vmin (%)]]&lt;$BA$12, "Warm", IF(Table9[[#This Row],[Vmin (%)]]&lt;$BA$9, "Normal", IF(Table9[[#This Row],[Vmin (%)]]&lt;$BA$7, "Cool", "Cold"))))</f>
        <v>Normal</v>
      </c>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row>
    <row r="94" spans="1:210" x14ac:dyDescent="0.2">
      <c r="A94" s="113">
        <f t="shared" si="17"/>
        <v>36</v>
      </c>
      <c r="B94" s="163"/>
      <c r="C94" s="172" t="str">
        <f t="shared" si="12"/>
        <v>RTH at 36 °C</v>
      </c>
      <c r="D94" s="196">
        <f t="shared" si="18"/>
        <v>1.3235294117647061</v>
      </c>
      <c r="E94" s="197">
        <v>6.6050000000000004</v>
      </c>
      <c r="F94" s="198">
        <v>6.6989999999999998</v>
      </c>
      <c r="G94" s="199">
        <v>6.7930000000000001</v>
      </c>
      <c r="H94" s="128" t="s">
        <v>30</v>
      </c>
      <c r="I94" s="29"/>
      <c r="J94" s="29">
        <v>6.7930000000000001</v>
      </c>
      <c r="K94" s="29">
        <v>6.6989999999999998</v>
      </c>
      <c r="L94" s="29">
        <v>6.6050000000000004</v>
      </c>
      <c r="M94" s="29"/>
      <c r="N94" s="29"/>
      <c r="O94" s="29"/>
      <c r="P94" s="29"/>
      <c r="Q94" s="29"/>
      <c r="R94" s="29"/>
      <c r="S94" s="29"/>
      <c r="T94" s="29"/>
      <c r="U94" s="29"/>
      <c r="V94" s="29"/>
      <c r="W94" s="29"/>
      <c r="X94" s="29"/>
      <c r="Y94" s="30"/>
      <c r="Z94" s="18"/>
      <c r="AA94" s="19"/>
      <c r="AB94" s="19"/>
      <c r="AC94" s="20">
        <f t="shared" si="13"/>
        <v>36</v>
      </c>
      <c r="AD94" s="20">
        <f t="shared" si="14"/>
        <v>6.6050000000000004</v>
      </c>
      <c r="AE94" s="20">
        <f t="shared" si="15"/>
        <v>6.6989999999999998</v>
      </c>
      <c r="AF94" s="20">
        <f t="shared" si="16"/>
        <v>6.7930000000000001</v>
      </c>
      <c r="AG94" s="20">
        <f>Table9[[#This Row],[RTH(min) (kΩ)]]*RT2_TH_MIN/(RT2_TH_MIN+Table9[[#This Row],[RTH(min) (kΩ)]])</f>
        <v>5.4284549260560659</v>
      </c>
      <c r="AH94" s="20">
        <f>Table9[[#This Row],[RTH(nom) (kΩ)]]*RT2_TH_S/(RT2_TH_S+Table9[[#This Row],[RTH(nom) (kΩ)]])</f>
        <v>5.4927785028060558</v>
      </c>
      <c r="AI94" s="20">
        <f>Table9[[#This Row],[RTH(max) (kΩ)]]*RT2_TH_S_MAX/(RT2_TH_S_MAX+Table9[[#This Row],[RTH(max) (kΩ)]])</f>
        <v>5.5568266283856351</v>
      </c>
      <c r="AJ94" s="20">
        <f>Table9[[#This Row],[RLower(min) (kΩ)]]/(Table9[[#This Row],[RLower(min) (kΩ)]]+RT1_TH_S_MAX)*100</f>
        <v>50.891705782805516</v>
      </c>
      <c r="AK94" s="20">
        <f>Table9[[#This Row],[RLower(nom) (kΩ)]]/(Table9[[#This Row],[RLower(nom) (kΩ)]]+RT1_TH_S)*100</f>
        <v>51.211042957650541</v>
      </c>
      <c r="AL94" s="20">
        <f>Table9[[#This Row],[RLower(max) (kΩ)]]/(Table9[[#This Row],[RLower(max) (kΩ)]]+RT1_TH_S_MIN)*100</f>
        <v>51.525642754480764</v>
      </c>
      <c r="AM94" s="20">
        <f>IF(Table9[[#This Row],[Vmin (%)]]&lt;$BA$14, 0, IF(Table9[[#This Row],[Vmin (%)]]&lt;$BA$12, 4, IF(Table9[[#This Row],[Vmin (%)]]&lt;$BA$9, 3, IF(Table9[[#This Row],[Vmin (%)]]&lt;$BA$7, 2, 0))))</f>
        <v>3</v>
      </c>
      <c r="AN94" s="20">
        <f>IF(Table9[[#This Row],[Vmin (%)]]&lt;$BA$13, 0, IF(Table9[[#This Row],[Vmin (%)]]&lt;$BA$11, 4, IF(Table9[[#This Row],[Vmin (%)]]&lt;$BA$10, 3, IF(Table9[[#This Row],[Vmin (%)]]&lt;$BA$8, 2, 0))))</f>
        <v>3</v>
      </c>
      <c r="AO94" s="76" t="str">
        <f>IF(Table9[[#This Row],[Vmin (%)]]&lt;$BA$14, "Hot", IF(Table9[[#This Row],[Vmin (%)]]&lt;$BA$12, "Warm", IF(Table9[[#This Row],[Vmin (%)]]&lt;$BA$9, "Normal", IF(Table9[[#This Row],[Vmin (%)]]&lt;$BA$7, "Cool", "Cold"))))</f>
        <v>Normal</v>
      </c>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row>
    <row r="95" spans="1:210" x14ac:dyDescent="0.2">
      <c r="A95" s="113">
        <f t="shared" si="17"/>
        <v>35</v>
      </c>
      <c r="B95" s="163"/>
      <c r="C95" s="172" t="str">
        <f t="shared" si="12"/>
        <v>RTH at 35 °C</v>
      </c>
      <c r="D95" s="196">
        <f t="shared" si="18"/>
        <v>1.2941176470588234</v>
      </c>
      <c r="E95" s="197">
        <v>6.8449999999999998</v>
      </c>
      <c r="F95" s="198">
        <v>6.94</v>
      </c>
      <c r="G95" s="199">
        <v>7.0350000000000001</v>
      </c>
      <c r="H95" s="128" t="s">
        <v>30</v>
      </c>
      <c r="I95" s="29"/>
      <c r="J95" s="29">
        <v>7.0350000000000001</v>
      </c>
      <c r="K95" s="29">
        <v>6.94</v>
      </c>
      <c r="L95" s="29">
        <v>6.8449999999999998</v>
      </c>
      <c r="M95" s="29"/>
      <c r="N95" s="29"/>
      <c r="O95" s="29"/>
      <c r="P95" s="29"/>
      <c r="Q95" s="29"/>
      <c r="R95" s="29"/>
      <c r="S95" s="29"/>
      <c r="T95" s="29"/>
      <c r="U95" s="29"/>
      <c r="V95" s="29"/>
      <c r="W95" s="29"/>
      <c r="X95" s="29"/>
      <c r="Y95" s="30"/>
      <c r="Z95" s="18"/>
      <c r="AA95" s="19"/>
      <c r="AB95" s="19"/>
      <c r="AC95" s="20">
        <f t="shared" si="13"/>
        <v>35</v>
      </c>
      <c r="AD95" s="20">
        <f t="shared" si="14"/>
        <v>6.8449999999999998</v>
      </c>
      <c r="AE95" s="20">
        <f t="shared" si="15"/>
        <v>6.94</v>
      </c>
      <c r="AF95" s="20">
        <f t="shared" si="16"/>
        <v>7.0350000000000001</v>
      </c>
      <c r="AG95" s="20">
        <f>Table9[[#This Row],[RTH(min) (kΩ)]]*RT2_TH_MIN/(RT2_TH_MIN+Table9[[#This Row],[RTH(min) (kΩ)]])</f>
        <v>5.5895254766990226</v>
      </c>
      <c r="AH95" s="20">
        <f>Table9[[#This Row],[RTH(nom) (kΩ)]]*RT2_TH_S/(RT2_TH_S+Table9[[#This Row],[RTH(nom) (kΩ)]])</f>
        <v>5.6537604148926404</v>
      </c>
      <c r="AI95" s="20">
        <f>Table9[[#This Row],[RTH(max) (kΩ)]]*RT2_TH_S_MAX/(RT2_TH_S_MAX+Table9[[#This Row],[RTH(max) (kΩ)]])</f>
        <v>5.7177204680951643</v>
      </c>
      <c r="AJ95" s="20">
        <f>Table9[[#This Row],[RLower(min) (kΩ)]]/(Table9[[#This Row],[RLower(min) (kΩ)]]+RT1_TH_S_MAX)*100</f>
        <v>51.622226922672823</v>
      </c>
      <c r="AK95" s="20">
        <f>Table9[[#This Row],[RLower(nom) (kΩ)]]/(Table9[[#This Row],[RLower(nom) (kΩ)]]+RT1_TH_S)*100</f>
        <v>51.932483099723157</v>
      </c>
      <c r="AL95" s="20">
        <f>Table9[[#This Row],[RLower(max) (kΩ)]]/(Table9[[#This Row],[RLower(max) (kΩ)]]+RT1_TH_S_MIN)*100</f>
        <v>52.238195008500099</v>
      </c>
      <c r="AM95" s="20">
        <f>IF(Table9[[#This Row],[Vmin (%)]]&lt;$BA$14, 0, IF(Table9[[#This Row],[Vmin (%)]]&lt;$BA$12, 4, IF(Table9[[#This Row],[Vmin (%)]]&lt;$BA$9, 3, IF(Table9[[#This Row],[Vmin (%)]]&lt;$BA$7, 2, 0))))</f>
        <v>3</v>
      </c>
      <c r="AN95" s="20">
        <f>IF(Table9[[#This Row],[Vmin (%)]]&lt;$BA$13, 0, IF(Table9[[#This Row],[Vmin (%)]]&lt;$BA$11, 4, IF(Table9[[#This Row],[Vmin (%)]]&lt;$BA$10, 3, IF(Table9[[#This Row],[Vmin (%)]]&lt;$BA$8, 2, 0))))</f>
        <v>3</v>
      </c>
      <c r="AO95" s="76" t="str">
        <f>IF(Table9[[#This Row],[Vmin (%)]]&lt;$BA$14, "Hot", IF(Table9[[#This Row],[Vmin (%)]]&lt;$BA$12, "Warm", IF(Table9[[#This Row],[Vmin (%)]]&lt;$BA$9, "Normal", IF(Table9[[#This Row],[Vmin (%)]]&lt;$BA$7, "Cool", "Cold"))))</f>
        <v>Normal</v>
      </c>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row>
    <row r="96" spans="1:210" x14ac:dyDescent="0.2">
      <c r="A96" s="113">
        <f t="shared" si="17"/>
        <v>34</v>
      </c>
      <c r="B96" s="163"/>
      <c r="C96" s="172" t="str">
        <f t="shared" si="12"/>
        <v>RTH at 34 °C</v>
      </c>
      <c r="D96" s="196">
        <f t="shared" si="18"/>
        <v>1.2647058823529411</v>
      </c>
      <c r="E96" s="197">
        <v>7.0960000000000001</v>
      </c>
      <c r="F96" s="198">
        <v>7.1920000000000002</v>
      </c>
      <c r="G96" s="199">
        <v>7.2880000000000003</v>
      </c>
      <c r="H96" s="128" t="s">
        <v>30</v>
      </c>
      <c r="I96" s="29"/>
      <c r="J96" s="29">
        <v>7.2880000000000003</v>
      </c>
      <c r="K96" s="29">
        <v>7.1920000000000002</v>
      </c>
      <c r="L96" s="29">
        <v>7.0960000000000001</v>
      </c>
      <c r="M96" s="29"/>
      <c r="N96" s="29"/>
      <c r="O96" s="29"/>
      <c r="P96" s="29"/>
      <c r="Q96" s="29"/>
      <c r="R96" s="29"/>
      <c r="S96" s="29"/>
      <c r="T96" s="29"/>
      <c r="U96" s="29"/>
      <c r="V96" s="29"/>
      <c r="W96" s="29"/>
      <c r="X96" s="29"/>
      <c r="Y96" s="30"/>
      <c r="Z96" s="18"/>
      <c r="AA96" s="19"/>
      <c r="AB96" s="19"/>
      <c r="AC96" s="20">
        <f t="shared" si="13"/>
        <v>34</v>
      </c>
      <c r="AD96" s="20">
        <f t="shared" si="14"/>
        <v>7.0960000000000001</v>
      </c>
      <c r="AE96" s="20">
        <f t="shared" si="15"/>
        <v>7.1920000000000002</v>
      </c>
      <c r="AF96" s="20">
        <f t="shared" si="16"/>
        <v>7.2880000000000003</v>
      </c>
      <c r="AG96" s="20">
        <f>Table9[[#This Row],[RTH(min) (kΩ)]]*RT2_TH_MIN/(RT2_TH_MIN+Table9[[#This Row],[RTH(min) (kΩ)]])</f>
        <v>5.7557769717431064</v>
      </c>
      <c r="AH96" s="20">
        <f>Table9[[#This Row],[RTH(nom) (kΩ)]]*RT2_TH_S/(RT2_TH_S+Table9[[#This Row],[RTH(nom) (kΩ)]])</f>
        <v>5.8198886565381214</v>
      </c>
      <c r="AI96" s="20">
        <f>Table9[[#This Row],[RTH(max) (kΩ)]]*RT2_TH_S_MAX/(RT2_TH_S_MAX+Table9[[#This Row],[RTH(max) (kΩ)]])</f>
        <v>5.8837263359736323</v>
      </c>
      <c r="AJ96" s="20">
        <f>Table9[[#This Row],[RLower(min) (kΩ)]]/(Table9[[#This Row],[RLower(min) (kΩ)]]+RT1_TH_S_MAX)*100</f>
        <v>52.353796532385644</v>
      </c>
      <c r="AK96" s="20">
        <f>Table9[[#This Row],[RLower(nom) (kΩ)]]/(Table9[[#This Row],[RLower(nom) (kΩ)]]+RT1_TH_S)*100</f>
        <v>52.654952917994869</v>
      </c>
      <c r="AL96" s="20">
        <f>Table9[[#This Row],[RLower(max) (kΩ)]]/(Table9[[#This Row],[RLower(max) (kΩ)]]+RT1_TH_S_MIN)*100</f>
        <v>52.951757619780373</v>
      </c>
      <c r="AM96" s="20">
        <f>IF(Table9[[#This Row],[Vmin (%)]]&lt;$BA$14, 0, IF(Table9[[#This Row],[Vmin (%)]]&lt;$BA$12, 4, IF(Table9[[#This Row],[Vmin (%)]]&lt;$BA$9, 3, IF(Table9[[#This Row],[Vmin (%)]]&lt;$BA$7, 2, 0))))</f>
        <v>3</v>
      </c>
      <c r="AN96" s="20">
        <f>IF(Table9[[#This Row],[Vmin (%)]]&lt;$BA$13, 0, IF(Table9[[#This Row],[Vmin (%)]]&lt;$BA$11, 4, IF(Table9[[#This Row],[Vmin (%)]]&lt;$BA$10, 3, IF(Table9[[#This Row],[Vmin (%)]]&lt;$BA$8, 2, 0))))</f>
        <v>3</v>
      </c>
      <c r="AO96" s="76" t="str">
        <f>IF(Table9[[#This Row],[Vmin (%)]]&lt;$BA$14, "Hot", IF(Table9[[#This Row],[Vmin (%)]]&lt;$BA$12, "Warm", IF(Table9[[#This Row],[Vmin (%)]]&lt;$BA$9, "Normal", IF(Table9[[#This Row],[Vmin (%)]]&lt;$BA$7, "Cool", "Cold"))))</f>
        <v>Normal</v>
      </c>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row>
    <row r="97" spans="1:210" x14ac:dyDescent="0.2">
      <c r="A97" s="113">
        <f t="shared" si="17"/>
        <v>33</v>
      </c>
      <c r="B97" s="163"/>
      <c r="C97" s="172" t="str">
        <f t="shared" si="12"/>
        <v>RTH at 33 °C</v>
      </c>
      <c r="D97" s="196">
        <f t="shared" si="18"/>
        <v>1.2352941176470589</v>
      </c>
      <c r="E97" s="197">
        <v>7.3579999999999997</v>
      </c>
      <c r="F97" s="198">
        <v>7.4539999999999997</v>
      </c>
      <c r="G97" s="199">
        <v>7.5510000000000002</v>
      </c>
      <c r="H97" s="128" t="s">
        <v>30</v>
      </c>
      <c r="I97" s="29"/>
      <c r="J97" s="29">
        <v>7.5510000000000002</v>
      </c>
      <c r="K97" s="29">
        <v>7.4539999999999997</v>
      </c>
      <c r="L97" s="29">
        <v>7.3579999999999997</v>
      </c>
      <c r="M97" s="29"/>
      <c r="N97" s="29"/>
      <c r="O97" s="29"/>
      <c r="P97" s="29"/>
      <c r="Q97" s="29"/>
      <c r="R97" s="29"/>
      <c r="S97" s="29"/>
      <c r="T97" s="29"/>
      <c r="U97" s="29"/>
      <c r="V97" s="29"/>
      <c r="W97" s="29"/>
      <c r="X97" s="29"/>
      <c r="Y97" s="30"/>
      <c r="Z97" s="18"/>
      <c r="AA97" s="19"/>
      <c r="AB97" s="19"/>
      <c r="AC97" s="20">
        <f t="shared" si="13"/>
        <v>33</v>
      </c>
      <c r="AD97" s="20">
        <f t="shared" si="14"/>
        <v>7.3579999999999997</v>
      </c>
      <c r="AE97" s="20">
        <f t="shared" si="15"/>
        <v>7.4539999999999997</v>
      </c>
      <c r="AF97" s="20">
        <f t="shared" si="16"/>
        <v>7.5510000000000002</v>
      </c>
      <c r="AG97" s="20">
        <f>Table9[[#This Row],[RTH(min) (kΩ)]]*RT2_TH_MIN/(RT2_TH_MIN+Table9[[#This Row],[RTH(min) (kΩ)]])</f>
        <v>5.9269612784300945</v>
      </c>
      <c r="AH97" s="20">
        <f>Table9[[#This Row],[RTH(nom) (kΩ)]]*RT2_TH_S/(RT2_TH_S+Table9[[#This Row],[RTH(nom) (kΩ)]])</f>
        <v>5.9902705086557511</v>
      </c>
      <c r="AI97" s="20">
        <f>Table9[[#This Row],[RTH(max) (kΩ)]]*RT2_TH_S_MAX/(RT2_TH_S_MAX+Table9[[#This Row],[RTH(max) (kΩ)]])</f>
        <v>6.0539557568269</v>
      </c>
      <c r="AJ97" s="20">
        <f>Table9[[#This Row],[RLower(min) (kΩ)]]/(Table9[[#This Row],[RLower(min) (kΩ)]]+RT1_TH_S_MAX)*100</f>
        <v>53.084306774955934</v>
      </c>
      <c r="AK97" s="20">
        <f>Table9[[#This Row],[RLower(nom) (kΩ)]]/(Table9[[#This Row],[RLower(nom) (kΩ)]]+RT1_TH_S)*100</f>
        <v>53.373704476860659</v>
      </c>
      <c r="AL97" s="20">
        <f>Table9[[#This Row],[RLower(max) (kΩ)]]/(Table9[[#This Row],[RLower(max) (kΩ)]]+RT1_TH_S_MIN)*100</f>
        <v>53.661667046191077</v>
      </c>
      <c r="AM97" s="20">
        <f>IF(Table9[[#This Row],[Vmin (%)]]&lt;$BA$14, 0, IF(Table9[[#This Row],[Vmin (%)]]&lt;$BA$12, 4, IF(Table9[[#This Row],[Vmin (%)]]&lt;$BA$9, 3, IF(Table9[[#This Row],[Vmin (%)]]&lt;$BA$7, 2, 0))))</f>
        <v>3</v>
      </c>
      <c r="AN97" s="20">
        <f>IF(Table9[[#This Row],[Vmin (%)]]&lt;$BA$13, 0, IF(Table9[[#This Row],[Vmin (%)]]&lt;$BA$11, 4, IF(Table9[[#This Row],[Vmin (%)]]&lt;$BA$10, 3, IF(Table9[[#This Row],[Vmin (%)]]&lt;$BA$8, 2, 0))))</f>
        <v>3</v>
      </c>
      <c r="AO97" s="76" t="str">
        <f>IF(Table9[[#This Row],[Vmin (%)]]&lt;$BA$14, "Hot", IF(Table9[[#This Row],[Vmin (%)]]&lt;$BA$12, "Warm", IF(Table9[[#This Row],[Vmin (%)]]&lt;$BA$9, "Normal", IF(Table9[[#This Row],[Vmin (%)]]&lt;$BA$7, "Cool", "Cold"))))</f>
        <v>Normal</v>
      </c>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row>
    <row r="98" spans="1:210" x14ac:dyDescent="0.2">
      <c r="A98" s="113">
        <f t="shared" si="17"/>
        <v>32</v>
      </c>
      <c r="B98" s="163"/>
      <c r="C98" s="172" t="str">
        <f t="shared" si="12"/>
        <v>RTH at 32 °C</v>
      </c>
      <c r="D98" s="196">
        <f t="shared" si="18"/>
        <v>1.2058823529411766</v>
      </c>
      <c r="E98" s="197">
        <v>7.6310000000000002</v>
      </c>
      <c r="F98" s="198">
        <v>7.7279999999999998</v>
      </c>
      <c r="G98" s="199">
        <v>7.8259999999999996</v>
      </c>
      <c r="H98" s="128" t="s">
        <v>30</v>
      </c>
      <c r="I98" s="29"/>
      <c r="J98" s="29">
        <v>7.8259999999999996</v>
      </c>
      <c r="K98" s="29">
        <v>7.7279999999999998</v>
      </c>
      <c r="L98" s="29">
        <v>7.6310000000000002</v>
      </c>
      <c r="M98" s="29"/>
      <c r="N98" s="29"/>
      <c r="O98" s="29"/>
      <c r="P98" s="29"/>
      <c r="Q98" s="29"/>
      <c r="R98" s="29"/>
      <c r="S98" s="29"/>
      <c r="T98" s="29"/>
      <c r="U98" s="29"/>
      <c r="V98" s="29"/>
      <c r="W98" s="29"/>
      <c r="X98" s="29"/>
      <c r="Y98" s="30"/>
      <c r="Z98" s="18"/>
      <c r="AA98" s="19"/>
      <c r="AB98" s="19"/>
      <c r="AC98" s="20">
        <f t="shared" si="13"/>
        <v>32</v>
      </c>
      <c r="AD98" s="20">
        <f t="shared" si="14"/>
        <v>7.6310000000000002</v>
      </c>
      <c r="AE98" s="20">
        <f t="shared" si="15"/>
        <v>7.7279999999999998</v>
      </c>
      <c r="AF98" s="20">
        <f t="shared" si="16"/>
        <v>7.8259999999999996</v>
      </c>
      <c r="AG98" s="20">
        <f>Table9[[#This Row],[RTH(min) (kΩ)]]*RT2_TH_MIN/(RT2_TH_MIN+Table9[[#This Row],[RTH(min) (kΩ)]])</f>
        <v>6.1028284012562581</v>
      </c>
      <c r="AH98" s="20">
        <f>Table9[[#This Row],[RTH(nom) (kΩ)]]*RT2_TH_S/(RT2_TH_S+Table9[[#This Row],[RTH(nom) (kΩ)]])</f>
        <v>6.165958090070351</v>
      </c>
      <c r="AI98" s="20">
        <f>Table9[[#This Row],[RTH(max) (kΩ)]]*RT2_TH_S_MAX/(RT2_TH_S_MAX+Table9[[#This Row],[RTH(max) (kΩ)]])</f>
        <v>6.2294560094986497</v>
      </c>
      <c r="AJ98" s="20">
        <f>Table9[[#This Row],[RLower(min) (kΩ)]]/(Table9[[#This Row],[RLower(min) (kΩ)]]+RT1_TH_S_MAX)*100</f>
        <v>53.811834308608674</v>
      </c>
      <c r="AK98" s="20">
        <f>Table9[[#This Row],[RLower(nom) (kΩ)]]/(Table9[[#This Row],[RLower(nom) (kΩ)]]+RT1_TH_S)*100</f>
        <v>54.09233747719685</v>
      </c>
      <c r="AL98" s="20">
        <f>Table9[[#This Row],[RLower(max) (kΩ)]]/(Table9[[#This Row],[RLower(max) (kΩ)]]+RT1_TH_S_MIN)*100</f>
        <v>54.371472154531098</v>
      </c>
      <c r="AM98" s="20">
        <f>IF(Table9[[#This Row],[Vmin (%)]]&lt;$BA$14, 0, IF(Table9[[#This Row],[Vmin (%)]]&lt;$BA$12, 4, IF(Table9[[#This Row],[Vmin (%)]]&lt;$BA$9, 3, IF(Table9[[#This Row],[Vmin (%)]]&lt;$BA$7, 2, 0))))</f>
        <v>3</v>
      </c>
      <c r="AN98" s="20">
        <f>IF(Table9[[#This Row],[Vmin (%)]]&lt;$BA$13, 0, IF(Table9[[#This Row],[Vmin (%)]]&lt;$BA$11, 4, IF(Table9[[#This Row],[Vmin (%)]]&lt;$BA$10, 3, IF(Table9[[#This Row],[Vmin (%)]]&lt;$BA$8, 2, 0))))</f>
        <v>3</v>
      </c>
      <c r="AO98" s="76" t="str">
        <f>IF(Table9[[#This Row],[Vmin (%)]]&lt;$BA$14, "Hot", IF(Table9[[#This Row],[Vmin (%)]]&lt;$BA$12, "Warm", IF(Table9[[#This Row],[Vmin (%)]]&lt;$BA$9, "Normal", IF(Table9[[#This Row],[Vmin (%)]]&lt;$BA$7, "Cool", "Cold"))))</f>
        <v>Normal</v>
      </c>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row>
    <row r="99" spans="1:210" x14ac:dyDescent="0.2">
      <c r="A99" s="113">
        <f t="shared" si="17"/>
        <v>31</v>
      </c>
      <c r="B99" s="163"/>
      <c r="C99" s="172" t="str">
        <f t="shared" si="12"/>
        <v>RTH at 31 °C</v>
      </c>
      <c r="D99" s="196">
        <f t="shared" si="18"/>
        <v>1.1764705882352939</v>
      </c>
      <c r="E99" s="197">
        <v>7.9160000000000004</v>
      </c>
      <c r="F99" s="198">
        <v>8.0139999999999993</v>
      </c>
      <c r="G99" s="199">
        <v>8.1120000000000001</v>
      </c>
      <c r="H99" s="128" t="s">
        <v>30</v>
      </c>
      <c r="I99" s="29"/>
      <c r="J99" s="29">
        <v>8.1120000000000001</v>
      </c>
      <c r="K99" s="29">
        <v>8.0139999999999993</v>
      </c>
      <c r="L99" s="29">
        <v>7.9160000000000004</v>
      </c>
      <c r="M99" s="29"/>
      <c r="N99" s="29"/>
      <c r="O99" s="29"/>
      <c r="P99" s="29"/>
      <c r="Q99" s="29"/>
      <c r="R99" s="29"/>
      <c r="S99" s="29"/>
      <c r="T99" s="29"/>
      <c r="U99" s="29"/>
      <c r="V99" s="29"/>
      <c r="W99" s="29"/>
      <c r="X99" s="29"/>
      <c r="Y99" s="30"/>
      <c r="Z99" s="18"/>
      <c r="AA99" s="19"/>
      <c r="AB99" s="19"/>
      <c r="AC99" s="20">
        <f t="shared" si="13"/>
        <v>31</v>
      </c>
      <c r="AD99" s="20">
        <f t="shared" si="14"/>
        <v>7.9160000000000004</v>
      </c>
      <c r="AE99" s="20">
        <f t="shared" si="15"/>
        <v>8.0139999999999993</v>
      </c>
      <c r="AF99" s="20">
        <f t="shared" si="16"/>
        <v>8.1120000000000001</v>
      </c>
      <c r="AG99" s="20">
        <f>Table9[[#This Row],[RTH(min) (kΩ)]]*RT2_TH_MIN/(RT2_TH_MIN+Table9[[#This Row],[RTH(min) (kΩ)]])</f>
        <v>6.2837574040548763</v>
      </c>
      <c r="AH99" s="20">
        <f>Table9[[#This Row],[RTH(nom) (kΩ)]]*RT2_TH_S/(RT2_TH_S+Table9[[#This Row],[RTH(nom) (kΩ)]])</f>
        <v>6.3466739796380818</v>
      </c>
      <c r="AI99" s="20">
        <f>Table9[[#This Row],[RTH(max) (kΩ)]]*RT2_TH_S_MAX/(RT2_TH_S_MAX+Table9[[#This Row],[RTH(max) (kΩ)]])</f>
        <v>6.4093268612026844</v>
      </c>
      <c r="AJ99" s="20">
        <f>Table9[[#This Row],[RLower(min) (kΩ)]]/(Table9[[#This Row],[RLower(min) (kΩ)]]+RT1_TH_S_MAX)*100</f>
        <v>54.537124375179815</v>
      </c>
      <c r="AK99" s="20">
        <f>Table9[[#This Row],[RLower(nom) (kΩ)]]/(Table9[[#This Row],[RLower(nom) (kΩ)]]+RT1_TH_S)*100</f>
        <v>54.808786871906143</v>
      </c>
      <c r="AL99" s="20">
        <f>Table9[[#This Row],[RLower(max) (kΩ)]]/(Table9[[#This Row],[RLower(max) (kΩ)]]+RT1_TH_S_MIN)*100</f>
        <v>55.076738306120376</v>
      </c>
      <c r="AM99" s="20">
        <f>IF(Table9[[#This Row],[Vmin (%)]]&lt;$BA$14, 0, IF(Table9[[#This Row],[Vmin (%)]]&lt;$BA$12, 4, IF(Table9[[#This Row],[Vmin (%)]]&lt;$BA$9, 3, IF(Table9[[#This Row],[Vmin (%)]]&lt;$BA$7, 2, 0))))</f>
        <v>3</v>
      </c>
      <c r="AN99" s="20">
        <f>IF(Table9[[#This Row],[Vmin (%)]]&lt;$BA$13, 0, IF(Table9[[#This Row],[Vmin (%)]]&lt;$BA$11, 4, IF(Table9[[#This Row],[Vmin (%)]]&lt;$BA$10, 3, IF(Table9[[#This Row],[Vmin (%)]]&lt;$BA$8, 2, 0))))</f>
        <v>3</v>
      </c>
      <c r="AO99" s="76" t="str">
        <f>IF(Table9[[#This Row],[Vmin (%)]]&lt;$BA$14, "Hot", IF(Table9[[#This Row],[Vmin (%)]]&lt;$BA$12, "Warm", IF(Table9[[#This Row],[Vmin (%)]]&lt;$BA$9, "Normal", IF(Table9[[#This Row],[Vmin (%)]]&lt;$BA$7, "Cool", "Cold"))))</f>
        <v>Normal</v>
      </c>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row>
    <row r="100" spans="1:210" x14ac:dyDescent="0.2">
      <c r="A100" s="113">
        <f t="shared" si="17"/>
        <v>30</v>
      </c>
      <c r="B100" s="163"/>
      <c r="C100" s="172" t="str">
        <f t="shared" si="12"/>
        <v>RTH at 30 °C</v>
      </c>
      <c r="D100" s="196">
        <f t="shared" si="18"/>
        <v>1.1470588235294117</v>
      </c>
      <c r="E100" s="197">
        <v>8.2140000000000004</v>
      </c>
      <c r="F100" s="198">
        <v>8.3130000000000006</v>
      </c>
      <c r="G100" s="199">
        <v>8.4109999999999996</v>
      </c>
      <c r="H100" s="128" t="s">
        <v>30</v>
      </c>
      <c r="I100" s="29"/>
      <c r="J100" s="29">
        <v>8.4109999999999996</v>
      </c>
      <c r="K100" s="29">
        <v>8.3130000000000006</v>
      </c>
      <c r="L100" s="29">
        <v>8.2140000000000004</v>
      </c>
      <c r="M100" s="29"/>
      <c r="N100" s="29"/>
      <c r="O100" s="29"/>
      <c r="P100" s="29"/>
      <c r="Q100" s="29"/>
      <c r="R100" s="29"/>
      <c r="S100" s="29"/>
      <c r="T100" s="29"/>
      <c r="U100" s="29"/>
      <c r="V100" s="29"/>
      <c r="W100" s="29"/>
      <c r="X100" s="29"/>
      <c r="Y100" s="30"/>
      <c r="Z100" s="18"/>
      <c r="AA100" s="19"/>
      <c r="AB100" s="19"/>
      <c r="AC100" s="20">
        <f t="shared" si="13"/>
        <v>30</v>
      </c>
      <c r="AD100" s="20">
        <f t="shared" si="14"/>
        <v>8.2140000000000004</v>
      </c>
      <c r="AE100" s="20">
        <f t="shared" si="15"/>
        <v>8.3130000000000006</v>
      </c>
      <c r="AF100" s="20">
        <f t="shared" si="16"/>
        <v>8.4109999999999996</v>
      </c>
      <c r="AG100" s="20">
        <f>Table9[[#This Row],[RTH(min) (kΩ)]]*RT2_TH_MIN/(RT2_TH_MIN+Table9[[#This Row],[RTH(min) (kΩ)]])</f>
        <v>6.4700885321381332</v>
      </c>
      <c r="AH100" s="20">
        <f>Table9[[#This Row],[RTH(nom) (kΩ)]]*RT2_TH_S/(RT2_TH_S+Table9[[#This Row],[RTH(nom) (kΩ)]])</f>
        <v>6.5327570074327461</v>
      </c>
      <c r="AI100" s="20">
        <f>Table9[[#This Row],[RTH(max) (kΩ)]]*RT2_TH_S_MAX/(RT2_TH_S_MAX+Table9[[#This Row],[RTH(max) (kΩ)]])</f>
        <v>6.5945491045889248</v>
      </c>
      <c r="AJ100" s="20">
        <f>Table9[[#This Row],[RLower(min) (kΩ)]]/(Table9[[#This Row],[RLower(min) (kΩ)]]+RT1_TH_S_MAX)*100</f>
        <v>55.260640148952646</v>
      </c>
      <c r="AK100" s="20">
        <f>Table9[[#This Row],[RLower(nom) (kΩ)]]/(Table9[[#This Row],[RLower(nom) (kΩ)]]+RT1_TH_S)*100</f>
        <v>55.523515562198035</v>
      </c>
      <c r="AL100" s="20">
        <f>Table9[[#This Row],[RLower(max) (kΩ)]]/(Table9[[#This Row],[RLower(max) (kΩ)]]+RT1_TH_S_MIN)*100</f>
        <v>55.78055923785503</v>
      </c>
      <c r="AM100" s="20">
        <f>IF(Table9[[#This Row],[Vmin (%)]]&lt;$BA$14, 0, IF(Table9[[#This Row],[Vmin (%)]]&lt;$BA$12, 4, IF(Table9[[#This Row],[Vmin (%)]]&lt;$BA$9, 3, IF(Table9[[#This Row],[Vmin (%)]]&lt;$BA$7, 2, 0))))</f>
        <v>3</v>
      </c>
      <c r="AN100" s="20">
        <f>IF(Table9[[#This Row],[Vmin (%)]]&lt;$BA$13, 0, IF(Table9[[#This Row],[Vmin (%)]]&lt;$BA$11, 4, IF(Table9[[#This Row],[Vmin (%)]]&lt;$BA$10, 3, IF(Table9[[#This Row],[Vmin (%)]]&lt;$BA$8, 2, 0))))</f>
        <v>3</v>
      </c>
      <c r="AO100" s="76" t="str">
        <f>IF(Table9[[#This Row],[Vmin (%)]]&lt;$BA$14, "Hot", IF(Table9[[#This Row],[Vmin (%)]]&lt;$BA$12, "Warm", IF(Table9[[#This Row],[Vmin (%)]]&lt;$BA$9, "Normal", IF(Table9[[#This Row],[Vmin (%)]]&lt;$BA$7, "Cool", "Cold"))))</f>
        <v>Normal</v>
      </c>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row>
    <row r="101" spans="1:210" x14ac:dyDescent="0.2">
      <c r="A101" s="113">
        <f t="shared" si="17"/>
        <v>29</v>
      </c>
      <c r="B101" s="163"/>
      <c r="C101" s="172" t="str">
        <f t="shared" si="12"/>
        <v>RTH at 29 °C</v>
      </c>
      <c r="D101" s="196">
        <f t="shared" si="18"/>
        <v>1.1176470588235294</v>
      </c>
      <c r="E101" s="197">
        <v>8.5220000000000002</v>
      </c>
      <c r="F101" s="198">
        <v>8.6219999999999999</v>
      </c>
      <c r="G101" s="199">
        <v>8.7210000000000001</v>
      </c>
      <c r="H101" s="128" t="s">
        <v>30</v>
      </c>
      <c r="I101" s="29"/>
      <c r="J101" s="29">
        <v>8.7210000000000001</v>
      </c>
      <c r="K101" s="29">
        <v>8.6219999999999999</v>
      </c>
      <c r="L101" s="29">
        <v>8.5220000000000002</v>
      </c>
      <c r="M101" s="29"/>
      <c r="N101" s="29"/>
      <c r="O101" s="29"/>
      <c r="P101" s="29"/>
      <c r="Q101" s="29"/>
      <c r="R101" s="29"/>
      <c r="S101" s="29"/>
      <c r="T101" s="29"/>
      <c r="U101" s="29"/>
      <c r="V101" s="29"/>
      <c r="W101" s="29"/>
      <c r="X101" s="29"/>
      <c r="Y101" s="30"/>
      <c r="Z101" s="18"/>
      <c r="AA101" s="19"/>
      <c r="AB101" s="19"/>
      <c r="AC101" s="20">
        <f t="shared" si="13"/>
        <v>29</v>
      </c>
      <c r="AD101" s="20">
        <f t="shared" si="14"/>
        <v>8.5220000000000002</v>
      </c>
      <c r="AE101" s="20">
        <f t="shared" si="15"/>
        <v>8.6219999999999999</v>
      </c>
      <c r="AF101" s="20">
        <f t="shared" si="16"/>
        <v>8.7210000000000001</v>
      </c>
      <c r="AG101" s="20">
        <f>Table9[[#This Row],[RTH(min) (kΩ)]]*RT2_TH_MIN/(RT2_TH_MIN+Table9[[#This Row],[RTH(min) (kΩ)]])</f>
        <v>6.6596796783071008</v>
      </c>
      <c r="AH101" s="20">
        <f>Table9[[#This Row],[RTH(nom) (kΩ)]]*RT2_TH_S/(RT2_TH_S+Table9[[#This Row],[RTH(nom) (kΩ)]])</f>
        <v>6.7220752905685268</v>
      </c>
      <c r="AI101" s="20">
        <f>Table9[[#This Row],[RTH(max) (kΩ)]]*RT2_TH_S_MAX/(RT2_TH_S_MAX+Table9[[#This Row],[RTH(max) (kΩ)]])</f>
        <v>6.7836064364258215</v>
      </c>
      <c r="AJ101" s="20">
        <f>Table9[[#This Row],[RLower(min) (kΩ)]]/(Table9[[#This Row],[RLower(min) (kΩ)]]+RT1_TH_S_MAX)*100</f>
        <v>55.973554511348802</v>
      </c>
      <c r="AK101" s="20">
        <f>Table9[[#This Row],[RLower(nom) (kΩ)]]/(Table9[[#This Row],[RLower(nom) (kΩ)]]+RT1_TH_S)*100</f>
        <v>56.227837174945407</v>
      </c>
      <c r="AL101" s="20">
        <f>Table9[[#This Row],[RLower(max) (kΩ)]]/(Table9[[#This Row],[RLower(max) (kΩ)]]+RT1_TH_S_MIN)*100</f>
        <v>56.476567540801192</v>
      </c>
      <c r="AM101" s="20">
        <f>IF(Table9[[#This Row],[Vmin (%)]]&lt;$BA$14, 0, IF(Table9[[#This Row],[Vmin (%)]]&lt;$BA$12, 4, IF(Table9[[#This Row],[Vmin (%)]]&lt;$BA$9, 3, IF(Table9[[#This Row],[Vmin (%)]]&lt;$BA$7, 2, 0))))</f>
        <v>3</v>
      </c>
      <c r="AN101" s="20">
        <f>IF(Table9[[#This Row],[Vmin (%)]]&lt;$BA$13, 0, IF(Table9[[#This Row],[Vmin (%)]]&lt;$BA$11, 4, IF(Table9[[#This Row],[Vmin (%)]]&lt;$BA$10, 3, IF(Table9[[#This Row],[Vmin (%)]]&lt;$BA$8, 2, 0))))</f>
        <v>3</v>
      </c>
      <c r="AO101" s="76" t="str">
        <f>IF(Table9[[#This Row],[Vmin (%)]]&lt;$BA$14, "Hot", IF(Table9[[#This Row],[Vmin (%)]]&lt;$BA$12, "Warm", IF(Table9[[#This Row],[Vmin (%)]]&lt;$BA$9, "Normal", IF(Table9[[#This Row],[Vmin (%)]]&lt;$BA$7, "Cool", "Cold"))))</f>
        <v>Normal</v>
      </c>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row>
    <row r="102" spans="1:210" x14ac:dyDescent="0.2">
      <c r="A102" s="113">
        <f t="shared" si="17"/>
        <v>28</v>
      </c>
      <c r="B102" s="163"/>
      <c r="C102" s="172" t="str">
        <f t="shared" si="12"/>
        <v>RTH at 28 °C</v>
      </c>
      <c r="D102" s="196">
        <f t="shared" si="18"/>
        <v>1.0882352941176472</v>
      </c>
      <c r="E102" s="197">
        <v>8.8439999999999994</v>
      </c>
      <c r="F102" s="198">
        <v>8.9440000000000008</v>
      </c>
      <c r="G102" s="199">
        <v>9.0429999999999993</v>
      </c>
      <c r="H102" s="128" t="s">
        <v>30</v>
      </c>
      <c r="I102" s="29"/>
      <c r="J102" s="29">
        <v>9.0429999999999993</v>
      </c>
      <c r="K102" s="29">
        <v>8.9440000000000008</v>
      </c>
      <c r="L102" s="29">
        <v>8.8439999999999994</v>
      </c>
      <c r="M102" s="29"/>
      <c r="N102" s="29"/>
      <c r="O102" s="29"/>
      <c r="P102" s="29"/>
      <c r="Q102" s="29"/>
      <c r="R102" s="29"/>
      <c r="S102" s="29"/>
      <c r="T102" s="29"/>
      <c r="U102" s="29"/>
      <c r="V102" s="29"/>
      <c r="W102" s="29"/>
      <c r="X102" s="29"/>
      <c r="Y102" s="30"/>
      <c r="Z102" s="18"/>
      <c r="AA102" s="19"/>
      <c r="AB102" s="19"/>
      <c r="AC102" s="20">
        <f t="shared" si="13"/>
        <v>28</v>
      </c>
      <c r="AD102" s="20">
        <f t="shared" si="14"/>
        <v>8.8439999999999994</v>
      </c>
      <c r="AE102" s="20">
        <f t="shared" si="15"/>
        <v>8.9440000000000008</v>
      </c>
      <c r="AF102" s="20">
        <f t="shared" si="16"/>
        <v>9.0429999999999993</v>
      </c>
      <c r="AG102" s="20">
        <f>Table9[[#This Row],[RTH(min) (kΩ)]]*RT2_TH_MIN/(RT2_TH_MIN+Table9[[#This Row],[RTH(min) (kΩ)]])</f>
        <v>6.8547127259757801</v>
      </c>
      <c r="AH102" s="20">
        <f>Table9[[#This Row],[RTH(nom) (kΩ)]]*RT2_TH_S/(RT2_TH_S+Table9[[#This Row],[RTH(nom) (kΩ)]])</f>
        <v>6.9162028329753511</v>
      </c>
      <c r="AI102" s="20">
        <f>Table9[[#This Row],[RTH(max) (kΩ)]]*RT2_TH_S_MAX/(RT2_TH_S_MAX+Table9[[#This Row],[RTH(max) (kΩ)]])</f>
        <v>6.9768463600892217</v>
      </c>
      <c r="AJ102" s="20">
        <f>Table9[[#This Row],[RLower(min) (kΩ)]]/(Table9[[#This Row],[RLower(min) (kΩ)]]+RT1_TH_S_MAX)*100</f>
        <v>56.683606332364825</v>
      </c>
      <c r="AK102" s="20">
        <f>Table9[[#This Row],[RLower(nom) (kΩ)]]/(Table9[[#This Row],[RLower(nom) (kΩ)]]+RT1_TH_S)*100</f>
        <v>56.92725661043999</v>
      </c>
      <c r="AL102" s="20">
        <f>Table9[[#This Row],[RLower(max) (kΩ)]]/(Table9[[#This Row],[RLower(max) (kΩ)]]+RT1_TH_S_MIN)*100</f>
        <v>57.165689810607311</v>
      </c>
      <c r="AM102" s="20">
        <f>IF(Table9[[#This Row],[Vmin (%)]]&lt;$BA$14, 0, IF(Table9[[#This Row],[Vmin (%)]]&lt;$BA$12, 4, IF(Table9[[#This Row],[Vmin (%)]]&lt;$BA$9, 3, IF(Table9[[#This Row],[Vmin (%)]]&lt;$BA$7, 2, 0))))</f>
        <v>3</v>
      </c>
      <c r="AN102" s="20">
        <f>IF(Table9[[#This Row],[Vmin (%)]]&lt;$BA$13, 0, IF(Table9[[#This Row],[Vmin (%)]]&lt;$BA$11, 4, IF(Table9[[#This Row],[Vmin (%)]]&lt;$BA$10, 3, IF(Table9[[#This Row],[Vmin (%)]]&lt;$BA$8, 2, 0))))</f>
        <v>3</v>
      </c>
      <c r="AO102" s="76" t="str">
        <f>IF(Table9[[#This Row],[Vmin (%)]]&lt;$BA$14, "Hot", IF(Table9[[#This Row],[Vmin (%)]]&lt;$BA$12, "Warm", IF(Table9[[#This Row],[Vmin (%)]]&lt;$BA$9, "Normal", IF(Table9[[#This Row],[Vmin (%)]]&lt;$BA$7, "Cool", "Cold"))))</f>
        <v>Normal</v>
      </c>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row>
    <row r="103" spans="1:210" x14ac:dyDescent="0.2">
      <c r="A103" s="113">
        <f t="shared" si="17"/>
        <v>27</v>
      </c>
      <c r="B103" s="163"/>
      <c r="C103" s="172" t="str">
        <f t="shared" si="12"/>
        <v>RTH at 27 °C</v>
      </c>
      <c r="D103" s="196">
        <f t="shared" si="18"/>
        <v>1.0588235294117645</v>
      </c>
      <c r="E103" s="197">
        <v>9.18</v>
      </c>
      <c r="F103" s="198">
        <v>9.2810000000000006</v>
      </c>
      <c r="G103" s="199">
        <v>9.3800000000000008</v>
      </c>
      <c r="H103" s="128" t="s">
        <v>30</v>
      </c>
      <c r="I103" s="29"/>
      <c r="J103" s="29">
        <v>9.3800000000000008</v>
      </c>
      <c r="K103" s="29">
        <v>9.2810000000000006</v>
      </c>
      <c r="L103" s="29">
        <v>9.18</v>
      </c>
      <c r="M103" s="29"/>
      <c r="N103" s="29"/>
      <c r="O103" s="29"/>
      <c r="P103" s="29"/>
      <c r="Q103" s="29"/>
      <c r="R103" s="29"/>
      <c r="S103" s="29"/>
      <c r="T103" s="29"/>
      <c r="U103" s="29"/>
      <c r="V103" s="29"/>
      <c r="W103" s="29"/>
      <c r="X103" s="29"/>
      <c r="Y103" s="30"/>
      <c r="Z103" s="18"/>
      <c r="AA103" s="19"/>
      <c r="AB103" s="19"/>
      <c r="AC103" s="20">
        <f t="shared" si="13"/>
        <v>27</v>
      </c>
      <c r="AD103" s="20">
        <f t="shared" si="14"/>
        <v>9.18</v>
      </c>
      <c r="AE103" s="20">
        <f t="shared" si="15"/>
        <v>9.2810000000000006</v>
      </c>
      <c r="AF103" s="20">
        <f t="shared" si="16"/>
        <v>9.3800000000000008</v>
      </c>
      <c r="AG103" s="20">
        <f>Table9[[#This Row],[RTH(min) (kΩ)]]*RT2_TH_MIN/(RT2_TH_MIN+Table9[[#This Row],[RTH(min) (kΩ)]])</f>
        <v>7.0548485415765869</v>
      </c>
      <c r="AH103" s="20">
        <f>Table9[[#This Row],[RTH(nom) (kΩ)]]*RT2_TH_S/(RT2_TH_S+Table9[[#This Row],[RTH(nom) (kΩ)]])</f>
        <v>7.1160083653030721</v>
      </c>
      <c r="AI103" s="20">
        <f>Table9[[#This Row],[RTH(max) (kΩ)]]*RT2_TH_S_MAX/(RT2_TH_S_MAX+Table9[[#This Row],[RTH(max) (kΩ)]])</f>
        <v>7.1757491803300733</v>
      </c>
      <c r="AJ103" s="20">
        <f>Table9[[#This Row],[RLower(min) (kΩ)]]/(Table9[[#This Row],[RLower(min) (kΩ)]]+RT1_TH_S_MAX)*100</f>
        <v>57.388813403172058</v>
      </c>
      <c r="AK103" s="20">
        <f>Table9[[#This Row],[RLower(nom) (kΩ)]]/(Table9[[#This Row],[RLower(nom) (kΩ)]]+RT1_TH_S)*100</f>
        <v>57.62416913467495</v>
      </c>
      <c r="AL103" s="20">
        <f>Table9[[#This Row],[RLower(max) (kΩ)]]/(Table9[[#This Row],[RLower(max) (kΩ)]]+RT1_TH_S_MIN)*100</f>
        <v>57.852581418678092</v>
      </c>
      <c r="AM103" s="20">
        <f>IF(Table9[[#This Row],[Vmin (%)]]&lt;$BA$14, 0, IF(Table9[[#This Row],[Vmin (%)]]&lt;$BA$12, 4, IF(Table9[[#This Row],[Vmin (%)]]&lt;$BA$9, 3, IF(Table9[[#This Row],[Vmin (%)]]&lt;$BA$7, 2, 0))))</f>
        <v>3</v>
      </c>
      <c r="AN103" s="20">
        <f>IF(Table9[[#This Row],[Vmin (%)]]&lt;$BA$13, 0, IF(Table9[[#This Row],[Vmin (%)]]&lt;$BA$11, 4, IF(Table9[[#This Row],[Vmin (%)]]&lt;$BA$10, 3, IF(Table9[[#This Row],[Vmin (%)]]&lt;$BA$8, 2, 0))))</f>
        <v>3</v>
      </c>
      <c r="AO103" s="76" t="str">
        <f>IF(Table9[[#This Row],[Vmin (%)]]&lt;$BA$14, "Hot", IF(Table9[[#This Row],[Vmin (%)]]&lt;$BA$12, "Warm", IF(Table9[[#This Row],[Vmin (%)]]&lt;$BA$9, "Normal", IF(Table9[[#This Row],[Vmin (%)]]&lt;$BA$7, "Cool", "Cold"))))</f>
        <v>Normal</v>
      </c>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c r="GR103" s="19"/>
      <c r="GS103" s="19"/>
      <c r="GT103" s="19"/>
      <c r="GU103" s="19"/>
      <c r="GV103" s="19"/>
      <c r="GW103" s="19"/>
      <c r="GX103" s="19"/>
      <c r="GY103" s="19"/>
      <c r="GZ103" s="19"/>
      <c r="HA103" s="19"/>
      <c r="HB103" s="19"/>
    </row>
    <row r="104" spans="1:210" x14ac:dyDescent="0.2">
      <c r="A104" s="113">
        <f t="shared" si="17"/>
        <v>26</v>
      </c>
      <c r="B104" s="163"/>
      <c r="C104" s="172" t="str">
        <f t="shared" si="12"/>
        <v>RTH at 26 °C</v>
      </c>
      <c r="D104" s="196">
        <f t="shared" si="18"/>
        <v>1.0294117647058822</v>
      </c>
      <c r="E104" s="197">
        <v>9.532</v>
      </c>
      <c r="F104" s="198">
        <v>9.6319999999999997</v>
      </c>
      <c r="G104" s="199">
        <v>9.7319999999999993</v>
      </c>
      <c r="H104" s="128" t="s">
        <v>30</v>
      </c>
      <c r="I104" s="29"/>
      <c r="J104" s="29">
        <v>9.7319999999999993</v>
      </c>
      <c r="K104" s="29">
        <v>9.6319999999999997</v>
      </c>
      <c r="L104" s="29">
        <v>9.532</v>
      </c>
      <c r="M104" s="29"/>
      <c r="N104" s="29"/>
      <c r="O104" s="29"/>
      <c r="P104" s="29"/>
      <c r="Q104" s="29"/>
      <c r="R104" s="29"/>
      <c r="S104" s="29"/>
      <c r="T104" s="29"/>
      <c r="U104" s="29"/>
      <c r="V104" s="29"/>
      <c r="W104" s="29"/>
      <c r="X104" s="29"/>
      <c r="Y104" s="30"/>
      <c r="Z104" s="18"/>
      <c r="AA104" s="19"/>
      <c r="AB104" s="19"/>
      <c r="AC104" s="20">
        <f t="shared" si="13"/>
        <v>26</v>
      </c>
      <c r="AD104" s="20">
        <f t="shared" si="14"/>
        <v>9.532</v>
      </c>
      <c r="AE104" s="20">
        <f t="shared" si="15"/>
        <v>9.6319999999999997</v>
      </c>
      <c r="AF104" s="20">
        <f t="shared" si="16"/>
        <v>9.7319999999999993</v>
      </c>
      <c r="AG104" s="20">
        <f>Table9[[#This Row],[RTH(min) (kΩ)]]*RT2_TH_MIN/(RT2_TH_MIN+Table9[[#This Row],[RTH(min) (kΩ)]])</f>
        <v>7.2609089879014475</v>
      </c>
      <c r="AH104" s="20">
        <f>Table9[[#This Row],[RTH(nom) (kΩ)]]*RT2_TH_S/(RT2_TH_S+Table9[[#This Row],[RTH(nom) (kΩ)]])</f>
        <v>7.3205472424532543</v>
      </c>
      <c r="AI104" s="20">
        <f>Table9[[#This Row],[RTH(max) (kΩ)]]*RT2_TH_S_MAX/(RT2_TH_S_MAX+Table9[[#This Row],[RTH(max) (kΩ)]])</f>
        <v>7.3799504416500428</v>
      </c>
      <c r="AJ104" s="20">
        <f>Table9[[#This Row],[RLower(min) (kΩ)]]/(Table9[[#This Row],[RLower(min) (kΩ)]]+RT1_TH_S_MAX)*100</f>
        <v>58.0913005308918</v>
      </c>
      <c r="AK104" s="20">
        <f>Table9[[#This Row],[RLower(nom) (kΩ)]]/(Table9[[#This Row],[RLower(nom) (kΩ)]]+RT1_TH_S)*100</f>
        <v>58.314612306530734</v>
      </c>
      <c r="AL104" s="20">
        <f>Table9[[#This Row],[RLower(max) (kΩ)]]/(Table9[[#This Row],[RLower(max) (kΩ)]]+RT1_TH_S_MIN)*100</f>
        <v>58.53522378538996</v>
      </c>
      <c r="AM104" s="20">
        <f>IF(Table9[[#This Row],[Vmin (%)]]&lt;$BA$14, 0, IF(Table9[[#This Row],[Vmin (%)]]&lt;$BA$12, 4, IF(Table9[[#This Row],[Vmin (%)]]&lt;$BA$9, 3, IF(Table9[[#This Row],[Vmin (%)]]&lt;$BA$7, 2, 0))))</f>
        <v>3</v>
      </c>
      <c r="AN104" s="20">
        <f>IF(Table9[[#This Row],[Vmin (%)]]&lt;$BA$13, 0, IF(Table9[[#This Row],[Vmin (%)]]&lt;$BA$11, 4, IF(Table9[[#This Row],[Vmin (%)]]&lt;$BA$10, 3, IF(Table9[[#This Row],[Vmin (%)]]&lt;$BA$8, 2, 0))))</f>
        <v>3</v>
      </c>
      <c r="AO104" s="76" t="str">
        <f>IF(Table9[[#This Row],[Vmin (%)]]&lt;$BA$14, "Hot", IF(Table9[[#This Row],[Vmin (%)]]&lt;$BA$12, "Warm", IF(Table9[[#This Row],[Vmin (%)]]&lt;$BA$9, "Normal", IF(Table9[[#This Row],[Vmin (%)]]&lt;$BA$7, "Cool", "Cold"))))</f>
        <v>Normal</v>
      </c>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row>
    <row r="105" spans="1:210" x14ac:dyDescent="0.2">
      <c r="A105" s="113">
        <f t="shared" si="17"/>
        <v>25</v>
      </c>
      <c r="B105" s="163"/>
      <c r="C105" s="172" t="str">
        <f t="shared" si="12"/>
        <v>RTH at 25 °C</v>
      </c>
      <c r="D105" s="196">
        <v>1</v>
      </c>
      <c r="E105" s="197">
        <v>9.9</v>
      </c>
      <c r="F105" s="198">
        <v>10</v>
      </c>
      <c r="G105" s="199">
        <v>10.1</v>
      </c>
      <c r="H105" s="128" t="s">
        <v>30</v>
      </c>
      <c r="I105" s="29"/>
      <c r="J105" s="29">
        <v>10.1</v>
      </c>
      <c r="K105" s="29">
        <v>10</v>
      </c>
      <c r="L105" s="29">
        <v>9.9</v>
      </c>
      <c r="M105" s="29"/>
      <c r="N105" s="29"/>
      <c r="O105" s="29"/>
      <c r="P105" s="29"/>
      <c r="Q105" s="29"/>
      <c r="R105" s="29"/>
      <c r="S105" s="29"/>
      <c r="T105" s="29"/>
      <c r="U105" s="29"/>
      <c r="V105" s="29"/>
      <c r="W105" s="29"/>
      <c r="X105" s="29"/>
      <c r="Y105" s="30"/>
      <c r="Z105" s="18"/>
      <c r="AA105" s="19"/>
      <c r="AB105" s="19"/>
      <c r="AC105" s="20">
        <f t="shared" si="13"/>
        <v>25</v>
      </c>
      <c r="AD105" s="20">
        <f t="shared" si="14"/>
        <v>9.9</v>
      </c>
      <c r="AE105" s="20">
        <f t="shared" si="15"/>
        <v>10</v>
      </c>
      <c r="AF105" s="20">
        <f t="shared" si="16"/>
        <v>10.1</v>
      </c>
      <c r="AG105" s="20">
        <f>Table9[[#This Row],[RTH(min) (kΩ)]]*RT2_TH_MIN/(RT2_TH_MIN+Table9[[#This Row],[RTH(min) (kΩ)]])</f>
        <v>7.4724941292970106</v>
      </c>
      <c r="AH105" s="20">
        <f>Table9[[#This Row],[RTH(nom) (kΩ)]]*RT2_TH_S/(RT2_TH_S+Table9[[#This Row],[RTH(nom) (kΩ)]])</f>
        <v>7.5311859908361809</v>
      </c>
      <c r="AI105" s="20">
        <f>Table9[[#This Row],[RTH(max) (kΩ)]]*RT2_TH_S_MAX/(RT2_TH_S_MAX+Table9[[#This Row],[RTH(max) (kΩ)]])</f>
        <v>7.5896510045385455</v>
      </c>
      <c r="AJ105" s="20">
        <f>Table9[[#This Row],[RLower(min) (kΩ)]]/(Table9[[#This Row],[RLower(min) (kΩ)]]+RT1_TH_S_MAX)*100</f>
        <v>58.78892106786148</v>
      </c>
      <c r="AK105" s="20">
        <f>Table9[[#This Row],[RLower(nom) (kΩ)]]/(Table9[[#This Row],[RLower(nom) (kΩ)]]+RT1_TH_S)*100</f>
        <v>59.002518608278066</v>
      </c>
      <c r="AL105" s="20">
        <f>Table9[[#This Row],[RLower(max) (kΩ)]]/(Table9[[#This Row],[RLower(max) (kΩ)]]+RT1_TH_S_MIN)*100</f>
        <v>59.213612592641638</v>
      </c>
      <c r="AM105" s="20">
        <f>IF(Table9[[#This Row],[Vmin (%)]]&lt;$BA$14, 0, IF(Table9[[#This Row],[Vmin (%)]]&lt;$BA$12, 4, IF(Table9[[#This Row],[Vmin (%)]]&lt;$BA$9, 3, IF(Table9[[#This Row],[Vmin (%)]]&lt;$BA$7, 2, 0))))</f>
        <v>3</v>
      </c>
      <c r="AN105" s="20">
        <f>IF(Table9[[#This Row],[Vmin (%)]]&lt;$BA$13, 0, IF(Table9[[#This Row],[Vmin (%)]]&lt;$BA$11, 4, IF(Table9[[#This Row],[Vmin (%)]]&lt;$BA$10, 3, IF(Table9[[#This Row],[Vmin (%)]]&lt;$BA$8, 2, 0))))</f>
        <v>3</v>
      </c>
      <c r="AO105" s="76" t="str">
        <f>IF(Table9[[#This Row],[Vmin (%)]]&lt;$BA$14, "Hot", IF(Table9[[#This Row],[Vmin (%)]]&lt;$BA$12, "Warm", IF(Table9[[#This Row],[Vmin (%)]]&lt;$BA$9, "Normal", IF(Table9[[#This Row],[Vmin (%)]]&lt;$BA$7, "Cool", "Cold"))))</f>
        <v>Normal</v>
      </c>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row>
    <row r="106" spans="1:210" x14ac:dyDescent="0.2">
      <c r="A106" s="113">
        <f t="shared" si="17"/>
        <v>24</v>
      </c>
      <c r="B106" s="163"/>
      <c r="C106" s="172" t="str">
        <f t="shared" si="12"/>
        <v>RTH at 24 °C</v>
      </c>
      <c r="D106" s="196">
        <f>$D$105+(ROW(D106)-ROW($D$105))*($D$180-$D$105)/(ROW($D$180)-ROW($D$105))</f>
        <v>1.0433333333333334</v>
      </c>
      <c r="E106" s="197">
        <v>10.27</v>
      </c>
      <c r="F106" s="198">
        <v>10.38</v>
      </c>
      <c r="G106" s="199">
        <v>10.49</v>
      </c>
      <c r="H106" s="128" t="s">
        <v>30</v>
      </c>
      <c r="I106" s="29"/>
      <c r="J106" s="29">
        <v>10.49</v>
      </c>
      <c r="K106" s="29">
        <v>10.38</v>
      </c>
      <c r="L106" s="29">
        <v>10.27</v>
      </c>
      <c r="M106" s="29"/>
      <c r="N106" s="29"/>
      <c r="O106" s="29"/>
      <c r="P106" s="29"/>
      <c r="Q106" s="29"/>
      <c r="R106" s="29"/>
      <c r="S106" s="29"/>
      <c r="T106" s="29"/>
      <c r="U106" s="29"/>
      <c r="V106" s="29"/>
      <c r="W106" s="29"/>
      <c r="X106" s="29"/>
      <c r="Y106" s="30"/>
      <c r="Z106" s="18"/>
      <c r="AA106" s="19"/>
      <c r="AB106" s="19"/>
      <c r="AC106" s="20">
        <f t="shared" si="13"/>
        <v>24</v>
      </c>
      <c r="AD106" s="20">
        <f t="shared" si="14"/>
        <v>10.27</v>
      </c>
      <c r="AE106" s="20">
        <f t="shared" si="15"/>
        <v>10.38</v>
      </c>
      <c r="AF106" s="20">
        <f t="shared" si="16"/>
        <v>10.49</v>
      </c>
      <c r="AG106" s="20">
        <f>Table9[[#This Row],[RTH(min) (kΩ)]]*RT2_TH_MIN/(RT2_TH_MIN+Table9[[#This Row],[RTH(min) (kΩ)]])</f>
        <v>7.6813759724394526</v>
      </c>
      <c r="AH106" s="20">
        <f>Table9[[#This Row],[RTH(nom) (kΩ)]]*RT2_TH_S/(RT2_TH_S+Table9[[#This Row],[RTH(nom) (kΩ)]])</f>
        <v>7.7447140757803874</v>
      </c>
      <c r="AI106" s="20">
        <f>Table9[[#This Row],[RTH(max) (kΩ)]]*RT2_TH_S_MAX/(RT2_TH_S_MAX+Table9[[#This Row],[RTH(max) (kΩ)]])</f>
        <v>7.8077819219010696</v>
      </c>
      <c r="AJ106" s="20">
        <f>Table9[[#This Row],[RLower(min) (kΩ)]]/(Table9[[#This Row],[RLower(min) (kΩ)]]+RT1_TH_S_MAX)*100</f>
        <v>59.455214610360784</v>
      </c>
      <c r="AK106" s="20">
        <f>Table9[[#This Row],[RLower(nom) (kΩ)]]/(Table9[[#This Row],[RLower(nom) (kΩ)]]+RT1_TH_S)*100</f>
        <v>59.677068811026416</v>
      </c>
      <c r="AL106" s="20">
        <f>Table9[[#This Row],[RLower(max) (kΩ)]]/(Table9[[#This Row],[RLower(max) (kΩ)]]+RT1_TH_S_MIN)*100</f>
        <v>59.896113819911811</v>
      </c>
      <c r="AM106" s="20">
        <f>IF(Table9[[#This Row],[Vmin (%)]]&lt;$BA$14, 0, IF(Table9[[#This Row],[Vmin (%)]]&lt;$BA$12, 4, IF(Table9[[#This Row],[Vmin (%)]]&lt;$BA$9, 3, IF(Table9[[#This Row],[Vmin (%)]]&lt;$BA$7, 2, 0))))</f>
        <v>3</v>
      </c>
      <c r="AN106" s="20">
        <f>IF(Table9[[#This Row],[Vmin (%)]]&lt;$BA$13, 0, IF(Table9[[#This Row],[Vmin (%)]]&lt;$BA$11, 4, IF(Table9[[#This Row],[Vmin (%)]]&lt;$BA$10, 3, IF(Table9[[#This Row],[Vmin (%)]]&lt;$BA$8, 2, 0))))</f>
        <v>3</v>
      </c>
      <c r="AO106" s="76" t="str">
        <f>IF(Table9[[#This Row],[Vmin (%)]]&lt;$BA$14, "Hot", IF(Table9[[#This Row],[Vmin (%)]]&lt;$BA$12, "Warm", IF(Table9[[#This Row],[Vmin (%)]]&lt;$BA$9, "Normal", IF(Table9[[#This Row],[Vmin (%)]]&lt;$BA$7, "Cool", "Cold"))))</f>
        <v>Normal</v>
      </c>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row>
    <row r="107" spans="1:210" x14ac:dyDescent="0.2">
      <c r="A107" s="113">
        <f t="shared" si="17"/>
        <v>23</v>
      </c>
      <c r="B107" s="163"/>
      <c r="C107" s="172" t="str">
        <f t="shared" si="12"/>
        <v>RTH at 23 °C</v>
      </c>
      <c r="D107" s="196">
        <f t="shared" ref="D107:D170" si="19">$D$105+(ROW(D107)-ROW($D$105))*($D$180-$D$105)/(ROW($D$180)-ROW($D$105))</f>
        <v>1.0866666666666667</v>
      </c>
      <c r="E107" s="197">
        <v>10.66</v>
      </c>
      <c r="F107" s="198">
        <v>10.78</v>
      </c>
      <c r="G107" s="199">
        <v>10.9</v>
      </c>
      <c r="H107" s="128" t="s">
        <v>30</v>
      </c>
      <c r="I107" s="29"/>
      <c r="J107" s="29">
        <v>10.9</v>
      </c>
      <c r="K107" s="29">
        <v>10.78</v>
      </c>
      <c r="L107" s="29">
        <v>10.66</v>
      </c>
      <c r="M107" s="29"/>
      <c r="N107" s="29"/>
      <c r="O107" s="29"/>
      <c r="P107" s="29"/>
      <c r="Q107" s="29"/>
      <c r="R107" s="29"/>
      <c r="S107" s="29"/>
      <c r="T107" s="29"/>
      <c r="U107" s="29"/>
      <c r="V107" s="29"/>
      <c r="W107" s="29"/>
      <c r="X107" s="29"/>
      <c r="Y107" s="30"/>
      <c r="Z107" s="18"/>
      <c r="AA107" s="19"/>
      <c r="AB107" s="19"/>
      <c r="AC107" s="20">
        <f t="shared" si="13"/>
        <v>23</v>
      </c>
      <c r="AD107" s="20">
        <f t="shared" si="14"/>
        <v>10.66</v>
      </c>
      <c r="AE107" s="20">
        <f t="shared" si="15"/>
        <v>10.78</v>
      </c>
      <c r="AF107" s="20">
        <f t="shared" si="16"/>
        <v>10.9</v>
      </c>
      <c r="AG107" s="20">
        <f>Table9[[#This Row],[RTH(min) (kΩ)]]*RT2_TH_MIN/(RT2_TH_MIN+Table9[[#This Row],[RTH(min) (kΩ)]])</f>
        <v>7.8974808467563422</v>
      </c>
      <c r="AH107" s="20">
        <f>Table9[[#This Row],[RTH(nom) (kΩ)]]*RT2_TH_S/(RT2_TH_S+Table9[[#This Row],[RTH(nom) (kΩ)]])</f>
        <v>7.9652339843952493</v>
      </c>
      <c r="AI107" s="20">
        <f>Table9[[#This Row],[RTH(max) (kΩ)]]*RT2_TH_S_MAX/(RT2_TH_S_MAX+Table9[[#This Row],[RTH(max) (kΩ)]])</f>
        <v>8.0326716183439224</v>
      </c>
      <c r="AJ107" s="20">
        <f>Table9[[#This Row],[RLower(min) (kΩ)]]/(Table9[[#This Row],[RLower(min) (kΩ)]]+RT1_TH_S_MAX)*100</f>
        <v>60.122245863043979</v>
      </c>
      <c r="AK107" s="20">
        <f>Table9[[#This Row],[RLower(nom) (kΩ)]]/(Table9[[#This Row],[RLower(nom) (kΩ)]]+RT1_TH_S)*100</f>
        <v>60.35079645337801</v>
      </c>
      <c r="AL107" s="20">
        <f>Table9[[#This Row],[RLower(max) (kΩ)]]/(Table9[[#This Row],[RLower(max) (kΩ)]]+RT1_TH_S_MIN)*100</f>
        <v>60.576253976974748</v>
      </c>
      <c r="AM107" s="20">
        <f>IF(Table9[[#This Row],[Vmin (%)]]&lt;$BA$14, 0, IF(Table9[[#This Row],[Vmin (%)]]&lt;$BA$12, 4, IF(Table9[[#This Row],[Vmin (%)]]&lt;$BA$9, 3, IF(Table9[[#This Row],[Vmin (%)]]&lt;$BA$7, 2, 0))))</f>
        <v>3</v>
      </c>
      <c r="AN107" s="20">
        <f>IF(Table9[[#This Row],[Vmin (%)]]&lt;$BA$13, 0, IF(Table9[[#This Row],[Vmin (%)]]&lt;$BA$11, 4, IF(Table9[[#This Row],[Vmin (%)]]&lt;$BA$10, 3, IF(Table9[[#This Row],[Vmin (%)]]&lt;$BA$8, 2, 0))))</f>
        <v>3</v>
      </c>
      <c r="AO107" s="76" t="str">
        <f>IF(Table9[[#This Row],[Vmin (%)]]&lt;$BA$14, "Hot", IF(Table9[[#This Row],[Vmin (%)]]&lt;$BA$12, "Warm", IF(Table9[[#This Row],[Vmin (%)]]&lt;$BA$9, "Normal", IF(Table9[[#This Row],[Vmin (%)]]&lt;$BA$7, "Cool", "Cold"))))</f>
        <v>Normal</v>
      </c>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row>
    <row r="108" spans="1:210" x14ac:dyDescent="0.2">
      <c r="A108" s="113">
        <f t="shared" si="17"/>
        <v>22</v>
      </c>
      <c r="B108" s="163"/>
      <c r="C108" s="172" t="str">
        <f t="shared" si="12"/>
        <v>RTH at 22 °C</v>
      </c>
      <c r="D108" s="196">
        <f t="shared" si="19"/>
        <v>1.1299999999999999</v>
      </c>
      <c r="E108" s="197">
        <v>11.07</v>
      </c>
      <c r="F108" s="198">
        <v>11.2</v>
      </c>
      <c r="G108" s="199">
        <v>11.32</v>
      </c>
      <c r="H108" s="128" t="s">
        <v>30</v>
      </c>
      <c r="I108" s="29"/>
      <c r="J108" s="29">
        <v>11.32</v>
      </c>
      <c r="K108" s="29">
        <v>11.2</v>
      </c>
      <c r="L108" s="29">
        <v>11.07</v>
      </c>
      <c r="M108" s="29"/>
      <c r="N108" s="29"/>
      <c r="O108" s="29"/>
      <c r="P108" s="29"/>
      <c r="Q108" s="29"/>
      <c r="R108" s="29"/>
      <c r="S108" s="29"/>
      <c r="T108" s="29"/>
      <c r="U108" s="29"/>
      <c r="V108" s="29"/>
      <c r="W108" s="29"/>
      <c r="X108" s="29"/>
      <c r="Y108" s="30"/>
      <c r="Z108" s="18"/>
      <c r="AA108" s="19"/>
      <c r="AB108" s="19"/>
      <c r="AC108" s="20">
        <f t="shared" si="13"/>
        <v>22</v>
      </c>
      <c r="AD108" s="20">
        <f t="shared" si="14"/>
        <v>11.07</v>
      </c>
      <c r="AE108" s="20">
        <f t="shared" si="15"/>
        <v>11.2</v>
      </c>
      <c r="AF108" s="20">
        <f t="shared" si="16"/>
        <v>11.32</v>
      </c>
      <c r="AG108" s="20">
        <f>Table9[[#This Row],[RTH(min) (kΩ)]]*RT2_TH_MIN/(RT2_TH_MIN+Table9[[#This Row],[RTH(min) (kΩ)]])</f>
        <v>8.1202932303886097</v>
      </c>
      <c r="AH108" s="20">
        <f>Table9[[#This Row],[RTH(nom) (kΩ)]]*RT2_TH_S/(RT2_TH_S+Table9[[#This Row],[RTH(nom) (kΩ)]])</f>
        <v>8.1922272839190029</v>
      </c>
      <c r="AI108" s="20">
        <f>Table9[[#This Row],[RTH(max) (kΩ)]]*RT2_TH_S_MAX/(RT2_TH_S_MAX+Table9[[#This Row],[RTH(max) (kΩ)]])</f>
        <v>8.2584780979347912</v>
      </c>
      <c r="AJ108" s="20">
        <f>Table9[[#This Row],[RLower(min) (kΩ)]]/(Table9[[#This Row],[RLower(min) (kΩ)]]+RT1_TH_S_MAX)*100</f>
        <v>60.787383857639696</v>
      </c>
      <c r="AK108" s="20">
        <f>Table9[[#This Row],[RLower(nom) (kΩ)]]/(Table9[[#This Row],[RLower(nom) (kΩ)]]+RT1_TH_S)*100</f>
        <v>61.021184319539877</v>
      </c>
      <c r="AL108" s="20">
        <f>Table9[[#This Row],[RLower(max) (kΩ)]]/(Table9[[#This Row],[RLower(max) (kΩ)]]+RT1_TH_S_MIN)*100</f>
        <v>61.236344541483859</v>
      </c>
      <c r="AM108" s="20">
        <f>IF(Table9[[#This Row],[Vmin (%)]]&lt;$BA$14, 0, IF(Table9[[#This Row],[Vmin (%)]]&lt;$BA$12, 4, IF(Table9[[#This Row],[Vmin (%)]]&lt;$BA$9, 3, IF(Table9[[#This Row],[Vmin (%)]]&lt;$BA$7, 2, 0))))</f>
        <v>3</v>
      </c>
      <c r="AN108" s="20">
        <f>IF(Table9[[#This Row],[Vmin (%)]]&lt;$BA$13, 0, IF(Table9[[#This Row],[Vmin (%)]]&lt;$BA$11, 4, IF(Table9[[#This Row],[Vmin (%)]]&lt;$BA$10, 3, IF(Table9[[#This Row],[Vmin (%)]]&lt;$BA$8, 2, 0))))</f>
        <v>3</v>
      </c>
      <c r="AO108" s="76" t="str">
        <f>IF(Table9[[#This Row],[Vmin (%)]]&lt;$BA$14, "Hot", IF(Table9[[#This Row],[Vmin (%)]]&lt;$BA$12, "Warm", IF(Table9[[#This Row],[Vmin (%)]]&lt;$BA$9, "Normal", IF(Table9[[#This Row],[Vmin (%)]]&lt;$BA$7, "Cool", "Cold"))))</f>
        <v>Normal</v>
      </c>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row>
    <row r="109" spans="1:210" x14ac:dyDescent="0.2">
      <c r="A109" s="113">
        <f t="shared" si="17"/>
        <v>21</v>
      </c>
      <c r="B109" s="163"/>
      <c r="C109" s="172" t="str">
        <f t="shared" si="12"/>
        <v>RTH at 21 °C</v>
      </c>
      <c r="D109" s="196">
        <f t="shared" si="19"/>
        <v>1.1733333333333333</v>
      </c>
      <c r="E109" s="197">
        <v>11.5</v>
      </c>
      <c r="F109" s="198">
        <v>11.63</v>
      </c>
      <c r="G109" s="199">
        <v>11.77</v>
      </c>
      <c r="H109" s="128" t="s">
        <v>30</v>
      </c>
      <c r="I109" s="29"/>
      <c r="J109" s="29">
        <v>11.77</v>
      </c>
      <c r="K109" s="29">
        <v>11.63</v>
      </c>
      <c r="L109" s="29">
        <v>11.5</v>
      </c>
      <c r="M109" s="29"/>
      <c r="N109" s="29"/>
      <c r="O109" s="29"/>
      <c r="P109" s="29"/>
      <c r="Q109" s="29"/>
      <c r="R109" s="29"/>
      <c r="S109" s="29"/>
      <c r="T109" s="29"/>
      <c r="U109" s="29"/>
      <c r="V109" s="29"/>
      <c r="W109" s="29"/>
      <c r="X109" s="29"/>
      <c r="Y109" s="30"/>
      <c r="Z109" s="18"/>
      <c r="AA109" s="19"/>
      <c r="AB109" s="19"/>
      <c r="AC109" s="20">
        <f t="shared" si="13"/>
        <v>21</v>
      </c>
      <c r="AD109" s="20">
        <f t="shared" si="14"/>
        <v>11.5</v>
      </c>
      <c r="AE109" s="20">
        <f t="shared" si="15"/>
        <v>11.63</v>
      </c>
      <c r="AF109" s="20">
        <f t="shared" si="16"/>
        <v>11.77</v>
      </c>
      <c r="AG109" s="20">
        <f>Table9[[#This Row],[RTH(min) (kΩ)]]*RT2_TH_MIN/(RT2_TH_MIN+Table9[[#This Row],[RTH(min) (kΩ)]])</f>
        <v>8.3492980763780604</v>
      </c>
      <c r="AH109" s="20">
        <f>Table9[[#This Row],[RTH(nom) (kΩ)]]*RT2_TH_S/(RT2_TH_S+Table9[[#This Row],[RTH(nom) (kΩ)]])</f>
        <v>8.4199369952567622</v>
      </c>
      <c r="AI109" s="20">
        <f>Table9[[#This Row],[RTH(max) (kΩ)]]*RT2_TH_S_MAX/(RT2_TH_S_MAX+Table9[[#This Row],[RTH(max) (kΩ)]])</f>
        <v>8.4954383134602054</v>
      </c>
      <c r="AJ109" s="20">
        <f>Table9[[#This Row],[RLower(min) (kΩ)]]/(Table9[[#This Row],[RLower(min) (kΩ)]]+RT1_TH_S_MAX)*100</f>
        <v>61.448275444705338</v>
      </c>
      <c r="AK109" s="20">
        <f>Table9[[#This Row],[RLower(nom) (kΩ)]]/(Table9[[#This Row],[RLower(nom) (kΩ)]]+RT1_TH_S)*100</f>
        <v>61.671290639189671</v>
      </c>
      <c r="AL109" s="20">
        <f>Table9[[#This Row],[RLower(max) (kΩ)]]/(Table9[[#This Row],[RLower(max) (kΩ)]]+RT1_TH_S_MIN)*100</f>
        <v>61.905681614130629</v>
      </c>
      <c r="AM109" s="20">
        <f>IF(Table9[[#This Row],[Vmin (%)]]&lt;$BA$14, 0, IF(Table9[[#This Row],[Vmin (%)]]&lt;$BA$12, 4, IF(Table9[[#This Row],[Vmin (%)]]&lt;$BA$9, 3, IF(Table9[[#This Row],[Vmin (%)]]&lt;$BA$7, 2, 0))))</f>
        <v>3</v>
      </c>
      <c r="AN109" s="20">
        <f>IF(Table9[[#This Row],[Vmin (%)]]&lt;$BA$13, 0, IF(Table9[[#This Row],[Vmin (%)]]&lt;$BA$11, 4, IF(Table9[[#This Row],[Vmin (%)]]&lt;$BA$10, 3, IF(Table9[[#This Row],[Vmin (%)]]&lt;$BA$8, 2, 0))))</f>
        <v>3</v>
      </c>
      <c r="AO109" s="76" t="str">
        <f>IF(Table9[[#This Row],[Vmin (%)]]&lt;$BA$14, "Hot", IF(Table9[[#This Row],[Vmin (%)]]&lt;$BA$12, "Warm", IF(Table9[[#This Row],[Vmin (%)]]&lt;$BA$9, "Normal", IF(Table9[[#This Row],[Vmin (%)]]&lt;$BA$7, "Cool", "Cold"))))</f>
        <v>Normal</v>
      </c>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row>
    <row r="110" spans="1:210" x14ac:dyDescent="0.2">
      <c r="A110" s="113">
        <f t="shared" si="17"/>
        <v>20</v>
      </c>
      <c r="B110" s="163"/>
      <c r="C110" s="172" t="str">
        <f t="shared" si="12"/>
        <v>RTH at 20 °C</v>
      </c>
      <c r="D110" s="196">
        <f t="shared" si="19"/>
        <v>1.2166666666666668</v>
      </c>
      <c r="E110" s="197">
        <v>11.94</v>
      </c>
      <c r="F110" s="198">
        <v>12.09</v>
      </c>
      <c r="G110" s="199">
        <v>12.24</v>
      </c>
      <c r="H110" s="128" t="s">
        <v>30</v>
      </c>
      <c r="I110" s="29"/>
      <c r="J110" s="29">
        <v>12.24</v>
      </c>
      <c r="K110" s="29">
        <v>12.09</v>
      </c>
      <c r="L110" s="29">
        <v>11.94</v>
      </c>
      <c r="M110" s="29"/>
      <c r="N110" s="29"/>
      <c r="O110" s="29"/>
      <c r="P110" s="29"/>
      <c r="Q110" s="29"/>
      <c r="R110" s="29"/>
      <c r="S110" s="29"/>
      <c r="T110" s="29"/>
      <c r="U110" s="29"/>
      <c r="V110" s="29"/>
      <c r="W110" s="29"/>
      <c r="X110" s="29"/>
      <c r="Y110" s="30"/>
      <c r="Z110" s="18"/>
      <c r="AA110" s="19"/>
      <c r="AB110" s="19"/>
      <c r="AC110" s="20">
        <f t="shared" si="13"/>
        <v>20</v>
      </c>
      <c r="AD110" s="20">
        <f t="shared" si="14"/>
        <v>11.94</v>
      </c>
      <c r="AE110" s="20">
        <f t="shared" si="15"/>
        <v>12.09</v>
      </c>
      <c r="AF110" s="20">
        <f t="shared" si="16"/>
        <v>12.24</v>
      </c>
      <c r="AG110" s="20">
        <f>Table9[[#This Row],[RTH(min) (kΩ)]]*RT2_TH_MIN/(RT2_TH_MIN+Table9[[#This Row],[RTH(min) (kΩ)]])</f>
        <v>8.5788220938160809</v>
      </c>
      <c r="AH110" s="20">
        <f>Table9[[#This Row],[RTH(nom) (kΩ)]]*RT2_TH_S/(RT2_TH_S+Table9[[#This Row],[RTH(nom) (kΩ)]])</f>
        <v>8.6584436452689388</v>
      </c>
      <c r="AI110" s="20">
        <f>Table9[[#This Row],[RTH(max) (kΩ)]]*RT2_TH_S_MAX/(RT2_TH_S_MAX+Table9[[#This Row],[RTH(max) (kΩ)]])</f>
        <v>8.7376071656790604</v>
      </c>
      <c r="AJ110" s="20">
        <f>Table9[[#This Row],[RLower(min) (kΩ)]]/(Table9[[#This Row],[RLower(min) (kΩ)]]+RT1_TH_S_MAX)*100</f>
        <v>62.088683427038369</v>
      </c>
      <c r="AK110" s="20">
        <f>Table9[[#This Row],[RLower(nom) (kΩ)]]/(Table9[[#This Row],[RLower(nom) (kΩ)]]+RT1_TH_S)*100</f>
        <v>62.329368959086949</v>
      </c>
      <c r="AL110" s="20">
        <f>Table9[[#This Row],[RLower(max) (kΩ)]]/(Table9[[#This Row],[RLower(max) (kΩ)]]+RT1_TH_S_MIN)*100</f>
        <v>62.566262783852281</v>
      </c>
      <c r="AM110" s="20">
        <f>IF(Table9[[#This Row],[Vmin (%)]]&lt;$BA$14, 0, IF(Table9[[#This Row],[Vmin (%)]]&lt;$BA$12, 4, IF(Table9[[#This Row],[Vmin (%)]]&lt;$BA$9, 3, IF(Table9[[#This Row],[Vmin (%)]]&lt;$BA$7, 2, 0))))</f>
        <v>3</v>
      </c>
      <c r="AN110" s="20">
        <f>IF(Table9[[#This Row],[Vmin (%)]]&lt;$BA$13, 0, IF(Table9[[#This Row],[Vmin (%)]]&lt;$BA$11, 4, IF(Table9[[#This Row],[Vmin (%)]]&lt;$BA$10, 3, IF(Table9[[#This Row],[Vmin (%)]]&lt;$BA$8, 2, 0))))</f>
        <v>3</v>
      </c>
      <c r="AO110" s="76" t="str">
        <f>IF(Table9[[#This Row],[Vmin (%)]]&lt;$BA$14, "Hot", IF(Table9[[#This Row],[Vmin (%)]]&lt;$BA$12, "Warm", IF(Table9[[#This Row],[Vmin (%)]]&lt;$BA$9, "Normal", IF(Table9[[#This Row],[Vmin (%)]]&lt;$BA$7, "Cool", "Cold"))))</f>
        <v>Normal</v>
      </c>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row>
    <row r="111" spans="1:210" x14ac:dyDescent="0.2">
      <c r="A111" s="113">
        <f t="shared" si="17"/>
        <v>19</v>
      </c>
      <c r="B111" s="163"/>
      <c r="C111" s="172" t="str">
        <f t="shared" si="12"/>
        <v>RTH at 19 °C</v>
      </c>
      <c r="D111" s="196">
        <f t="shared" si="19"/>
        <v>1.26</v>
      </c>
      <c r="E111" s="197">
        <v>12.4</v>
      </c>
      <c r="F111" s="198">
        <v>12.56</v>
      </c>
      <c r="G111" s="199">
        <v>12.72</v>
      </c>
      <c r="H111" s="128" t="s">
        <v>30</v>
      </c>
      <c r="I111" s="29"/>
      <c r="J111" s="29">
        <v>12.72</v>
      </c>
      <c r="K111" s="29">
        <v>12.56</v>
      </c>
      <c r="L111" s="29">
        <v>12.4</v>
      </c>
      <c r="M111" s="29"/>
      <c r="N111" s="29"/>
      <c r="O111" s="29"/>
      <c r="P111" s="29"/>
      <c r="Q111" s="29"/>
      <c r="R111" s="29"/>
      <c r="S111" s="29"/>
      <c r="T111" s="29"/>
      <c r="U111" s="29"/>
      <c r="V111" s="29"/>
      <c r="W111" s="29"/>
      <c r="X111" s="29"/>
      <c r="Y111" s="30"/>
      <c r="Z111" s="18"/>
      <c r="AA111" s="19"/>
      <c r="AB111" s="19"/>
      <c r="AC111" s="20">
        <f t="shared" si="13"/>
        <v>19</v>
      </c>
      <c r="AD111" s="20">
        <f t="shared" si="14"/>
        <v>12.4</v>
      </c>
      <c r="AE111" s="20">
        <f t="shared" si="15"/>
        <v>12.56</v>
      </c>
      <c r="AF111" s="20">
        <f t="shared" si="16"/>
        <v>12.72</v>
      </c>
      <c r="AG111" s="20">
        <f>Table9[[#This Row],[RTH(min) (kΩ)]]*RT2_TH_MIN/(RT2_TH_MIN+Table9[[#This Row],[RTH(min) (kΩ)]])</f>
        <v>8.8137419978174929</v>
      </c>
      <c r="AH111" s="20">
        <f>Table9[[#This Row],[RTH(nom) (kΩ)]]*RT2_TH_S/(RT2_TH_S+Table9[[#This Row],[RTH(nom) (kΩ)]])</f>
        <v>8.8968726728432141</v>
      </c>
      <c r="AI111" s="20">
        <f>Table9[[#This Row],[RTH(max) (kΩ)]]*RT2_TH_S_MAX/(RT2_TH_S_MAX+Table9[[#This Row],[RTH(max) (kΩ)]])</f>
        <v>8.9794967803421191</v>
      </c>
      <c r="AJ111" s="20">
        <f>Table9[[#This Row],[RLower(min) (kΩ)]]/(Table9[[#This Row],[RLower(min) (kΩ)]]+RT1_TH_S_MAX)*100</f>
        <v>62.722482481478913</v>
      </c>
      <c r="AK111" s="20">
        <f>Table9[[#This Row],[RLower(nom) (kΩ)]]/(Table9[[#This Row],[RLower(nom) (kΩ)]]+RT1_TH_S)*100</f>
        <v>62.965027734134615</v>
      </c>
      <c r="AL111" s="20">
        <f>Table9[[#This Row],[RLower(max) (kΩ)]]/(Table9[[#This Row],[RLower(max) (kΩ)]]+RT1_TH_S_MIN)*100</f>
        <v>63.203601404957851</v>
      </c>
      <c r="AM111" s="20">
        <f>IF(Table9[[#This Row],[Vmin (%)]]&lt;$BA$14, 0, IF(Table9[[#This Row],[Vmin (%)]]&lt;$BA$12, 4, IF(Table9[[#This Row],[Vmin (%)]]&lt;$BA$9, 3, IF(Table9[[#This Row],[Vmin (%)]]&lt;$BA$7, 2, 0))))</f>
        <v>3</v>
      </c>
      <c r="AN111" s="20">
        <f>IF(Table9[[#This Row],[Vmin (%)]]&lt;$BA$13, 0, IF(Table9[[#This Row],[Vmin (%)]]&lt;$BA$11, 4, IF(Table9[[#This Row],[Vmin (%)]]&lt;$BA$10, 3, IF(Table9[[#This Row],[Vmin (%)]]&lt;$BA$8, 2, 0))))</f>
        <v>3</v>
      </c>
      <c r="AO111" s="76" t="str">
        <f>IF(Table9[[#This Row],[Vmin (%)]]&lt;$BA$14, "Hot", IF(Table9[[#This Row],[Vmin (%)]]&lt;$BA$12, "Warm", IF(Table9[[#This Row],[Vmin (%)]]&lt;$BA$9, "Normal", IF(Table9[[#This Row],[Vmin (%)]]&lt;$BA$7, "Cool", "Cold"))))</f>
        <v>Normal</v>
      </c>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row>
    <row r="112" spans="1:210" x14ac:dyDescent="0.2">
      <c r="A112" s="113">
        <f t="shared" si="17"/>
        <v>18</v>
      </c>
      <c r="B112" s="163"/>
      <c r="C112" s="172" t="str">
        <f t="shared" si="12"/>
        <v>RTH at 18 °C</v>
      </c>
      <c r="D112" s="196">
        <f t="shared" si="19"/>
        <v>1.3033333333333332</v>
      </c>
      <c r="E112" s="197">
        <v>12.89</v>
      </c>
      <c r="F112" s="198">
        <v>13.06</v>
      </c>
      <c r="G112" s="199">
        <v>13.22</v>
      </c>
      <c r="H112" s="128" t="s">
        <v>30</v>
      </c>
      <c r="I112" s="29"/>
      <c r="J112" s="29">
        <v>13.22</v>
      </c>
      <c r="K112" s="29">
        <v>13.06</v>
      </c>
      <c r="L112" s="29">
        <v>12.89</v>
      </c>
      <c r="M112" s="29"/>
      <c r="N112" s="29"/>
      <c r="O112" s="29"/>
      <c r="P112" s="29"/>
      <c r="Q112" s="29"/>
      <c r="R112" s="29"/>
      <c r="S112" s="29"/>
      <c r="T112" s="29"/>
      <c r="U112" s="29"/>
      <c r="V112" s="29"/>
      <c r="W112" s="29"/>
      <c r="X112" s="29"/>
      <c r="Y112" s="30"/>
      <c r="Z112" s="18"/>
      <c r="AA112" s="19"/>
      <c r="AB112" s="19"/>
      <c r="AC112" s="20">
        <f t="shared" si="13"/>
        <v>18</v>
      </c>
      <c r="AD112" s="20">
        <f t="shared" si="14"/>
        <v>12.89</v>
      </c>
      <c r="AE112" s="20">
        <f t="shared" si="15"/>
        <v>13.06</v>
      </c>
      <c r="AF112" s="20">
        <f t="shared" si="16"/>
        <v>13.22</v>
      </c>
      <c r="AG112" s="20">
        <f>Table9[[#This Row],[RTH(min) (kΩ)]]*RT2_TH_MIN/(RT2_TH_MIN+Table9[[#This Row],[RTH(min) (kΩ)]])</f>
        <v>9.0585006950218574</v>
      </c>
      <c r="AH112" s="20">
        <f>Table9[[#This Row],[RTH(nom) (kΩ)]]*RT2_TH_S/(RT2_TH_S+Table9[[#This Row],[RTH(nom) (kΩ)]])</f>
        <v>9.1448729929846575</v>
      </c>
      <c r="AI112" s="20">
        <f>Table9[[#This Row],[RTH(max) (kΩ)]]*RT2_TH_S_MAX/(RT2_TH_S_MAX+Table9[[#This Row],[RTH(max) (kΩ)]])</f>
        <v>9.2258217840465306</v>
      </c>
      <c r="AJ112" s="20">
        <f>Table9[[#This Row],[RLower(min) (kΩ)]]/(Table9[[#This Row],[RLower(min) (kΩ)]]+RT1_TH_S_MAX)*100</f>
        <v>63.360670369224806</v>
      </c>
      <c r="AK112" s="20">
        <f>Table9[[#This Row],[RLower(nom) (kΩ)]]/(Table9[[#This Row],[RLower(nom) (kΩ)]]+RT1_TH_S)*100</f>
        <v>63.603835062473443</v>
      </c>
      <c r="AL112" s="20">
        <f>Table9[[#This Row],[RLower(max) (kΩ)]]/(Table9[[#This Row],[RLower(max) (kΩ)]]+RT1_TH_S_MIN)*100</f>
        <v>63.830703690899306</v>
      </c>
      <c r="AM112" s="20">
        <f>IF(Table9[[#This Row],[Vmin (%)]]&lt;$BA$14, 0, IF(Table9[[#This Row],[Vmin (%)]]&lt;$BA$12, 4, IF(Table9[[#This Row],[Vmin (%)]]&lt;$BA$9, 3, IF(Table9[[#This Row],[Vmin (%)]]&lt;$BA$7, 2, 0))))</f>
        <v>3</v>
      </c>
      <c r="AN112" s="20">
        <f>IF(Table9[[#This Row],[Vmin (%)]]&lt;$BA$13, 0, IF(Table9[[#This Row],[Vmin (%)]]&lt;$BA$11, 4, IF(Table9[[#This Row],[Vmin (%)]]&lt;$BA$10, 3, IF(Table9[[#This Row],[Vmin (%)]]&lt;$BA$8, 2, 0))))</f>
        <v>3</v>
      </c>
      <c r="AO112" s="76" t="str">
        <f>IF(Table9[[#This Row],[Vmin (%)]]&lt;$BA$14, "Hot", IF(Table9[[#This Row],[Vmin (%)]]&lt;$BA$12, "Warm", IF(Table9[[#This Row],[Vmin (%)]]&lt;$BA$9, "Normal", IF(Table9[[#This Row],[Vmin (%)]]&lt;$BA$7, "Cool", "Cold"))))</f>
        <v>Normal</v>
      </c>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c r="GR112" s="19"/>
      <c r="GS112" s="19"/>
      <c r="GT112" s="19"/>
      <c r="GU112" s="19"/>
      <c r="GV112" s="19"/>
      <c r="GW112" s="19"/>
      <c r="GX112" s="19"/>
      <c r="GY112" s="19"/>
      <c r="GZ112" s="19"/>
      <c r="HA112" s="19"/>
      <c r="HB112" s="19"/>
    </row>
    <row r="113" spans="1:210" x14ac:dyDescent="0.2">
      <c r="A113" s="113">
        <f t="shared" si="17"/>
        <v>17</v>
      </c>
      <c r="B113" s="163"/>
      <c r="C113" s="172" t="str">
        <f t="shared" si="12"/>
        <v>RTH at 17 °C</v>
      </c>
      <c r="D113" s="196">
        <f t="shared" si="19"/>
        <v>1.3466666666666667</v>
      </c>
      <c r="E113" s="197">
        <v>13.39</v>
      </c>
      <c r="F113" s="198">
        <v>13.58</v>
      </c>
      <c r="G113" s="199">
        <v>13.75</v>
      </c>
      <c r="H113" s="128" t="s">
        <v>30</v>
      </c>
      <c r="I113" s="29"/>
      <c r="J113" s="29">
        <v>13.75</v>
      </c>
      <c r="K113" s="29">
        <v>13.58</v>
      </c>
      <c r="L113" s="29">
        <v>13.39</v>
      </c>
      <c r="M113" s="29"/>
      <c r="N113" s="29"/>
      <c r="O113" s="29"/>
      <c r="P113" s="29"/>
      <c r="Q113" s="29"/>
      <c r="R113" s="29"/>
      <c r="S113" s="29"/>
      <c r="T113" s="29"/>
      <c r="U113" s="29"/>
      <c r="V113" s="29"/>
      <c r="W113" s="29"/>
      <c r="X113" s="29"/>
      <c r="Y113" s="30"/>
      <c r="Z113" s="18"/>
      <c r="AA113" s="19"/>
      <c r="AB113" s="19"/>
      <c r="AC113" s="20">
        <f t="shared" si="13"/>
        <v>17</v>
      </c>
      <c r="AD113" s="20">
        <f t="shared" si="14"/>
        <v>13.39</v>
      </c>
      <c r="AE113" s="20">
        <f t="shared" si="15"/>
        <v>13.58</v>
      </c>
      <c r="AF113" s="20">
        <f t="shared" si="16"/>
        <v>13.75</v>
      </c>
      <c r="AG113" s="20">
        <f>Table9[[#This Row],[RTH(min) (kΩ)]]*RT2_TH_MIN/(RT2_TH_MIN+Table9[[#This Row],[RTH(min) (kΩ)]])</f>
        <v>9.302617684116969</v>
      </c>
      <c r="AH113" s="20">
        <f>Table9[[#This Row],[RTH(nom) (kΩ)]]*RT2_TH_S/(RT2_TH_S+Table9[[#This Row],[RTH(nom) (kΩ)]])</f>
        <v>9.3968258296120286</v>
      </c>
      <c r="AI113" s="20">
        <f>Table9[[#This Row],[RTH(max) (kΩ)]]*RT2_TH_S_MAX/(RT2_TH_S_MAX+Table9[[#This Row],[RTH(max) (kΩ)]])</f>
        <v>9.480853512160051</v>
      </c>
      <c r="AJ113" s="20">
        <f>Table9[[#This Row],[RLower(min) (kΩ)]]/(Table9[[#This Row],[RLower(min) (kΩ)]]+RT1_TH_S_MAX)*100</f>
        <v>63.975784881944911</v>
      </c>
      <c r="AK113" s="20">
        <f>Table9[[#This Row],[RLower(nom) (kΩ)]]/(Table9[[#This Row],[RLower(nom) (kΩ)]]+RT1_TH_S)*100</f>
        <v>64.230645159492667</v>
      </c>
      <c r="AL113" s="20">
        <f>Table9[[#This Row],[RLower(max) (kΩ)]]/(Table9[[#This Row],[RLower(max) (kΩ)]]+RT1_TH_S_MIN)*100</f>
        <v>64.457840932039218</v>
      </c>
      <c r="AM113" s="20">
        <f>IF(Table9[[#This Row],[Vmin (%)]]&lt;$BA$14, 0, IF(Table9[[#This Row],[Vmin (%)]]&lt;$BA$12, 4, IF(Table9[[#This Row],[Vmin (%)]]&lt;$BA$9, 3, IF(Table9[[#This Row],[Vmin (%)]]&lt;$BA$7, 2, 0))))</f>
        <v>3</v>
      </c>
      <c r="AN113" s="20">
        <f>IF(Table9[[#This Row],[Vmin (%)]]&lt;$BA$13, 0, IF(Table9[[#This Row],[Vmin (%)]]&lt;$BA$11, 4, IF(Table9[[#This Row],[Vmin (%)]]&lt;$BA$10, 3, IF(Table9[[#This Row],[Vmin (%)]]&lt;$BA$8, 2, 0))))</f>
        <v>3</v>
      </c>
      <c r="AO113" s="76" t="str">
        <f>IF(Table9[[#This Row],[Vmin (%)]]&lt;$BA$14, "Hot", IF(Table9[[#This Row],[Vmin (%)]]&lt;$BA$12, "Warm", IF(Table9[[#This Row],[Vmin (%)]]&lt;$BA$9, "Normal", IF(Table9[[#This Row],[Vmin (%)]]&lt;$BA$7, "Cool", "Cold"))))</f>
        <v>Normal</v>
      </c>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row>
    <row r="114" spans="1:210" x14ac:dyDescent="0.2">
      <c r="A114" s="113">
        <f t="shared" si="17"/>
        <v>16</v>
      </c>
      <c r="B114" s="163"/>
      <c r="C114" s="172" t="str">
        <f t="shared" si="12"/>
        <v>RTH at 16 °C</v>
      </c>
      <c r="D114" s="196">
        <f t="shared" si="19"/>
        <v>1.3900000000000001</v>
      </c>
      <c r="E114" s="197">
        <v>13.92</v>
      </c>
      <c r="F114" s="198">
        <v>14.12</v>
      </c>
      <c r="G114" s="199">
        <v>14.31</v>
      </c>
      <c r="H114" s="128" t="s">
        <v>30</v>
      </c>
      <c r="I114" s="29"/>
      <c r="J114" s="29">
        <v>14.31</v>
      </c>
      <c r="K114" s="29">
        <v>14.12</v>
      </c>
      <c r="L114" s="29">
        <v>13.92</v>
      </c>
      <c r="M114" s="29"/>
      <c r="N114" s="29"/>
      <c r="O114" s="29"/>
      <c r="P114" s="29"/>
      <c r="Q114" s="29"/>
      <c r="R114" s="29"/>
      <c r="S114" s="29"/>
      <c r="T114" s="29"/>
      <c r="U114" s="29"/>
      <c r="V114" s="29"/>
      <c r="W114" s="29"/>
      <c r="X114" s="29"/>
      <c r="Y114" s="30"/>
      <c r="Z114" s="18"/>
      <c r="AA114" s="19"/>
      <c r="AB114" s="19"/>
      <c r="AC114" s="20">
        <f t="shared" si="13"/>
        <v>16</v>
      </c>
      <c r="AD114" s="20">
        <f t="shared" si="14"/>
        <v>13.92</v>
      </c>
      <c r="AE114" s="20">
        <f t="shared" si="15"/>
        <v>14.12</v>
      </c>
      <c r="AF114" s="20">
        <f t="shared" si="16"/>
        <v>14.31</v>
      </c>
      <c r="AG114" s="20">
        <f>Table9[[#This Row],[RTH(min) (kΩ)]]*RT2_TH_MIN/(RT2_TH_MIN+Table9[[#This Row],[RTH(min) (kΩ)]])</f>
        <v>9.5553781271166702</v>
      </c>
      <c r="AH114" s="20">
        <f>Table9[[#This Row],[RTH(nom) (kΩ)]]*RT2_TH_S/(RT2_TH_S+Table9[[#This Row],[RTH(nom) (kΩ)]])</f>
        <v>9.6522542535847329</v>
      </c>
      <c r="AI114" s="20">
        <f>Table9[[#This Row],[RTH(max) (kΩ)]]*RT2_TH_S_MAX/(RT2_TH_S_MAX+Table9[[#This Row],[RTH(max) (kΩ)]])</f>
        <v>9.7437714517178122</v>
      </c>
      <c r="AJ114" s="20">
        <f>Table9[[#This Row],[RLower(min) (kΩ)]]/(Table9[[#This Row],[RLower(min) (kΩ)]]+RT1_TH_S_MAX)*100</f>
        <v>64.59128720577381</v>
      </c>
      <c r="AK114" s="20">
        <f>Table9[[#This Row],[RLower(nom) (kΩ)]]/(Table9[[#This Row],[RLower(nom) (kΩ)]]+RT1_TH_S)*100</f>
        <v>64.844441552341237</v>
      </c>
      <c r="AL114" s="20">
        <f>Table9[[#This Row],[RLower(max) (kΩ)]]/(Table9[[#This Row],[RLower(max) (kΩ)]]+RT1_TH_S_MIN)*100</f>
        <v>65.082003691265385</v>
      </c>
      <c r="AM114" s="20">
        <f>IF(Table9[[#This Row],[Vmin (%)]]&lt;$BA$14, 0, IF(Table9[[#This Row],[Vmin (%)]]&lt;$BA$12, 4, IF(Table9[[#This Row],[Vmin (%)]]&lt;$BA$9, 3, IF(Table9[[#This Row],[Vmin (%)]]&lt;$BA$7, 2, 0))))</f>
        <v>3</v>
      </c>
      <c r="AN114" s="20">
        <f>IF(Table9[[#This Row],[Vmin (%)]]&lt;$BA$13, 0, IF(Table9[[#This Row],[Vmin (%)]]&lt;$BA$11, 4, IF(Table9[[#This Row],[Vmin (%)]]&lt;$BA$10, 3, IF(Table9[[#This Row],[Vmin (%)]]&lt;$BA$8, 2, 0))))</f>
        <v>3</v>
      </c>
      <c r="AO114" s="76" t="str">
        <f>IF(Table9[[#This Row],[Vmin (%)]]&lt;$BA$14, "Hot", IF(Table9[[#This Row],[Vmin (%)]]&lt;$BA$12, "Warm", IF(Table9[[#This Row],[Vmin (%)]]&lt;$BA$9, "Normal", IF(Table9[[#This Row],[Vmin (%)]]&lt;$BA$7, "Cool", "Cold"))))</f>
        <v>Normal</v>
      </c>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row>
    <row r="115" spans="1:210" x14ac:dyDescent="0.2">
      <c r="A115" s="113">
        <f t="shared" si="17"/>
        <v>15</v>
      </c>
      <c r="B115" s="163"/>
      <c r="C115" s="172" t="str">
        <f t="shared" si="12"/>
        <v>RTH at 15 °C</v>
      </c>
      <c r="D115" s="196">
        <f t="shared" si="19"/>
        <v>1.4333333333333333</v>
      </c>
      <c r="E115" s="197">
        <v>14.48</v>
      </c>
      <c r="F115" s="198">
        <v>14.69</v>
      </c>
      <c r="G115" s="199">
        <v>14.89</v>
      </c>
      <c r="H115" s="128" t="s">
        <v>30</v>
      </c>
      <c r="I115" s="29"/>
      <c r="J115" s="29">
        <v>14.89</v>
      </c>
      <c r="K115" s="29">
        <v>14.69</v>
      </c>
      <c r="L115" s="29">
        <v>14.48</v>
      </c>
      <c r="M115" s="29"/>
      <c r="N115" s="29"/>
      <c r="O115" s="29"/>
      <c r="P115" s="29"/>
      <c r="Q115" s="29"/>
      <c r="R115" s="29"/>
      <c r="S115" s="29"/>
      <c r="T115" s="29"/>
      <c r="U115" s="29"/>
      <c r="V115" s="29"/>
      <c r="W115" s="29"/>
      <c r="X115" s="29"/>
      <c r="Y115" s="30"/>
      <c r="Z115" s="18"/>
      <c r="AA115" s="19"/>
      <c r="AB115" s="19"/>
      <c r="AC115" s="20">
        <f t="shared" si="13"/>
        <v>15</v>
      </c>
      <c r="AD115" s="20">
        <f t="shared" si="14"/>
        <v>14.48</v>
      </c>
      <c r="AE115" s="20">
        <f t="shared" si="15"/>
        <v>14.69</v>
      </c>
      <c r="AF115" s="20">
        <f t="shared" si="16"/>
        <v>14.89</v>
      </c>
      <c r="AG115" s="20">
        <f>Table9[[#This Row],[RTH(min) (kΩ)]]*RT2_TH_MIN/(RT2_TH_MIN+Table9[[#This Row],[RTH(min) (kΩ)]])</f>
        <v>9.8159702852747266</v>
      </c>
      <c r="AH115" s="20">
        <f>Table9[[#This Row],[RTH(nom) (kΩ)]]*RT2_TH_S/(RT2_TH_S+Table9[[#This Row],[RTH(nom) (kΩ)]])</f>
        <v>9.915251282003922</v>
      </c>
      <c r="AI115" s="20">
        <f>Table9[[#This Row],[RTH(max) (kΩ)]]*RT2_TH_S_MAX/(RT2_TH_S_MAX+Table9[[#This Row],[RTH(max) (kΩ)]])</f>
        <v>10.009245512333102</v>
      </c>
      <c r="AJ115" s="20">
        <f>Table9[[#This Row],[RLower(min) (kΩ)]]/(Table9[[#This Row],[RLower(min) (kΩ)]]+RT1_TH_S_MAX)*100</f>
        <v>65.204221556508898</v>
      </c>
      <c r="AK115" s="20">
        <f>Table9[[#This Row],[RLower(nom) (kΩ)]]/(Table9[[#This Row],[RLower(nom) (kΩ)]]+RT1_TH_S)*100</f>
        <v>65.454796677537914</v>
      </c>
      <c r="AL115" s="20">
        <f>Table9[[#This Row],[RLower(max) (kΩ)]]/(Table9[[#This Row],[RLower(max) (kΩ)]]+RT1_TH_S_MIN)*100</f>
        <v>65.690379358201582</v>
      </c>
      <c r="AM115" s="20">
        <f>IF(Table9[[#This Row],[Vmin (%)]]&lt;$BA$14, 0, IF(Table9[[#This Row],[Vmin (%)]]&lt;$BA$12, 4, IF(Table9[[#This Row],[Vmin (%)]]&lt;$BA$9, 3, IF(Table9[[#This Row],[Vmin (%)]]&lt;$BA$7, 2, 0))))</f>
        <v>3</v>
      </c>
      <c r="AN115" s="20">
        <f>IF(Table9[[#This Row],[Vmin (%)]]&lt;$BA$13, 0, IF(Table9[[#This Row],[Vmin (%)]]&lt;$BA$11, 4, IF(Table9[[#This Row],[Vmin (%)]]&lt;$BA$10, 3, IF(Table9[[#This Row],[Vmin (%)]]&lt;$BA$8, 2, 0))))</f>
        <v>3</v>
      </c>
      <c r="AO115" s="76" t="str">
        <f>IF(Table9[[#This Row],[Vmin (%)]]&lt;$BA$14, "Hot", IF(Table9[[#This Row],[Vmin (%)]]&lt;$BA$12, "Warm", IF(Table9[[#This Row],[Vmin (%)]]&lt;$BA$9, "Normal", IF(Table9[[#This Row],[Vmin (%)]]&lt;$BA$7, "Cool", "Cold"))))</f>
        <v>Normal</v>
      </c>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row>
    <row r="116" spans="1:210" x14ac:dyDescent="0.2">
      <c r="A116" s="113">
        <f t="shared" si="17"/>
        <v>14</v>
      </c>
      <c r="B116" s="163"/>
      <c r="C116" s="172" t="str">
        <f t="shared" ref="C116:C147" si="20">_xlfn.CONCAT("RTH at ",A116, " °C")</f>
        <v>RTH at 14 °C</v>
      </c>
      <c r="D116" s="196">
        <f t="shared" si="19"/>
        <v>1.4766666666666666</v>
      </c>
      <c r="E116" s="197">
        <v>15.06</v>
      </c>
      <c r="F116" s="198">
        <v>15.28</v>
      </c>
      <c r="G116" s="199">
        <v>15.5</v>
      </c>
      <c r="H116" s="128" t="s">
        <v>30</v>
      </c>
      <c r="I116" s="29"/>
      <c r="J116" s="29">
        <v>15.5</v>
      </c>
      <c r="K116" s="29">
        <v>15.28</v>
      </c>
      <c r="L116" s="29">
        <v>15.06</v>
      </c>
      <c r="M116" s="29"/>
      <c r="N116" s="29"/>
      <c r="O116" s="29"/>
      <c r="P116" s="29"/>
      <c r="Q116" s="29"/>
      <c r="R116" s="29"/>
      <c r="S116" s="29"/>
      <c r="T116" s="29"/>
      <c r="U116" s="29"/>
      <c r="V116" s="29"/>
      <c r="W116" s="29"/>
      <c r="X116" s="29"/>
      <c r="Y116" s="30"/>
      <c r="Z116" s="18"/>
      <c r="AA116" s="19"/>
      <c r="AB116" s="19"/>
      <c r="AC116" s="20">
        <f t="shared" ref="AC116:AC147" si="21">A116</f>
        <v>14</v>
      </c>
      <c r="AD116" s="20">
        <f t="shared" ref="AD116:AD147" si="22">E116</f>
        <v>15.06</v>
      </c>
      <c r="AE116" s="20">
        <f t="shared" ref="AE116:AE147" si="23">F116</f>
        <v>15.28</v>
      </c>
      <c r="AF116" s="20">
        <f t="shared" ref="AF116:AF147" si="24">G116</f>
        <v>15.5</v>
      </c>
      <c r="AG116" s="20">
        <f>Table9[[#This Row],[RTH(min) (kΩ)]]*RT2_TH_MIN/(RT2_TH_MIN+Table9[[#This Row],[RTH(min) (kΩ)]])</f>
        <v>10.079112165265794</v>
      </c>
      <c r="AH116" s="20">
        <f>Table9[[#This Row],[RTH(nom) (kΩ)]]*RT2_TH_S/(RT2_TH_S+Table9[[#This Row],[RTH(nom) (kΩ)]])</f>
        <v>10.180579277974362</v>
      </c>
      <c r="AI116" s="20">
        <f>Table9[[#This Row],[RTH(max) (kΩ)]]*RT2_TH_S_MAX/(RT2_TH_S_MAX+Table9[[#This Row],[RTH(max) (kΩ)]])</f>
        <v>10.281233680034354</v>
      </c>
      <c r="AJ116" s="20">
        <f>Table9[[#This Row],[RLower(min) (kΩ)]]/(Table9[[#This Row],[RLower(min) (kΩ)]]+RT1_TH_S_MAX)*100</f>
        <v>65.8019904096641</v>
      </c>
      <c r="AK116" s="20">
        <f>Table9[[#This Row],[RLower(nom) (kΩ)]]/(Table9[[#This Row],[RLower(nom) (kΩ)]]+RT1_TH_S)*100</f>
        <v>66.049455106139192</v>
      </c>
      <c r="AL116" s="20">
        <f>Table9[[#This Row],[RLower(max) (kΩ)]]/(Table9[[#This Row],[RLower(max) (kΩ)]]+RT1_TH_S_MIN)*100</f>
        <v>66.292082612142664</v>
      </c>
      <c r="AM116" s="20">
        <f>IF(Table9[[#This Row],[Vmin (%)]]&lt;$BA$14, 0, IF(Table9[[#This Row],[Vmin (%)]]&lt;$BA$12, 4, IF(Table9[[#This Row],[Vmin (%)]]&lt;$BA$9, 3, IF(Table9[[#This Row],[Vmin (%)]]&lt;$BA$7, 2, 0))))</f>
        <v>3</v>
      </c>
      <c r="AN116" s="20">
        <f>IF(Table9[[#This Row],[Vmin (%)]]&lt;$BA$13, 0, IF(Table9[[#This Row],[Vmin (%)]]&lt;$BA$11, 4, IF(Table9[[#This Row],[Vmin (%)]]&lt;$BA$10, 3, IF(Table9[[#This Row],[Vmin (%)]]&lt;$BA$8, 2, 0))))</f>
        <v>3</v>
      </c>
      <c r="AO116" s="76" t="str">
        <f>IF(Table9[[#This Row],[Vmin (%)]]&lt;$BA$14, "Hot", IF(Table9[[#This Row],[Vmin (%)]]&lt;$BA$12, "Warm", IF(Table9[[#This Row],[Vmin (%)]]&lt;$BA$9, "Normal", IF(Table9[[#This Row],[Vmin (%)]]&lt;$BA$7, "Cool", "Cold"))))</f>
        <v>Normal</v>
      </c>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row>
    <row r="117" spans="1:210" x14ac:dyDescent="0.2">
      <c r="A117" s="113">
        <f t="shared" si="17"/>
        <v>13</v>
      </c>
      <c r="B117" s="163"/>
      <c r="C117" s="172" t="str">
        <f t="shared" si="20"/>
        <v>RTH at 13 °C</v>
      </c>
      <c r="D117" s="196">
        <f t="shared" si="19"/>
        <v>1.52</v>
      </c>
      <c r="E117" s="197">
        <v>15.67</v>
      </c>
      <c r="F117" s="198">
        <v>15.9</v>
      </c>
      <c r="G117" s="199">
        <v>16.14</v>
      </c>
      <c r="H117" s="128" t="s">
        <v>30</v>
      </c>
      <c r="I117" s="29"/>
      <c r="J117" s="29">
        <v>16.14</v>
      </c>
      <c r="K117" s="29">
        <v>15.9</v>
      </c>
      <c r="L117" s="29">
        <v>15.67</v>
      </c>
      <c r="M117" s="29"/>
      <c r="N117" s="29"/>
      <c r="O117" s="29"/>
      <c r="P117" s="29"/>
      <c r="Q117" s="29"/>
      <c r="R117" s="29"/>
      <c r="S117" s="29"/>
      <c r="T117" s="29"/>
      <c r="U117" s="29"/>
      <c r="V117" s="29"/>
      <c r="W117" s="29"/>
      <c r="X117" s="29"/>
      <c r="Y117" s="30"/>
      <c r="Z117" s="18"/>
      <c r="AA117" s="19"/>
      <c r="AB117" s="19"/>
      <c r="AC117" s="20">
        <f t="shared" si="21"/>
        <v>13</v>
      </c>
      <c r="AD117" s="20">
        <f t="shared" si="22"/>
        <v>15.67</v>
      </c>
      <c r="AE117" s="20">
        <f t="shared" si="23"/>
        <v>15.9</v>
      </c>
      <c r="AF117" s="20">
        <f t="shared" si="24"/>
        <v>16.14</v>
      </c>
      <c r="AG117" s="20">
        <f>Table9[[#This Row],[RTH(min) (kΩ)]]*RT2_TH_MIN/(RT2_TH_MIN+Table9[[#This Row],[RTH(min) (kΩ)]])</f>
        <v>10.348727822959214</v>
      </c>
      <c r="AH117" s="20">
        <f>Table9[[#This Row],[RTH(nom) (kΩ)]]*RT2_TH_S/(RT2_TH_S+Table9[[#This Row],[RTH(nom) (kΩ)]])</f>
        <v>10.452128422065087</v>
      </c>
      <c r="AI117" s="20">
        <f>Table9[[#This Row],[RTH(max) (kΩ)]]*RT2_TH_S_MAX/(RT2_TH_S_MAX+Table9[[#This Row],[RTH(max) (kΩ)]])</f>
        <v>10.558956112517928</v>
      </c>
      <c r="AJ117" s="20">
        <f>Table9[[#This Row],[RLower(min) (kΩ)]]/(Table9[[#This Row],[RLower(min) (kΩ)]]+RT1_TH_S_MAX)*100</f>
        <v>66.393531261950102</v>
      </c>
      <c r="AK117" s="20">
        <f>Table9[[#This Row],[RLower(nom) (kΩ)]]/(Table9[[#This Row],[RLower(nom) (kΩ)]]+RT1_TH_S)*100</f>
        <v>66.637225021877228</v>
      </c>
      <c r="AL117" s="20">
        <f>Table9[[#This Row],[RLower(max) (kΩ)]]/(Table9[[#This Row],[RLower(max) (kΩ)]]+RT1_TH_S_MIN)*100</f>
        <v>66.885077750451885</v>
      </c>
      <c r="AM117" s="20">
        <f>IF(Table9[[#This Row],[Vmin (%)]]&lt;$BA$14, 0, IF(Table9[[#This Row],[Vmin (%)]]&lt;$BA$12, 4, IF(Table9[[#This Row],[Vmin (%)]]&lt;$BA$9, 3, IF(Table9[[#This Row],[Vmin (%)]]&lt;$BA$7, 2, 0))))</f>
        <v>3</v>
      </c>
      <c r="AN117" s="20">
        <f>IF(Table9[[#This Row],[Vmin (%)]]&lt;$BA$13, 0, IF(Table9[[#This Row],[Vmin (%)]]&lt;$BA$11, 4, IF(Table9[[#This Row],[Vmin (%)]]&lt;$BA$10, 3, IF(Table9[[#This Row],[Vmin (%)]]&lt;$BA$8, 2, 0))))</f>
        <v>3</v>
      </c>
      <c r="AO117" s="76" t="str">
        <f>IF(Table9[[#This Row],[Vmin (%)]]&lt;$BA$14, "Hot", IF(Table9[[#This Row],[Vmin (%)]]&lt;$BA$12, "Warm", IF(Table9[[#This Row],[Vmin (%)]]&lt;$BA$9, "Normal", IF(Table9[[#This Row],[Vmin (%)]]&lt;$BA$7, "Cool", "Cold"))))</f>
        <v>Normal</v>
      </c>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row>
    <row r="118" spans="1:210" x14ac:dyDescent="0.2">
      <c r="A118" s="113">
        <f t="shared" si="17"/>
        <v>12</v>
      </c>
      <c r="B118" s="163"/>
      <c r="C118" s="172" t="str">
        <f t="shared" si="20"/>
        <v>RTH at 12 °C</v>
      </c>
      <c r="D118" s="196">
        <f t="shared" si="19"/>
        <v>1.5633333333333335</v>
      </c>
      <c r="E118" s="197">
        <v>16.3</v>
      </c>
      <c r="F118" s="198">
        <v>16.559999999999999</v>
      </c>
      <c r="G118" s="199">
        <v>16.809999999999999</v>
      </c>
      <c r="H118" s="128" t="s">
        <v>30</v>
      </c>
      <c r="I118" s="29"/>
      <c r="J118" s="29">
        <v>16.809999999999999</v>
      </c>
      <c r="K118" s="29">
        <v>16.559999999999999</v>
      </c>
      <c r="L118" s="29">
        <v>16.3</v>
      </c>
      <c r="M118" s="29"/>
      <c r="N118" s="29"/>
      <c r="O118" s="29"/>
      <c r="P118" s="29"/>
      <c r="Q118" s="29"/>
      <c r="R118" s="29"/>
      <c r="S118" s="29"/>
      <c r="T118" s="29"/>
      <c r="U118" s="29"/>
      <c r="V118" s="29"/>
      <c r="W118" s="29"/>
      <c r="X118" s="29"/>
      <c r="Y118" s="30"/>
      <c r="Z118" s="18"/>
      <c r="AA118" s="19"/>
      <c r="AB118" s="19"/>
      <c r="AC118" s="20">
        <f t="shared" si="21"/>
        <v>12</v>
      </c>
      <c r="AD118" s="20">
        <f t="shared" si="22"/>
        <v>16.3</v>
      </c>
      <c r="AE118" s="20">
        <f t="shared" si="23"/>
        <v>16.559999999999999</v>
      </c>
      <c r="AF118" s="20">
        <f t="shared" si="24"/>
        <v>16.809999999999999</v>
      </c>
      <c r="AG118" s="20">
        <f>Table9[[#This Row],[RTH(min) (kΩ)]]*RT2_TH_MIN/(RT2_TH_MIN+Table9[[#This Row],[RTH(min) (kΩ)]])</f>
        <v>10.619801478098541</v>
      </c>
      <c r="AH118" s="20">
        <f>Table9[[#This Row],[RTH(nom) (kΩ)]]*RT2_TH_S/(RT2_TH_S+Table9[[#This Row],[RTH(nom) (kΩ)]])</f>
        <v>10.733335282531568</v>
      </c>
      <c r="AI118" s="20">
        <f>Table9[[#This Row],[RTH(max) (kΩ)]]*RT2_TH_S_MAX/(RT2_TH_S_MAX+Table9[[#This Row],[RTH(max) (kΩ)]])</f>
        <v>10.841652344878064</v>
      </c>
      <c r="AJ118" s="20">
        <f>Table9[[#This Row],[RLower(min) (kΩ)]]/(Table9[[#This Row],[RLower(min) (kΩ)]]+RT1_TH_S_MAX)*100</f>
        <v>66.967992959623416</v>
      </c>
      <c r="AK118" s="20">
        <f>Table9[[#This Row],[RLower(nom) (kΩ)]]/(Table9[[#This Row],[RLower(nom) (kΩ)]]+RT1_TH_S)*100</f>
        <v>67.224826762926654</v>
      </c>
      <c r="AL118" s="20">
        <f>Table9[[#This Row],[RLower(max) (kΩ)]]/(Table9[[#This Row],[RLower(max) (kΩ)]]+RT1_TH_S_MIN)*100</f>
        <v>67.467641980454459</v>
      </c>
      <c r="AM118" s="20">
        <f>IF(Table9[[#This Row],[Vmin (%)]]&lt;$BA$14, 0, IF(Table9[[#This Row],[Vmin (%)]]&lt;$BA$12, 4, IF(Table9[[#This Row],[Vmin (%)]]&lt;$BA$9, 3, IF(Table9[[#This Row],[Vmin (%)]]&lt;$BA$7, 2, 0))))</f>
        <v>3</v>
      </c>
      <c r="AN118" s="20">
        <f>IF(Table9[[#This Row],[Vmin (%)]]&lt;$BA$13, 0, IF(Table9[[#This Row],[Vmin (%)]]&lt;$BA$11, 4, IF(Table9[[#This Row],[Vmin (%)]]&lt;$BA$10, 3, IF(Table9[[#This Row],[Vmin (%)]]&lt;$BA$8, 2, 0))))</f>
        <v>2</v>
      </c>
      <c r="AO118" s="76" t="str">
        <f>IF(Table9[[#This Row],[Vmin (%)]]&lt;$BA$14, "Hot", IF(Table9[[#This Row],[Vmin (%)]]&lt;$BA$12, "Warm", IF(Table9[[#This Row],[Vmin (%)]]&lt;$BA$9, "Normal", IF(Table9[[#This Row],[Vmin (%)]]&lt;$BA$7, "Cool", "Cold"))))</f>
        <v>Normal</v>
      </c>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row>
    <row r="119" spans="1:210" x14ac:dyDescent="0.2">
      <c r="A119" s="113">
        <f t="shared" si="17"/>
        <v>11</v>
      </c>
      <c r="B119" s="163"/>
      <c r="C119" s="172" t="str">
        <f t="shared" si="20"/>
        <v>RTH at 11 °C</v>
      </c>
      <c r="D119" s="196">
        <f t="shared" si="19"/>
        <v>1.6066666666666667</v>
      </c>
      <c r="E119" s="197">
        <v>16.97</v>
      </c>
      <c r="F119" s="198">
        <v>17.239999999999998</v>
      </c>
      <c r="G119" s="199">
        <v>17.510000000000002</v>
      </c>
      <c r="H119" s="128" t="s">
        <v>30</v>
      </c>
      <c r="I119" s="29"/>
      <c r="J119" s="29">
        <v>17.510000000000002</v>
      </c>
      <c r="K119" s="29">
        <v>17.239999999999998</v>
      </c>
      <c r="L119" s="29">
        <v>16.97</v>
      </c>
      <c r="M119" s="29"/>
      <c r="N119" s="29"/>
      <c r="O119" s="29"/>
      <c r="P119" s="29"/>
      <c r="Q119" s="29"/>
      <c r="R119" s="29"/>
      <c r="S119" s="29"/>
      <c r="T119" s="29"/>
      <c r="U119" s="29"/>
      <c r="V119" s="29"/>
      <c r="W119" s="29"/>
      <c r="X119" s="29"/>
      <c r="Y119" s="30"/>
      <c r="Z119" s="18"/>
      <c r="AA119" s="19"/>
      <c r="AB119" s="19"/>
      <c r="AC119" s="20">
        <f t="shared" si="21"/>
        <v>11</v>
      </c>
      <c r="AD119" s="20">
        <f t="shared" si="22"/>
        <v>16.97</v>
      </c>
      <c r="AE119" s="20">
        <f t="shared" si="23"/>
        <v>17.239999999999998</v>
      </c>
      <c r="AF119" s="20">
        <f t="shared" si="24"/>
        <v>17.510000000000002</v>
      </c>
      <c r="AG119" s="20">
        <f>Table9[[#This Row],[RTH(min) (kΩ)]]*RT2_TH_MIN/(RT2_TH_MIN+Table9[[#This Row],[RTH(min) (kΩ)]])</f>
        <v>10.90018707848286</v>
      </c>
      <c r="AH119" s="20">
        <f>Table9[[#This Row],[RTH(nom) (kΩ)]]*RT2_TH_S/(RT2_TH_S+Table9[[#This Row],[RTH(nom) (kΩ)]])</f>
        <v>11.014932164374109</v>
      </c>
      <c r="AI119" s="20">
        <f>Table9[[#This Row],[RTH(max) (kΩ)]]*RT2_TH_S_MAX/(RT2_TH_S_MAX+Table9[[#This Row],[RTH(max) (kΩ)]])</f>
        <v>11.128584747387871</v>
      </c>
      <c r="AJ119" s="20">
        <f>Table9[[#This Row],[RLower(min) (kΩ)]]/(Table9[[#This Row],[RLower(min) (kΩ)]]+RT1_TH_S_MAX)*100</f>
        <v>67.541884590075711</v>
      </c>
      <c r="AK119" s="20">
        <f>Table9[[#This Row],[RLower(nom) (kΩ)]]/(Table9[[#This Row],[RLower(nom) (kΩ)]]+RT1_TH_S)*100</f>
        <v>67.792861607050597</v>
      </c>
      <c r="AL119" s="20">
        <f>Table9[[#This Row],[RLower(max) (kΩ)]]/(Table9[[#This Row],[RLower(max) (kΩ)]]+RT1_TH_S_MIN)*100</f>
        <v>68.038343371418421</v>
      </c>
      <c r="AM119" s="20">
        <f>IF(Table9[[#This Row],[Vmin (%)]]&lt;$BA$14, 0, IF(Table9[[#This Row],[Vmin (%)]]&lt;$BA$12, 4, IF(Table9[[#This Row],[Vmin (%)]]&lt;$BA$9, 3, IF(Table9[[#This Row],[Vmin (%)]]&lt;$BA$7, 2, 0))))</f>
        <v>3</v>
      </c>
      <c r="AN119" s="20">
        <f>IF(Table9[[#This Row],[Vmin (%)]]&lt;$BA$13, 0, IF(Table9[[#This Row],[Vmin (%)]]&lt;$BA$11, 4, IF(Table9[[#This Row],[Vmin (%)]]&lt;$BA$10, 3, IF(Table9[[#This Row],[Vmin (%)]]&lt;$BA$8, 2, 0))))</f>
        <v>2</v>
      </c>
      <c r="AO119" s="76" t="str">
        <f>IF(Table9[[#This Row],[Vmin (%)]]&lt;$BA$14, "Hot", IF(Table9[[#This Row],[Vmin (%)]]&lt;$BA$12, "Warm", IF(Table9[[#This Row],[Vmin (%)]]&lt;$BA$9, "Normal", IF(Table9[[#This Row],[Vmin (%)]]&lt;$BA$7, "Cool", "Cold"))))</f>
        <v>Normal</v>
      </c>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row>
    <row r="120" spans="1:210" x14ac:dyDescent="0.2">
      <c r="A120" s="113">
        <f t="shared" si="17"/>
        <v>10</v>
      </c>
      <c r="B120" s="163"/>
      <c r="C120" s="172" t="str">
        <f t="shared" si="20"/>
        <v>RTH at 10 °C</v>
      </c>
      <c r="D120" s="196">
        <f t="shared" si="19"/>
        <v>1.65</v>
      </c>
      <c r="E120" s="197">
        <v>17.670000000000002</v>
      </c>
      <c r="F120" s="198">
        <v>17.96</v>
      </c>
      <c r="G120" s="199">
        <v>18.25</v>
      </c>
      <c r="H120" s="128" t="s">
        <v>30</v>
      </c>
      <c r="I120" s="29"/>
      <c r="J120" s="29">
        <v>18.25</v>
      </c>
      <c r="K120" s="29">
        <v>17.96</v>
      </c>
      <c r="L120" s="29">
        <v>17.670000000000002</v>
      </c>
      <c r="M120" s="29"/>
      <c r="N120" s="29"/>
      <c r="O120" s="29"/>
      <c r="P120" s="29"/>
      <c r="Q120" s="29"/>
      <c r="R120" s="29"/>
      <c r="S120" s="29"/>
      <c r="T120" s="29"/>
      <c r="U120" s="29"/>
      <c r="V120" s="29"/>
      <c r="W120" s="29"/>
      <c r="X120" s="29"/>
      <c r="Y120" s="30"/>
      <c r="Z120" s="18"/>
      <c r="AA120" s="19"/>
      <c r="AB120" s="19"/>
      <c r="AC120" s="20">
        <f t="shared" si="21"/>
        <v>10</v>
      </c>
      <c r="AD120" s="20">
        <f t="shared" si="22"/>
        <v>17.670000000000002</v>
      </c>
      <c r="AE120" s="20">
        <f t="shared" si="23"/>
        <v>17.96</v>
      </c>
      <c r="AF120" s="20">
        <f t="shared" si="24"/>
        <v>18.25</v>
      </c>
      <c r="AG120" s="20">
        <f>Table9[[#This Row],[RTH(min) (kΩ)]]*RT2_TH_MIN/(RT2_TH_MIN+Table9[[#This Row],[RTH(min) (kΩ)]])</f>
        <v>11.184791398959611</v>
      </c>
      <c r="AH120" s="20">
        <f>Table9[[#This Row],[RTH(nom) (kΩ)]]*RT2_TH_S/(RT2_TH_S+Table9[[#This Row],[RTH(nom) (kΩ)]])</f>
        <v>11.304480681772615</v>
      </c>
      <c r="AI120" s="20">
        <f>Table9[[#This Row],[RTH(max) (kΩ)]]*RT2_TH_S_MAX/(RT2_TH_S_MAX+Table9[[#This Row],[RTH(max) (kΩ)]])</f>
        <v>11.422960000798708</v>
      </c>
      <c r="AJ120" s="20">
        <f>Table9[[#This Row],[RLower(min) (kΩ)]]/(Table9[[#This Row],[RLower(min) (kΩ)]]+RT1_TH_S_MAX)*100</f>
        <v>68.104370807021056</v>
      </c>
      <c r="AK120" s="20">
        <f>Table9[[#This Row],[RLower(nom) (kΩ)]]/(Table9[[#This Row],[RLower(nom) (kΩ)]]+RT1_TH_S)*100</f>
        <v>68.356764558359401</v>
      </c>
      <c r="AL120" s="20">
        <f>Table9[[#This Row],[RLower(max) (kΩ)]]/(Table9[[#This Row],[RLower(max) (kΩ)]]+RT1_TH_S_MIN)*100</f>
        <v>68.603407333288118</v>
      </c>
      <c r="AM120" s="20">
        <f>IF(Table9[[#This Row],[Vmin (%)]]&lt;$BA$14, 0, IF(Table9[[#This Row],[Vmin (%)]]&lt;$BA$12, 4, IF(Table9[[#This Row],[Vmin (%)]]&lt;$BA$9, 3, IF(Table9[[#This Row],[Vmin (%)]]&lt;$BA$7, 2, 0))))</f>
        <v>3</v>
      </c>
      <c r="AN120" s="20">
        <f>IF(Table9[[#This Row],[Vmin (%)]]&lt;$BA$13, 0, IF(Table9[[#This Row],[Vmin (%)]]&lt;$BA$11, 4, IF(Table9[[#This Row],[Vmin (%)]]&lt;$BA$10, 3, IF(Table9[[#This Row],[Vmin (%)]]&lt;$BA$8, 2, 0))))</f>
        <v>2</v>
      </c>
      <c r="AO120" s="76" t="str">
        <f>IF(Table9[[#This Row],[Vmin (%)]]&lt;$BA$14, "Hot", IF(Table9[[#This Row],[Vmin (%)]]&lt;$BA$12, "Warm", IF(Table9[[#This Row],[Vmin (%)]]&lt;$BA$9, "Normal", IF(Table9[[#This Row],[Vmin (%)]]&lt;$BA$7, "Cool", "Cold"))))</f>
        <v>Normal</v>
      </c>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row>
    <row r="121" spans="1:210" x14ac:dyDescent="0.2">
      <c r="A121" s="113">
        <f t="shared" si="17"/>
        <v>9</v>
      </c>
      <c r="B121" s="163"/>
      <c r="C121" s="172" t="str">
        <f t="shared" si="20"/>
        <v>RTH at 9 °C</v>
      </c>
      <c r="D121" s="196">
        <f t="shared" si="19"/>
        <v>1.6933333333333334</v>
      </c>
      <c r="E121" s="197">
        <v>18.39</v>
      </c>
      <c r="F121" s="198">
        <v>18.7</v>
      </c>
      <c r="G121" s="199">
        <v>19.010000000000002</v>
      </c>
      <c r="H121" s="128" t="s">
        <v>30</v>
      </c>
      <c r="I121" s="29"/>
      <c r="J121" s="29">
        <v>19.010000000000002</v>
      </c>
      <c r="K121" s="29">
        <v>18.7</v>
      </c>
      <c r="L121" s="29">
        <v>18.39</v>
      </c>
      <c r="M121" s="29"/>
      <c r="N121" s="29"/>
      <c r="O121" s="29"/>
      <c r="P121" s="29"/>
      <c r="Q121" s="29"/>
      <c r="R121" s="29"/>
      <c r="S121" s="29"/>
      <c r="T121" s="29"/>
      <c r="U121" s="29"/>
      <c r="V121" s="29"/>
      <c r="W121" s="29"/>
      <c r="X121" s="29"/>
      <c r="Y121" s="30"/>
      <c r="Z121" s="18"/>
      <c r="AA121" s="19"/>
      <c r="AB121" s="19"/>
      <c r="AC121" s="20">
        <f t="shared" si="21"/>
        <v>9</v>
      </c>
      <c r="AD121" s="20">
        <f t="shared" si="22"/>
        <v>18.39</v>
      </c>
      <c r="AE121" s="20">
        <f t="shared" si="23"/>
        <v>18.7</v>
      </c>
      <c r="AF121" s="20">
        <f t="shared" si="24"/>
        <v>19.010000000000002</v>
      </c>
      <c r="AG121" s="20">
        <f>Table9[[#This Row],[RTH(min) (kΩ)]]*RT2_TH_MIN/(RT2_TH_MIN+Table9[[#This Row],[RTH(min) (kΩ)]])</f>
        <v>11.469020428828815</v>
      </c>
      <c r="AH121" s="20">
        <f>Table9[[#This Row],[RTH(nom) (kΩ)]]*RT2_TH_S/(RT2_TH_S+Table9[[#This Row],[RTH(nom) (kΩ)]])</f>
        <v>11.593242192739137</v>
      </c>
      <c r="AI121" s="20">
        <f>Table9[[#This Row],[RTH(max) (kΩ)]]*RT2_TH_S_MAX/(RT2_TH_S_MAX+Table9[[#This Row],[RTH(max) (kΩ)]])</f>
        <v>11.716138252335814</v>
      </c>
      <c r="AJ121" s="20">
        <f>Table9[[#This Row],[RLower(min) (kΩ)]]/(Table9[[#This Row],[RLower(min) (kΩ)]]+RT1_TH_S_MAX)*100</f>
        <v>68.646989531871</v>
      </c>
      <c r="AK121" s="20">
        <f>Table9[[#This Row],[RLower(nom) (kΩ)]]/(Table9[[#This Row],[RLower(nom) (kΩ)]]+RT1_TH_S)*100</f>
        <v>68.899806384394111</v>
      </c>
      <c r="AL121" s="20">
        <f>Table9[[#This Row],[RLower(max) (kΩ)]]/(Table9[[#This Row],[RLower(max) (kΩ)]]+RT1_TH_S_MIN)*100</f>
        <v>69.146658892469091</v>
      </c>
      <c r="AM121" s="20">
        <f>IF(Table9[[#This Row],[Vmin (%)]]&lt;$BA$14, 0, IF(Table9[[#This Row],[Vmin (%)]]&lt;$BA$12, 4, IF(Table9[[#This Row],[Vmin (%)]]&lt;$BA$9, 3, IF(Table9[[#This Row],[Vmin (%)]]&lt;$BA$7, 2, 0))))</f>
        <v>2</v>
      </c>
      <c r="AN121" s="20">
        <f>IF(Table9[[#This Row],[Vmin (%)]]&lt;$BA$13, 0, IF(Table9[[#This Row],[Vmin (%)]]&lt;$BA$11, 4, IF(Table9[[#This Row],[Vmin (%)]]&lt;$BA$10, 3, IF(Table9[[#This Row],[Vmin (%)]]&lt;$BA$8, 2, 0))))</f>
        <v>2</v>
      </c>
      <c r="AO121" s="76" t="str">
        <f>IF(Table9[[#This Row],[Vmin (%)]]&lt;$BA$14, "Hot", IF(Table9[[#This Row],[Vmin (%)]]&lt;$BA$12, "Warm", IF(Table9[[#This Row],[Vmin (%)]]&lt;$BA$9, "Normal", IF(Table9[[#This Row],[Vmin (%)]]&lt;$BA$7, "Cool", "Cold"))))</f>
        <v>Cool</v>
      </c>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row>
    <row r="122" spans="1:210" x14ac:dyDescent="0.2">
      <c r="A122" s="113">
        <f t="shared" si="17"/>
        <v>8</v>
      </c>
      <c r="B122" s="163"/>
      <c r="C122" s="172" t="str">
        <f t="shared" si="20"/>
        <v>RTH at 8 °C</v>
      </c>
      <c r="D122" s="196">
        <f t="shared" si="19"/>
        <v>1.7366666666666668</v>
      </c>
      <c r="E122" s="197">
        <v>19.149999999999999</v>
      </c>
      <c r="F122" s="198">
        <v>19.48</v>
      </c>
      <c r="G122" s="199">
        <v>19.809999999999999</v>
      </c>
      <c r="H122" s="128" t="s">
        <v>30</v>
      </c>
      <c r="I122" s="29"/>
      <c r="J122" s="29">
        <v>19.809999999999999</v>
      </c>
      <c r="K122" s="29">
        <v>19.48</v>
      </c>
      <c r="L122" s="29">
        <v>19.149999999999999</v>
      </c>
      <c r="M122" s="29"/>
      <c r="N122" s="29"/>
      <c r="O122" s="29"/>
      <c r="P122" s="29"/>
      <c r="Q122" s="29"/>
      <c r="R122" s="29"/>
      <c r="S122" s="29"/>
      <c r="T122" s="29"/>
      <c r="U122" s="29"/>
      <c r="V122" s="29"/>
      <c r="W122" s="29"/>
      <c r="X122" s="29"/>
      <c r="Y122" s="30"/>
      <c r="Z122" s="18"/>
      <c r="AA122" s="19"/>
      <c r="AB122" s="19"/>
      <c r="AC122" s="20">
        <f t="shared" si="21"/>
        <v>8</v>
      </c>
      <c r="AD122" s="20">
        <f t="shared" si="22"/>
        <v>19.149999999999999</v>
      </c>
      <c r="AE122" s="20">
        <f t="shared" si="23"/>
        <v>19.48</v>
      </c>
      <c r="AF122" s="20">
        <f t="shared" si="24"/>
        <v>19.809999999999999</v>
      </c>
      <c r="AG122" s="20">
        <f>Table9[[#This Row],[RTH(min) (kΩ)]]*RT2_TH_MIN/(RT2_TH_MIN+Table9[[#This Row],[RTH(min) (kΩ)]])</f>
        <v>11.760092233763668</v>
      </c>
      <c r="AH122" s="20">
        <f>Table9[[#This Row],[RTH(nom) (kΩ)]]*RT2_TH_S/(RT2_TH_S+Table9[[#This Row],[RTH(nom) (kΩ)]])</f>
        <v>11.888356853646997</v>
      </c>
      <c r="AI122" s="20">
        <f>Table9[[#This Row],[RTH(max) (kΩ)]]*RT2_TH_S_MAX/(RT2_TH_S_MAX+Table9[[#This Row],[RTH(max) (kΩ)]])</f>
        <v>12.015184478114938</v>
      </c>
      <c r="AJ122" s="20">
        <f>Table9[[#This Row],[RLower(min) (kΩ)]]/(Table9[[#This Row],[RLower(min) (kΩ)]]+RT1_TH_S_MAX)*100</f>
        <v>69.183864899262076</v>
      </c>
      <c r="AK122" s="20">
        <f>Table9[[#This Row],[RLower(nom) (kΩ)]]/(Table9[[#This Row],[RLower(nom) (kΩ)]]+RT1_TH_S)*100</f>
        <v>69.435869496527033</v>
      </c>
      <c r="AL122" s="20">
        <f>Table9[[#This Row],[RLower(max) (kΩ)]]/(Table9[[#This Row],[RLower(max) (kΩ)]]+RT1_TH_S_MIN)*100</f>
        <v>69.681751736355622</v>
      </c>
      <c r="AM122" s="20">
        <f>IF(Table9[[#This Row],[Vmin (%)]]&lt;$BA$14, 0, IF(Table9[[#This Row],[Vmin (%)]]&lt;$BA$12, 4, IF(Table9[[#This Row],[Vmin (%)]]&lt;$BA$9, 3, IF(Table9[[#This Row],[Vmin (%)]]&lt;$BA$7, 2, 0))))</f>
        <v>2</v>
      </c>
      <c r="AN122" s="20">
        <f>IF(Table9[[#This Row],[Vmin (%)]]&lt;$BA$13, 0, IF(Table9[[#This Row],[Vmin (%)]]&lt;$BA$11, 4, IF(Table9[[#This Row],[Vmin (%)]]&lt;$BA$10, 3, IF(Table9[[#This Row],[Vmin (%)]]&lt;$BA$8, 2, 0))))</f>
        <v>2</v>
      </c>
      <c r="AO122" s="76" t="str">
        <f>IF(Table9[[#This Row],[Vmin (%)]]&lt;$BA$14, "Hot", IF(Table9[[#This Row],[Vmin (%)]]&lt;$BA$12, "Warm", IF(Table9[[#This Row],[Vmin (%)]]&lt;$BA$9, "Normal", IF(Table9[[#This Row],[Vmin (%)]]&lt;$BA$7, "Cool", "Cold"))))</f>
        <v>Cool</v>
      </c>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c r="GR122" s="19"/>
      <c r="GS122" s="19"/>
      <c r="GT122" s="19"/>
      <c r="GU122" s="19"/>
      <c r="GV122" s="19"/>
      <c r="GW122" s="19"/>
      <c r="GX122" s="19"/>
      <c r="GY122" s="19"/>
      <c r="GZ122" s="19"/>
      <c r="HA122" s="19"/>
      <c r="HB122" s="19"/>
    </row>
    <row r="123" spans="1:210" x14ac:dyDescent="0.2">
      <c r="A123" s="113">
        <f t="shared" si="17"/>
        <v>7</v>
      </c>
      <c r="B123" s="163"/>
      <c r="C123" s="172" t="str">
        <f t="shared" si="20"/>
        <v>RTH at 7 °C</v>
      </c>
      <c r="D123" s="196">
        <f t="shared" si="19"/>
        <v>1.78</v>
      </c>
      <c r="E123" s="197">
        <v>19.95</v>
      </c>
      <c r="F123" s="198">
        <v>20.3</v>
      </c>
      <c r="G123" s="199">
        <v>20.64</v>
      </c>
      <c r="H123" s="128" t="s">
        <v>30</v>
      </c>
      <c r="I123" s="29"/>
      <c r="J123" s="29">
        <v>20.64</v>
      </c>
      <c r="K123" s="29">
        <v>20.3</v>
      </c>
      <c r="L123" s="29">
        <v>19.95</v>
      </c>
      <c r="M123" s="29"/>
      <c r="N123" s="29"/>
      <c r="O123" s="29"/>
      <c r="P123" s="29"/>
      <c r="Q123" s="29"/>
      <c r="R123" s="29"/>
      <c r="S123" s="29"/>
      <c r="T123" s="29"/>
      <c r="U123" s="29"/>
      <c r="V123" s="29"/>
      <c r="W123" s="29"/>
      <c r="X123" s="29"/>
      <c r="Y123" s="30"/>
      <c r="Z123" s="18"/>
      <c r="AA123" s="19"/>
      <c r="AB123" s="19"/>
      <c r="AC123" s="20">
        <f t="shared" si="21"/>
        <v>7</v>
      </c>
      <c r="AD123" s="20">
        <f t="shared" si="22"/>
        <v>19.95</v>
      </c>
      <c r="AE123" s="20">
        <f t="shared" si="23"/>
        <v>20.3</v>
      </c>
      <c r="AF123" s="20">
        <f t="shared" si="24"/>
        <v>20.64</v>
      </c>
      <c r="AG123" s="20">
        <f>Table9[[#This Row],[RTH(min) (kΩ)]]*RT2_TH_MIN/(RT2_TH_MIN+Table9[[#This Row],[RTH(min) (kΩ)]])</f>
        <v>12.057004724114368</v>
      </c>
      <c r="AH123" s="20">
        <f>Table9[[#This Row],[RTH(nom) (kΩ)]]*RT2_TH_S/(RT2_TH_S+Table9[[#This Row],[RTH(nom) (kΩ)]])</f>
        <v>12.188835000995516</v>
      </c>
      <c r="AI123" s="20">
        <f>Table9[[#This Row],[RTH(max) (kΩ)]]*RT2_TH_S_MAX/(RT2_TH_S_MAX+Table9[[#This Row],[RTH(max) (kΩ)]])</f>
        <v>12.315562830879003</v>
      </c>
      <c r="AJ123" s="20">
        <f>Table9[[#This Row],[RLower(min) (kΩ)]]/(Table9[[#This Row],[RLower(min) (kΩ)]]+RT1_TH_S_MAX)*100</f>
        <v>69.712894927642139</v>
      </c>
      <c r="AK123" s="20">
        <f>Table9[[#This Row],[RLower(nom) (kΩ)]]/(Table9[[#This Row],[RLower(nom) (kΩ)]]+RT1_TH_S)*100</f>
        <v>69.963015917980456</v>
      </c>
      <c r="AL123" s="20">
        <f>Table9[[#This Row],[RLower(max) (kΩ)]]/(Table9[[#This Row],[RLower(max) (kΩ)]]+RT1_TH_S_MIN)*100</f>
        <v>70.200863566955363</v>
      </c>
      <c r="AM123" s="20">
        <f>IF(Table9[[#This Row],[Vmin (%)]]&lt;$BA$14, 0, IF(Table9[[#This Row],[Vmin (%)]]&lt;$BA$12, 4, IF(Table9[[#This Row],[Vmin (%)]]&lt;$BA$9, 3, IF(Table9[[#This Row],[Vmin (%)]]&lt;$BA$7, 2, 0))))</f>
        <v>2</v>
      </c>
      <c r="AN123" s="20">
        <f>IF(Table9[[#This Row],[Vmin (%)]]&lt;$BA$13, 0, IF(Table9[[#This Row],[Vmin (%)]]&lt;$BA$11, 4, IF(Table9[[#This Row],[Vmin (%)]]&lt;$BA$10, 3, IF(Table9[[#This Row],[Vmin (%)]]&lt;$BA$8, 2, 0))))</f>
        <v>2</v>
      </c>
      <c r="AO123" s="76" t="str">
        <f>IF(Table9[[#This Row],[Vmin (%)]]&lt;$BA$14, "Hot", IF(Table9[[#This Row],[Vmin (%)]]&lt;$BA$12, "Warm", IF(Table9[[#This Row],[Vmin (%)]]&lt;$BA$9, "Normal", IF(Table9[[#This Row],[Vmin (%)]]&lt;$BA$7, "Cool", "Cold"))))</f>
        <v>Cool</v>
      </c>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c r="GR123" s="19"/>
      <c r="GS123" s="19"/>
      <c r="GT123" s="19"/>
      <c r="GU123" s="19"/>
      <c r="GV123" s="19"/>
      <c r="GW123" s="19"/>
      <c r="GX123" s="19"/>
      <c r="GY123" s="19"/>
      <c r="GZ123" s="19"/>
      <c r="HA123" s="19"/>
      <c r="HB123" s="19"/>
    </row>
    <row r="124" spans="1:210" x14ac:dyDescent="0.2">
      <c r="A124" s="113">
        <f t="shared" si="17"/>
        <v>6</v>
      </c>
      <c r="B124" s="163"/>
      <c r="C124" s="172" t="str">
        <f t="shared" si="20"/>
        <v>RTH at 6 °C</v>
      </c>
      <c r="D124" s="196">
        <f t="shared" si="19"/>
        <v>1.8233333333333333</v>
      </c>
      <c r="E124" s="197">
        <v>20.78</v>
      </c>
      <c r="F124" s="198">
        <v>21.15</v>
      </c>
      <c r="G124" s="199">
        <v>21.53</v>
      </c>
      <c r="H124" s="128" t="s">
        <v>30</v>
      </c>
      <c r="I124" s="29"/>
      <c r="J124" s="29">
        <v>21.53</v>
      </c>
      <c r="K124" s="29">
        <v>21.15</v>
      </c>
      <c r="L124" s="29">
        <v>20.78</v>
      </c>
      <c r="M124" s="29"/>
      <c r="N124" s="29"/>
      <c r="O124" s="29"/>
      <c r="P124" s="29"/>
      <c r="Q124" s="29"/>
      <c r="R124" s="29"/>
      <c r="S124" s="29"/>
      <c r="T124" s="29"/>
      <c r="U124" s="29"/>
      <c r="V124" s="29"/>
      <c r="W124" s="29"/>
      <c r="X124" s="29"/>
      <c r="Y124" s="30"/>
      <c r="Z124" s="18"/>
      <c r="AA124" s="19"/>
      <c r="AB124" s="19"/>
      <c r="AC124" s="20">
        <f t="shared" si="21"/>
        <v>6</v>
      </c>
      <c r="AD124" s="20">
        <f t="shared" si="22"/>
        <v>20.78</v>
      </c>
      <c r="AE124" s="20">
        <f t="shared" si="23"/>
        <v>21.15</v>
      </c>
      <c r="AF124" s="20">
        <f t="shared" si="24"/>
        <v>21.53</v>
      </c>
      <c r="AG124" s="20">
        <f>Table9[[#This Row],[RTH(min) (kΩ)]]*RT2_TH_MIN/(RT2_TH_MIN+Table9[[#This Row],[RTH(min) (kΩ)]])</f>
        <v>12.355254957330175</v>
      </c>
      <c r="AH124" s="20">
        <f>Table9[[#This Row],[RTH(nom) (kΩ)]]*RT2_TH_S/(RT2_TH_S+Table9[[#This Row],[RTH(nom) (kΩ)]])</f>
        <v>12.490236477227185</v>
      </c>
      <c r="AI124" s="20">
        <f>Table9[[#This Row],[RTH(max) (kΩ)]]*RT2_TH_S_MAX/(RT2_TH_S_MAX+Table9[[#This Row],[RTH(max) (kΩ)]])</f>
        <v>12.627014915141602</v>
      </c>
      <c r="AJ124" s="20">
        <f>Table9[[#This Row],[RLower(min) (kΩ)]]/(Table9[[#This Row],[RLower(min) (kΩ)]]+RT1_TH_S_MAX)*100</f>
        <v>70.22633153118916</v>
      </c>
      <c r="AK124" s="20">
        <f>Table9[[#This Row],[RLower(nom) (kΩ)]]/(Table9[[#This Row],[RLower(nom) (kΩ)]]+RT1_TH_S)*100</f>
        <v>70.473825322221657</v>
      </c>
      <c r="AL124" s="20">
        <f>Table9[[#This Row],[RLower(max) (kΩ)]]/(Table9[[#This Row],[RLower(max) (kΩ)]]+RT1_TH_S_MIN)*100</f>
        <v>70.72066872574905</v>
      </c>
      <c r="AM124" s="20">
        <f>IF(Table9[[#This Row],[Vmin (%)]]&lt;$BA$14, 0, IF(Table9[[#This Row],[Vmin (%)]]&lt;$BA$12, 4, IF(Table9[[#This Row],[Vmin (%)]]&lt;$BA$9, 3, IF(Table9[[#This Row],[Vmin (%)]]&lt;$BA$7, 2, 0))))</f>
        <v>2</v>
      </c>
      <c r="AN124" s="20">
        <f>IF(Table9[[#This Row],[Vmin (%)]]&lt;$BA$13, 0, IF(Table9[[#This Row],[Vmin (%)]]&lt;$BA$11, 4, IF(Table9[[#This Row],[Vmin (%)]]&lt;$BA$10, 3, IF(Table9[[#This Row],[Vmin (%)]]&lt;$BA$8, 2, 0))))</f>
        <v>2</v>
      </c>
      <c r="AO124" s="76" t="str">
        <f>IF(Table9[[#This Row],[Vmin (%)]]&lt;$BA$14, "Hot", IF(Table9[[#This Row],[Vmin (%)]]&lt;$BA$12, "Warm", IF(Table9[[#This Row],[Vmin (%)]]&lt;$BA$9, "Normal", IF(Table9[[#This Row],[Vmin (%)]]&lt;$BA$7, "Cool", "Cold"))))</f>
        <v>Cool</v>
      </c>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c r="GR124" s="19"/>
      <c r="GS124" s="19"/>
      <c r="GT124" s="19"/>
      <c r="GU124" s="19"/>
      <c r="GV124" s="19"/>
      <c r="GW124" s="19"/>
      <c r="GX124" s="19"/>
      <c r="GY124" s="19"/>
      <c r="GZ124" s="19"/>
      <c r="HA124" s="19"/>
      <c r="HB124" s="19"/>
    </row>
    <row r="125" spans="1:210" x14ac:dyDescent="0.2">
      <c r="A125" s="113">
        <f t="shared" si="17"/>
        <v>5</v>
      </c>
      <c r="B125" s="163"/>
      <c r="C125" s="172" t="str">
        <f t="shared" si="20"/>
        <v>RTH at 5 °C</v>
      </c>
      <c r="D125" s="196">
        <f t="shared" si="19"/>
        <v>1.8666666666666667</v>
      </c>
      <c r="E125" s="197">
        <v>21.66</v>
      </c>
      <c r="F125" s="198">
        <v>22.05</v>
      </c>
      <c r="G125" s="199">
        <v>22.45</v>
      </c>
      <c r="H125" s="128" t="s">
        <v>30</v>
      </c>
      <c r="I125" s="29"/>
      <c r="J125" s="29">
        <v>22.45</v>
      </c>
      <c r="K125" s="29">
        <v>22.05</v>
      </c>
      <c r="L125" s="29">
        <v>21.66</v>
      </c>
      <c r="M125" s="29"/>
      <c r="N125" s="29"/>
      <c r="O125" s="29"/>
      <c r="P125" s="29"/>
      <c r="Q125" s="29"/>
      <c r="R125" s="29"/>
      <c r="S125" s="29"/>
      <c r="T125" s="29"/>
      <c r="U125" s="29"/>
      <c r="V125" s="29"/>
      <c r="W125" s="29"/>
      <c r="X125" s="29"/>
      <c r="Y125" s="30"/>
      <c r="Z125" s="18"/>
      <c r="AA125" s="19"/>
      <c r="AB125" s="19"/>
      <c r="AC125" s="20">
        <f t="shared" si="21"/>
        <v>5</v>
      </c>
      <c r="AD125" s="20">
        <f t="shared" si="22"/>
        <v>21.66</v>
      </c>
      <c r="AE125" s="20">
        <f t="shared" si="23"/>
        <v>22.05</v>
      </c>
      <c r="AF125" s="20">
        <f t="shared" si="24"/>
        <v>22.45</v>
      </c>
      <c r="AG125" s="20">
        <f>Table9[[#This Row],[RTH(min) (kΩ)]]*RT2_TH_MIN/(RT2_TH_MIN+Table9[[#This Row],[RTH(min) (kΩ)]])</f>
        <v>12.661100275496011</v>
      </c>
      <c r="AH125" s="20">
        <f>Table9[[#This Row],[RTH(nom) (kΩ)]]*RT2_TH_S/(RT2_TH_S+Table9[[#This Row],[RTH(nom) (kΩ)]])</f>
        <v>12.798740941886683</v>
      </c>
      <c r="AI125" s="20">
        <f>Table9[[#This Row],[RTH(max) (kΩ)]]*RT2_TH_S_MAX/(RT2_TH_S_MAX+Table9[[#This Row],[RTH(max) (kΩ)]])</f>
        <v>12.937967522140042</v>
      </c>
      <c r="AJ125" s="20">
        <f>Table9[[#This Row],[RLower(min) (kΩ)]]/(Table9[[#This Row],[RLower(min) (kΩ)]]+RT1_TH_S_MAX)*100</f>
        <v>70.735073475603613</v>
      </c>
      <c r="AK125" s="20">
        <f>Table9[[#This Row],[RLower(nom) (kΩ)]]/(Table9[[#This Row],[RLower(nom) (kΩ)]]+RT1_TH_S)*100</f>
        <v>70.978987924882446</v>
      </c>
      <c r="AL125" s="20">
        <f>Table9[[#This Row],[RLower(max) (kΩ)]]/(Table9[[#This Row],[RLower(max) (kΩ)]]+RT1_TH_S_MIN)*100</f>
        <v>71.221858964574551</v>
      </c>
      <c r="AM125" s="20">
        <f>IF(Table9[[#This Row],[Vmin (%)]]&lt;$BA$14, 0, IF(Table9[[#This Row],[Vmin (%)]]&lt;$BA$12, 4, IF(Table9[[#This Row],[Vmin (%)]]&lt;$BA$9, 3, IF(Table9[[#This Row],[Vmin (%)]]&lt;$BA$7, 2, 0))))</f>
        <v>2</v>
      </c>
      <c r="AN125" s="20">
        <f>IF(Table9[[#This Row],[Vmin (%)]]&lt;$BA$13, 0, IF(Table9[[#This Row],[Vmin (%)]]&lt;$BA$11, 4, IF(Table9[[#This Row],[Vmin (%)]]&lt;$BA$10, 3, IF(Table9[[#This Row],[Vmin (%)]]&lt;$BA$8, 2, 0))))</f>
        <v>2</v>
      </c>
      <c r="AO125" s="76" t="str">
        <f>IF(Table9[[#This Row],[Vmin (%)]]&lt;$BA$14, "Hot", IF(Table9[[#This Row],[Vmin (%)]]&lt;$BA$12, "Warm", IF(Table9[[#This Row],[Vmin (%)]]&lt;$BA$9, "Normal", IF(Table9[[#This Row],[Vmin (%)]]&lt;$BA$7, "Cool", "Cold"))))</f>
        <v>Cool</v>
      </c>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row>
    <row r="126" spans="1:210" x14ac:dyDescent="0.2">
      <c r="A126" s="113">
        <f t="shared" si="17"/>
        <v>4</v>
      </c>
      <c r="B126" s="163"/>
      <c r="C126" s="172" t="str">
        <f t="shared" si="20"/>
        <v>RTH at 4 °C</v>
      </c>
      <c r="D126" s="196">
        <f t="shared" si="19"/>
        <v>1.9100000000000001</v>
      </c>
      <c r="E126" s="197">
        <v>22.57</v>
      </c>
      <c r="F126" s="198">
        <v>23</v>
      </c>
      <c r="G126" s="199">
        <v>23.42</v>
      </c>
      <c r="H126" s="128" t="s">
        <v>30</v>
      </c>
      <c r="I126" s="29"/>
      <c r="J126" s="29">
        <v>23.42</v>
      </c>
      <c r="K126" s="29">
        <v>23</v>
      </c>
      <c r="L126" s="29">
        <v>22.57</v>
      </c>
      <c r="M126" s="29"/>
      <c r="N126" s="29"/>
      <c r="O126" s="29"/>
      <c r="P126" s="29"/>
      <c r="Q126" s="29"/>
      <c r="R126" s="29"/>
      <c r="S126" s="29"/>
      <c r="T126" s="29"/>
      <c r="U126" s="29"/>
      <c r="V126" s="29"/>
      <c r="W126" s="29"/>
      <c r="X126" s="29"/>
      <c r="Y126" s="30"/>
      <c r="Z126" s="18"/>
      <c r="AA126" s="19"/>
      <c r="AB126" s="19"/>
      <c r="AC126" s="20">
        <f t="shared" si="21"/>
        <v>4</v>
      </c>
      <c r="AD126" s="20">
        <f t="shared" si="22"/>
        <v>22.57</v>
      </c>
      <c r="AE126" s="20">
        <f t="shared" si="23"/>
        <v>23</v>
      </c>
      <c r="AF126" s="20">
        <f t="shared" si="24"/>
        <v>23.42</v>
      </c>
      <c r="AG126" s="20">
        <f>Table9[[#This Row],[RTH(min) (kΩ)]]*RT2_TH_MIN/(RT2_TH_MIN+Table9[[#This Row],[RTH(min) (kΩ)]])</f>
        <v>12.966699520049367</v>
      </c>
      <c r="AH126" s="20">
        <f>Table9[[#This Row],[RTH(nom) (kΩ)]]*RT2_TH_S/(RT2_TH_S+Table9[[#This Row],[RTH(nom) (kΩ)]])</f>
        <v>13.113125081316051</v>
      </c>
      <c r="AI126" s="20">
        <f>Table9[[#This Row],[RTH(max) (kΩ)]]*RT2_TH_S_MAX/(RT2_TH_S_MAX+Table9[[#This Row],[RTH(max) (kΩ)]])</f>
        <v>13.254335496743211</v>
      </c>
      <c r="AJ126" s="20">
        <f>Table9[[#This Row],[RLower(min) (kΩ)]]/(Table9[[#This Row],[RLower(min) (kΩ)]]+RT1_TH_S_MAX)*100</f>
        <v>71.226332851680667</v>
      </c>
      <c r="AK126" s="20">
        <f>Table9[[#This Row],[RLower(nom) (kΩ)]]/(Table9[[#This Row],[RLower(nom) (kΩ)]]+RT1_TH_S)*100</f>
        <v>71.47630004223484</v>
      </c>
      <c r="AL126" s="20">
        <f>Table9[[#This Row],[RLower(max) (kΩ)]]/(Table9[[#This Row],[RLower(max) (kΩ)]]+RT1_TH_S_MIN)*100</f>
        <v>71.71446994055205</v>
      </c>
      <c r="AM126" s="20">
        <f>IF(Table9[[#This Row],[Vmin (%)]]&lt;$BA$14, 0, IF(Table9[[#This Row],[Vmin (%)]]&lt;$BA$12, 4, IF(Table9[[#This Row],[Vmin (%)]]&lt;$BA$9, 3, IF(Table9[[#This Row],[Vmin (%)]]&lt;$BA$7, 2, 0))))</f>
        <v>2</v>
      </c>
      <c r="AN126" s="20">
        <f>IF(Table9[[#This Row],[Vmin (%)]]&lt;$BA$13, 0, IF(Table9[[#This Row],[Vmin (%)]]&lt;$BA$11, 4, IF(Table9[[#This Row],[Vmin (%)]]&lt;$BA$10, 3, IF(Table9[[#This Row],[Vmin (%)]]&lt;$BA$8, 2, 0))))</f>
        <v>2</v>
      </c>
      <c r="AO126" s="76" t="str">
        <f>IF(Table9[[#This Row],[Vmin (%)]]&lt;$BA$14, "Hot", IF(Table9[[#This Row],[Vmin (%)]]&lt;$BA$12, "Warm", IF(Table9[[#This Row],[Vmin (%)]]&lt;$BA$9, "Normal", IF(Table9[[#This Row],[Vmin (%)]]&lt;$BA$7, "Cool", "Cold"))))</f>
        <v>Cool</v>
      </c>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c r="GR126" s="19"/>
      <c r="GS126" s="19"/>
      <c r="GT126" s="19"/>
      <c r="GU126" s="19"/>
      <c r="GV126" s="19"/>
      <c r="GW126" s="19"/>
      <c r="GX126" s="19"/>
      <c r="GY126" s="19"/>
      <c r="GZ126" s="19"/>
      <c r="HA126" s="19"/>
      <c r="HB126" s="19"/>
    </row>
    <row r="127" spans="1:210" x14ac:dyDescent="0.2">
      <c r="A127" s="113">
        <f t="shared" si="17"/>
        <v>3</v>
      </c>
      <c r="B127" s="163"/>
      <c r="C127" s="172" t="str">
        <f t="shared" si="20"/>
        <v>RTH at 3 °C</v>
      </c>
      <c r="D127" s="196">
        <f t="shared" si="19"/>
        <v>1.9533333333333334</v>
      </c>
      <c r="E127" s="197">
        <v>23.54</v>
      </c>
      <c r="F127" s="198">
        <v>23.99</v>
      </c>
      <c r="G127" s="199">
        <v>24.44</v>
      </c>
      <c r="H127" s="128" t="s">
        <v>30</v>
      </c>
      <c r="I127" s="29"/>
      <c r="J127" s="29">
        <v>24.44</v>
      </c>
      <c r="K127" s="29">
        <v>23.99</v>
      </c>
      <c r="L127" s="29">
        <v>23.54</v>
      </c>
      <c r="M127" s="29"/>
      <c r="N127" s="29"/>
      <c r="O127" s="29"/>
      <c r="P127" s="29"/>
      <c r="Q127" s="29"/>
      <c r="R127" s="29"/>
      <c r="S127" s="29"/>
      <c r="T127" s="29"/>
      <c r="U127" s="29"/>
      <c r="V127" s="29"/>
      <c r="W127" s="29"/>
      <c r="X127" s="29"/>
      <c r="Y127" s="30"/>
      <c r="Z127" s="18"/>
      <c r="AA127" s="19"/>
      <c r="AB127" s="19"/>
      <c r="AC127" s="20">
        <f t="shared" si="21"/>
        <v>3</v>
      </c>
      <c r="AD127" s="20">
        <f t="shared" si="22"/>
        <v>23.54</v>
      </c>
      <c r="AE127" s="20">
        <f t="shared" si="23"/>
        <v>23.99</v>
      </c>
      <c r="AF127" s="20">
        <f t="shared" si="24"/>
        <v>24.44</v>
      </c>
      <c r="AG127" s="20">
        <f>Table9[[#This Row],[RTH(min) (kΩ)]]*RT2_TH_MIN/(RT2_TH_MIN+Table9[[#This Row],[RTH(min) (kΩ)]])</f>
        <v>13.28111038843323</v>
      </c>
      <c r="AH127" s="20">
        <f>Table9[[#This Row],[RTH(nom) (kΩ)]]*RT2_TH_S/(RT2_TH_S+Table9[[#This Row],[RTH(nom) (kΩ)]])</f>
        <v>13.429083318980874</v>
      </c>
      <c r="AI127" s="20">
        <f>Table9[[#This Row],[RTH(max) (kΩ)]]*RT2_TH_S_MAX/(RT2_TH_S_MAX+Table9[[#This Row],[RTH(max) (kΩ)]])</f>
        <v>13.574968988760498</v>
      </c>
      <c r="AJ127" s="20">
        <f>Table9[[#This Row],[RLower(min) (kΩ)]]/(Table9[[#This Row],[RLower(min) (kΩ)]]+RT1_TH_S_MAX)*100</f>
        <v>71.714836024502418</v>
      </c>
      <c r="AK127" s="20">
        <f>Table9[[#This Row],[RLower(nom) (kΩ)]]/(Table9[[#This Row],[RLower(nom) (kΩ)]]+RT1_TH_S)*100</f>
        <v>71.959220522852021</v>
      </c>
      <c r="AL127" s="20">
        <f>Table9[[#This Row],[RLower(max) (kΩ)]]/(Table9[[#This Row],[RLower(max) (kΩ)]]+RT1_TH_S_MIN)*100</f>
        <v>72.196808922916532</v>
      </c>
      <c r="AM127" s="20">
        <f>IF(Table9[[#This Row],[Vmin (%)]]&lt;$BA$14, 0, IF(Table9[[#This Row],[Vmin (%)]]&lt;$BA$12, 4, IF(Table9[[#This Row],[Vmin (%)]]&lt;$BA$9, 3, IF(Table9[[#This Row],[Vmin (%)]]&lt;$BA$7, 2, 0))))</f>
        <v>2</v>
      </c>
      <c r="AN127" s="20">
        <f>IF(Table9[[#This Row],[Vmin (%)]]&lt;$BA$13, 0, IF(Table9[[#This Row],[Vmin (%)]]&lt;$BA$11, 4, IF(Table9[[#This Row],[Vmin (%)]]&lt;$BA$10, 3, IF(Table9[[#This Row],[Vmin (%)]]&lt;$BA$8, 2, 0))))</f>
        <v>2</v>
      </c>
      <c r="AO127" s="76" t="str">
        <f>IF(Table9[[#This Row],[Vmin (%)]]&lt;$BA$14, "Hot", IF(Table9[[#This Row],[Vmin (%)]]&lt;$BA$12, "Warm", IF(Table9[[#This Row],[Vmin (%)]]&lt;$BA$9, "Normal", IF(Table9[[#This Row],[Vmin (%)]]&lt;$BA$7, "Cool", "Cold"))))</f>
        <v>Cool</v>
      </c>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row>
    <row r="128" spans="1:210" x14ac:dyDescent="0.2">
      <c r="A128" s="113">
        <f t="shared" si="17"/>
        <v>2</v>
      </c>
      <c r="B128" s="163"/>
      <c r="C128" s="172" t="str">
        <f t="shared" si="20"/>
        <v>RTH at 2 °C</v>
      </c>
      <c r="D128" s="196">
        <f t="shared" si="19"/>
        <v>1.9966666666666666</v>
      </c>
      <c r="E128" s="197">
        <v>24.55</v>
      </c>
      <c r="F128" s="198">
        <v>25.03</v>
      </c>
      <c r="G128" s="199">
        <v>25.52</v>
      </c>
      <c r="H128" s="128" t="s">
        <v>30</v>
      </c>
      <c r="I128" s="29"/>
      <c r="J128" s="29">
        <v>25.52</v>
      </c>
      <c r="K128" s="29">
        <v>25.03</v>
      </c>
      <c r="L128" s="29">
        <v>24.55</v>
      </c>
      <c r="M128" s="29"/>
      <c r="N128" s="29"/>
      <c r="O128" s="29"/>
      <c r="P128" s="29"/>
      <c r="Q128" s="29"/>
      <c r="R128" s="29"/>
      <c r="S128" s="29"/>
      <c r="T128" s="29"/>
      <c r="U128" s="29"/>
      <c r="V128" s="29"/>
      <c r="W128" s="29"/>
      <c r="X128" s="29"/>
      <c r="Y128" s="30"/>
      <c r="Z128" s="18"/>
      <c r="AA128" s="19"/>
      <c r="AB128" s="19"/>
      <c r="AC128" s="20">
        <f t="shared" si="21"/>
        <v>2</v>
      </c>
      <c r="AD128" s="20">
        <f t="shared" si="22"/>
        <v>24.55</v>
      </c>
      <c r="AE128" s="20">
        <f t="shared" si="23"/>
        <v>25.03</v>
      </c>
      <c r="AF128" s="20">
        <f t="shared" si="24"/>
        <v>25.52</v>
      </c>
      <c r="AG128" s="20">
        <f>Table9[[#This Row],[RTH(min) (kΩ)]]*RT2_TH_MIN/(RT2_TH_MIN+Table9[[#This Row],[RTH(min) (kΩ)]])</f>
        <v>13.596706414078428</v>
      </c>
      <c r="AH128" s="20">
        <f>Table9[[#This Row],[RTH(nom) (kΩ)]]*RT2_TH_S/(RT2_TH_S+Table9[[#This Row],[RTH(nom) (kΩ)]])</f>
        <v>13.748866414662475</v>
      </c>
      <c r="AI128" s="20">
        <f>Table9[[#This Row],[RTH(max) (kΩ)]]*RT2_TH_S_MAX/(RT2_TH_S_MAX+Table9[[#This Row],[RTH(max) (kΩ)]])</f>
        <v>13.901744908064448</v>
      </c>
      <c r="AJ128" s="20">
        <f>Table9[[#This Row],[RLower(min) (kΩ)]]/(Table9[[#This Row],[RLower(min) (kΩ)]]+RT1_TH_S_MAX)*100</f>
        <v>72.188779122446192</v>
      </c>
      <c r="AK128" s="20">
        <f>Table9[[#This Row],[RLower(nom) (kΩ)]]/(Table9[[#This Row],[RLower(nom) (kΩ)]]+RT1_TH_S)*100</f>
        <v>72.431617243641114</v>
      </c>
      <c r="AL128" s="20">
        <f>Table9[[#This Row],[RLower(max) (kΩ)]]/(Table9[[#This Row],[RLower(max) (kΩ)]]+RT1_TH_S_MIN)*100</f>
        <v>72.671751387105374</v>
      </c>
      <c r="AM128" s="20">
        <f>IF(Table9[[#This Row],[Vmin (%)]]&lt;$BA$14, 0, IF(Table9[[#This Row],[Vmin (%)]]&lt;$BA$12, 4, IF(Table9[[#This Row],[Vmin (%)]]&lt;$BA$9, 3, IF(Table9[[#This Row],[Vmin (%)]]&lt;$BA$7, 2, 0))))</f>
        <v>2</v>
      </c>
      <c r="AN128" s="20">
        <f>IF(Table9[[#This Row],[Vmin (%)]]&lt;$BA$13, 0, IF(Table9[[#This Row],[Vmin (%)]]&lt;$BA$11, 4, IF(Table9[[#This Row],[Vmin (%)]]&lt;$BA$10, 3, IF(Table9[[#This Row],[Vmin (%)]]&lt;$BA$8, 2, 0))))</f>
        <v>2</v>
      </c>
      <c r="AO128" s="76" t="str">
        <f>IF(Table9[[#This Row],[Vmin (%)]]&lt;$BA$14, "Hot", IF(Table9[[#This Row],[Vmin (%)]]&lt;$BA$12, "Warm", IF(Table9[[#This Row],[Vmin (%)]]&lt;$BA$9, "Normal", IF(Table9[[#This Row],[Vmin (%)]]&lt;$BA$7, "Cool", "Cold"))))</f>
        <v>Cool</v>
      </c>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row>
    <row r="129" spans="1:210" x14ac:dyDescent="0.2">
      <c r="A129" s="113">
        <f t="shared" si="17"/>
        <v>1</v>
      </c>
      <c r="B129" s="163"/>
      <c r="C129" s="172" t="str">
        <f t="shared" si="20"/>
        <v>RTH at 1 °C</v>
      </c>
      <c r="D129" s="196">
        <f t="shared" si="19"/>
        <v>2.04</v>
      </c>
      <c r="E129" s="197">
        <v>25.62</v>
      </c>
      <c r="F129" s="198">
        <v>26.13</v>
      </c>
      <c r="G129" s="199">
        <v>26.65</v>
      </c>
      <c r="H129" s="128" t="s">
        <v>30</v>
      </c>
      <c r="I129" s="29"/>
      <c r="J129" s="29">
        <v>26.65</v>
      </c>
      <c r="K129" s="29">
        <v>26.13</v>
      </c>
      <c r="L129" s="29">
        <v>25.62</v>
      </c>
      <c r="M129" s="29"/>
      <c r="N129" s="29"/>
      <c r="O129" s="29"/>
      <c r="P129" s="29"/>
      <c r="Q129" s="29"/>
      <c r="R129" s="29"/>
      <c r="S129" s="29"/>
      <c r="T129" s="29"/>
      <c r="U129" s="29"/>
      <c r="V129" s="29"/>
      <c r="W129" s="29"/>
      <c r="X129" s="29"/>
      <c r="Y129" s="30"/>
      <c r="Z129" s="18"/>
      <c r="AA129" s="19"/>
      <c r="AB129" s="19"/>
      <c r="AC129" s="20">
        <f t="shared" si="21"/>
        <v>1</v>
      </c>
      <c r="AD129" s="20">
        <f t="shared" si="22"/>
        <v>25.62</v>
      </c>
      <c r="AE129" s="20">
        <f t="shared" si="23"/>
        <v>26.13</v>
      </c>
      <c r="AF129" s="20">
        <f t="shared" si="24"/>
        <v>26.65</v>
      </c>
      <c r="AG129" s="20">
        <f>Table9[[#This Row],[RTH(min) (kΩ)]]*RT2_TH_MIN/(RT2_TH_MIN+Table9[[#This Row],[RTH(min) (kΩ)]])</f>
        <v>13.918653197133374</v>
      </c>
      <c r="AH129" s="20">
        <f>Table9[[#This Row],[RTH(nom) (kΩ)]]*RT2_TH_S/(RT2_TH_S+Table9[[#This Row],[RTH(nom) (kΩ)]])</f>
        <v>14.074318219508086</v>
      </c>
      <c r="AI129" s="20">
        <f>Table9[[#This Row],[RTH(max) (kΩ)]]*RT2_TH_S_MAX/(RT2_TH_S_MAX+Table9[[#This Row],[RTH(max) (kΩ)]])</f>
        <v>14.230436114245746</v>
      </c>
      <c r="AJ129" s="20">
        <f>Table9[[#This Row],[RLower(min) (kΩ)]]/(Table9[[#This Row],[RLower(min) (kΩ)]]+RT1_TH_S_MAX)*100</f>
        <v>72.65616913271451</v>
      </c>
      <c r="AK129" s="20">
        <f>Table9[[#This Row],[RLower(nom) (kΩ)]]/(Table9[[#This Row],[RLower(nom) (kΩ)]]+RT1_TH_S)*100</f>
        <v>72.896321038173014</v>
      </c>
      <c r="AL129" s="20">
        <f>Table9[[#This Row],[RLower(max) (kΩ)]]/(Table9[[#This Row],[RLower(max) (kΩ)]]+RT1_TH_S_MIN)*100</f>
        <v>73.133384921789713</v>
      </c>
      <c r="AM129" s="20">
        <f>IF(Table9[[#This Row],[Vmin (%)]]&lt;$BA$14, 0, IF(Table9[[#This Row],[Vmin (%)]]&lt;$BA$12, 4, IF(Table9[[#This Row],[Vmin (%)]]&lt;$BA$9, 3, IF(Table9[[#This Row],[Vmin (%)]]&lt;$BA$7, 2, 0))))</f>
        <v>2</v>
      </c>
      <c r="AN129" s="20">
        <f>IF(Table9[[#This Row],[Vmin (%)]]&lt;$BA$13, 0, IF(Table9[[#This Row],[Vmin (%)]]&lt;$BA$11, 4, IF(Table9[[#This Row],[Vmin (%)]]&lt;$BA$10, 3, IF(Table9[[#This Row],[Vmin (%)]]&lt;$BA$8, 2, 0))))</f>
        <v>2</v>
      </c>
      <c r="AO129" s="76" t="str">
        <f>IF(Table9[[#This Row],[Vmin (%)]]&lt;$BA$14, "Hot", IF(Table9[[#This Row],[Vmin (%)]]&lt;$BA$12, "Warm", IF(Table9[[#This Row],[Vmin (%)]]&lt;$BA$9, "Normal", IF(Table9[[#This Row],[Vmin (%)]]&lt;$BA$7, "Cool", "Cold"))))</f>
        <v>Cool</v>
      </c>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row>
    <row r="130" spans="1:210" x14ac:dyDescent="0.2">
      <c r="A130" s="113">
        <f t="shared" si="17"/>
        <v>0</v>
      </c>
      <c r="B130" s="163"/>
      <c r="C130" s="172" t="str">
        <f t="shared" si="20"/>
        <v>RTH at 0 °C</v>
      </c>
      <c r="D130" s="196">
        <f t="shared" si="19"/>
        <v>2.083333333333333</v>
      </c>
      <c r="E130" s="197">
        <v>26.74</v>
      </c>
      <c r="F130" s="198">
        <v>27.28</v>
      </c>
      <c r="G130" s="199">
        <v>27.83</v>
      </c>
      <c r="H130" s="128" t="s">
        <v>30</v>
      </c>
      <c r="I130" s="29"/>
      <c r="J130" s="29">
        <v>27.83</v>
      </c>
      <c r="K130" s="29">
        <v>27.28</v>
      </c>
      <c r="L130" s="29">
        <v>26.74</v>
      </c>
      <c r="M130" s="29"/>
      <c r="N130" s="29"/>
      <c r="O130" s="29"/>
      <c r="P130" s="29"/>
      <c r="Q130" s="29"/>
      <c r="R130" s="29"/>
      <c r="S130" s="29"/>
      <c r="T130" s="29"/>
      <c r="U130" s="29"/>
      <c r="V130" s="29"/>
      <c r="W130" s="29"/>
      <c r="X130" s="29"/>
      <c r="Y130" s="30"/>
      <c r="Z130" s="18"/>
      <c r="AA130" s="19"/>
      <c r="AB130" s="19"/>
      <c r="AC130" s="20">
        <f t="shared" si="21"/>
        <v>0</v>
      </c>
      <c r="AD130" s="20">
        <f t="shared" si="22"/>
        <v>26.74</v>
      </c>
      <c r="AE130" s="20">
        <f t="shared" si="23"/>
        <v>27.28</v>
      </c>
      <c r="AF130" s="20">
        <f t="shared" si="24"/>
        <v>27.83</v>
      </c>
      <c r="AG130" s="20">
        <f>Table9[[#This Row],[RTH(min) (kΩ)]]*RT2_TH_MIN/(RT2_TH_MIN+Table9[[#This Row],[RTH(min) (kΩ)]])</f>
        <v>14.242745275164902</v>
      </c>
      <c r="AH130" s="20">
        <f>Table9[[#This Row],[RTH(nom) (kΩ)]]*RT2_TH_S/(RT2_TH_S+Table9[[#This Row],[RTH(nom) (kΩ)]])</f>
        <v>14.401315080031384</v>
      </c>
      <c r="AI130" s="20">
        <f>Table9[[#This Row],[RTH(max) (kΩ)]]*RT2_TH_S_MAX/(RT2_TH_S_MAX+Table9[[#This Row],[RTH(max) (kΩ)]])</f>
        <v>14.560086627628559</v>
      </c>
      <c r="AJ130" s="20">
        <f>Table9[[#This Row],[RLower(min) (kΩ)]]/(Table9[[#This Row],[RLower(min) (kΩ)]]+RT1_TH_S_MAX)*100</f>
        <v>73.111070466379644</v>
      </c>
      <c r="AK130" s="20">
        <f>Table9[[#This Row],[RLower(nom) (kΩ)]]/(Table9[[#This Row],[RLower(nom) (kΩ)]]+RT1_TH_S)*100</f>
        <v>73.347715542605783</v>
      </c>
      <c r="AL130" s="20">
        <f>Table9[[#This Row],[RLower(max) (kΩ)]]/(Table9[[#This Row],[RLower(max) (kΩ)]]+RT1_TH_S_MIN)*100</f>
        <v>73.580962389188613</v>
      </c>
      <c r="AM130" s="20">
        <f>IF(Table9[[#This Row],[Vmin (%)]]&lt;$BA$14, 0, IF(Table9[[#This Row],[Vmin (%)]]&lt;$BA$12, 4, IF(Table9[[#This Row],[Vmin (%)]]&lt;$BA$9, 3, IF(Table9[[#This Row],[Vmin (%)]]&lt;$BA$7, 2, 0))))</f>
        <v>2</v>
      </c>
      <c r="AN130" s="20">
        <f>IF(Table9[[#This Row],[Vmin (%)]]&lt;$BA$13, 0, IF(Table9[[#This Row],[Vmin (%)]]&lt;$BA$11, 4, IF(Table9[[#This Row],[Vmin (%)]]&lt;$BA$10, 3, IF(Table9[[#This Row],[Vmin (%)]]&lt;$BA$8, 2, 0))))</f>
        <v>2</v>
      </c>
      <c r="AO130" s="76" t="str">
        <f>IF(Table9[[#This Row],[Vmin (%)]]&lt;$BA$14, "Hot", IF(Table9[[#This Row],[Vmin (%)]]&lt;$BA$12, "Warm", IF(Table9[[#This Row],[Vmin (%)]]&lt;$BA$9, "Normal", IF(Table9[[#This Row],[Vmin (%)]]&lt;$BA$7, "Cool", "Cold"))))</f>
        <v>Cool</v>
      </c>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row>
    <row r="131" spans="1:210" x14ac:dyDescent="0.2">
      <c r="A131" s="113">
        <f t="shared" si="17"/>
        <v>-1</v>
      </c>
      <c r="B131" s="163"/>
      <c r="C131" s="172" t="str">
        <f t="shared" si="20"/>
        <v>RTH at -1 °C</v>
      </c>
      <c r="D131" s="196">
        <f t="shared" si="19"/>
        <v>2.1266666666666669</v>
      </c>
      <c r="E131" s="197">
        <v>27.89</v>
      </c>
      <c r="F131" s="198">
        <v>28.48</v>
      </c>
      <c r="G131" s="199">
        <v>29.06</v>
      </c>
      <c r="H131" s="128" t="s">
        <v>30</v>
      </c>
      <c r="I131" s="29"/>
      <c r="J131" s="29">
        <v>29.06</v>
      </c>
      <c r="K131" s="29">
        <v>28.48</v>
      </c>
      <c r="L131" s="29">
        <v>27.89</v>
      </c>
      <c r="M131" s="29"/>
      <c r="N131" s="29"/>
      <c r="O131" s="29"/>
      <c r="P131" s="29"/>
      <c r="Q131" s="29"/>
      <c r="R131" s="29"/>
      <c r="S131" s="29"/>
      <c r="T131" s="29"/>
      <c r="U131" s="29"/>
      <c r="V131" s="29"/>
      <c r="W131" s="29"/>
      <c r="X131" s="29"/>
      <c r="Y131" s="30"/>
      <c r="Z131" s="18"/>
      <c r="AA131" s="19"/>
      <c r="AB131" s="19"/>
      <c r="AC131" s="20">
        <f t="shared" si="21"/>
        <v>-1</v>
      </c>
      <c r="AD131" s="20">
        <f t="shared" si="22"/>
        <v>27.89</v>
      </c>
      <c r="AE131" s="20">
        <f t="shared" si="23"/>
        <v>28.48</v>
      </c>
      <c r="AF131" s="20">
        <f t="shared" si="24"/>
        <v>29.06</v>
      </c>
      <c r="AG131" s="20">
        <f>Table9[[#This Row],[RTH(min) (kΩ)]]*RT2_TH_MIN/(RT2_TH_MIN+Table9[[#This Row],[RTH(min) (kΩ)]])</f>
        <v>14.562575738677424</v>
      </c>
      <c r="AH131" s="20">
        <f>Table9[[#This Row],[RTH(nom) (kΩ)]]*RT2_TH_S/(RT2_TH_S+Table9[[#This Row],[RTH(nom) (kΩ)]])</f>
        <v>14.728935071776338</v>
      </c>
      <c r="AI131" s="20">
        <f>Table9[[#This Row],[RTH(max) (kΩ)]]*RT2_TH_S_MAX/(RT2_TH_S_MAX+Table9[[#This Row],[RTH(max) (kΩ)]])</f>
        <v>14.889809749174921</v>
      </c>
      <c r="AJ131" s="20">
        <f>Table9[[#This Row],[RLower(min) (kΩ)]]/(Table9[[#This Row],[RLower(min) (kΩ)]]+RT1_TH_S_MAX)*100</f>
        <v>73.545391243806407</v>
      </c>
      <c r="AK131" s="20">
        <f>Table9[[#This Row],[RLower(nom) (kΩ)]]/(Table9[[#This Row],[RLower(nom) (kΩ)]]+RT1_TH_S)*100</f>
        <v>73.785139322169869</v>
      </c>
      <c r="AL131" s="20">
        <f>Table9[[#This Row],[RLower(max) (kΩ)]]/(Table9[[#This Row],[RLower(max) (kΩ)]]+RT1_TH_S_MIN)*100</f>
        <v>74.013965403792099</v>
      </c>
      <c r="AM131" s="20">
        <f>IF(Table9[[#This Row],[Vmin (%)]]&lt;$BA$14, 0, IF(Table9[[#This Row],[Vmin (%)]]&lt;$BA$12, 4, IF(Table9[[#This Row],[Vmin (%)]]&lt;$BA$9, 3, IF(Table9[[#This Row],[Vmin (%)]]&lt;$BA$7, 2, 0))))</f>
        <v>2</v>
      </c>
      <c r="AN131" s="20">
        <f>IF(Table9[[#This Row],[Vmin (%)]]&lt;$BA$13, 0, IF(Table9[[#This Row],[Vmin (%)]]&lt;$BA$11, 4, IF(Table9[[#This Row],[Vmin (%)]]&lt;$BA$10, 3, IF(Table9[[#This Row],[Vmin (%)]]&lt;$BA$8, 2, 0))))</f>
        <v>2</v>
      </c>
      <c r="AO131" s="76" t="str">
        <f>IF(Table9[[#This Row],[Vmin (%)]]&lt;$BA$14, "Hot", IF(Table9[[#This Row],[Vmin (%)]]&lt;$BA$12, "Warm", IF(Table9[[#This Row],[Vmin (%)]]&lt;$BA$9, "Normal", IF(Table9[[#This Row],[Vmin (%)]]&lt;$BA$7, "Cool", "Cold"))))</f>
        <v>Cool</v>
      </c>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c r="GR131" s="19"/>
      <c r="GS131" s="19"/>
      <c r="GT131" s="19"/>
      <c r="GU131" s="19"/>
      <c r="GV131" s="19"/>
      <c r="GW131" s="19"/>
      <c r="GX131" s="19"/>
      <c r="GY131" s="19"/>
      <c r="GZ131" s="19"/>
      <c r="HA131" s="19"/>
      <c r="HB131" s="19"/>
    </row>
    <row r="132" spans="1:210" x14ac:dyDescent="0.2">
      <c r="A132" s="113">
        <f t="shared" si="17"/>
        <v>-2</v>
      </c>
      <c r="B132" s="163"/>
      <c r="C132" s="172" t="str">
        <f t="shared" si="20"/>
        <v>RTH at -2 °C</v>
      </c>
      <c r="D132" s="196">
        <f t="shared" si="19"/>
        <v>2.17</v>
      </c>
      <c r="E132" s="197">
        <v>29.11</v>
      </c>
      <c r="F132" s="198">
        <v>29.73</v>
      </c>
      <c r="G132" s="199">
        <v>30.36</v>
      </c>
      <c r="H132" s="128" t="s">
        <v>30</v>
      </c>
      <c r="I132" s="29"/>
      <c r="J132" s="29">
        <v>30.36</v>
      </c>
      <c r="K132" s="29">
        <v>29.73</v>
      </c>
      <c r="L132" s="29">
        <v>29.11</v>
      </c>
      <c r="M132" s="29"/>
      <c r="N132" s="29"/>
      <c r="O132" s="29"/>
      <c r="P132" s="29"/>
      <c r="Q132" s="29"/>
      <c r="R132" s="29"/>
      <c r="S132" s="29"/>
      <c r="T132" s="29"/>
      <c r="U132" s="29"/>
      <c r="V132" s="29"/>
      <c r="W132" s="29"/>
      <c r="X132" s="29"/>
      <c r="Y132" s="30"/>
      <c r="Z132" s="18"/>
      <c r="AA132" s="19"/>
      <c r="AB132" s="19"/>
      <c r="AC132" s="20">
        <f t="shared" si="21"/>
        <v>-2</v>
      </c>
      <c r="AD132" s="20">
        <f t="shared" si="22"/>
        <v>29.11</v>
      </c>
      <c r="AE132" s="20">
        <f t="shared" si="23"/>
        <v>29.73</v>
      </c>
      <c r="AF132" s="20">
        <f t="shared" si="24"/>
        <v>30.36</v>
      </c>
      <c r="AG132" s="20">
        <f>Table9[[#This Row],[RTH(min) (kΩ)]]*RT2_TH_MIN/(RT2_TH_MIN+Table9[[#This Row],[RTH(min) (kΩ)]])</f>
        <v>14.888378460399379</v>
      </c>
      <c r="AH132" s="20">
        <f>Table9[[#This Row],[RTH(nom) (kΩ)]]*RT2_TH_S/(RT2_TH_S+Table9[[#This Row],[RTH(nom) (kΩ)]])</f>
        <v>15.05632510213516</v>
      </c>
      <c r="AI132" s="20">
        <f>Table9[[#This Row],[RTH(max) (kΩ)]]*RT2_TH_S_MAX/(RT2_TH_S_MAX+Table9[[#This Row],[RTH(max) (kΩ)]])</f>
        <v>15.223819188998709</v>
      </c>
      <c r="AJ132" s="20">
        <f>Table9[[#This Row],[RLower(min) (kΩ)]]/(Table9[[#This Row],[RLower(min) (kΩ)]]+RT1_TH_S_MAX)*100</f>
        <v>73.973629616017263</v>
      </c>
      <c r="AK132" s="20">
        <f>Table9[[#This Row],[RLower(nom) (kΩ)]]/(Table9[[#This Row],[RLower(nom) (kΩ)]]+RT1_TH_S)*100</f>
        <v>74.208144411541056</v>
      </c>
      <c r="AL132" s="20">
        <f>Table9[[#This Row],[RLower(max) (kΩ)]]/(Table9[[#This Row],[RLower(max) (kΩ)]]+RT1_TH_S_MIN)*100</f>
        <v>74.438362051172675</v>
      </c>
      <c r="AM132" s="20">
        <f>IF(Table9[[#This Row],[Vmin (%)]]&lt;$BA$14, 0, IF(Table9[[#This Row],[Vmin (%)]]&lt;$BA$12, 4, IF(Table9[[#This Row],[Vmin (%)]]&lt;$BA$9, 3, IF(Table9[[#This Row],[Vmin (%)]]&lt;$BA$7, 2, 0))))</f>
        <v>2</v>
      </c>
      <c r="AN132" s="20">
        <f>IF(Table9[[#This Row],[Vmin (%)]]&lt;$BA$13, 0, IF(Table9[[#This Row],[Vmin (%)]]&lt;$BA$11, 4, IF(Table9[[#This Row],[Vmin (%)]]&lt;$BA$10, 3, IF(Table9[[#This Row],[Vmin (%)]]&lt;$BA$8, 2, 0))))</f>
        <v>2</v>
      </c>
      <c r="AO132" s="76" t="str">
        <f>IF(Table9[[#This Row],[Vmin (%)]]&lt;$BA$14, "Hot", IF(Table9[[#This Row],[Vmin (%)]]&lt;$BA$12, "Warm", IF(Table9[[#This Row],[Vmin (%)]]&lt;$BA$9, "Normal", IF(Table9[[#This Row],[Vmin (%)]]&lt;$BA$7, "Cool", "Cold"))))</f>
        <v>Cool</v>
      </c>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row>
    <row r="133" spans="1:210" x14ac:dyDescent="0.2">
      <c r="A133" s="113">
        <f t="shared" si="17"/>
        <v>-3</v>
      </c>
      <c r="B133" s="163"/>
      <c r="C133" s="172" t="str">
        <f t="shared" si="20"/>
        <v>RTH at -3 °C</v>
      </c>
      <c r="D133" s="196">
        <f t="shared" si="19"/>
        <v>2.2133333333333334</v>
      </c>
      <c r="E133" s="197">
        <v>30.39</v>
      </c>
      <c r="F133" s="198">
        <v>31.05</v>
      </c>
      <c r="G133" s="199">
        <v>31.72</v>
      </c>
      <c r="H133" s="128" t="s">
        <v>30</v>
      </c>
      <c r="I133" s="29"/>
      <c r="J133" s="29">
        <v>31.72</v>
      </c>
      <c r="K133" s="29">
        <v>31.05</v>
      </c>
      <c r="L133" s="29">
        <v>30.39</v>
      </c>
      <c r="M133" s="29"/>
      <c r="N133" s="29"/>
      <c r="O133" s="29"/>
      <c r="P133" s="29"/>
      <c r="Q133" s="29"/>
      <c r="R133" s="29"/>
      <c r="S133" s="29"/>
      <c r="T133" s="29"/>
      <c r="U133" s="29"/>
      <c r="V133" s="29"/>
      <c r="W133" s="29"/>
      <c r="X133" s="29"/>
      <c r="Y133" s="30"/>
      <c r="Z133" s="18"/>
      <c r="AA133" s="19"/>
      <c r="AB133" s="19"/>
      <c r="AC133" s="20">
        <f t="shared" si="21"/>
        <v>-3</v>
      </c>
      <c r="AD133" s="20">
        <f t="shared" si="22"/>
        <v>30.39</v>
      </c>
      <c r="AE133" s="20">
        <f t="shared" si="23"/>
        <v>31.05</v>
      </c>
      <c r="AF133" s="20">
        <f t="shared" si="24"/>
        <v>31.72</v>
      </c>
      <c r="AG133" s="20">
        <f>Table9[[#This Row],[RTH(min) (kΩ)]]*RT2_TH_MIN/(RT2_TH_MIN+Table9[[#This Row],[RTH(min) (kΩ)]])</f>
        <v>15.216163887359722</v>
      </c>
      <c r="AH133" s="20">
        <f>Table9[[#This Row],[RTH(nom) (kΩ)]]*RT2_TH_S/(RT2_TH_S+Table9[[#This Row],[RTH(nom) (kΩ)]])</f>
        <v>15.387614625637292</v>
      </c>
      <c r="AI133" s="20">
        <f>Table9[[#This Row],[RTH(max) (kΩ)]]*RT2_TH_S_MAX/(RT2_TH_S_MAX+Table9[[#This Row],[RTH(max) (kΩ)]])</f>
        <v>15.558314572257645</v>
      </c>
      <c r="AJ133" s="20">
        <f>Table9[[#This Row],[RLower(min) (kΩ)]]/(Table9[[#This Row],[RLower(min) (kΩ)]]+RT1_TH_S_MAX)*100</f>
        <v>74.390707111466199</v>
      </c>
      <c r="AK133" s="20">
        <f>Table9[[#This Row],[RLower(nom) (kΩ)]]/(Table9[[#This Row],[RLower(nom) (kΩ)]]+RT1_TH_S)*100</f>
        <v>74.622514951496356</v>
      </c>
      <c r="AL133" s="20">
        <f>Table9[[#This Row],[RLower(max) (kΩ)]]/(Table9[[#This Row],[RLower(max) (kΩ)]]+RT1_TH_S_MIN)*100</f>
        <v>74.849707185693063</v>
      </c>
      <c r="AM133" s="20">
        <f>IF(Table9[[#This Row],[Vmin (%)]]&lt;$BA$14, 0, IF(Table9[[#This Row],[Vmin (%)]]&lt;$BA$12, 4, IF(Table9[[#This Row],[Vmin (%)]]&lt;$BA$9, 3, IF(Table9[[#This Row],[Vmin (%)]]&lt;$BA$7, 2, 0))))</f>
        <v>2</v>
      </c>
      <c r="AN133" s="20">
        <f>IF(Table9[[#This Row],[Vmin (%)]]&lt;$BA$13, 0, IF(Table9[[#This Row],[Vmin (%)]]&lt;$BA$11, 4, IF(Table9[[#This Row],[Vmin (%)]]&lt;$BA$10, 3, IF(Table9[[#This Row],[Vmin (%)]]&lt;$BA$8, 2, 0))))</f>
        <v>2</v>
      </c>
      <c r="AO133" s="76" t="str">
        <f>IF(Table9[[#This Row],[Vmin (%)]]&lt;$BA$14, "Hot", IF(Table9[[#This Row],[Vmin (%)]]&lt;$BA$12, "Warm", IF(Table9[[#This Row],[Vmin (%)]]&lt;$BA$9, "Normal", IF(Table9[[#This Row],[Vmin (%)]]&lt;$BA$7, "Cool", "Cold"))))</f>
        <v>Cool</v>
      </c>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row>
    <row r="134" spans="1:210" x14ac:dyDescent="0.2">
      <c r="A134" s="113">
        <f t="shared" si="17"/>
        <v>-4</v>
      </c>
      <c r="B134" s="163"/>
      <c r="C134" s="172" t="str">
        <f t="shared" si="20"/>
        <v>RTH at -4 °C</v>
      </c>
      <c r="D134" s="196">
        <f t="shared" si="19"/>
        <v>2.2566666666666668</v>
      </c>
      <c r="E134" s="197">
        <v>31.73</v>
      </c>
      <c r="F134" s="198">
        <v>32.44</v>
      </c>
      <c r="G134" s="199">
        <v>33.15</v>
      </c>
      <c r="H134" s="128" t="s">
        <v>30</v>
      </c>
      <c r="I134" s="29"/>
      <c r="J134" s="29">
        <v>33.15</v>
      </c>
      <c r="K134" s="29">
        <v>32.44</v>
      </c>
      <c r="L134" s="29">
        <v>31.73</v>
      </c>
      <c r="M134" s="29"/>
      <c r="N134" s="29"/>
      <c r="O134" s="29"/>
      <c r="P134" s="29"/>
      <c r="Q134" s="29"/>
      <c r="R134" s="29"/>
      <c r="S134" s="29"/>
      <c r="T134" s="29"/>
      <c r="U134" s="29"/>
      <c r="V134" s="29"/>
      <c r="W134" s="29"/>
      <c r="X134" s="29"/>
      <c r="Y134" s="30"/>
      <c r="Z134" s="18"/>
      <c r="AA134" s="19"/>
      <c r="AB134" s="19"/>
      <c r="AC134" s="20">
        <f t="shared" si="21"/>
        <v>-4</v>
      </c>
      <c r="AD134" s="20">
        <f t="shared" si="22"/>
        <v>31.73</v>
      </c>
      <c r="AE134" s="20">
        <f t="shared" si="23"/>
        <v>32.44</v>
      </c>
      <c r="AF134" s="20">
        <f t="shared" si="24"/>
        <v>33.15</v>
      </c>
      <c r="AG134" s="20">
        <f>Table9[[#This Row],[RTH(min) (kΩ)]]*RT2_TH_MIN/(RT2_TH_MIN+Table9[[#This Row],[RTH(min) (kΩ)]])</f>
        <v>15.544861121601794</v>
      </c>
      <c r="AH134" s="20">
        <f>Table9[[#This Row],[RTH(nom) (kΩ)]]*RT2_TH_S/(RT2_TH_S+Table9[[#This Row],[RTH(nom) (kΩ)]])</f>
        <v>15.721453059772569</v>
      </c>
      <c r="AI134" s="20">
        <f>Table9[[#This Row],[RTH(max) (kΩ)]]*RT2_TH_S_MAX/(RT2_TH_S_MAX+Table9[[#This Row],[RTH(max) (kΩ)]])</f>
        <v>15.894618534225943</v>
      </c>
      <c r="AJ134" s="20">
        <f>Table9[[#This Row],[RLower(min) (kΩ)]]/(Table9[[#This Row],[RLower(min) (kΩ)]]+RT1_TH_S_MAX)*100</f>
        <v>74.795733778018658</v>
      </c>
      <c r="AK134" s="20">
        <f>Table9[[#This Row],[RLower(nom) (kΩ)]]/(Table9[[#This Row],[RLower(nom) (kΩ)]]+RT1_TH_S)*100</f>
        <v>75.026819632038553</v>
      </c>
      <c r="AL134" s="20">
        <f>Table9[[#This Row],[RLower(max) (kΩ)]]/(Table9[[#This Row],[RLower(max) (kΩ)]]+RT1_TH_S_MIN)*100</f>
        <v>75.250142384927102</v>
      </c>
      <c r="AM134" s="20">
        <f>IF(Table9[[#This Row],[Vmin (%)]]&lt;$BA$14, 0, IF(Table9[[#This Row],[Vmin (%)]]&lt;$BA$12, 4, IF(Table9[[#This Row],[Vmin (%)]]&lt;$BA$9, 3, IF(Table9[[#This Row],[Vmin (%)]]&lt;$BA$7, 2, 0))))</f>
        <v>2</v>
      </c>
      <c r="AN134" s="20">
        <f>IF(Table9[[#This Row],[Vmin (%)]]&lt;$BA$13, 0, IF(Table9[[#This Row],[Vmin (%)]]&lt;$BA$11, 4, IF(Table9[[#This Row],[Vmin (%)]]&lt;$BA$10, 3, IF(Table9[[#This Row],[Vmin (%)]]&lt;$BA$8, 2, 0))))</f>
        <v>2</v>
      </c>
      <c r="AO134" s="76" t="str">
        <f>IF(Table9[[#This Row],[Vmin (%)]]&lt;$BA$14, "Hot", IF(Table9[[#This Row],[Vmin (%)]]&lt;$BA$12, "Warm", IF(Table9[[#This Row],[Vmin (%)]]&lt;$BA$9, "Normal", IF(Table9[[#This Row],[Vmin (%)]]&lt;$BA$7, "Cool", "Cold"))))</f>
        <v>Cool</v>
      </c>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row>
    <row r="135" spans="1:210" x14ac:dyDescent="0.2">
      <c r="A135" s="113">
        <f t="shared" si="17"/>
        <v>-5</v>
      </c>
      <c r="B135" s="163"/>
      <c r="C135" s="172" t="str">
        <f t="shared" si="20"/>
        <v>RTH at -5 °C</v>
      </c>
      <c r="D135" s="196">
        <f t="shared" si="19"/>
        <v>2.2999999999999998</v>
      </c>
      <c r="E135" s="197">
        <v>33.15</v>
      </c>
      <c r="F135" s="198">
        <v>33.9</v>
      </c>
      <c r="G135" s="199">
        <v>34.659999999999997</v>
      </c>
      <c r="H135" s="128" t="s">
        <v>30</v>
      </c>
      <c r="I135" s="29"/>
      <c r="J135" s="29">
        <v>34.659999999999997</v>
      </c>
      <c r="K135" s="29">
        <v>33.9</v>
      </c>
      <c r="L135" s="29">
        <v>33.15</v>
      </c>
      <c r="M135" s="29"/>
      <c r="N135" s="29"/>
      <c r="O135" s="29"/>
      <c r="P135" s="29"/>
      <c r="Q135" s="29"/>
      <c r="R135" s="29"/>
      <c r="S135" s="29"/>
      <c r="T135" s="29"/>
      <c r="U135" s="29"/>
      <c r="V135" s="29"/>
      <c r="W135" s="29"/>
      <c r="X135" s="29"/>
      <c r="Y135" s="30"/>
      <c r="Z135" s="18"/>
      <c r="AA135" s="19"/>
      <c r="AB135" s="19"/>
      <c r="AC135" s="20">
        <f t="shared" si="21"/>
        <v>-5</v>
      </c>
      <c r="AD135" s="20">
        <f t="shared" si="22"/>
        <v>33.15</v>
      </c>
      <c r="AE135" s="20">
        <f t="shared" si="23"/>
        <v>33.9</v>
      </c>
      <c r="AF135" s="20">
        <f t="shared" si="24"/>
        <v>34.659999999999997</v>
      </c>
      <c r="AG135" s="20">
        <f>Table9[[#This Row],[RTH(min) (kΩ)]]*RT2_TH_MIN/(RT2_TH_MIN+Table9[[#This Row],[RTH(min) (kΩ)]])</f>
        <v>15.878072142177526</v>
      </c>
      <c r="AH135" s="20">
        <f>Table9[[#This Row],[RTH(nom) (kΩ)]]*RT2_TH_S/(RT2_TH_S+Table9[[#This Row],[RTH(nom) (kΩ)]])</f>
        <v>16.056586857783895</v>
      </c>
      <c r="AI135" s="20">
        <f>Table9[[#This Row],[RTH(max) (kΩ)]]*RT2_TH_S_MAX/(RT2_TH_S_MAX+Table9[[#This Row],[RTH(max) (kΩ)]])</f>
        <v>16.233722671173229</v>
      </c>
      <c r="AJ135" s="20">
        <f>Table9[[#This Row],[RLower(min) (kΩ)]]/(Table9[[#This Row],[RLower(min) (kΩ)]]+RT1_TH_S_MAX)*100</f>
        <v>75.193452163822315</v>
      </c>
      <c r="AK135" s="20">
        <f>Table9[[#This Row],[RLower(nom) (kΩ)]]/(Table9[[#This Row],[RLower(nom) (kΩ)]]+RT1_TH_S)*100</f>
        <v>75.419939532457846</v>
      </c>
      <c r="AL135" s="20">
        <f>Table9[[#This Row],[RLower(max) (kΩ)]]/(Table9[[#This Row],[RLower(max) (kΩ)]]+RT1_TH_S_MIN)*100</f>
        <v>75.641204827162241</v>
      </c>
      <c r="AM135" s="20">
        <f>IF(Table9[[#This Row],[Vmin (%)]]&lt;$BA$14, 0, IF(Table9[[#This Row],[Vmin (%)]]&lt;$BA$12, 4, IF(Table9[[#This Row],[Vmin (%)]]&lt;$BA$9, 3, IF(Table9[[#This Row],[Vmin (%)]]&lt;$BA$7, 2, 0))))</f>
        <v>2</v>
      </c>
      <c r="AN135" s="20">
        <f>IF(Table9[[#This Row],[Vmin (%)]]&lt;$BA$13, 0, IF(Table9[[#This Row],[Vmin (%)]]&lt;$BA$11, 4, IF(Table9[[#This Row],[Vmin (%)]]&lt;$BA$10, 3, IF(Table9[[#This Row],[Vmin (%)]]&lt;$BA$8, 2, 0))))</f>
        <v>2</v>
      </c>
      <c r="AO135" s="76" t="str">
        <f>IF(Table9[[#This Row],[Vmin (%)]]&lt;$BA$14, "Hot", IF(Table9[[#This Row],[Vmin (%)]]&lt;$BA$12, "Warm", IF(Table9[[#This Row],[Vmin (%)]]&lt;$BA$9, "Normal", IF(Table9[[#This Row],[Vmin (%)]]&lt;$BA$7, "Cool", "Cold"))))</f>
        <v>Cool</v>
      </c>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row>
    <row r="136" spans="1:210" x14ac:dyDescent="0.2">
      <c r="A136" s="113">
        <f t="shared" si="17"/>
        <v>-6</v>
      </c>
      <c r="B136" s="163"/>
      <c r="C136" s="172" t="str">
        <f t="shared" si="20"/>
        <v>RTH at -6 °C</v>
      </c>
      <c r="D136" s="196">
        <f t="shared" si="19"/>
        <v>2.3433333333333333</v>
      </c>
      <c r="E136" s="197">
        <v>34.64</v>
      </c>
      <c r="F136" s="198">
        <v>35.44</v>
      </c>
      <c r="G136" s="199">
        <v>36.25</v>
      </c>
      <c r="H136" s="128" t="s">
        <v>30</v>
      </c>
      <c r="I136" s="29"/>
      <c r="J136" s="29">
        <v>36.25</v>
      </c>
      <c r="K136" s="29">
        <v>35.44</v>
      </c>
      <c r="L136" s="29">
        <v>34.64</v>
      </c>
      <c r="M136" s="29"/>
      <c r="N136" s="29"/>
      <c r="O136" s="29"/>
      <c r="P136" s="29"/>
      <c r="Q136" s="29"/>
      <c r="R136" s="29"/>
      <c r="S136" s="29"/>
      <c r="T136" s="29"/>
      <c r="U136" s="29"/>
      <c r="V136" s="29"/>
      <c r="W136" s="29"/>
      <c r="X136" s="29"/>
      <c r="Y136" s="30"/>
      <c r="Z136" s="18"/>
      <c r="AA136" s="19"/>
      <c r="AB136" s="19"/>
      <c r="AC136" s="20">
        <f t="shared" si="21"/>
        <v>-6</v>
      </c>
      <c r="AD136" s="20">
        <f t="shared" si="22"/>
        <v>34.64</v>
      </c>
      <c r="AE136" s="20">
        <f t="shared" si="23"/>
        <v>35.44</v>
      </c>
      <c r="AF136" s="20">
        <f t="shared" si="24"/>
        <v>36.25</v>
      </c>
      <c r="AG136" s="20">
        <f>Table9[[#This Row],[RTH(min) (kΩ)]]*RT2_TH_MIN/(RT2_TH_MIN+Table9[[#This Row],[RTH(min) (kΩ)]])</f>
        <v>16.21208367285158</v>
      </c>
      <c r="AH136" s="20">
        <f>Table9[[#This Row],[RTH(nom) (kΩ)]]*RT2_TH_S/(RT2_TH_S+Table9[[#This Row],[RTH(nom) (kΩ)]])</f>
        <v>16.394002759564607</v>
      </c>
      <c r="AI136" s="20">
        <f>Table9[[#This Row],[RTH(max) (kΩ)]]*RT2_TH_S_MAX/(RT2_TH_S_MAX+Table9[[#This Row],[RTH(max) (kΩ)]])</f>
        <v>16.574218453025708</v>
      </c>
      <c r="AJ136" s="20">
        <f>Table9[[#This Row],[RLower(min) (kΩ)]]/(Table9[[#This Row],[RLower(min) (kΩ)]]+RT1_TH_S_MAX)*100</f>
        <v>75.579725082914123</v>
      </c>
      <c r="AK136" s="20">
        <f>Table9[[#This Row],[RLower(nom) (kΩ)]]/(Table9[[#This Row],[RLower(nom) (kΩ)]]+RT1_TH_S)*100</f>
        <v>75.80342802394135</v>
      </c>
      <c r="AL136" s="20">
        <f>Table9[[#This Row],[RLower(max) (kΩ)]]/(Table9[[#This Row],[RLower(max) (kΩ)]]+RT1_TH_S_MIN)*100</f>
        <v>76.021632123100744</v>
      </c>
      <c r="AM136" s="20">
        <f>IF(Table9[[#This Row],[Vmin (%)]]&lt;$BA$14, 0, IF(Table9[[#This Row],[Vmin (%)]]&lt;$BA$12, 4, IF(Table9[[#This Row],[Vmin (%)]]&lt;$BA$9, 3, IF(Table9[[#This Row],[Vmin (%)]]&lt;$BA$7, 2, 0))))</f>
        <v>2</v>
      </c>
      <c r="AN136" s="20">
        <f>IF(Table9[[#This Row],[Vmin (%)]]&lt;$BA$13, 0, IF(Table9[[#This Row],[Vmin (%)]]&lt;$BA$11, 4, IF(Table9[[#This Row],[Vmin (%)]]&lt;$BA$10, 3, IF(Table9[[#This Row],[Vmin (%)]]&lt;$BA$8, 2, 0))))</f>
        <v>2</v>
      </c>
      <c r="AO136" s="76" t="str">
        <f>IF(Table9[[#This Row],[Vmin (%)]]&lt;$BA$14, "Hot", IF(Table9[[#This Row],[Vmin (%)]]&lt;$BA$12, "Warm", IF(Table9[[#This Row],[Vmin (%)]]&lt;$BA$9, "Normal", IF(Table9[[#This Row],[Vmin (%)]]&lt;$BA$7, "Cool", "Cold"))))</f>
        <v>Cool</v>
      </c>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row>
    <row r="137" spans="1:210" x14ac:dyDescent="0.2">
      <c r="A137" s="113">
        <f t="shared" si="17"/>
        <v>-7</v>
      </c>
      <c r="B137" s="163"/>
      <c r="C137" s="172" t="str">
        <f t="shared" si="20"/>
        <v>RTH at -7 °C</v>
      </c>
      <c r="D137" s="196">
        <f t="shared" si="19"/>
        <v>2.3866666666666667</v>
      </c>
      <c r="E137" s="197">
        <v>36.21</v>
      </c>
      <c r="F137" s="198">
        <v>37.06</v>
      </c>
      <c r="G137" s="199">
        <v>37.92</v>
      </c>
      <c r="H137" s="128" t="s">
        <v>30</v>
      </c>
      <c r="I137" s="29"/>
      <c r="J137" s="29">
        <v>37.92</v>
      </c>
      <c r="K137" s="29">
        <v>37.06</v>
      </c>
      <c r="L137" s="29">
        <v>36.21</v>
      </c>
      <c r="M137" s="29"/>
      <c r="N137" s="29"/>
      <c r="O137" s="29"/>
      <c r="P137" s="29"/>
      <c r="Q137" s="29"/>
      <c r="R137" s="29"/>
      <c r="S137" s="29"/>
      <c r="T137" s="29"/>
      <c r="U137" s="29"/>
      <c r="V137" s="29"/>
      <c r="W137" s="29"/>
      <c r="X137" s="29"/>
      <c r="Y137" s="30"/>
      <c r="Z137" s="18"/>
      <c r="AA137" s="19"/>
      <c r="AB137" s="19"/>
      <c r="AC137" s="20">
        <f t="shared" si="21"/>
        <v>-7</v>
      </c>
      <c r="AD137" s="20">
        <f t="shared" si="22"/>
        <v>36.21</v>
      </c>
      <c r="AE137" s="20">
        <f t="shared" si="23"/>
        <v>37.06</v>
      </c>
      <c r="AF137" s="20">
        <f t="shared" si="24"/>
        <v>37.92</v>
      </c>
      <c r="AG137" s="20">
        <f>Table9[[#This Row],[RTH(min) (kΩ)]]*RT2_TH_MIN/(RT2_TH_MIN+Table9[[#This Row],[RTH(min) (kΩ)]])</f>
        <v>16.547878817771398</v>
      </c>
      <c r="AH137" s="20">
        <f>Table9[[#This Row],[RTH(nom) (kΩ)]]*RT2_TH_S/(RT2_TH_S+Table9[[#This Row],[RTH(nom) (kΩ)]])</f>
        <v>16.732346176821302</v>
      </c>
      <c r="AI137" s="20">
        <f>Table9[[#This Row],[RTH(max) (kΩ)]]*RT2_TH_S_MAX/(RT2_TH_S_MAX+Table9[[#This Row],[RTH(max) (kΩ)]])</f>
        <v>16.914815161476682</v>
      </c>
      <c r="AJ137" s="20">
        <f>Table9[[#This Row],[RLower(min) (kΩ)]]/(Table9[[#This Row],[RLower(min) (kΩ)]]+RT1_TH_S_MAX)*100</f>
        <v>75.956121438491195</v>
      </c>
      <c r="AK137" s="20">
        <f>Table9[[#This Row],[RLower(nom) (kΩ)]]/(Table9[[#This Row],[RLower(nom) (kΩ)]]+RT1_TH_S)*100</f>
        <v>76.176140299088971</v>
      </c>
      <c r="AL137" s="20">
        <f>Table9[[#This Row],[RLower(max) (kΩ)]]/(Table9[[#This Row],[RLower(max) (kΩ)]]+RT1_TH_S_MIN)*100</f>
        <v>76.390466994094481</v>
      </c>
      <c r="AM137" s="20">
        <f>IF(Table9[[#This Row],[Vmin (%)]]&lt;$BA$14, 0, IF(Table9[[#This Row],[Vmin (%)]]&lt;$BA$12, 4, IF(Table9[[#This Row],[Vmin (%)]]&lt;$BA$9, 3, IF(Table9[[#This Row],[Vmin (%)]]&lt;$BA$7, 2, 0))))</f>
        <v>2</v>
      </c>
      <c r="AN137" s="20">
        <f>IF(Table9[[#This Row],[Vmin (%)]]&lt;$BA$13, 0, IF(Table9[[#This Row],[Vmin (%)]]&lt;$BA$11, 4, IF(Table9[[#This Row],[Vmin (%)]]&lt;$BA$10, 3, IF(Table9[[#This Row],[Vmin (%)]]&lt;$BA$8, 2, 0))))</f>
        <v>2</v>
      </c>
      <c r="AO137" s="76" t="str">
        <f>IF(Table9[[#This Row],[Vmin (%)]]&lt;$BA$14, "Hot", IF(Table9[[#This Row],[Vmin (%)]]&lt;$BA$12, "Warm", IF(Table9[[#This Row],[Vmin (%)]]&lt;$BA$9, "Normal", IF(Table9[[#This Row],[Vmin (%)]]&lt;$BA$7, "Cool", "Cold"))))</f>
        <v>Cool</v>
      </c>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c r="GR137" s="19"/>
      <c r="GS137" s="19"/>
      <c r="GT137" s="19"/>
      <c r="GU137" s="19"/>
      <c r="GV137" s="19"/>
      <c r="GW137" s="19"/>
      <c r="GX137" s="19"/>
      <c r="GY137" s="19"/>
      <c r="GZ137" s="19"/>
      <c r="HA137" s="19"/>
      <c r="HB137" s="19"/>
    </row>
    <row r="138" spans="1:210" x14ac:dyDescent="0.2">
      <c r="A138" s="113">
        <f t="shared" si="17"/>
        <v>-8</v>
      </c>
      <c r="B138" s="163"/>
      <c r="C138" s="172" t="str">
        <f t="shared" si="20"/>
        <v>RTH at -8 °C</v>
      </c>
      <c r="D138" s="196">
        <f t="shared" si="19"/>
        <v>2.4299999999999997</v>
      </c>
      <c r="E138" s="197">
        <v>37.86</v>
      </c>
      <c r="F138" s="198">
        <v>38.770000000000003</v>
      </c>
      <c r="G138" s="199">
        <v>39.69</v>
      </c>
      <c r="H138" s="128" t="s">
        <v>30</v>
      </c>
      <c r="I138" s="29"/>
      <c r="J138" s="29">
        <v>39.69</v>
      </c>
      <c r="K138" s="29">
        <v>38.770000000000003</v>
      </c>
      <c r="L138" s="29">
        <v>37.86</v>
      </c>
      <c r="M138" s="29"/>
      <c r="N138" s="29"/>
      <c r="O138" s="29"/>
      <c r="P138" s="29"/>
      <c r="Q138" s="29"/>
      <c r="R138" s="29"/>
      <c r="S138" s="29"/>
      <c r="T138" s="29"/>
      <c r="U138" s="29"/>
      <c r="V138" s="29"/>
      <c r="W138" s="29"/>
      <c r="X138" s="29"/>
      <c r="Y138" s="30"/>
      <c r="Z138" s="18"/>
      <c r="AA138" s="19"/>
      <c r="AB138" s="19"/>
      <c r="AC138" s="20">
        <f t="shared" si="21"/>
        <v>-8</v>
      </c>
      <c r="AD138" s="20">
        <f t="shared" si="22"/>
        <v>37.86</v>
      </c>
      <c r="AE138" s="20">
        <f t="shared" si="23"/>
        <v>38.770000000000003</v>
      </c>
      <c r="AF138" s="20">
        <f t="shared" si="24"/>
        <v>39.69</v>
      </c>
      <c r="AG138" s="20">
        <f>Table9[[#This Row],[RTH(min) (kΩ)]]*RT2_TH_MIN/(RT2_TH_MIN+Table9[[#This Row],[RTH(min) (kΩ)]])</f>
        <v>16.884155287441313</v>
      </c>
      <c r="AH138" s="20">
        <f>Table9[[#This Row],[RTH(nom) (kΩ)]]*RT2_TH_S/(RT2_TH_S+Table9[[#This Row],[RTH(nom) (kΩ)]])</f>
        <v>17.072319040651863</v>
      </c>
      <c r="AI138" s="20">
        <f>Table9[[#This Row],[RTH(max) (kΩ)]]*RT2_TH_S_MAX/(RT2_TH_S_MAX+Table9[[#This Row],[RTH(max) (kΩ)]])</f>
        <v>17.258123754560309</v>
      </c>
      <c r="AJ138" s="20">
        <f>Table9[[#This Row],[RLower(min) (kΩ)]]/(Table9[[#This Row],[RLower(min) (kΩ)]]+RT1_TH_S_MAX)*100</f>
        <v>76.321606111019307</v>
      </c>
      <c r="AK138" s="20">
        <f>Table9[[#This Row],[RLower(nom) (kΩ)]]/(Table9[[#This Row],[RLower(nom) (kΩ)]]+RT1_TH_S)*100</f>
        <v>76.539258576393493</v>
      </c>
      <c r="AL138" s="20">
        <f>Table9[[#This Row],[RLower(max) (kΩ)]]/(Table9[[#This Row],[RLower(max) (kΩ)]]+RT1_TH_S_MIN)*100</f>
        <v>76.750931199678163</v>
      </c>
      <c r="AM138" s="20">
        <f>IF(Table9[[#This Row],[Vmin (%)]]&lt;$BA$14, 0, IF(Table9[[#This Row],[Vmin (%)]]&lt;$BA$12, 4, IF(Table9[[#This Row],[Vmin (%)]]&lt;$BA$9, 3, IF(Table9[[#This Row],[Vmin (%)]]&lt;$BA$7, 2, 0))))</f>
        <v>2</v>
      </c>
      <c r="AN138" s="20">
        <f>IF(Table9[[#This Row],[Vmin (%)]]&lt;$BA$13, 0, IF(Table9[[#This Row],[Vmin (%)]]&lt;$BA$11, 4, IF(Table9[[#This Row],[Vmin (%)]]&lt;$BA$10, 3, IF(Table9[[#This Row],[Vmin (%)]]&lt;$BA$8, 2, 0))))</f>
        <v>0</v>
      </c>
      <c r="AO138" s="76" t="str">
        <f>IF(Table9[[#This Row],[Vmin (%)]]&lt;$BA$14, "Hot", IF(Table9[[#This Row],[Vmin (%)]]&lt;$BA$12, "Warm", IF(Table9[[#This Row],[Vmin (%)]]&lt;$BA$9, "Normal", IF(Table9[[#This Row],[Vmin (%)]]&lt;$BA$7, "Cool", "Cold"))))</f>
        <v>Cool</v>
      </c>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c r="GR138" s="19"/>
      <c r="GS138" s="19"/>
      <c r="GT138" s="19"/>
      <c r="GU138" s="19"/>
      <c r="GV138" s="19"/>
      <c r="GW138" s="19"/>
      <c r="GX138" s="19"/>
      <c r="GY138" s="19"/>
      <c r="GZ138" s="19"/>
      <c r="HA138" s="19"/>
      <c r="HB138" s="19"/>
    </row>
    <row r="139" spans="1:210" x14ac:dyDescent="0.2">
      <c r="A139" s="113">
        <f t="shared" si="17"/>
        <v>-9</v>
      </c>
      <c r="B139" s="163"/>
      <c r="C139" s="172" t="str">
        <f t="shared" si="20"/>
        <v>RTH at -9 °C</v>
      </c>
      <c r="D139" s="196">
        <f t="shared" si="19"/>
        <v>2.4733333333333336</v>
      </c>
      <c r="E139" s="197">
        <v>39.6</v>
      </c>
      <c r="F139" s="198">
        <v>40.57</v>
      </c>
      <c r="G139" s="199">
        <v>41.55</v>
      </c>
      <c r="H139" s="128" t="s">
        <v>30</v>
      </c>
      <c r="I139" s="29"/>
      <c r="J139" s="29">
        <v>41.55</v>
      </c>
      <c r="K139" s="29">
        <v>40.57</v>
      </c>
      <c r="L139" s="29">
        <v>39.6</v>
      </c>
      <c r="M139" s="29"/>
      <c r="N139" s="29"/>
      <c r="O139" s="29"/>
      <c r="P139" s="29"/>
      <c r="Q139" s="29"/>
      <c r="R139" s="29"/>
      <c r="S139" s="29"/>
      <c r="T139" s="29"/>
      <c r="U139" s="29"/>
      <c r="V139" s="29"/>
      <c r="W139" s="29"/>
      <c r="X139" s="29"/>
      <c r="Y139" s="30"/>
      <c r="Z139" s="18"/>
      <c r="AA139" s="19"/>
      <c r="AB139" s="19"/>
      <c r="AC139" s="20">
        <f t="shared" si="21"/>
        <v>-9</v>
      </c>
      <c r="AD139" s="20">
        <f t="shared" si="22"/>
        <v>39.6</v>
      </c>
      <c r="AE139" s="20">
        <f t="shared" si="23"/>
        <v>40.57</v>
      </c>
      <c r="AF139" s="20">
        <f t="shared" si="24"/>
        <v>41.55</v>
      </c>
      <c r="AG139" s="20">
        <f>Table9[[#This Row],[RTH(min) (kΩ)]]*RT2_TH_MIN/(RT2_TH_MIN+Table9[[#This Row],[RTH(min) (kΩ)]])</f>
        <v>17.221618752284918</v>
      </c>
      <c r="AH139" s="20">
        <f>Table9[[#This Row],[RTH(nom) (kΩ)]]*RT2_TH_S/(RT2_TH_S+Table9[[#This Row],[RTH(nom) (kΩ)]])</f>
        <v>17.412512257265817</v>
      </c>
      <c r="AI139" s="20">
        <f>Table9[[#This Row],[RTH(max) (kΩ)]]*RT2_TH_S_MAX/(RT2_TH_S_MAX+Table9[[#This Row],[RTH(max) (kΩ)]])</f>
        <v>17.600721794862359</v>
      </c>
      <c r="AJ139" s="20">
        <f>Table9[[#This Row],[RLower(min) (kΩ)]]/(Table9[[#This Row],[RLower(min) (kΩ)]]+RT1_TH_S_MAX)*100</f>
        <v>76.677378539292945</v>
      </c>
      <c r="AK139" s="20">
        <f>Table9[[#This Row],[RLower(nom) (kΩ)]]/(Table9[[#This Row],[RLower(nom) (kΩ)]]+RT1_TH_S)*100</f>
        <v>76.891698747257919</v>
      </c>
      <c r="AL139" s="20">
        <f>Table9[[#This Row],[RLower(max) (kΩ)]]/(Table9[[#This Row],[RLower(max) (kΩ)]]+RT1_TH_S_MIN)*100</f>
        <v>77.099841220279544</v>
      </c>
      <c r="AM139" s="20">
        <f>IF(Table9[[#This Row],[Vmin (%)]]&lt;$BA$14, 0, IF(Table9[[#This Row],[Vmin (%)]]&lt;$BA$12, 4, IF(Table9[[#This Row],[Vmin (%)]]&lt;$BA$9, 3, IF(Table9[[#This Row],[Vmin (%)]]&lt;$BA$7, 2, 0))))</f>
        <v>2</v>
      </c>
      <c r="AN139" s="20">
        <f>IF(Table9[[#This Row],[Vmin (%)]]&lt;$BA$13, 0, IF(Table9[[#This Row],[Vmin (%)]]&lt;$BA$11, 4, IF(Table9[[#This Row],[Vmin (%)]]&lt;$BA$10, 3, IF(Table9[[#This Row],[Vmin (%)]]&lt;$BA$8, 2, 0))))</f>
        <v>0</v>
      </c>
      <c r="AO139" s="76" t="str">
        <f>IF(Table9[[#This Row],[Vmin (%)]]&lt;$BA$14, "Hot", IF(Table9[[#This Row],[Vmin (%)]]&lt;$BA$12, "Warm", IF(Table9[[#This Row],[Vmin (%)]]&lt;$BA$9, "Normal", IF(Table9[[#This Row],[Vmin (%)]]&lt;$BA$7, "Cool", "Cold"))))</f>
        <v>Cool</v>
      </c>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row>
    <row r="140" spans="1:210" x14ac:dyDescent="0.2">
      <c r="A140" s="113">
        <f t="shared" si="17"/>
        <v>-10</v>
      </c>
      <c r="B140" s="163"/>
      <c r="C140" s="172" t="str">
        <f t="shared" si="20"/>
        <v>RTH at -10 °C</v>
      </c>
      <c r="D140" s="196">
        <f t="shared" si="19"/>
        <v>2.5166666666666666</v>
      </c>
      <c r="E140" s="197">
        <v>41.43</v>
      </c>
      <c r="F140" s="198">
        <v>42.47</v>
      </c>
      <c r="G140" s="199">
        <v>43.52</v>
      </c>
      <c r="H140" s="128" t="s">
        <v>30</v>
      </c>
      <c r="I140" s="29"/>
      <c r="J140" s="29">
        <v>43.52</v>
      </c>
      <c r="K140" s="29">
        <v>42.47</v>
      </c>
      <c r="L140" s="29">
        <v>41.43</v>
      </c>
      <c r="M140" s="29"/>
      <c r="N140" s="29"/>
      <c r="O140" s="29"/>
      <c r="P140" s="29"/>
      <c r="Q140" s="29"/>
      <c r="R140" s="29"/>
      <c r="S140" s="29"/>
      <c r="T140" s="29"/>
      <c r="U140" s="29"/>
      <c r="V140" s="29"/>
      <c r="W140" s="29"/>
      <c r="X140" s="29"/>
      <c r="Y140" s="30"/>
      <c r="Z140" s="18"/>
      <c r="AA140" s="19"/>
      <c r="AB140" s="19"/>
      <c r="AC140" s="20">
        <f t="shared" si="21"/>
        <v>-10</v>
      </c>
      <c r="AD140" s="20">
        <f t="shared" si="22"/>
        <v>41.43</v>
      </c>
      <c r="AE140" s="20">
        <f t="shared" si="23"/>
        <v>42.47</v>
      </c>
      <c r="AF140" s="20">
        <f t="shared" si="24"/>
        <v>43.52</v>
      </c>
      <c r="AG140" s="20">
        <f>Table9[[#This Row],[RTH(min) (kΩ)]]*RT2_TH_MIN/(RT2_TH_MIN+Table9[[#This Row],[RTH(min) (kΩ)]])</f>
        <v>17.558915877253497</v>
      </c>
      <c r="AH140" s="20">
        <f>Table9[[#This Row],[RTH(nom) (kΩ)]]*RT2_TH_S/(RT2_TH_S+Table9[[#This Row],[RTH(nom) (kΩ)]])</f>
        <v>17.753398335405329</v>
      </c>
      <c r="AI140" s="20">
        <f>Table9[[#This Row],[RTH(max) (kΩ)]]*RT2_TH_S_MAX/(RT2_TH_S_MAX+Table9[[#This Row],[RTH(max) (kΩ)]])</f>
        <v>17.944814740247175</v>
      </c>
      <c r="AJ140" s="20">
        <f>Table9[[#This Row],[RLower(min) (kΩ)]]/(Table9[[#This Row],[RLower(min) (kΩ)]]+RT1_TH_S_MAX)*100</f>
        <v>77.022450472008032</v>
      </c>
      <c r="AK140" s="20">
        <f>Table9[[#This Row],[RLower(nom) (kΩ)]]/(Table9[[#This Row],[RLower(nom) (kΩ)]]+RT1_TH_S)*100</f>
        <v>77.234392765933919</v>
      </c>
      <c r="AL140" s="20">
        <f>Table9[[#This Row],[RLower(max) (kΩ)]]/(Table9[[#This Row],[RLower(max) (kΩ)]]+RT1_TH_S_MIN)*100</f>
        <v>77.439889048360072</v>
      </c>
      <c r="AM140" s="20">
        <f>IF(Table9[[#This Row],[Vmin (%)]]&lt;$BA$14, 0, IF(Table9[[#This Row],[Vmin (%)]]&lt;$BA$12, 4, IF(Table9[[#This Row],[Vmin (%)]]&lt;$BA$9, 3, IF(Table9[[#This Row],[Vmin (%)]]&lt;$BA$7, 2, 0))))</f>
        <v>2</v>
      </c>
      <c r="AN140" s="20">
        <f>IF(Table9[[#This Row],[Vmin (%)]]&lt;$BA$13, 0, IF(Table9[[#This Row],[Vmin (%)]]&lt;$BA$11, 4, IF(Table9[[#This Row],[Vmin (%)]]&lt;$BA$10, 3, IF(Table9[[#This Row],[Vmin (%)]]&lt;$BA$8, 2, 0))))</f>
        <v>0</v>
      </c>
      <c r="AO140" s="76" t="str">
        <f>IF(Table9[[#This Row],[Vmin (%)]]&lt;$BA$14, "Hot", IF(Table9[[#This Row],[Vmin (%)]]&lt;$BA$12, "Warm", IF(Table9[[#This Row],[Vmin (%)]]&lt;$BA$9, "Normal", IF(Table9[[#This Row],[Vmin (%)]]&lt;$BA$7, "Cool", "Cold"))))</f>
        <v>Cool</v>
      </c>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c r="GR140" s="19"/>
      <c r="GS140" s="19"/>
      <c r="GT140" s="19"/>
      <c r="GU140" s="19"/>
      <c r="GV140" s="19"/>
      <c r="GW140" s="19"/>
      <c r="GX140" s="19"/>
      <c r="GY140" s="19"/>
      <c r="GZ140" s="19"/>
      <c r="HA140" s="19"/>
      <c r="HB140" s="19"/>
    </row>
    <row r="141" spans="1:210" x14ac:dyDescent="0.2">
      <c r="A141" s="113">
        <f t="shared" si="17"/>
        <v>-11</v>
      </c>
      <c r="B141" s="163"/>
      <c r="C141" s="172" t="str">
        <f t="shared" si="20"/>
        <v>RTH at -11 °C</v>
      </c>
      <c r="D141" s="196">
        <f t="shared" si="19"/>
        <v>2.56</v>
      </c>
      <c r="E141" s="197">
        <v>43.33</v>
      </c>
      <c r="F141" s="198">
        <v>44.43</v>
      </c>
      <c r="G141" s="199">
        <v>45.55</v>
      </c>
      <c r="H141" s="128" t="s">
        <v>30</v>
      </c>
      <c r="I141" s="29"/>
      <c r="J141" s="29">
        <v>45.55</v>
      </c>
      <c r="K141" s="29">
        <v>44.43</v>
      </c>
      <c r="L141" s="29">
        <v>43.33</v>
      </c>
      <c r="M141" s="29"/>
      <c r="N141" s="29"/>
      <c r="O141" s="29"/>
      <c r="P141" s="29"/>
      <c r="Q141" s="29"/>
      <c r="R141" s="29"/>
      <c r="S141" s="29"/>
      <c r="T141" s="29"/>
      <c r="U141" s="29"/>
      <c r="V141" s="29"/>
      <c r="W141" s="29"/>
      <c r="X141" s="29"/>
      <c r="Y141" s="30"/>
      <c r="Z141" s="18"/>
      <c r="AA141" s="19"/>
      <c r="AB141" s="19"/>
      <c r="AC141" s="20">
        <f t="shared" si="21"/>
        <v>-11</v>
      </c>
      <c r="AD141" s="20">
        <f t="shared" si="22"/>
        <v>43.33</v>
      </c>
      <c r="AE141" s="20">
        <f t="shared" si="23"/>
        <v>44.43</v>
      </c>
      <c r="AF141" s="20">
        <f t="shared" si="24"/>
        <v>45.55</v>
      </c>
      <c r="AG141" s="20">
        <f>Table9[[#This Row],[RTH(min) (kΩ)]]*RT2_TH_MIN/(RT2_TH_MIN+Table9[[#This Row],[RTH(min) (kΩ)]])</f>
        <v>17.891416452940838</v>
      </c>
      <c r="AH141" s="20">
        <f>Table9[[#This Row],[RTH(nom) (kΩ)]]*RT2_TH_S/(RT2_TH_S+Table9[[#This Row],[RTH(nom) (kΩ)]])</f>
        <v>18.086935305946298</v>
      </c>
      <c r="AI141" s="20">
        <f>Table9[[#This Row],[RTH(max) (kΩ)]]*RT2_TH_S_MAX/(RT2_TH_S_MAX+Table9[[#This Row],[RTH(max) (kΩ)]])</f>
        <v>18.280746980951893</v>
      </c>
      <c r="AJ141" s="20">
        <f>Table9[[#This Row],[RLower(min) (kΩ)]]/(Table9[[#This Row],[RLower(min) (kΩ)]]+RT1_TH_S_MAX)*100</f>
        <v>77.352764659810276</v>
      </c>
      <c r="AK141" s="20">
        <f>Table9[[#This Row],[RLower(nom) (kΩ)]]/(Table9[[#This Row],[RLower(nom) (kΩ)]]+RT1_TH_S)*100</f>
        <v>77.560001497366116</v>
      </c>
      <c r="AL141" s="20">
        <f>Table9[[#This Row],[RLower(max) (kΩ)]]/(Table9[[#This Row],[RLower(max) (kΩ)]]+RT1_TH_S_MIN)*100</f>
        <v>77.762268909541717</v>
      </c>
      <c r="AM141" s="20">
        <f>IF(Table9[[#This Row],[Vmin (%)]]&lt;$BA$14, 0, IF(Table9[[#This Row],[Vmin (%)]]&lt;$BA$12, 4, IF(Table9[[#This Row],[Vmin (%)]]&lt;$BA$9, 3, IF(Table9[[#This Row],[Vmin (%)]]&lt;$BA$7, 2, 0))))</f>
        <v>0</v>
      </c>
      <c r="AN141" s="20">
        <f>IF(Table9[[#This Row],[Vmin (%)]]&lt;$BA$13, 0, IF(Table9[[#This Row],[Vmin (%)]]&lt;$BA$11, 4, IF(Table9[[#This Row],[Vmin (%)]]&lt;$BA$10, 3, IF(Table9[[#This Row],[Vmin (%)]]&lt;$BA$8, 2, 0))))</f>
        <v>0</v>
      </c>
      <c r="AO141" s="76" t="str">
        <f>IF(Table9[[#This Row],[Vmin (%)]]&lt;$BA$14, "Hot", IF(Table9[[#This Row],[Vmin (%)]]&lt;$BA$12, "Warm", IF(Table9[[#This Row],[Vmin (%)]]&lt;$BA$9, "Normal", IF(Table9[[#This Row],[Vmin (%)]]&lt;$BA$7, "Cool", "Cold"))))</f>
        <v>Cold</v>
      </c>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c r="GR141" s="19"/>
      <c r="GS141" s="19"/>
      <c r="GT141" s="19"/>
      <c r="GU141" s="19"/>
      <c r="GV141" s="19"/>
      <c r="GW141" s="19"/>
      <c r="GX141" s="19"/>
      <c r="GY141" s="19"/>
      <c r="GZ141" s="19"/>
      <c r="HA141" s="19"/>
      <c r="HB141" s="19"/>
    </row>
    <row r="142" spans="1:210" x14ac:dyDescent="0.2">
      <c r="A142" s="113">
        <f t="shared" si="17"/>
        <v>-12</v>
      </c>
      <c r="B142" s="163"/>
      <c r="C142" s="172" t="str">
        <f t="shared" si="20"/>
        <v>RTH at -12 °C</v>
      </c>
      <c r="D142" s="196">
        <f t="shared" si="19"/>
        <v>2.6033333333333335</v>
      </c>
      <c r="E142" s="197">
        <v>45.32</v>
      </c>
      <c r="F142" s="198">
        <v>46.5</v>
      </c>
      <c r="G142" s="199">
        <v>47.69</v>
      </c>
      <c r="H142" s="128" t="s">
        <v>30</v>
      </c>
      <c r="I142" s="29"/>
      <c r="J142" s="29">
        <v>47.69</v>
      </c>
      <c r="K142" s="29">
        <v>46.5</v>
      </c>
      <c r="L142" s="29">
        <v>45.32</v>
      </c>
      <c r="M142" s="29"/>
      <c r="N142" s="29"/>
      <c r="O142" s="29"/>
      <c r="P142" s="29"/>
      <c r="Q142" s="29"/>
      <c r="R142" s="29"/>
      <c r="S142" s="29"/>
      <c r="T142" s="29"/>
      <c r="U142" s="29"/>
      <c r="V142" s="29"/>
      <c r="W142" s="29"/>
      <c r="X142" s="29"/>
      <c r="Y142" s="30"/>
      <c r="Z142" s="18"/>
      <c r="AA142" s="19"/>
      <c r="AB142" s="19"/>
      <c r="AC142" s="20">
        <f t="shared" si="21"/>
        <v>-12</v>
      </c>
      <c r="AD142" s="20">
        <f t="shared" si="22"/>
        <v>45.32</v>
      </c>
      <c r="AE142" s="20">
        <f t="shared" si="23"/>
        <v>46.5</v>
      </c>
      <c r="AF142" s="20">
        <f t="shared" si="24"/>
        <v>47.69</v>
      </c>
      <c r="AG142" s="20">
        <f>Table9[[#This Row],[RTH(min) (kΩ)]]*RT2_TH_MIN/(RT2_TH_MIN+Table9[[#This Row],[RTH(min) (kΩ)]])</f>
        <v>18.221793859887708</v>
      </c>
      <c r="AH142" s="20">
        <f>Table9[[#This Row],[RTH(nom) (kΩ)]]*RT2_TH_S/(RT2_TH_S+Table9[[#This Row],[RTH(nom) (kΩ)]])</f>
        <v>18.420756202533262</v>
      </c>
      <c r="AI142" s="20">
        <f>Table9[[#This Row],[RTH(max) (kΩ)]]*RT2_TH_S_MAX/(RT2_TH_S_MAX+Table9[[#This Row],[RTH(max) (kΩ)]])</f>
        <v>18.616004465216356</v>
      </c>
      <c r="AJ142" s="20">
        <f>Table9[[#This Row],[RLower(min) (kΩ)]]/(Table9[[#This Row],[RLower(min) (kΩ)]]+RT1_TH_S_MAX)*100</f>
        <v>77.671695995962409</v>
      </c>
      <c r="AK142" s="20">
        <f>Table9[[#This Row],[RLower(nom) (kΩ)]]/(Table9[[#This Row],[RLower(nom) (kΩ)]]+RT1_TH_S)*100</f>
        <v>77.876692984297293</v>
      </c>
      <c r="AL142" s="20">
        <f>Table9[[#This Row],[RLower(max) (kΩ)]]/(Table9[[#This Row],[RLower(max) (kΩ)]]+RT1_TH_S_MIN)*100</f>
        <v>78.074944635251498</v>
      </c>
      <c r="AM142" s="20">
        <f>IF(Table9[[#This Row],[Vmin (%)]]&lt;$BA$14, 0, IF(Table9[[#This Row],[Vmin (%)]]&lt;$BA$12, 4, IF(Table9[[#This Row],[Vmin (%)]]&lt;$BA$9, 3, IF(Table9[[#This Row],[Vmin (%)]]&lt;$BA$7, 2, 0))))</f>
        <v>0</v>
      </c>
      <c r="AN142" s="20">
        <f>IF(Table9[[#This Row],[Vmin (%)]]&lt;$BA$13, 0, IF(Table9[[#This Row],[Vmin (%)]]&lt;$BA$11, 4, IF(Table9[[#This Row],[Vmin (%)]]&lt;$BA$10, 3, IF(Table9[[#This Row],[Vmin (%)]]&lt;$BA$8, 2, 0))))</f>
        <v>0</v>
      </c>
      <c r="AO142" s="76" t="str">
        <f>IF(Table9[[#This Row],[Vmin (%)]]&lt;$BA$14, "Hot", IF(Table9[[#This Row],[Vmin (%)]]&lt;$BA$12, "Warm", IF(Table9[[#This Row],[Vmin (%)]]&lt;$BA$9, "Normal", IF(Table9[[#This Row],[Vmin (%)]]&lt;$BA$7, "Cool", "Cold"))))</f>
        <v>Cold</v>
      </c>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c r="FZ142" s="19"/>
      <c r="GA142" s="19"/>
      <c r="GB142" s="19"/>
      <c r="GC142" s="19"/>
      <c r="GD142" s="19"/>
      <c r="GE142" s="19"/>
      <c r="GF142" s="19"/>
      <c r="GG142" s="19"/>
      <c r="GH142" s="19"/>
      <c r="GI142" s="19"/>
      <c r="GJ142" s="19"/>
      <c r="GK142" s="19"/>
      <c r="GL142" s="19"/>
      <c r="GM142" s="19"/>
      <c r="GN142" s="19"/>
      <c r="GO142" s="19"/>
      <c r="GP142" s="19"/>
      <c r="GQ142" s="19"/>
      <c r="GR142" s="19"/>
      <c r="GS142" s="19"/>
      <c r="GT142" s="19"/>
      <c r="GU142" s="19"/>
      <c r="GV142" s="19"/>
      <c r="GW142" s="19"/>
      <c r="GX142" s="19"/>
      <c r="GY142" s="19"/>
      <c r="GZ142" s="19"/>
      <c r="HA142" s="19"/>
      <c r="HB142" s="19"/>
    </row>
    <row r="143" spans="1:210" x14ac:dyDescent="0.2">
      <c r="A143" s="113">
        <f t="shared" si="17"/>
        <v>-13</v>
      </c>
      <c r="B143" s="163"/>
      <c r="C143" s="172" t="str">
        <f t="shared" si="20"/>
        <v>RTH at -13 °C</v>
      </c>
      <c r="D143" s="196">
        <f t="shared" si="19"/>
        <v>2.6466666666666665</v>
      </c>
      <c r="E143" s="197">
        <v>47.43</v>
      </c>
      <c r="F143" s="198">
        <v>48.68</v>
      </c>
      <c r="G143" s="199">
        <v>49.95</v>
      </c>
      <c r="H143" s="128" t="s">
        <v>30</v>
      </c>
      <c r="I143" s="29"/>
      <c r="J143" s="29">
        <v>49.95</v>
      </c>
      <c r="K143" s="29">
        <v>48.68</v>
      </c>
      <c r="L143" s="29">
        <v>47.43</v>
      </c>
      <c r="M143" s="29"/>
      <c r="N143" s="29"/>
      <c r="O143" s="29"/>
      <c r="P143" s="29"/>
      <c r="Q143" s="29"/>
      <c r="R143" s="29"/>
      <c r="S143" s="29"/>
      <c r="T143" s="29"/>
      <c r="U143" s="29"/>
      <c r="V143" s="29"/>
      <c r="W143" s="29"/>
      <c r="X143" s="29"/>
      <c r="Y143" s="30"/>
      <c r="Z143" s="18"/>
      <c r="AA143" s="19"/>
      <c r="AB143" s="19"/>
      <c r="AC143" s="20">
        <f t="shared" si="21"/>
        <v>-13</v>
      </c>
      <c r="AD143" s="20">
        <f t="shared" si="22"/>
        <v>47.43</v>
      </c>
      <c r="AE143" s="20">
        <f t="shared" si="23"/>
        <v>48.68</v>
      </c>
      <c r="AF143" s="20">
        <f t="shared" si="24"/>
        <v>49.95</v>
      </c>
      <c r="AG143" s="20">
        <f>Table9[[#This Row],[RTH(min) (kΩ)]]*RT2_TH_MIN/(RT2_TH_MIN+Table9[[#This Row],[RTH(min) (kΩ)]])</f>
        <v>18.553657827898764</v>
      </c>
      <c r="AH143" s="20">
        <f>Table9[[#This Row],[RTH(nom) (kΩ)]]*RT2_TH_S/(RT2_TH_S+Table9[[#This Row],[RTH(nom) (kΩ)]])</f>
        <v>18.753447579660055</v>
      </c>
      <c r="AI143" s="20">
        <f>Table9[[#This Row],[RTH(max) (kΩ)]]*RT2_TH_S_MAX/(RT2_TH_S_MAX+Table9[[#This Row],[RTH(max) (kΩ)]])</f>
        <v>18.950705834320164</v>
      </c>
      <c r="AJ143" s="20">
        <f>Table9[[#This Row],[RLower(min) (kΩ)]]/(Table9[[#This Row],[RLower(min) (kΩ)]]+RT1_TH_S_MAX)*100</f>
        <v>77.983145068228737</v>
      </c>
      <c r="AK143" s="20">
        <f>Table9[[#This Row],[RLower(nom) (kΩ)]]/(Table9[[#This Row],[RLower(nom) (kΩ)]]+RT1_TH_S)*100</f>
        <v>78.183542765608465</v>
      </c>
      <c r="AL143" s="20">
        <f>Table9[[#This Row],[RLower(max) (kΩ)]]/(Table9[[#This Row],[RLower(max) (kΩ)]]+RT1_TH_S_MIN)*100</f>
        <v>78.378452172012175</v>
      </c>
      <c r="AM143" s="20">
        <f>IF(Table9[[#This Row],[Vmin (%)]]&lt;$BA$14, 0, IF(Table9[[#This Row],[Vmin (%)]]&lt;$BA$12, 4, IF(Table9[[#This Row],[Vmin (%)]]&lt;$BA$9, 3, IF(Table9[[#This Row],[Vmin (%)]]&lt;$BA$7, 2, 0))))</f>
        <v>0</v>
      </c>
      <c r="AN143" s="20">
        <f>IF(Table9[[#This Row],[Vmin (%)]]&lt;$BA$13, 0, IF(Table9[[#This Row],[Vmin (%)]]&lt;$BA$11, 4, IF(Table9[[#This Row],[Vmin (%)]]&lt;$BA$10, 3, IF(Table9[[#This Row],[Vmin (%)]]&lt;$BA$8, 2, 0))))</f>
        <v>0</v>
      </c>
      <c r="AO143" s="76" t="str">
        <f>IF(Table9[[#This Row],[Vmin (%)]]&lt;$BA$14, "Hot", IF(Table9[[#This Row],[Vmin (%)]]&lt;$BA$12, "Warm", IF(Table9[[#This Row],[Vmin (%)]]&lt;$BA$9, "Normal", IF(Table9[[#This Row],[Vmin (%)]]&lt;$BA$7, "Cool", "Cold"))))</f>
        <v>Cold</v>
      </c>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c r="GR143" s="19"/>
      <c r="GS143" s="19"/>
      <c r="GT143" s="19"/>
      <c r="GU143" s="19"/>
      <c r="GV143" s="19"/>
      <c r="GW143" s="19"/>
      <c r="GX143" s="19"/>
      <c r="GY143" s="19"/>
      <c r="GZ143" s="19"/>
      <c r="HA143" s="19"/>
      <c r="HB143" s="19"/>
    </row>
    <row r="144" spans="1:210" x14ac:dyDescent="0.2">
      <c r="A144" s="113">
        <f t="shared" si="17"/>
        <v>-14</v>
      </c>
      <c r="B144" s="163"/>
      <c r="C144" s="172" t="str">
        <f t="shared" si="20"/>
        <v>RTH at -14 °C</v>
      </c>
      <c r="D144" s="196">
        <f t="shared" si="19"/>
        <v>2.69</v>
      </c>
      <c r="E144" s="197">
        <v>49.65</v>
      </c>
      <c r="F144" s="198">
        <v>50.98</v>
      </c>
      <c r="G144" s="199">
        <v>52.33</v>
      </c>
      <c r="H144" s="128" t="s">
        <v>30</v>
      </c>
      <c r="I144" s="29"/>
      <c r="J144" s="29">
        <v>52.33</v>
      </c>
      <c r="K144" s="29">
        <v>50.98</v>
      </c>
      <c r="L144" s="29">
        <v>49.65</v>
      </c>
      <c r="M144" s="29"/>
      <c r="N144" s="29"/>
      <c r="O144" s="29"/>
      <c r="P144" s="29"/>
      <c r="Q144" s="29"/>
      <c r="R144" s="29"/>
      <c r="S144" s="29"/>
      <c r="T144" s="29"/>
      <c r="U144" s="29"/>
      <c r="V144" s="29"/>
      <c r="W144" s="29"/>
      <c r="X144" s="29"/>
      <c r="Y144" s="30"/>
      <c r="Z144" s="18"/>
      <c r="AA144" s="19"/>
      <c r="AB144" s="19"/>
      <c r="AC144" s="20">
        <f t="shared" si="21"/>
        <v>-14</v>
      </c>
      <c r="AD144" s="20">
        <f t="shared" si="22"/>
        <v>49.65</v>
      </c>
      <c r="AE144" s="20">
        <f t="shared" si="23"/>
        <v>50.98</v>
      </c>
      <c r="AF144" s="20">
        <f t="shared" si="24"/>
        <v>52.33</v>
      </c>
      <c r="AG144" s="20">
        <f>Table9[[#This Row],[RTH(min) (kΩ)]]*RT2_TH_MIN/(RT2_TH_MIN+Table9[[#This Row],[RTH(min) (kΩ)]])</f>
        <v>18.88395363866881</v>
      </c>
      <c r="AH144" s="20">
        <f>Table9[[#This Row],[RTH(nom) (kΩ)]]*RT2_TH_S/(RT2_TH_S+Table9[[#This Row],[RTH(nom) (kΩ)]])</f>
        <v>19.085154268364018</v>
      </c>
      <c r="AI144" s="20">
        <f>Table9[[#This Row],[RTH(max) (kΩ)]]*RT2_TH_S_MAX/(RT2_TH_S_MAX+Table9[[#This Row],[RTH(max) (kΩ)]])</f>
        <v>19.28344252098502</v>
      </c>
      <c r="AJ144" s="20">
        <f>Table9[[#This Row],[RLower(min) (kΩ)]]/(Table9[[#This Row],[RLower(min) (kΩ)]]+RT1_TH_S_MAX)*100</f>
        <v>78.284613493577169</v>
      </c>
      <c r="AK144" s="20">
        <f>Table9[[#This Row],[RLower(nom) (kΩ)]]/(Table9[[#This Row],[RLower(nom) (kΩ)]]+RT1_TH_S)*100</f>
        <v>78.48112568835694</v>
      </c>
      <c r="AL144" s="20">
        <f>Table9[[#This Row],[RLower(max) (kΩ)]]/(Table9[[#This Row],[RLower(max) (kΩ)]]+RT1_TH_S_MIN)*100</f>
        <v>78.671962158722167</v>
      </c>
      <c r="AM144" s="20">
        <f>IF(Table9[[#This Row],[Vmin (%)]]&lt;$BA$14, 0, IF(Table9[[#This Row],[Vmin (%)]]&lt;$BA$12, 4, IF(Table9[[#This Row],[Vmin (%)]]&lt;$BA$9, 3, IF(Table9[[#This Row],[Vmin (%)]]&lt;$BA$7, 2, 0))))</f>
        <v>0</v>
      </c>
      <c r="AN144" s="20">
        <f>IF(Table9[[#This Row],[Vmin (%)]]&lt;$BA$13, 0, IF(Table9[[#This Row],[Vmin (%)]]&lt;$BA$11, 4, IF(Table9[[#This Row],[Vmin (%)]]&lt;$BA$10, 3, IF(Table9[[#This Row],[Vmin (%)]]&lt;$BA$8, 2, 0))))</f>
        <v>0</v>
      </c>
      <c r="AO144" s="76" t="str">
        <f>IF(Table9[[#This Row],[Vmin (%)]]&lt;$BA$14, "Hot", IF(Table9[[#This Row],[Vmin (%)]]&lt;$BA$12, "Warm", IF(Table9[[#This Row],[Vmin (%)]]&lt;$BA$9, "Normal", IF(Table9[[#This Row],[Vmin (%)]]&lt;$BA$7, "Cool", "Cold"))))</f>
        <v>Cold</v>
      </c>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c r="GR144" s="19"/>
      <c r="GS144" s="19"/>
      <c r="GT144" s="19"/>
      <c r="GU144" s="19"/>
      <c r="GV144" s="19"/>
      <c r="GW144" s="19"/>
      <c r="GX144" s="19"/>
      <c r="GY144" s="19"/>
      <c r="GZ144" s="19"/>
      <c r="HA144" s="19"/>
      <c r="HB144" s="19"/>
    </row>
    <row r="145" spans="1:210" x14ac:dyDescent="0.2">
      <c r="A145" s="113">
        <f t="shared" si="17"/>
        <v>-15</v>
      </c>
      <c r="B145" s="163"/>
      <c r="C145" s="172" t="str">
        <f t="shared" si="20"/>
        <v>RTH at -15 °C</v>
      </c>
      <c r="D145" s="196">
        <f t="shared" si="19"/>
        <v>2.7333333333333334</v>
      </c>
      <c r="E145" s="197">
        <v>51.99</v>
      </c>
      <c r="F145" s="198">
        <v>53.41</v>
      </c>
      <c r="G145" s="199">
        <v>54.85</v>
      </c>
      <c r="H145" s="128" t="s">
        <v>30</v>
      </c>
      <c r="I145" s="29"/>
      <c r="J145" s="29">
        <v>54.85</v>
      </c>
      <c r="K145" s="29">
        <v>53.41</v>
      </c>
      <c r="L145" s="29">
        <v>51.99</v>
      </c>
      <c r="M145" s="29"/>
      <c r="N145" s="29"/>
      <c r="O145" s="29"/>
      <c r="P145" s="29"/>
      <c r="Q145" s="29"/>
      <c r="R145" s="29"/>
      <c r="S145" s="29"/>
      <c r="T145" s="29"/>
      <c r="U145" s="29"/>
      <c r="V145" s="29"/>
      <c r="W145" s="29"/>
      <c r="X145" s="29"/>
      <c r="Y145" s="30"/>
      <c r="Z145" s="18"/>
      <c r="AA145" s="19"/>
      <c r="AB145" s="19"/>
      <c r="AC145" s="20">
        <f t="shared" si="21"/>
        <v>-15</v>
      </c>
      <c r="AD145" s="20">
        <f t="shared" si="22"/>
        <v>51.99</v>
      </c>
      <c r="AE145" s="20">
        <f t="shared" si="23"/>
        <v>53.41</v>
      </c>
      <c r="AF145" s="20">
        <f t="shared" si="24"/>
        <v>54.85</v>
      </c>
      <c r="AG145" s="20">
        <f>Table9[[#This Row],[RTH(min) (kΩ)]]*RT2_TH_MIN/(RT2_TH_MIN+Table9[[#This Row],[RTH(min) (kΩ)]])</f>
        <v>19.212851876950207</v>
      </c>
      <c r="AH145" s="20">
        <f>Table9[[#This Row],[RTH(nom) (kΩ)]]*RT2_TH_S/(RT2_TH_S+Table9[[#This Row],[RTH(nom) (kΩ)]])</f>
        <v>19.415855699906075</v>
      </c>
      <c r="AI145" s="20">
        <f>Table9[[#This Row],[RTH(max) (kΩ)]]*RT2_TH_S_MAX/(RT2_TH_S_MAX+Table9[[#This Row],[RTH(max) (kΩ)]])</f>
        <v>19.615534112770167</v>
      </c>
      <c r="AJ145" s="20">
        <f>Table9[[#This Row],[RLower(min) (kΩ)]]/(Table9[[#This Row],[RLower(min) (kΩ)]]+RT1_TH_S_MAX)*100</f>
        <v>78.576713209810777</v>
      </c>
      <c r="AK145" s="20">
        <f>Table9[[#This Row],[RLower(nom) (kΩ)]]/(Table9[[#This Row],[RLower(nom) (kΩ)]]+RT1_TH_S)*100</f>
        <v>78.769833820801722</v>
      </c>
      <c r="AL145" s="20">
        <f>Table9[[#This Row],[RLower(max) (kΩ)]]/(Table9[[#This Row],[RLower(max) (kΩ)]]+RT1_TH_S_MIN)*100</f>
        <v>78.95706374509129</v>
      </c>
      <c r="AM145" s="20">
        <f>IF(Table9[[#This Row],[Vmin (%)]]&lt;$BA$14, 0, IF(Table9[[#This Row],[Vmin (%)]]&lt;$BA$12, 4, IF(Table9[[#This Row],[Vmin (%)]]&lt;$BA$9, 3, IF(Table9[[#This Row],[Vmin (%)]]&lt;$BA$7, 2, 0))))</f>
        <v>0</v>
      </c>
      <c r="AN145" s="20">
        <f>IF(Table9[[#This Row],[Vmin (%)]]&lt;$BA$13, 0, IF(Table9[[#This Row],[Vmin (%)]]&lt;$BA$11, 4, IF(Table9[[#This Row],[Vmin (%)]]&lt;$BA$10, 3, IF(Table9[[#This Row],[Vmin (%)]]&lt;$BA$8, 2, 0))))</f>
        <v>0</v>
      </c>
      <c r="AO145" s="76" t="str">
        <f>IF(Table9[[#This Row],[Vmin (%)]]&lt;$BA$14, "Hot", IF(Table9[[#This Row],[Vmin (%)]]&lt;$BA$12, "Warm", IF(Table9[[#This Row],[Vmin (%)]]&lt;$BA$9, "Normal", IF(Table9[[#This Row],[Vmin (%)]]&lt;$BA$7, "Cool", "Cold"))))</f>
        <v>Cold</v>
      </c>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19"/>
      <c r="GZ145" s="19"/>
      <c r="HA145" s="19"/>
      <c r="HB145" s="19"/>
    </row>
    <row r="146" spans="1:210" x14ac:dyDescent="0.2">
      <c r="A146" s="113">
        <f t="shared" si="17"/>
        <v>-16</v>
      </c>
      <c r="B146" s="163"/>
      <c r="C146" s="172" t="str">
        <f t="shared" si="20"/>
        <v>RTH at -16 °C</v>
      </c>
      <c r="D146" s="196">
        <f t="shared" si="19"/>
        <v>2.7766666666666664</v>
      </c>
      <c r="E146" s="197">
        <v>54.46</v>
      </c>
      <c r="F146" s="198">
        <v>55.97</v>
      </c>
      <c r="G146" s="199">
        <v>57.51</v>
      </c>
      <c r="H146" s="128" t="s">
        <v>30</v>
      </c>
      <c r="I146" s="29"/>
      <c r="J146" s="29">
        <v>57.51</v>
      </c>
      <c r="K146" s="29">
        <v>55.97</v>
      </c>
      <c r="L146" s="29">
        <v>54.46</v>
      </c>
      <c r="M146" s="29"/>
      <c r="N146" s="29"/>
      <c r="O146" s="29"/>
      <c r="P146" s="29"/>
      <c r="Q146" s="29"/>
      <c r="R146" s="29"/>
      <c r="S146" s="29"/>
      <c r="T146" s="29"/>
      <c r="U146" s="29"/>
      <c r="V146" s="29"/>
      <c r="W146" s="29"/>
      <c r="X146" s="29"/>
      <c r="Y146" s="30"/>
      <c r="Z146" s="18"/>
      <c r="AA146" s="19"/>
      <c r="AB146" s="19"/>
      <c r="AC146" s="20">
        <f t="shared" si="21"/>
        <v>-16</v>
      </c>
      <c r="AD146" s="20">
        <f t="shared" si="22"/>
        <v>54.46</v>
      </c>
      <c r="AE146" s="20">
        <f t="shared" si="23"/>
        <v>55.97</v>
      </c>
      <c r="AF146" s="20">
        <f t="shared" si="24"/>
        <v>57.51</v>
      </c>
      <c r="AG146" s="20">
        <f>Table9[[#This Row],[RTH(min) (kΩ)]]*RT2_TH_MIN/(RT2_TH_MIN+Table9[[#This Row],[RTH(min) (kΩ)]])</f>
        <v>19.540361394287107</v>
      </c>
      <c r="AH146" s="20">
        <f>Table9[[#This Row],[RTH(nom) (kΩ)]]*RT2_TH_S/(RT2_TH_S+Table9[[#This Row],[RTH(nom) (kΩ)]])</f>
        <v>19.744145168981149</v>
      </c>
      <c r="AI146" s="20">
        <f>Table9[[#This Row],[RTH(max) (kΩ)]]*RT2_TH_S_MAX/(RT2_TH_S_MAX+Table9[[#This Row],[RTH(max) (kΩ)]])</f>
        <v>19.94545184197241</v>
      </c>
      <c r="AJ146" s="20">
        <f>Table9[[#This Row],[RLower(min) (kΩ)]]/(Table9[[#This Row],[RLower(min) (kΩ)]]+RT1_TH_S_MAX)*100</f>
        <v>78.859874260601714</v>
      </c>
      <c r="AK146" s="20">
        <f>Table9[[#This Row],[RLower(nom) (kΩ)]]/(Table9[[#This Row],[RLower(nom) (kΩ)]]+RT1_TH_S)*100</f>
        <v>79.048874616160518</v>
      </c>
      <c r="AL146" s="20">
        <f>Table9[[#This Row],[RLower(max) (kΩ)]]/(Table9[[#This Row],[RLower(max) (kΩ)]]+RT1_TH_S_MIN)*100</f>
        <v>79.232850494004836</v>
      </c>
      <c r="AM146" s="20">
        <f>IF(Table9[[#This Row],[Vmin (%)]]&lt;$BA$14, 0, IF(Table9[[#This Row],[Vmin (%)]]&lt;$BA$12, 4, IF(Table9[[#This Row],[Vmin (%)]]&lt;$BA$9, 3, IF(Table9[[#This Row],[Vmin (%)]]&lt;$BA$7, 2, 0))))</f>
        <v>0</v>
      </c>
      <c r="AN146" s="20">
        <f>IF(Table9[[#This Row],[Vmin (%)]]&lt;$BA$13, 0, IF(Table9[[#This Row],[Vmin (%)]]&lt;$BA$11, 4, IF(Table9[[#This Row],[Vmin (%)]]&lt;$BA$10, 3, IF(Table9[[#This Row],[Vmin (%)]]&lt;$BA$8, 2, 0))))</f>
        <v>0</v>
      </c>
      <c r="AO146" s="76" t="str">
        <f>IF(Table9[[#This Row],[Vmin (%)]]&lt;$BA$14, "Hot", IF(Table9[[#This Row],[Vmin (%)]]&lt;$BA$12, "Warm", IF(Table9[[#This Row],[Vmin (%)]]&lt;$BA$9, "Normal", IF(Table9[[#This Row],[Vmin (%)]]&lt;$BA$7, "Cool", "Cold"))))</f>
        <v>Cold</v>
      </c>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c r="FZ146" s="19"/>
      <c r="GA146" s="19"/>
      <c r="GB146" s="19"/>
      <c r="GC146" s="19"/>
      <c r="GD146" s="19"/>
      <c r="GE146" s="19"/>
      <c r="GF146" s="19"/>
      <c r="GG146" s="19"/>
      <c r="GH146" s="19"/>
      <c r="GI146" s="19"/>
      <c r="GJ146" s="19"/>
      <c r="GK146" s="19"/>
      <c r="GL146" s="19"/>
      <c r="GM146" s="19"/>
      <c r="GN146" s="19"/>
      <c r="GO146" s="19"/>
      <c r="GP146" s="19"/>
      <c r="GQ146" s="19"/>
      <c r="GR146" s="19"/>
      <c r="GS146" s="19"/>
      <c r="GT146" s="19"/>
      <c r="GU146" s="19"/>
      <c r="GV146" s="19"/>
      <c r="GW146" s="19"/>
      <c r="GX146" s="19"/>
      <c r="GY146" s="19"/>
      <c r="GZ146" s="19"/>
      <c r="HA146" s="19"/>
      <c r="HB146" s="19"/>
    </row>
    <row r="147" spans="1:210" x14ac:dyDescent="0.2">
      <c r="A147" s="113">
        <f t="shared" si="17"/>
        <v>-17</v>
      </c>
      <c r="B147" s="163"/>
      <c r="C147" s="172" t="str">
        <f t="shared" si="20"/>
        <v>RTH at -17 °C</v>
      </c>
      <c r="D147" s="196">
        <f t="shared" si="19"/>
        <v>2.8200000000000003</v>
      </c>
      <c r="E147" s="197">
        <v>57.07</v>
      </c>
      <c r="F147" s="198">
        <v>58.68</v>
      </c>
      <c r="G147" s="199">
        <v>60.32</v>
      </c>
      <c r="H147" s="128" t="s">
        <v>30</v>
      </c>
      <c r="I147" s="29"/>
      <c r="J147" s="29">
        <v>60.32</v>
      </c>
      <c r="K147" s="29">
        <v>58.68</v>
      </c>
      <c r="L147" s="29">
        <v>57.07</v>
      </c>
      <c r="M147" s="29"/>
      <c r="N147" s="29"/>
      <c r="O147" s="29"/>
      <c r="P147" s="29"/>
      <c r="Q147" s="29"/>
      <c r="R147" s="29"/>
      <c r="S147" s="29"/>
      <c r="T147" s="29"/>
      <c r="U147" s="29"/>
      <c r="V147" s="29"/>
      <c r="W147" s="29"/>
      <c r="X147" s="29"/>
      <c r="Y147" s="30"/>
      <c r="Z147" s="18"/>
      <c r="AA147" s="19"/>
      <c r="AB147" s="19"/>
      <c r="AC147" s="20">
        <f t="shared" si="21"/>
        <v>-17</v>
      </c>
      <c r="AD147" s="20">
        <f t="shared" si="22"/>
        <v>57.07</v>
      </c>
      <c r="AE147" s="20">
        <f t="shared" si="23"/>
        <v>58.68</v>
      </c>
      <c r="AF147" s="20">
        <f t="shared" si="24"/>
        <v>60.32</v>
      </c>
      <c r="AG147" s="20">
        <f>Table9[[#This Row],[RTH(min) (kΩ)]]*RT2_TH_MIN/(RT2_TH_MIN+Table9[[#This Row],[RTH(min) (kΩ)]])</f>
        <v>19.866352481334658</v>
      </c>
      <c r="AH147" s="20">
        <f>Table9[[#This Row],[RTH(nom) (kΩ)]]*RT2_TH_S/(RT2_TH_S+Table9[[#This Row],[RTH(nom) (kΩ)]])</f>
        <v>20.071134923087573</v>
      </c>
      <c r="AI147" s="20">
        <f>Table9[[#This Row],[RTH(max) (kΩ)]]*RT2_TH_S_MAX/(RT2_TH_S_MAX+Table9[[#This Row],[RTH(max) (kΩ)]])</f>
        <v>20.272991075080618</v>
      </c>
      <c r="AJ147" s="20">
        <f>Table9[[#This Row],[RLower(min) (kΩ)]]/(Table9[[#This Row],[RLower(min) (kΩ)]]+RT1_TH_S_MAX)*100</f>
        <v>79.134385664423263</v>
      </c>
      <c r="AK147" s="20">
        <f>Table9[[#This Row],[RLower(nom) (kΩ)]]/(Table9[[#This Row],[RLower(nom) (kΩ)]]+RT1_TH_S)*100</f>
        <v>79.319613203163641</v>
      </c>
      <c r="AL147" s="20">
        <f>Table9[[#This Row],[RLower(max) (kΩ)]]/(Table9[[#This Row],[RLower(max) (kΩ)]]+RT1_TH_S_MIN)*100</f>
        <v>79.499589959637291</v>
      </c>
      <c r="AM147" s="20">
        <f>IF(Table9[[#This Row],[Vmin (%)]]&lt;$BA$14, 0, IF(Table9[[#This Row],[Vmin (%)]]&lt;$BA$12, 4, IF(Table9[[#This Row],[Vmin (%)]]&lt;$BA$9, 3, IF(Table9[[#This Row],[Vmin (%)]]&lt;$BA$7, 2, 0))))</f>
        <v>0</v>
      </c>
      <c r="AN147" s="20">
        <f>IF(Table9[[#This Row],[Vmin (%)]]&lt;$BA$13, 0, IF(Table9[[#This Row],[Vmin (%)]]&lt;$BA$11, 4, IF(Table9[[#This Row],[Vmin (%)]]&lt;$BA$10, 3, IF(Table9[[#This Row],[Vmin (%)]]&lt;$BA$8, 2, 0))))</f>
        <v>0</v>
      </c>
      <c r="AO147" s="76" t="str">
        <f>IF(Table9[[#This Row],[Vmin (%)]]&lt;$BA$14, "Hot", IF(Table9[[#This Row],[Vmin (%)]]&lt;$BA$12, "Warm", IF(Table9[[#This Row],[Vmin (%)]]&lt;$BA$9, "Normal", IF(Table9[[#This Row],[Vmin (%)]]&lt;$BA$7, "Cool", "Cold"))))</f>
        <v>Cold</v>
      </c>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c r="GR147" s="19"/>
      <c r="GS147" s="19"/>
      <c r="GT147" s="19"/>
      <c r="GU147" s="19"/>
      <c r="GV147" s="19"/>
      <c r="GW147" s="19"/>
      <c r="GX147" s="19"/>
      <c r="GY147" s="19"/>
      <c r="GZ147" s="19"/>
      <c r="HA147" s="19"/>
      <c r="HB147" s="19"/>
    </row>
    <row r="148" spans="1:210" x14ac:dyDescent="0.2">
      <c r="A148" s="113">
        <f t="shared" si="17"/>
        <v>-18</v>
      </c>
      <c r="B148" s="163"/>
      <c r="C148" s="172" t="str">
        <f t="shared" ref="C148:C180" si="25">_xlfn.CONCAT("RTH at ",A148, " °C")</f>
        <v>RTH at -18 °C</v>
      </c>
      <c r="D148" s="196">
        <f t="shared" si="19"/>
        <v>2.8633333333333333</v>
      </c>
      <c r="E148" s="197">
        <v>59.83</v>
      </c>
      <c r="F148" s="198">
        <v>61.54</v>
      </c>
      <c r="G148" s="199">
        <v>63.3</v>
      </c>
      <c r="H148" s="128" t="s">
        <v>30</v>
      </c>
      <c r="I148" s="29"/>
      <c r="J148" s="29">
        <v>63.3</v>
      </c>
      <c r="K148" s="29">
        <v>61.54</v>
      </c>
      <c r="L148" s="29">
        <v>59.83</v>
      </c>
      <c r="M148" s="29"/>
      <c r="N148" s="29"/>
      <c r="O148" s="29"/>
      <c r="P148" s="29"/>
      <c r="Q148" s="29"/>
      <c r="R148" s="29"/>
      <c r="S148" s="29"/>
      <c r="T148" s="29"/>
      <c r="U148" s="29"/>
      <c r="V148" s="29"/>
      <c r="W148" s="29"/>
      <c r="X148" s="29"/>
      <c r="Y148" s="30"/>
      <c r="Z148" s="18"/>
      <c r="AA148" s="19"/>
      <c r="AB148" s="19"/>
      <c r="AC148" s="20">
        <f t="shared" ref="AC148:AC180" si="26">A148</f>
        <v>-18</v>
      </c>
      <c r="AD148" s="20">
        <f t="shared" ref="AD148:AD180" si="27">E148</f>
        <v>59.83</v>
      </c>
      <c r="AE148" s="20">
        <f t="shared" ref="AE148:AE180" si="28">F148</f>
        <v>61.54</v>
      </c>
      <c r="AF148" s="20">
        <f t="shared" ref="AF148:AF180" si="29">G148</f>
        <v>63.3</v>
      </c>
      <c r="AG148" s="20">
        <f>Table9[[#This Row],[RTH(min) (kΩ)]]*RT2_TH_MIN/(RT2_TH_MIN+Table9[[#This Row],[RTH(min) (kΩ)]])</f>
        <v>20.19057944274757</v>
      </c>
      <c r="AH148" s="20">
        <f>Table9[[#This Row],[RTH(nom) (kΩ)]]*RT2_TH_S/(RT2_TH_S+Table9[[#This Row],[RTH(nom) (kΩ)]])</f>
        <v>20.395341141346325</v>
      </c>
      <c r="AI148" s="20">
        <f>Table9[[#This Row],[RTH(max) (kΩ)]]*RT2_TH_S_MAX/(RT2_TH_S_MAX+Table9[[#This Row],[RTH(max) (kΩ)]])</f>
        <v>20.598912830028269</v>
      </c>
      <c r="AJ148" s="20">
        <f>Table9[[#This Row],[RLower(min) (kΩ)]]/(Table9[[#This Row],[RLower(min) (kΩ)]]+RT1_TH_S_MAX)*100</f>
        <v>79.400430219471446</v>
      </c>
      <c r="AK148" s="20">
        <f>Table9[[#This Row],[RLower(nom) (kΩ)]]/(Table9[[#This Row],[RLower(nom) (kΩ)]]+RT1_TH_S)*100</f>
        <v>79.581226402186644</v>
      </c>
      <c r="AL148" s="20">
        <f>Table9[[#This Row],[RLower(max) (kΩ)]]/(Table9[[#This Row],[RLower(max) (kΩ)]]+RT1_TH_S_MIN)*100</f>
        <v>79.758296535533262</v>
      </c>
      <c r="AM148" s="20">
        <f>IF(Table9[[#This Row],[Vmin (%)]]&lt;$BA$14, 0, IF(Table9[[#This Row],[Vmin (%)]]&lt;$BA$12, 4, IF(Table9[[#This Row],[Vmin (%)]]&lt;$BA$9, 3, IF(Table9[[#This Row],[Vmin (%)]]&lt;$BA$7, 2, 0))))</f>
        <v>0</v>
      </c>
      <c r="AN148" s="20">
        <f>IF(Table9[[#This Row],[Vmin (%)]]&lt;$BA$13, 0, IF(Table9[[#This Row],[Vmin (%)]]&lt;$BA$11, 4, IF(Table9[[#This Row],[Vmin (%)]]&lt;$BA$10, 3, IF(Table9[[#This Row],[Vmin (%)]]&lt;$BA$8, 2, 0))))</f>
        <v>0</v>
      </c>
      <c r="AO148" s="76" t="str">
        <f>IF(Table9[[#This Row],[Vmin (%)]]&lt;$BA$14, "Hot", IF(Table9[[#This Row],[Vmin (%)]]&lt;$BA$12, "Warm", IF(Table9[[#This Row],[Vmin (%)]]&lt;$BA$9, "Normal", IF(Table9[[#This Row],[Vmin (%)]]&lt;$BA$7, "Cool", "Cold"))))</f>
        <v>Cold</v>
      </c>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c r="GR148" s="19"/>
      <c r="GS148" s="19"/>
      <c r="GT148" s="19"/>
      <c r="GU148" s="19"/>
      <c r="GV148" s="19"/>
      <c r="GW148" s="19"/>
      <c r="GX148" s="19"/>
      <c r="GY148" s="19"/>
      <c r="GZ148" s="19"/>
      <c r="HA148" s="19"/>
      <c r="HB148" s="19"/>
    </row>
    <row r="149" spans="1:210" x14ac:dyDescent="0.2">
      <c r="A149" s="113">
        <f t="shared" si="17"/>
        <v>-19</v>
      </c>
      <c r="B149" s="163"/>
      <c r="C149" s="172" t="str">
        <f t="shared" si="25"/>
        <v>RTH at -19 °C</v>
      </c>
      <c r="D149" s="196">
        <f t="shared" si="19"/>
        <v>2.9066666666666667</v>
      </c>
      <c r="E149" s="197">
        <v>62.74</v>
      </c>
      <c r="F149" s="198">
        <v>64.569999999999993</v>
      </c>
      <c r="G149" s="199">
        <v>66.44</v>
      </c>
      <c r="H149" s="128" t="s">
        <v>30</v>
      </c>
      <c r="I149" s="29"/>
      <c r="J149" s="29">
        <v>66.44</v>
      </c>
      <c r="K149" s="29">
        <v>64.569999999999993</v>
      </c>
      <c r="L149" s="29">
        <v>62.74</v>
      </c>
      <c r="M149" s="29"/>
      <c r="N149" s="29"/>
      <c r="O149" s="29"/>
      <c r="P149" s="29"/>
      <c r="Q149" s="29"/>
      <c r="R149" s="29"/>
      <c r="S149" s="29"/>
      <c r="T149" s="29"/>
      <c r="U149" s="29"/>
      <c r="V149" s="29"/>
      <c r="W149" s="29"/>
      <c r="X149" s="29"/>
      <c r="Y149" s="30"/>
      <c r="Z149" s="18"/>
      <c r="AA149" s="19"/>
      <c r="AB149" s="19"/>
      <c r="AC149" s="20">
        <f t="shared" si="26"/>
        <v>-19</v>
      </c>
      <c r="AD149" s="20">
        <f t="shared" si="27"/>
        <v>62.74</v>
      </c>
      <c r="AE149" s="20">
        <f t="shared" si="28"/>
        <v>64.569999999999993</v>
      </c>
      <c r="AF149" s="20">
        <f t="shared" si="29"/>
        <v>66.44</v>
      </c>
      <c r="AG149" s="20">
        <f>Table9[[#This Row],[RTH(min) (kΩ)]]*RT2_TH_MIN/(RT2_TH_MIN+Table9[[#This Row],[RTH(min) (kΩ)]])</f>
        <v>20.511633755313508</v>
      </c>
      <c r="AH149" s="20">
        <f>Table9[[#This Row],[RTH(nom) (kΩ)]]*RT2_TH_S/(RT2_TH_S+Table9[[#This Row],[RTH(nom) (kΩ)]])</f>
        <v>20.71753963258789</v>
      </c>
      <c r="AI149" s="20">
        <f>Table9[[#This Row],[RTH(max) (kΩ)]]*RT2_TH_S_MAX/(RT2_TH_S_MAX+Table9[[#This Row],[RTH(max) (kΩ)]])</f>
        <v>20.920660947944278</v>
      </c>
      <c r="AJ149" s="20">
        <f>Table9[[#This Row],[RLower(min) (kΩ)]]/(Table9[[#This Row],[RLower(min) (kΩ)]]+RT1_TH_S_MAX)*100</f>
        <v>79.657269722914648</v>
      </c>
      <c r="AK149" s="20">
        <f>Table9[[#This Row],[RLower(nom) (kΩ)]]/(Table9[[#This Row],[RLower(nom) (kΩ)]]+RT1_TH_S)*100</f>
        <v>79.834743299476486</v>
      </c>
      <c r="AL149" s="20">
        <f>Table9[[#This Row],[RLower(max) (kΩ)]]/(Table9[[#This Row],[RLower(max) (kΩ)]]+RT1_TH_S_MIN)*100</f>
        <v>80.007364365114071</v>
      </c>
      <c r="AM149" s="20">
        <f>IF(Table9[[#This Row],[Vmin (%)]]&lt;$BA$14, 0, IF(Table9[[#This Row],[Vmin (%)]]&lt;$BA$12, 4, IF(Table9[[#This Row],[Vmin (%)]]&lt;$BA$9, 3, IF(Table9[[#This Row],[Vmin (%)]]&lt;$BA$7, 2, 0))))</f>
        <v>0</v>
      </c>
      <c r="AN149" s="20">
        <f>IF(Table9[[#This Row],[Vmin (%)]]&lt;$BA$13, 0, IF(Table9[[#This Row],[Vmin (%)]]&lt;$BA$11, 4, IF(Table9[[#This Row],[Vmin (%)]]&lt;$BA$10, 3, IF(Table9[[#This Row],[Vmin (%)]]&lt;$BA$8, 2, 0))))</f>
        <v>0</v>
      </c>
      <c r="AO149" s="76" t="str">
        <f>IF(Table9[[#This Row],[Vmin (%)]]&lt;$BA$14, "Hot", IF(Table9[[#This Row],[Vmin (%)]]&lt;$BA$12, "Warm", IF(Table9[[#This Row],[Vmin (%)]]&lt;$BA$9, "Normal", IF(Table9[[#This Row],[Vmin (%)]]&lt;$BA$7, "Cool", "Cold"))))</f>
        <v>Cold</v>
      </c>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c r="GR149" s="19"/>
      <c r="GS149" s="19"/>
      <c r="GT149" s="19"/>
      <c r="GU149" s="19"/>
      <c r="GV149" s="19"/>
      <c r="GW149" s="19"/>
      <c r="GX149" s="19"/>
      <c r="GY149" s="19"/>
      <c r="GZ149" s="19"/>
      <c r="HA149" s="19"/>
      <c r="HB149" s="19"/>
    </row>
    <row r="150" spans="1:210" x14ac:dyDescent="0.2">
      <c r="A150" s="113">
        <f t="shared" ref="A150:A180" si="30">A149-1</f>
        <v>-20</v>
      </c>
      <c r="B150" s="163"/>
      <c r="C150" s="172" t="str">
        <f t="shared" si="25"/>
        <v>RTH at -20 °C</v>
      </c>
      <c r="D150" s="196">
        <f t="shared" si="19"/>
        <v>2.95</v>
      </c>
      <c r="E150" s="197">
        <v>65.819999999999993</v>
      </c>
      <c r="F150" s="198">
        <v>67.77</v>
      </c>
      <c r="G150" s="199">
        <v>69.77</v>
      </c>
      <c r="H150" s="128" t="s">
        <v>30</v>
      </c>
      <c r="I150" s="29"/>
      <c r="J150" s="29">
        <v>69.77</v>
      </c>
      <c r="K150" s="29">
        <v>67.77</v>
      </c>
      <c r="L150" s="29">
        <v>65.819999999999993</v>
      </c>
      <c r="M150" s="29"/>
      <c r="N150" s="29"/>
      <c r="O150" s="29"/>
      <c r="P150" s="29"/>
      <c r="Q150" s="29"/>
      <c r="R150" s="29"/>
      <c r="S150" s="29"/>
      <c r="T150" s="29"/>
      <c r="U150" s="29"/>
      <c r="V150" s="29"/>
      <c r="W150" s="29"/>
      <c r="X150" s="29"/>
      <c r="Y150" s="30"/>
      <c r="Z150" s="18"/>
      <c r="AA150" s="19"/>
      <c r="AB150" s="19"/>
      <c r="AC150" s="20">
        <f t="shared" si="26"/>
        <v>-20</v>
      </c>
      <c r="AD150" s="20">
        <f t="shared" si="27"/>
        <v>65.819999999999993</v>
      </c>
      <c r="AE150" s="20">
        <f t="shared" si="28"/>
        <v>67.77</v>
      </c>
      <c r="AF150" s="20">
        <f t="shared" si="29"/>
        <v>69.77</v>
      </c>
      <c r="AG150" s="20">
        <f>Table9[[#This Row],[RTH(min) (kΩ)]]*RT2_TH_MIN/(RT2_TH_MIN+Table9[[#This Row],[RTH(min) (kΩ)]])</f>
        <v>20.830305990991977</v>
      </c>
      <c r="AH150" s="20">
        <f>Table9[[#This Row],[RTH(nom) (kΩ)]]*RT2_TH_S/(RT2_TH_S+Table9[[#This Row],[RTH(nom) (kΩ)]])</f>
        <v>21.036244051583058</v>
      </c>
      <c r="AI150" s="20">
        <f>Table9[[#This Row],[RTH(max) (kΩ)]]*RT2_TH_S_MAX/(RT2_TH_S_MAX+Table9[[#This Row],[RTH(max) (kΩ)]])</f>
        <v>21.239868465528943</v>
      </c>
      <c r="AJ150" s="20">
        <f>Table9[[#This Row],[RLower(min) (kΩ)]]/(Table9[[#This Row],[RLower(min) (kΩ)]]+RT1_TH_S_MAX)*100</f>
        <v>79.905947469804659</v>
      </c>
      <c r="AK150" s="20">
        <f>Table9[[#This Row],[RLower(nom) (kΩ)]]/(Table9[[#This Row],[RLower(nom) (kΩ)]]+RT1_TH_S)*100</f>
        <v>80.079392843785286</v>
      </c>
      <c r="AL150" s="20">
        <f>Table9[[#This Row],[RLower(max) (kΩ)]]/(Table9[[#This Row],[RLower(max) (kΩ)]]+RT1_TH_S_MIN)*100</f>
        <v>80.248481548846584</v>
      </c>
      <c r="AM150" s="20">
        <f>IF(Table9[[#This Row],[Vmin (%)]]&lt;$BA$14, 0, IF(Table9[[#This Row],[Vmin (%)]]&lt;$BA$12, 4, IF(Table9[[#This Row],[Vmin (%)]]&lt;$BA$9, 3, IF(Table9[[#This Row],[Vmin (%)]]&lt;$BA$7, 2, 0))))</f>
        <v>0</v>
      </c>
      <c r="AN150" s="20">
        <f>IF(Table9[[#This Row],[Vmin (%)]]&lt;$BA$13, 0, IF(Table9[[#This Row],[Vmin (%)]]&lt;$BA$11, 4, IF(Table9[[#This Row],[Vmin (%)]]&lt;$BA$10, 3, IF(Table9[[#This Row],[Vmin (%)]]&lt;$BA$8, 2, 0))))</f>
        <v>0</v>
      </c>
      <c r="AO150" s="76" t="str">
        <f>IF(Table9[[#This Row],[Vmin (%)]]&lt;$BA$14, "Hot", IF(Table9[[#This Row],[Vmin (%)]]&lt;$BA$12, "Warm", IF(Table9[[#This Row],[Vmin (%)]]&lt;$BA$9, "Normal", IF(Table9[[#This Row],[Vmin (%)]]&lt;$BA$7, "Cool", "Cold"))))</f>
        <v>Cold</v>
      </c>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c r="FZ150" s="19"/>
      <c r="GA150" s="19"/>
      <c r="GB150" s="19"/>
      <c r="GC150" s="19"/>
      <c r="GD150" s="19"/>
      <c r="GE150" s="19"/>
      <c r="GF150" s="19"/>
      <c r="GG150" s="19"/>
      <c r="GH150" s="19"/>
      <c r="GI150" s="19"/>
      <c r="GJ150" s="19"/>
      <c r="GK150" s="19"/>
      <c r="GL150" s="19"/>
      <c r="GM150" s="19"/>
      <c r="GN150" s="19"/>
      <c r="GO150" s="19"/>
      <c r="GP150" s="19"/>
      <c r="GQ150" s="19"/>
      <c r="GR150" s="19"/>
      <c r="GS150" s="19"/>
      <c r="GT150" s="19"/>
      <c r="GU150" s="19"/>
      <c r="GV150" s="19"/>
      <c r="GW150" s="19"/>
      <c r="GX150" s="19"/>
      <c r="GY150" s="19"/>
      <c r="GZ150" s="19"/>
      <c r="HA150" s="19"/>
      <c r="HB150" s="19"/>
    </row>
    <row r="151" spans="1:210" x14ac:dyDescent="0.2">
      <c r="A151" s="113">
        <f t="shared" si="30"/>
        <v>-21</v>
      </c>
      <c r="B151" s="163"/>
      <c r="C151" s="172" t="str">
        <f t="shared" si="25"/>
        <v>RTH at -21 °C</v>
      </c>
      <c r="D151" s="196">
        <f t="shared" si="19"/>
        <v>2.9933333333333332</v>
      </c>
      <c r="E151" s="207">
        <v>9.9999999999999997E+98</v>
      </c>
      <c r="F151" s="208">
        <v>9.9999999999999997E+98</v>
      </c>
      <c r="G151" s="209">
        <v>9.9999999999999997E+98</v>
      </c>
      <c r="H151" s="128" t="s">
        <v>30</v>
      </c>
      <c r="I151" s="29"/>
      <c r="J151" s="29">
        <v>73.23</v>
      </c>
      <c r="K151" s="29">
        <v>71.099999999999994</v>
      </c>
      <c r="L151" s="29">
        <v>69.010000000000005</v>
      </c>
      <c r="M151" s="29"/>
      <c r="N151" s="29"/>
      <c r="O151" s="29"/>
      <c r="P151" s="29"/>
      <c r="Q151" s="29"/>
      <c r="R151" s="29"/>
      <c r="S151" s="29"/>
      <c r="T151" s="29"/>
      <c r="U151" s="29"/>
      <c r="V151" s="29"/>
      <c r="W151" s="29"/>
      <c r="X151" s="29"/>
      <c r="Y151" s="30"/>
      <c r="Z151" s="18"/>
      <c r="AA151" s="19"/>
      <c r="AB151" s="19"/>
      <c r="AC151" s="20">
        <f t="shared" si="26"/>
        <v>-21</v>
      </c>
      <c r="AD151" s="20">
        <f t="shared" si="27"/>
        <v>9.9999999999999997E+98</v>
      </c>
      <c r="AE151" s="20">
        <f t="shared" si="28"/>
        <v>9.9999999999999997E+98</v>
      </c>
      <c r="AF151" s="20">
        <f t="shared" si="29"/>
        <v>9.9999999999999997E+98</v>
      </c>
      <c r="AG151" s="20">
        <f>Table9[[#This Row],[RTH(min) (kΩ)]]*RT2_TH_MIN/(RT2_TH_MIN+Table9[[#This Row],[RTH(min) (kΩ)]])</f>
        <v>30.474773623767586</v>
      </c>
      <c r="AH151" s="20">
        <f>Table9[[#This Row],[RTH(nom) (kΩ)]]*RT2_TH_S/(RT2_TH_S+Table9[[#This Row],[RTH(nom) (kΩ)]])</f>
        <v>30.505278902670256</v>
      </c>
      <c r="AI151" s="20">
        <f>Table9[[#This Row],[RTH(max) (kΩ)]]*RT2_TH_S_MAX/(RT2_TH_S_MAX+Table9[[#This Row],[RTH(max) (kΩ)]])</f>
        <v>30.535784181572922</v>
      </c>
      <c r="AJ151" s="20">
        <f>Table9[[#This Row],[RLower(min) (kΩ)]]/(Table9[[#This Row],[RLower(min) (kΩ)]]+RT1_TH_S_MAX)*100</f>
        <v>85.332443462432792</v>
      </c>
      <c r="AK151" s="20">
        <f>Table9[[#This Row],[RLower(nom) (kΩ)]]/(Table9[[#This Row],[RLower(nom) (kΩ)]]+RT1_TH_S)*100</f>
        <v>85.357458154608338</v>
      </c>
      <c r="AL151" s="20">
        <f>Table9[[#This Row],[RLower(max) (kΩ)]]/(Table9[[#This Row],[RLower(max) (kΩ)]]+RT1_TH_S_MIN)*100</f>
        <v>85.382437493546604</v>
      </c>
      <c r="AM151" s="20">
        <f>IF(Table9[[#This Row],[Vmin (%)]]&lt;$BA$14, 0, IF(Table9[[#This Row],[Vmin (%)]]&lt;$BA$12, 4, IF(Table9[[#This Row],[Vmin (%)]]&lt;$BA$9, 3, IF(Table9[[#This Row],[Vmin (%)]]&lt;$BA$7, 2, 0))))</f>
        <v>0</v>
      </c>
      <c r="AN151" s="20">
        <f>IF(Table9[[#This Row],[Vmin (%)]]&lt;$BA$13, 0, IF(Table9[[#This Row],[Vmin (%)]]&lt;$BA$11, 4, IF(Table9[[#This Row],[Vmin (%)]]&lt;$BA$10, 3, IF(Table9[[#This Row],[Vmin (%)]]&lt;$BA$8, 2, 0))))</f>
        <v>0</v>
      </c>
      <c r="AO151" s="76" t="str">
        <f>IF(Table9[[#This Row],[Vmin (%)]]&lt;$BA$14, "Hot", IF(Table9[[#This Row],[Vmin (%)]]&lt;$BA$12, "Warm", IF(Table9[[#This Row],[Vmin (%)]]&lt;$BA$9, "Normal", IF(Table9[[#This Row],[Vmin (%)]]&lt;$BA$7, "Cool", "Cold"))))</f>
        <v>Cold</v>
      </c>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c r="FZ151" s="19"/>
      <c r="GA151" s="19"/>
      <c r="GB151" s="19"/>
      <c r="GC151" s="19"/>
      <c r="GD151" s="19"/>
      <c r="GE151" s="19"/>
      <c r="GF151" s="19"/>
      <c r="GG151" s="19"/>
      <c r="GH151" s="19"/>
      <c r="GI151" s="19"/>
      <c r="GJ151" s="19"/>
      <c r="GK151" s="19"/>
      <c r="GL151" s="19"/>
      <c r="GM151" s="19"/>
      <c r="GN151" s="19"/>
      <c r="GO151" s="19"/>
      <c r="GP151" s="19"/>
      <c r="GQ151" s="19"/>
      <c r="GR151" s="19"/>
      <c r="GS151" s="19"/>
      <c r="GT151" s="19"/>
      <c r="GU151" s="19"/>
      <c r="GV151" s="19"/>
      <c r="GW151" s="19"/>
      <c r="GX151" s="19"/>
      <c r="GY151" s="19"/>
      <c r="GZ151" s="19"/>
      <c r="HA151" s="19"/>
      <c r="HB151" s="19"/>
    </row>
    <row r="152" spans="1:210" x14ac:dyDescent="0.2">
      <c r="A152" s="113">
        <f t="shared" si="30"/>
        <v>-22</v>
      </c>
      <c r="B152" s="163"/>
      <c r="C152" s="172" t="str">
        <f t="shared" si="25"/>
        <v>RTH at -22 °C</v>
      </c>
      <c r="D152" s="196">
        <f t="shared" si="19"/>
        <v>3.0366666666666666</v>
      </c>
      <c r="E152" s="207">
        <v>9.9999999999999997E+98</v>
      </c>
      <c r="F152" s="208">
        <v>9.9999999999999997E+98</v>
      </c>
      <c r="G152" s="209">
        <v>9.9999999999999997E+98</v>
      </c>
      <c r="H152" s="128" t="s">
        <v>30</v>
      </c>
      <c r="I152" s="29"/>
      <c r="J152" s="29">
        <v>76.89</v>
      </c>
      <c r="K152" s="29">
        <v>74.61</v>
      </c>
      <c r="L152" s="29">
        <v>72.39</v>
      </c>
      <c r="M152" s="29"/>
      <c r="N152" s="29"/>
      <c r="O152" s="29"/>
      <c r="P152" s="29"/>
      <c r="Q152" s="29"/>
      <c r="R152" s="29"/>
      <c r="S152" s="29"/>
      <c r="T152" s="29"/>
      <c r="U152" s="29"/>
      <c r="V152" s="29"/>
      <c r="W152" s="29"/>
      <c r="X152" s="29"/>
      <c r="Y152" s="30"/>
      <c r="Z152" s="18"/>
      <c r="AA152" s="19"/>
      <c r="AB152" s="19"/>
      <c r="AC152" s="20">
        <f t="shared" si="26"/>
        <v>-22</v>
      </c>
      <c r="AD152" s="20">
        <f t="shared" si="27"/>
        <v>9.9999999999999997E+98</v>
      </c>
      <c r="AE152" s="20">
        <f t="shared" si="28"/>
        <v>9.9999999999999997E+98</v>
      </c>
      <c r="AF152" s="20">
        <f t="shared" si="29"/>
        <v>9.9999999999999997E+98</v>
      </c>
      <c r="AG152" s="20">
        <f>Table9[[#This Row],[RTH(min) (kΩ)]]*RT2_TH_MIN/(RT2_TH_MIN+Table9[[#This Row],[RTH(min) (kΩ)]])</f>
        <v>30.474773623767586</v>
      </c>
      <c r="AH152" s="20">
        <f>Table9[[#This Row],[RTH(nom) (kΩ)]]*RT2_TH_S/(RT2_TH_S+Table9[[#This Row],[RTH(nom) (kΩ)]])</f>
        <v>30.505278902670256</v>
      </c>
      <c r="AI152" s="20">
        <f>Table9[[#This Row],[RTH(max) (kΩ)]]*RT2_TH_S_MAX/(RT2_TH_S_MAX+Table9[[#This Row],[RTH(max) (kΩ)]])</f>
        <v>30.535784181572922</v>
      </c>
      <c r="AJ152" s="20">
        <f>Table9[[#This Row],[RLower(min) (kΩ)]]/(Table9[[#This Row],[RLower(min) (kΩ)]]+RT1_TH_S_MAX)*100</f>
        <v>85.332443462432792</v>
      </c>
      <c r="AK152" s="20">
        <f>Table9[[#This Row],[RLower(nom) (kΩ)]]/(Table9[[#This Row],[RLower(nom) (kΩ)]]+RT1_TH_S)*100</f>
        <v>85.357458154608338</v>
      </c>
      <c r="AL152" s="20">
        <f>Table9[[#This Row],[RLower(max) (kΩ)]]/(Table9[[#This Row],[RLower(max) (kΩ)]]+RT1_TH_S_MIN)*100</f>
        <v>85.382437493546604</v>
      </c>
      <c r="AM152" s="20">
        <f>IF(Table9[[#This Row],[Vmin (%)]]&lt;$BA$14, 0, IF(Table9[[#This Row],[Vmin (%)]]&lt;$BA$12, 4, IF(Table9[[#This Row],[Vmin (%)]]&lt;$BA$9, 3, IF(Table9[[#This Row],[Vmin (%)]]&lt;$BA$7, 2, 0))))</f>
        <v>0</v>
      </c>
      <c r="AN152" s="20">
        <f>IF(Table9[[#This Row],[Vmin (%)]]&lt;$BA$13, 0, IF(Table9[[#This Row],[Vmin (%)]]&lt;$BA$11, 4, IF(Table9[[#This Row],[Vmin (%)]]&lt;$BA$10, 3, IF(Table9[[#This Row],[Vmin (%)]]&lt;$BA$8, 2, 0))))</f>
        <v>0</v>
      </c>
      <c r="AO152" s="76" t="str">
        <f>IF(Table9[[#This Row],[Vmin (%)]]&lt;$BA$14, "Hot", IF(Table9[[#This Row],[Vmin (%)]]&lt;$BA$12, "Warm", IF(Table9[[#This Row],[Vmin (%)]]&lt;$BA$9, "Normal", IF(Table9[[#This Row],[Vmin (%)]]&lt;$BA$7, "Cool", "Cold"))))</f>
        <v>Cold</v>
      </c>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c r="FZ152" s="19"/>
      <c r="GA152" s="19"/>
      <c r="GB152" s="19"/>
      <c r="GC152" s="19"/>
      <c r="GD152" s="19"/>
      <c r="GE152" s="19"/>
      <c r="GF152" s="19"/>
      <c r="GG152" s="19"/>
      <c r="GH152" s="19"/>
      <c r="GI152" s="19"/>
      <c r="GJ152" s="19"/>
      <c r="GK152" s="19"/>
      <c r="GL152" s="19"/>
      <c r="GM152" s="19"/>
      <c r="GN152" s="19"/>
      <c r="GO152" s="19"/>
      <c r="GP152" s="19"/>
      <c r="GQ152" s="19"/>
      <c r="GR152" s="19"/>
      <c r="GS152" s="19"/>
      <c r="GT152" s="19"/>
      <c r="GU152" s="19"/>
      <c r="GV152" s="19"/>
      <c r="GW152" s="19"/>
      <c r="GX152" s="19"/>
      <c r="GY152" s="19"/>
      <c r="GZ152" s="19"/>
      <c r="HA152" s="19"/>
      <c r="HB152" s="19"/>
    </row>
    <row r="153" spans="1:210" x14ac:dyDescent="0.2">
      <c r="A153" s="113">
        <f t="shared" si="30"/>
        <v>-23</v>
      </c>
      <c r="B153" s="163"/>
      <c r="C153" s="172" t="str">
        <f t="shared" si="25"/>
        <v>RTH at -23 °C</v>
      </c>
      <c r="D153" s="196">
        <f t="shared" si="19"/>
        <v>3.08</v>
      </c>
      <c r="E153" s="207">
        <v>9.9999999999999997E+98</v>
      </c>
      <c r="F153" s="208">
        <v>9.9999999999999997E+98</v>
      </c>
      <c r="G153" s="209">
        <v>9.9999999999999997E+98</v>
      </c>
      <c r="H153" s="128" t="s">
        <v>30</v>
      </c>
      <c r="I153" s="29"/>
      <c r="J153" s="29">
        <v>80.760000000000005</v>
      </c>
      <c r="K153" s="29">
        <v>78.33</v>
      </c>
      <c r="L153" s="29">
        <v>75.959999999999994</v>
      </c>
      <c r="M153" s="29"/>
      <c r="N153" s="29"/>
      <c r="O153" s="29"/>
      <c r="P153" s="29"/>
      <c r="Q153" s="29"/>
      <c r="R153" s="29"/>
      <c r="S153" s="29"/>
      <c r="T153" s="29"/>
      <c r="U153" s="29"/>
      <c r="V153" s="29"/>
      <c r="W153" s="29"/>
      <c r="X153" s="29"/>
      <c r="Y153" s="30"/>
      <c r="Z153" s="18"/>
      <c r="AA153" s="19"/>
      <c r="AB153" s="19"/>
      <c r="AC153" s="20">
        <f t="shared" si="26"/>
        <v>-23</v>
      </c>
      <c r="AD153" s="20">
        <f t="shared" si="27"/>
        <v>9.9999999999999997E+98</v>
      </c>
      <c r="AE153" s="20">
        <f t="shared" si="28"/>
        <v>9.9999999999999997E+98</v>
      </c>
      <c r="AF153" s="20">
        <f t="shared" si="29"/>
        <v>9.9999999999999997E+98</v>
      </c>
      <c r="AG153" s="20">
        <f>Table9[[#This Row],[RTH(min) (kΩ)]]*RT2_TH_MIN/(RT2_TH_MIN+Table9[[#This Row],[RTH(min) (kΩ)]])</f>
        <v>30.474773623767586</v>
      </c>
      <c r="AH153" s="20">
        <f>Table9[[#This Row],[RTH(nom) (kΩ)]]*RT2_TH_S/(RT2_TH_S+Table9[[#This Row],[RTH(nom) (kΩ)]])</f>
        <v>30.505278902670256</v>
      </c>
      <c r="AI153" s="20">
        <f>Table9[[#This Row],[RTH(max) (kΩ)]]*RT2_TH_S_MAX/(RT2_TH_S_MAX+Table9[[#This Row],[RTH(max) (kΩ)]])</f>
        <v>30.535784181572922</v>
      </c>
      <c r="AJ153" s="20">
        <f>Table9[[#This Row],[RLower(min) (kΩ)]]/(Table9[[#This Row],[RLower(min) (kΩ)]]+RT1_TH_S_MAX)*100</f>
        <v>85.332443462432792</v>
      </c>
      <c r="AK153" s="20">
        <f>Table9[[#This Row],[RLower(nom) (kΩ)]]/(Table9[[#This Row],[RLower(nom) (kΩ)]]+RT1_TH_S)*100</f>
        <v>85.357458154608338</v>
      </c>
      <c r="AL153" s="20">
        <f>Table9[[#This Row],[RLower(max) (kΩ)]]/(Table9[[#This Row],[RLower(max) (kΩ)]]+RT1_TH_S_MIN)*100</f>
        <v>85.382437493546604</v>
      </c>
      <c r="AM153" s="20">
        <f>IF(Table9[[#This Row],[Vmin (%)]]&lt;$BA$14, 0, IF(Table9[[#This Row],[Vmin (%)]]&lt;$BA$12, 4, IF(Table9[[#This Row],[Vmin (%)]]&lt;$BA$9, 3, IF(Table9[[#This Row],[Vmin (%)]]&lt;$BA$7, 2, 0))))</f>
        <v>0</v>
      </c>
      <c r="AN153" s="20">
        <f>IF(Table9[[#This Row],[Vmin (%)]]&lt;$BA$13, 0, IF(Table9[[#This Row],[Vmin (%)]]&lt;$BA$11, 4, IF(Table9[[#This Row],[Vmin (%)]]&lt;$BA$10, 3, IF(Table9[[#This Row],[Vmin (%)]]&lt;$BA$8, 2, 0))))</f>
        <v>0</v>
      </c>
      <c r="AO153" s="76" t="str">
        <f>IF(Table9[[#This Row],[Vmin (%)]]&lt;$BA$14, "Hot", IF(Table9[[#This Row],[Vmin (%)]]&lt;$BA$12, "Warm", IF(Table9[[#This Row],[Vmin (%)]]&lt;$BA$9, "Normal", IF(Table9[[#This Row],[Vmin (%)]]&lt;$BA$7, "Cool", "Cold"))))</f>
        <v>Cold</v>
      </c>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c r="FZ153" s="19"/>
      <c r="GA153" s="19"/>
      <c r="GB153" s="19"/>
      <c r="GC153" s="19"/>
      <c r="GD153" s="19"/>
      <c r="GE153" s="19"/>
      <c r="GF153" s="19"/>
      <c r="GG153" s="19"/>
      <c r="GH153" s="19"/>
      <c r="GI153" s="19"/>
      <c r="GJ153" s="19"/>
      <c r="GK153" s="19"/>
      <c r="GL153" s="19"/>
      <c r="GM153" s="19"/>
      <c r="GN153" s="19"/>
      <c r="GO153" s="19"/>
      <c r="GP153" s="19"/>
      <c r="GQ153" s="19"/>
      <c r="GR153" s="19"/>
      <c r="GS153" s="19"/>
      <c r="GT153" s="19"/>
      <c r="GU153" s="19"/>
      <c r="GV153" s="19"/>
      <c r="GW153" s="19"/>
      <c r="GX153" s="19"/>
      <c r="GY153" s="19"/>
      <c r="GZ153" s="19"/>
      <c r="HA153" s="19"/>
      <c r="HB153" s="19"/>
    </row>
    <row r="154" spans="1:210" x14ac:dyDescent="0.2">
      <c r="A154" s="113">
        <f t="shared" si="30"/>
        <v>-24</v>
      </c>
      <c r="B154" s="163"/>
      <c r="C154" s="172" t="str">
        <f t="shared" si="25"/>
        <v>RTH at -24 °C</v>
      </c>
      <c r="D154" s="196">
        <f t="shared" si="19"/>
        <v>3.1233333333333335</v>
      </c>
      <c r="E154" s="207">
        <v>9.9999999999999997E+98</v>
      </c>
      <c r="F154" s="208">
        <v>9.9999999999999997E+98</v>
      </c>
      <c r="G154" s="209">
        <v>9.9999999999999997E+98</v>
      </c>
      <c r="H154" s="128" t="s">
        <v>30</v>
      </c>
      <c r="I154" s="29"/>
      <c r="J154" s="29">
        <v>84.85</v>
      </c>
      <c r="K154" s="29">
        <v>82.26</v>
      </c>
      <c r="L154" s="29">
        <v>79.739999999999995</v>
      </c>
      <c r="M154" s="29"/>
      <c r="N154" s="29"/>
      <c r="O154" s="29"/>
      <c r="P154" s="29"/>
      <c r="Q154" s="29"/>
      <c r="R154" s="29"/>
      <c r="S154" s="29"/>
      <c r="T154" s="29"/>
      <c r="U154" s="29"/>
      <c r="V154" s="29"/>
      <c r="W154" s="29"/>
      <c r="X154" s="29"/>
      <c r="Y154" s="30"/>
      <c r="Z154" s="18"/>
      <c r="AA154" s="19"/>
      <c r="AB154" s="19"/>
      <c r="AC154" s="20">
        <f t="shared" si="26"/>
        <v>-24</v>
      </c>
      <c r="AD154" s="20">
        <f t="shared" si="27"/>
        <v>9.9999999999999997E+98</v>
      </c>
      <c r="AE154" s="20">
        <f t="shared" si="28"/>
        <v>9.9999999999999997E+98</v>
      </c>
      <c r="AF154" s="20">
        <f t="shared" si="29"/>
        <v>9.9999999999999997E+98</v>
      </c>
      <c r="AG154" s="20">
        <f>Table9[[#This Row],[RTH(min) (kΩ)]]*RT2_TH_MIN/(RT2_TH_MIN+Table9[[#This Row],[RTH(min) (kΩ)]])</f>
        <v>30.474773623767586</v>
      </c>
      <c r="AH154" s="20">
        <f>Table9[[#This Row],[RTH(nom) (kΩ)]]*RT2_TH_S/(RT2_TH_S+Table9[[#This Row],[RTH(nom) (kΩ)]])</f>
        <v>30.505278902670256</v>
      </c>
      <c r="AI154" s="20">
        <f>Table9[[#This Row],[RTH(max) (kΩ)]]*RT2_TH_S_MAX/(RT2_TH_S_MAX+Table9[[#This Row],[RTH(max) (kΩ)]])</f>
        <v>30.535784181572922</v>
      </c>
      <c r="AJ154" s="20">
        <f>Table9[[#This Row],[RLower(min) (kΩ)]]/(Table9[[#This Row],[RLower(min) (kΩ)]]+RT1_TH_S_MAX)*100</f>
        <v>85.332443462432792</v>
      </c>
      <c r="AK154" s="20">
        <f>Table9[[#This Row],[RLower(nom) (kΩ)]]/(Table9[[#This Row],[RLower(nom) (kΩ)]]+RT1_TH_S)*100</f>
        <v>85.357458154608338</v>
      </c>
      <c r="AL154" s="20">
        <f>Table9[[#This Row],[RLower(max) (kΩ)]]/(Table9[[#This Row],[RLower(max) (kΩ)]]+RT1_TH_S_MIN)*100</f>
        <v>85.382437493546604</v>
      </c>
      <c r="AM154" s="20">
        <f>IF(Table9[[#This Row],[Vmin (%)]]&lt;$BA$14, 0, IF(Table9[[#This Row],[Vmin (%)]]&lt;$BA$12, 4, IF(Table9[[#This Row],[Vmin (%)]]&lt;$BA$9, 3, IF(Table9[[#This Row],[Vmin (%)]]&lt;$BA$7, 2, 0))))</f>
        <v>0</v>
      </c>
      <c r="AN154" s="20">
        <f>IF(Table9[[#This Row],[Vmin (%)]]&lt;$BA$13, 0, IF(Table9[[#This Row],[Vmin (%)]]&lt;$BA$11, 4, IF(Table9[[#This Row],[Vmin (%)]]&lt;$BA$10, 3, IF(Table9[[#This Row],[Vmin (%)]]&lt;$BA$8, 2, 0))))</f>
        <v>0</v>
      </c>
      <c r="AO154" s="76" t="str">
        <f>IF(Table9[[#This Row],[Vmin (%)]]&lt;$BA$14, "Hot", IF(Table9[[#This Row],[Vmin (%)]]&lt;$BA$12, "Warm", IF(Table9[[#This Row],[Vmin (%)]]&lt;$BA$9, "Normal", IF(Table9[[#This Row],[Vmin (%)]]&lt;$BA$7, "Cool", "Cold"))))</f>
        <v>Cold</v>
      </c>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c r="FZ154" s="19"/>
      <c r="GA154" s="19"/>
      <c r="GB154" s="19"/>
      <c r="GC154" s="19"/>
      <c r="GD154" s="19"/>
      <c r="GE154" s="19"/>
      <c r="GF154" s="19"/>
      <c r="GG154" s="19"/>
      <c r="GH154" s="19"/>
      <c r="GI154" s="19"/>
      <c r="GJ154" s="19"/>
      <c r="GK154" s="19"/>
      <c r="GL154" s="19"/>
      <c r="GM154" s="19"/>
      <c r="GN154" s="19"/>
      <c r="GO154" s="19"/>
      <c r="GP154" s="19"/>
      <c r="GQ154" s="19"/>
      <c r="GR154" s="19"/>
      <c r="GS154" s="19"/>
      <c r="GT154" s="19"/>
      <c r="GU154" s="19"/>
      <c r="GV154" s="19"/>
      <c r="GW154" s="19"/>
      <c r="GX154" s="19"/>
      <c r="GY154" s="19"/>
      <c r="GZ154" s="19"/>
      <c r="HA154" s="19"/>
      <c r="HB154" s="19"/>
    </row>
    <row r="155" spans="1:210" ht="16" thickBot="1" x14ac:dyDescent="0.25">
      <c r="A155" s="113">
        <f t="shared" si="30"/>
        <v>-25</v>
      </c>
      <c r="B155" s="163"/>
      <c r="C155" s="172" t="str">
        <f t="shared" si="25"/>
        <v>RTH at -25 °C</v>
      </c>
      <c r="D155" s="196">
        <f t="shared" si="19"/>
        <v>3.1666666666666665</v>
      </c>
      <c r="E155" s="207">
        <v>9.9999999999999997E+98</v>
      </c>
      <c r="F155" s="208">
        <v>9.9999999999999997E+98</v>
      </c>
      <c r="G155" s="209">
        <v>9.9999999999999997E+98</v>
      </c>
      <c r="H155" s="128" t="s">
        <v>30</v>
      </c>
      <c r="I155" s="29"/>
      <c r="J155" s="29">
        <v>89.2</v>
      </c>
      <c r="K155" s="29">
        <v>86.43</v>
      </c>
      <c r="L155" s="29">
        <v>83.73</v>
      </c>
      <c r="M155" s="29"/>
      <c r="N155" s="29"/>
      <c r="O155" s="29"/>
      <c r="P155" s="29"/>
      <c r="Q155" s="29"/>
      <c r="R155" s="29"/>
      <c r="S155" s="29"/>
      <c r="T155" s="29"/>
      <c r="U155" s="29"/>
      <c r="V155" s="29"/>
      <c r="W155" s="29"/>
      <c r="X155" s="29"/>
      <c r="Y155" s="30"/>
      <c r="Z155" s="18"/>
      <c r="AA155" s="19"/>
      <c r="AB155" s="19"/>
      <c r="AC155" s="20">
        <f t="shared" si="26"/>
        <v>-25</v>
      </c>
      <c r="AD155" s="20">
        <f t="shared" si="27"/>
        <v>9.9999999999999997E+98</v>
      </c>
      <c r="AE155" s="20">
        <f t="shared" si="28"/>
        <v>9.9999999999999997E+98</v>
      </c>
      <c r="AF155" s="20">
        <f t="shared" si="29"/>
        <v>9.9999999999999997E+98</v>
      </c>
      <c r="AG155" s="20">
        <f>Table9[[#This Row],[RTH(min) (kΩ)]]*RT2_TH_MIN/(RT2_TH_MIN+Table9[[#This Row],[RTH(min) (kΩ)]])</f>
        <v>30.474773623767586</v>
      </c>
      <c r="AH155" s="20">
        <f>Table9[[#This Row],[RTH(nom) (kΩ)]]*RT2_TH_S/(RT2_TH_S+Table9[[#This Row],[RTH(nom) (kΩ)]])</f>
        <v>30.505278902670256</v>
      </c>
      <c r="AI155" s="20">
        <f>Table9[[#This Row],[RTH(max) (kΩ)]]*RT2_TH_S_MAX/(RT2_TH_S_MAX+Table9[[#This Row],[RTH(max) (kΩ)]])</f>
        <v>30.535784181572922</v>
      </c>
      <c r="AJ155" s="20">
        <f>Table9[[#This Row],[RLower(min) (kΩ)]]/(Table9[[#This Row],[RLower(min) (kΩ)]]+RT1_TH_S_MAX)*100</f>
        <v>85.332443462432792</v>
      </c>
      <c r="AK155" s="20">
        <f>Table9[[#This Row],[RLower(nom) (kΩ)]]/(Table9[[#This Row],[RLower(nom) (kΩ)]]+RT1_TH_S)*100</f>
        <v>85.357458154608338</v>
      </c>
      <c r="AL155" s="20">
        <f>Table9[[#This Row],[RLower(max) (kΩ)]]/(Table9[[#This Row],[RLower(max) (kΩ)]]+RT1_TH_S_MIN)*100</f>
        <v>85.382437493546604</v>
      </c>
      <c r="AM155" s="20">
        <f>IF(Table9[[#This Row],[Vmin (%)]]&lt;$BA$14, 0, IF(Table9[[#This Row],[Vmin (%)]]&lt;$BA$12, 4, IF(Table9[[#This Row],[Vmin (%)]]&lt;$BA$9, 3, IF(Table9[[#This Row],[Vmin (%)]]&lt;$BA$7, 2, 0))))</f>
        <v>0</v>
      </c>
      <c r="AN155" s="20">
        <f>IF(Table9[[#This Row],[Vmin (%)]]&lt;$BA$13, 0, IF(Table9[[#This Row],[Vmin (%)]]&lt;$BA$11, 4, IF(Table9[[#This Row],[Vmin (%)]]&lt;$BA$10, 3, IF(Table9[[#This Row],[Vmin (%)]]&lt;$BA$8, 2, 0))))</f>
        <v>0</v>
      </c>
      <c r="AO155" s="76" t="str">
        <f>IF(Table9[[#This Row],[Vmin (%)]]&lt;$BA$14, "Hot", IF(Table9[[#This Row],[Vmin (%)]]&lt;$BA$12, "Warm", IF(Table9[[#This Row],[Vmin (%)]]&lt;$BA$9, "Normal", IF(Table9[[#This Row],[Vmin (%)]]&lt;$BA$7, "Cool", "Cold"))))</f>
        <v>Cold</v>
      </c>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c r="FZ155" s="19"/>
      <c r="GA155" s="19"/>
      <c r="GB155" s="19"/>
      <c r="GC155" s="19"/>
      <c r="GD155" s="19"/>
      <c r="GE155" s="19"/>
      <c r="GF155" s="19"/>
      <c r="GG155" s="19"/>
      <c r="GH155" s="19"/>
      <c r="GI155" s="19"/>
      <c r="GJ155" s="19"/>
      <c r="GK155" s="19"/>
      <c r="GL155" s="19"/>
      <c r="GM155" s="19"/>
      <c r="GN155" s="19"/>
      <c r="GO155" s="19"/>
      <c r="GP155" s="19"/>
      <c r="GQ155" s="19"/>
      <c r="GR155" s="19"/>
      <c r="GS155" s="19"/>
      <c r="GT155" s="19"/>
      <c r="GU155" s="19"/>
      <c r="GV155" s="19"/>
      <c r="GW155" s="19"/>
      <c r="GX155" s="19"/>
      <c r="GY155" s="19"/>
      <c r="GZ155" s="19"/>
      <c r="HA155" s="19"/>
      <c r="HB155" s="19"/>
    </row>
    <row r="156" spans="1:210" hidden="1" x14ac:dyDescent="0.2">
      <c r="A156" s="113">
        <f t="shared" si="30"/>
        <v>-26</v>
      </c>
      <c r="B156" s="163"/>
      <c r="C156" s="172" t="str">
        <f t="shared" si="25"/>
        <v>RTH at -26 °C</v>
      </c>
      <c r="D156" s="196">
        <f t="shared" si="19"/>
        <v>3.21</v>
      </c>
      <c r="E156" s="207">
        <v>9.9999999999999997E+98</v>
      </c>
      <c r="F156" s="208">
        <v>9.9999999999999997E+98</v>
      </c>
      <c r="G156" s="209">
        <v>9.9999999999999997E+98</v>
      </c>
      <c r="H156" s="128" t="s">
        <v>30</v>
      </c>
      <c r="I156" s="29"/>
      <c r="J156" s="29">
        <v>93.8</v>
      </c>
      <c r="K156" s="29">
        <v>90.84</v>
      </c>
      <c r="L156" s="29">
        <v>87.97</v>
      </c>
      <c r="M156" s="29"/>
      <c r="N156" s="29"/>
      <c r="O156" s="29"/>
      <c r="P156" s="29"/>
      <c r="Q156" s="29"/>
      <c r="R156" s="29"/>
      <c r="S156" s="29"/>
      <c r="T156" s="29"/>
      <c r="U156" s="29"/>
      <c r="V156" s="29"/>
      <c r="W156" s="29"/>
      <c r="X156" s="29"/>
      <c r="Y156" s="30"/>
      <c r="Z156" s="18"/>
      <c r="AA156" s="19"/>
      <c r="AB156" s="19"/>
      <c r="AC156" s="20">
        <f t="shared" si="26"/>
        <v>-26</v>
      </c>
      <c r="AD156" s="20">
        <f t="shared" si="27"/>
        <v>9.9999999999999997E+98</v>
      </c>
      <c r="AE156" s="20">
        <f t="shared" si="28"/>
        <v>9.9999999999999997E+98</v>
      </c>
      <c r="AF156" s="20">
        <f t="shared" si="29"/>
        <v>9.9999999999999997E+98</v>
      </c>
      <c r="AG156" s="20">
        <f>Table9[[#This Row],[RTH(min) (kΩ)]]*RT2_TH_MIN/(RT2_TH_MIN+Table9[[#This Row],[RTH(min) (kΩ)]])</f>
        <v>30.474773623767586</v>
      </c>
      <c r="AH156" s="20">
        <f>Table9[[#This Row],[RTH(nom) (kΩ)]]*RT2_TH_S/(RT2_TH_S+Table9[[#This Row],[RTH(nom) (kΩ)]])</f>
        <v>30.505278902670256</v>
      </c>
      <c r="AI156" s="20">
        <f>Table9[[#This Row],[RTH(max) (kΩ)]]*RT2_TH_S_MAX/(RT2_TH_S_MAX+Table9[[#This Row],[RTH(max) (kΩ)]])</f>
        <v>30.535784181572922</v>
      </c>
      <c r="AJ156" s="20">
        <f>Table9[[#This Row],[RLower(min) (kΩ)]]/(Table9[[#This Row],[RLower(min) (kΩ)]]+RT1_TH_S_MAX)*100</f>
        <v>85.332443462432792</v>
      </c>
      <c r="AK156" s="20">
        <f>Table9[[#This Row],[RLower(nom) (kΩ)]]/(Table9[[#This Row],[RLower(nom) (kΩ)]]+RT1_TH_S)*100</f>
        <v>85.357458154608338</v>
      </c>
      <c r="AL156" s="20">
        <f>Table9[[#This Row],[RLower(max) (kΩ)]]/(Table9[[#This Row],[RLower(max) (kΩ)]]+RT1_TH_S_MIN)*100</f>
        <v>85.382437493546604</v>
      </c>
      <c r="AM156" s="20">
        <f>IF(Table9[[#This Row],[Vmin (%)]]&lt;$BA$14, 0, IF(Table9[[#This Row],[Vmin (%)]]&lt;$BA$12, 4, IF(Table9[[#This Row],[Vmin (%)]]&lt;$BA$9, 3, IF(Table9[[#This Row],[Vmin (%)]]&lt;$BA$7, 2, 0))))</f>
        <v>0</v>
      </c>
      <c r="AN156" s="20">
        <f>IF(Table9[[#This Row],[Vmin (%)]]&lt;$BA$13, 0, IF(Table9[[#This Row],[Vmin (%)]]&lt;$BA$11, 4, IF(Table9[[#This Row],[Vmin (%)]]&lt;$BA$10, 3, IF(Table9[[#This Row],[Vmin (%)]]&lt;$BA$8, 2, 0))))</f>
        <v>0</v>
      </c>
      <c r="AO156" s="76" t="str">
        <f>IF(Table9[[#This Row],[Vmin (%)]]&lt;$BA$14, "Hot", IF(Table9[[#This Row],[Vmin (%)]]&lt;$BA$12, "Warm", IF(Table9[[#This Row],[Vmin (%)]]&lt;$BA$9, "Normal", IF(Table9[[#This Row],[Vmin (%)]]&lt;$BA$7, "Cool", "Cold"))))</f>
        <v>Cold</v>
      </c>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row>
    <row r="157" spans="1:210" hidden="1" x14ac:dyDescent="0.2">
      <c r="A157" s="113">
        <f t="shared" si="30"/>
        <v>-27</v>
      </c>
      <c r="B157" s="163"/>
      <c r="C157" s="172" t="str">
        <f t="shared" si="25"/>
        <v>RTH at -27 °C</v>
      </c>
      <c r="D157" s="196">
        <f t="shared" si="19"/>
        <v>3.2533333333333334</v>
      </c>
      <c r="E157" s="207">
        <v>9.9999999999999997E+98</v>
      </c>
      <c r="F157" s="208">
        <v>9.9999999999999997E+98</v>
      </c>
      <c r="G157" s="209">
        <v>9.9999999999999997E+98</v>
      </c>
      <c r="H157" s="128" t="s">
        <v>30</v>
      </c>
      <c r="I157" s="29"/>
      <c r="J157" s="29">
        <v>98.68</v>
      </c>
      <c r="K157" s="29">
        <v>95.52</v>
      </c>
      <c r="L157" s="29">
        <v>92.45</v>
      </c>
      <c r="M157" s="29"/>
      <c r="N157" s="29"/>
      <c r="O157" s="29"/>
      <c r="P157" s="29"/>
      <c r="Q157" s="29"/>
      <c r="R157" s="29"/>
      <c r="S157" s="29"/>
      <c r="T157" s="29"/>
      <c r="U157" s="29"/>
      <c r="V157" s="29"/>
      <c r="W157" s="29"/>
      <c r="X157" s="29"/>
      <c r="Y157" s="30"/>
      <c r="Z157" s="18"/>
      <c r="AA157" s="19"/>
      <c r="AB157" s="19"/>
      <c r="AC157" s="20">
        <f t="shared" si="26"/>
        <v>-27</v>
      </c>
      <c r="AD157" s="20">
        <f t="shared" si="27"/>
        <v>9.9999999999999997E+98</v>
      </c>
      <c r="AE157" s="20">
        <f t="shared" si="28"/>
        <v>9.9999999999999997E+98</v>
      </c>
      <c r="AF157" s="20">
        <f t="shared" si="29"/>
        <v>9.9999999999999997E+98</v>
      </c>
      <c r="AG157" s="20">
        <f>Table9[[#This Row],[RTH(min) (kΩ)]]*RT2_TH_MIN/(RT2_TH_MIN+Table9[[#This Row],[RTH(min) (kΩ)]])</f>
        <v>30.474773623767586</v>
      </c>
      <c r="AH157" s="20">
        <f>Table9[[#This Row],[RTH(nom) (kΩ)]]*RT2_TH_S/(RT2_TH_S+Table9[[#This Row],[RTH(nom) (kΩ)]])</f>
        <v>30.505278902670256</v>
      </c>
      <c r="AI157" s="20">
        <f>Table9[[#This Row],[RTH(max) (kΩ)]]*RT2_TH_S_MAX/(RT2_TH_S_MAX+Table9[[#This Row],[RTH(max) (kΩ)]])</f>
        <v>30.535784181572922</v>
      </c>
      <c r="AJ157" s="20">
        <f>Table9[[#This Row],[RLower(min) (kΩ)]]/(Table9[[#This Row],[RLower(min) (kΩ)]]+RT1_TH_S_MAX)*100</f>
        <v>85.332443462432792</v>
      </c>
      <c r="AK157" s="20">
        <f>Table9[[#This Row],[RLower(nom) (kΩ)]]/(Table9[[#This Row],[RLower(nom) (kΩ)]]+RT1_TH_S)*100</f>
        <v>85.357458154608338</v>
      </c>
      <c r="AL157" s="20">
        <f>Table9[[#This Row],[RLower(max) (kΩ)]]/(Table9[[#This Row],[RLower(max) (kΩ)]]+RT1_TH_S_MIN)*100</f>
        <v>85.382437493546604</v>
      </c>
      <c r="AM157" s="20">
        <f>IF(Table9[[#This Row],[Vmin (%)]]&lt;$BA$14, 0, IF(Table9[[#This Row],[Vmin (%)]]&lt;$BA$12, 4, IF(Table9[[#This Row],[Vmin (%)]]&lt;$BA$9, 3, IF(Table9[[#This Row],[Vmin (%)]]&lt;$BA$7, 2, 0))))</f>
        <v>0</v>
      </c>
      <c r="AN157" s="20">
        <f>IF(Table9[[#This Row],[Vmin (%)]]&lt;$BA$13, 0, IF(Table9[[#This Row],[Vmin (%)]]&lt;$BA$11, 4, IF(Table9[[#This Row],[Vmin (%)]]&lt;$BA$10, 3, IF(Table9[[#This Row],[Vmin (%)]]&lt;$BA$8, 2, 0))))</f>
        <v>0</v>
      </c>
      <c r="AO157" s="76" t="str">
        <f>IF(Table9[[#This Row],[Vmin (%)]]&lt;$BA$14, "Hot", IF(Table9[[#This Row],[Vmin (%)]]&lt;$BA$12, "Warm", IF(Table9[[#This Row],[Vmin (%)]]&lt;$BA$9, "Normal", IF(Table9[[#This Row],[Vmin (%)]]&lt;$BA$7, "Cool", "Cold"))))</f>
        <v>Cold</v>
      </c>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c r="FJ157" s="19"/>
      <c r="FK157" s="19"/>
      <c r="FL157" s="19"/>
      <c r="FM157" s="19"/>
      <c r="FN157" s="19"/>
      <c r="FO157" s="19"/>
      <c r="FP157" s="19"/>
      <c r="FQ157" s="19"/>
      <c r="FR157" s="19"/>
      <c r="FS157" s="19"/>
      <c r="FT157" s="19"/>
      <c r="FU157" s="19"/>
      <c r="FV157" s="19"/>
      <c r="FW157" s="19"/>
      <c r="FX157" s="19"/>
      <c r="FY157" s="19"/>
      <c r="FZ157" s="19"/>
      <c r="GA157" s="19"/>
      <c r="GB157" s="19"/>
      <c r="GC157" s="19"/>
      <c r="GD157" s="19"/>
      <c r="GE157" s="19"/>
      <c r="GF157" s="19"/>
      <c r="GG157" s="19"/>
      <c r="GH157" s="19"/>
      <c r="GI157" s="19"/>
      <c r="GJ157" s="19"/>
      <c r="GK157" s="19"/>
      <c r="GL157" s="19"/>
      <c r="GM157" s="19"/>
      <c r="GN157" s="19"/>
      <c r="GO157" s="19"/>
      <c r="GP157" s="19"/>
      <c r="GQ157" s="19"/>
      <c r="GR157" s="19"/>
      <c r="GS157" s="19"/>
      <c r="GT157" s="19"/>
      <c r="GU157" s="19"/>
      <c r="GV157" s="19"/>
      <c r="GW157" s="19"/>
      <c r="GX157" s="19"/>
      <c r="GY157" s="19"/>
      <c r="GZ157" s="19"/>
      <c r="HA157" s="19"/>
      <c r="HB157" s="19"/>
    </row>
    <row r="158" spans="1:210" hidden="1" x14ac:dyDescent="0.2">
      <c r="A158" s="113">
        <f t="shared" si="30"/>
        <v>-28</v>
      </c>
      <c r="B158" s="163"/>
      <c r="C158" s="172" t="str">
        <f t="shared" si="25"/>
        <v>RTH at -28 °C</v>
      </c>
      <c r="D158" s="196">
        <f t="shared" si="19"/>
        <v>3.2966666666666669</v>
      </c>
      <c r="E158" s="207">
        <v>9.9999999999999997E+98</v>
      </c>
      <c r="F158" s="208">
        <v>9.9999999999999997E+98</v>
      </c>
      <c r="G158" s="209">
        <v>9.9999999999999997E+98</v>
      </c>
      <c r="H158" s="128" t="s">
        <v>30</v>
      </c>
      <c r="I158" s="29"/>
      <c r="J158" s="29">
        <v>103.9</v>
      </c>
      <c r="K158" s="29">
        <v>100.5</v>
      </c>
      <c r="L158" s="29">
        <v>97.2</v>
      </c>
      <c r="M158" s="29"/>
      <c r="N158" s="29"/>
      <c r="O158" s="29"/>
      <c r="P158" s="29"/>
      <c r="Q158" s="29"/>
      <c r="R158" s="29"/>
      <c r="S158" s="29"/>
      <c r="T158" s="29"/>
      <c r="U158" s="29"/>
      <c r="V158" s="29"/>
      <c r="W158" s="29"/>
      <c r="X158" s="29"/>
      <c r="Y158" s="30"/>
      <c r="Z158" s="18"/>
      <c r="AA158" s="19"/>
      <c r="AB158" s="19"/>
      <c r="AC158" s="20">
        <f t="shared" si="26"/>
        <v>-28</v>
      </c>
      <c r="AD158" s="20">
        <f t="shared" si="27"/>
        <v>9.9999999999999997E+98</v>
      </c>
      <c r="AE158" s="20">
        <f t="shared" si="28"/>
        <v>9.9999999999999997E+98</v>
      </c>
      <c r="AF158" s="20">
        <f t="shared" si="29"/>
        <v>9.9999999999999997E+98</v>
      </c>
      <c r="AG158" s="20">
        <f>Table9[[#This Row],[RTH(min) (kΩ)]]*RT2_TH_MIN/(RT2_TH_MIN+Table9[[#This Row],[RTH(min) (kΩ)]])</f>
        <v>30.474773623767586</v>
      </c>
      <c r="AH158" s="20">
        <f>Table9[[#This Row],[RTH(nom) (kΩ)]]*RT2_TH_S/(RT2_TH_S+Table9[[#This Row],[RTH(nom) (kΩ)]])</f>
        <v>30.505278902670256</v>
      </c>
      <c r="AI158" s="20">
        <f>Table9[[#This Row],[RTH(max) (kΩ)]]*RT2_TH_S_MAX/(RT2_TH_S_MAX+Table9[[#This Row],[RTH(max) (kΩ)]])</f>
        <v>30.535784181572922</v>
      </c>
      <c r="AJ158" s="20">
        <f>Table9[[#This Row],[RLower(min) (kΩ)]]/(Table9[[#This Row],[RLower(min) (kΩ)]]+RT1_TH_S_MAX)*100</f>
        <v>85.332443462432792</v>
      </c>
      <c r="AK158" s="20">
        <f>Table9[[#This Row],[RLower(nom) (kΩ)]]/(Table9[[#This Row],[RLower(nom) (kΩ)]]+RT1_TH_S)*100</f>
        <v>85.357458154608338</v>
      </c>
      <c r="AL158" s="20">
        <f>Table9[[#This Row],[RLower(max) (kΩ)]]/(Table9[[#This Row],[RLower(max) (kΩ)]]+RT1_TH_S_MIN)*100</f>
        <v>85.382437493546604</v>
      </c>
      <c r="AM158" s="20">
        <f>IF(Table9[[#This Row],[Vmin (%)]]&lt;$BA$14, 0, IF(Table9[[#This Row],[Vmin (%)]]&lt;$BA$12, 4, IF(Table9[[#This Row],[Vmin (%)]]&lt;$BA$9, 3, IF(Table9[[#This Row],[Vmin (%)]]&lt;$BA$7, 2, 0))))</f>
        <v>0</v>
      </c>
      <c r="AN158" s="20">
        <f>IF(Table9[[#This Row],[Vmin (%)]]&lt;$BA$13, 0, IF(Table9[[#This Row],[Vmin (%)]]&lt;$BA$11, 4, IF(Table9[[#This Row],[Vmin (%)]]&lt;$BA$10, 3, IF(Table9[[#This Row],[Vmin (%)]]&lt;$BA$8, 2, 0))))</f>
        <v>0</v>
      </c>
      <c r="AO158" s="76" t="str">
        <f>IF(Table9[[#This Row],[Vmin (%)]]&lt;$BA$14, "Hot", IF(Table9[[#This Row],[Vmin (%)]]&lt;$BA$12, "Warm", IF(Table9[[#This Row],[Vmin (%)]]&lt;$BA$9, "Normal", IF(Table9[[#This Row],[Vmin (%)]]&lt;$BA$7, "Cool", "Cold"))))</f>
        <v>Cold</v>
      </c>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c r="FJ158" s="19"/>
      <c r="FK158" s="19"/>
      <c r="FL158" s="19"/>
      <c r="FM158" s="19"/>
      <c r="FN158" s="19"/>
      <c r="FO158" s="19"/>
      <c r="FP158" s="19"/>
      <c r="FQ158" s="19"/>
      <c r="FR158" s="19"/>
      <c r="FS158" s="19"/>
      <c r="FT158" s="19"/>
      <c r="FU158" s="19"/>
      <c r="FV158" s="19"/>
      <c r="FW158" s="19"/>
      <c r="FX158" s="19"/>
      <c r="FY158" s="19"/>
      <c r="FZ158" s="19"/>
      <c r="GA158" s="19"/>
      <c r="GB158" s="19"/>
      <c r="GC158" s="19"/>
      <c r="GD158" s="19"/>
      <c r="GE158" s="19"/>
      <c r="GF158" s="19"/>
      <c r="GG158" s="19"/>
      <c r="GH158" s="19"/>
      <c r="GI158" s="19"/>
      <c r="GJ158" s="19"/>
      <c r="GK158" s="19"/>
      <c r="GL158" s="19"/>
      <c r="GM158" s="19"/>
      <c r="GN158" s="19"/>
      <c r="GO158" s="19"/>
      <c r="GP158" s="19"/>
      <c r="GQ158" s="19"/>
      <c r="GR158" s="19"/>
      <c r="GS158" s="19"/>
      <c r="GT158" s="19"/>
      <c r="GU158" s="19"/>
      <c r="GV158" s="19"/>
      <c r="GW158" s="19"/>
      <c r="GX158" s="19"/>
      <c r="GY158" s="19"/>
      <c r="GZ158" s="19"/>
      <c r="HA158" s="19"/>
      <c r="HB158" s="19"/>
    </row>
    <row r="159" spans="1:210" hidden="1" x14ac:dyDescent="0.2">
      <c r="A159" s="113">
        <f t="shared" si="30"/>
        <v>-29</v>
      </c>
      <c r="B159" s="163"/>
      <c r="C159" s="172" t="str">
        <f t="shared" si="25"/>
        <v>RTH at -29 °C</v>
      </c>
      <c r="D159" s="196">
        <f t="shared" si="19"/>
        <v>3.34</v>
      </c>
      <c r="E159" s="207">
        <v>9.9999999999999997E+98</v>
      </c>
      <c r="F159" s="208">
        <v>9.9999999999999997E+98</v>
      </c>
      <c r="G159" s="209">
        <v>9.9999999999999997E+98</v>
      </c>
      <c r="H159" s="128" t="s">
        <v>30</v>
      </c>
      <c r="I159" s="29"/>
      <c r="J159" s="29">
        <v>109.4</v>
      </c>
      <c r="K159" s="29">
        <v>105.7</v>
      </c>
      <c r="L159" s="29">
        <v>102.2</v>
      </c>
      <c r="M159" s="29"/>
      <c r="N159" s="29"/>
      <c r="O159" s="29"/>
      <c r="P159" s="29"/>
      <c r="Q159" s="29"/>
      <c r="R159" s="29"/>
      <c r="S159" s="29"/>
      <c r="T159" s="29"/>
      <c r="U159" s="29"/>
      <c r="V159" s="29"/>
      <c r="W159" s="29"/>
      <c r="X159" s="29"/>
      <c r="Y159" s="30"/>
      <c r="Z159" s="18"/>
      <c r="AA159" s="19"/>
      <c r="AB159" s="19"/>
      <c r="AC159" s="20">
        <f t="shared" si="26"/>
        <v>-29</v>
      </c>
      <c r="AD159" s="20">
        <f t="shared" si="27"/>
        <v>9.9999999999999997E+98</v>
      </c>
      <c r="AE159" s="20">
        <f t="shared" si="28"/>
        <v>9.9999999999999997E+98</v>
      </c>
      <c r="AF159" s="20">
        <f t="shared" si="29"/>
        <v>9.9999999999999997E+98</v>
      </c>
      <c r="AG159" s="20">
        <f>Table9[[#This Row],[RTH(min) (kΩ)]]*RT2_TH_MIN/(RT2_TH_MIN+Table9[[#This Row],[RTH(min) (kΩ)]])</f>
        <v>30.474773623767586</v>
      </c>
      <c r="AH159" s="20">
        <f>Table9[[#This Row],[RTH(nom) (kΩ)]]*RT2_TH_S/(RT2_TH_S+Table9[[#This Row],[RTH(nom) (kΩ)]])</f>
        <v>30.505278902670256</v>
      </c>
      <c r="AI159" s="20">
        <f>Table9[[#This Row],[RTH(max) (kΩ)]]*RT2_TH_S_MAX/(RT2_TH_S_MAX+Table9[[#This Row],[RTH(max) (kΩ)]])</f>
        <v>30.535784181572922</v>
      </c>
      <c r="AJ159" s="20">
        <f>Table9[[#This Row],[RLower(min) (kΩ)]]/(Table9[[#This Row],[RLower(min) (kΩ)]]+RT1_TH_S_MAX)*100</f>
        <v>85.332443462432792</v>
      </c>
      <c r="AK159" s="20">
        <f>Table9[[#This Row],[RLower(nom) (kΩ)]]/(Table9[[#This Row],[RLower(nom) (kΩ)]]+RT1_TH_S)*100</f>
        <v>85.357458154608338</v>
      </c>
      <c r="AL159" s="20">
        <f>Table9[[#This Row],[RLower(max) (kΩ)]]/(Table9[[#This Row],[RLower(max) (kΩ)]]+RT1_TH_S_MIN)*100</f>
        <v>85.382437493546604</v>
      </c>
      <c r="AM159" s="20">
        <f>IF(Table9[[#This Row],[Vmin (%)]]&lt;$BA$14, 0, IF(Table9[[#This Row],[Vmin (%)]]&lt;$BA$12, 4, IF(Table9[[#This Row],[Vmin (%)]]&lt;$BA$9, 3, IF(Table9[[#This Row],[Vmin (%)]]&lt;$BA$7, 2, 0))))</f>
        <v>0</v>
      </c>
      <c r="AN159" s="20">
        <f>IF(Table9[[#This Row],[Vmin (%)]]&lt;$BA$13, 0, IF(Table9[[#This Row],[Vmin (%)]]&lt;$BA$11, 4, IF(Table9[[#This Row],[Vmin (%)]]&lt;$BA$10, 3, IF(Table9[[#This Row],[Vmin (%)]]&lt;$BA$8, 2, 0))))</f>
        <v>0</v>
      </c>
      <c r="AO159" s="76" t="str">
        <f>IF(Table9[[#This Row],[Vmin (%)]]&lt;$BA$14, "Hot", IF(Table9[[#This Row],[Vmin (%)]]&lt;$BA$12, "Warm", IF(Table9[[#This Row],[Vmin (%)]]&lt;$BA$9, "Normal", IF(Table9[[#This Row],[Vmin (%)]]&lt;$BA$7, "Cool", "Cold"))))</f>
        <v>Cold</v>
      </c>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c r="FJ159" s="19"/>
      <c r="FK159" s="19"/>
      <c r="FL159" s="19"/>
      <c r="FM159" s="19"/>
      <c r="FN159" s="19"/>
      <c r="FO159" s="19"/>
      <c r="FP159" s="19"/>
      <c r="FQ159" s="19"/>
      <c r="FR159" s="19"/>
      <c r="FS159" s="19"/>
      <c r="FT159" s="19"/>
      <c r="FU159" s="19"/>
      <c r="FV159" s="19"/>
      <c r="FW159" s="19"/>
      <c r="FX159" s="19"/>
      <c r="FY159" s="19"/>
      <c r="FZ159" s="19"/>
      <c r="GA159" s="19"/>
      <c r="GB159" s="19"/>
      <c r="GC159" s="19"/>
      <c r="GD159" s="19"/>
      <c r="GE159" s="19"/>
      <c r="GF159" s="19"/>
      <c r="GG159" s="19"/>
      <c r="GH159" s="19"/>
      <c r="GI159" s="19"/>
      <c r="GJ159" s="19"/>
      <c r="GK159" s="19"/>
      <c r="GL159" s="19"/>
      <c r="GM159" s="19"/>
      <c r="GN159" s="19"/>
      <c r="GO159" s="19"/>
      <c r="GP159" s="19"/>
      <c r="GQ159" s="19"/>
      <c r="GR159" s="19"/>
      <c r="GS159" s="19"/>
      <c r="GT159" s="19"/>
      <c r="GU159" s="19"/>
      <c r="GV159" s="19"/>
      <c r="GW159" s="19"/>
      <c r="GX159" s="19"/>
      <c r="GY159" s="19"/>
      <c r="GZ159" s="19"/>
      <c r="HA159" s="19"/>
      <c r="HB159" s="19"/>
    </row>
    <row r="160" spans="1:210" hidden="1" x14ac:dyDescent="0.2">
      <c r="A160" s="113">
        <f t="shared" si="30"/>
        <v>-30</v>
      </c>
      <c r="B160" s="163"/>
      <c r="C160" s="172" t="str">
        <f t="shared" si="25"/>
        <v>RTH at -30 °C</v>
      </c>
      <c r="D160" s="196">
        <f t="shared" si="19"/>
        <v>3.3833333333333333</v>
      </c>
      <c r="E160" s="207">
        <v>9.9999999999999997E+98</v>
      </c>
      <c r="F160" s="208">
        <v>9.9999999999999997E+98</v>
      </c>
      <c r="G160" s="209">
        <v>9.9999999999999997E+98</v>
      </c>
      <c r="H160" s="128" t="s">
        <v>30</v>
      </c>
      <c r="I160" s="29"/>
      <c r="J160" s="29">
        <v>115.2</v>
      </c>
      <c r="K160" s="29">
        <v>111.3</v>
      </c>
      <c r="L160" s="29">
        <v>107.5</v>
      </c>
      <c r="M160" s="29"/>
      <c r="N160" s="29"/>
      <c r="O160" s="29"/>
      <c r="P160" s="29"/>
      <c r="Q160" s="29"/>
      <c r="R160" s="29"/>
      <c r="S160" s="29"/>
      <c r="T160" s="29"/>
      <c r="U160" s="29"/>
      <c r="V160" s="29"/>
      <c r="W160" s="29"/>
      <c r="X160" s="29"/>
      <c r="Y160" s="30"/>
      <c r="Z160" s="18"/>
      <c r="AA160" s="19"/>
      <c r="AB160" s="19"/>
      <c r="AC160" s="20">
        <f t="shared" si="26"/>
        <v>-30</v>
      </c>
      <c r="AD160" s="20">
        <f t="shared" si="27"/>
        <v>9.9999999999999997E+98</v>
      </c>
      <c r="AE160" s="20">
        <f t="shared" si="28"/>
        <v>9.9999999999999997E+98</v>
      </c>
      <c r="AF160" s="20">
        <f t="shared" si="29"/>
        <v>9.9999999999999997E+98</v>
      </c>
      <c r="AG160" s="20">
        <f>Table9[[#This Row],[RTH(min) (kΩ)]]*RT2_TH_MIN/(RT2_TH_MIN+Table9[[#This Row],[RTH(min) (kΩ)]])</f>
        <v>30.474773623767586</v>
      </c>
      <c r="AH160" s="20">
        <f>Table9[[#This Row],[RTH(nom) (kΩ)]]*RT2_TH_S/(RT2_TH_S+Table9[[#This Row],[RTH(nom) (kΩ)]])</f>
        <v>30.505278902670256</v>
      </c>
      <c r="AI160" s="20">
        <f>Table9[[#This Row],[RTH(max) (kΩ)]]*RT2_TH_S_MAX/(RT2_TH_S_MAX+Table9[[#This Row],[RTH(max) (kΩ)]])</f>
        <v>30.535784181572922</v>
      </c>
      <c r="AJ160" s="20">
        <f>Table9[[#This Row],[RLower(min) (kΩ)]]/(Table9[[#This Row],[RLower(min) (kΩ)]]+RT1_TH_S_MAX)*100</f>
        <v>85.332443462432792</v>
      </c>
      <c r="AK160" s="20">
        <f>Table9[[#This Row],[RLower(nom) (kΩ)]]/(Table9[[#This Row],[RLower(nom) (kΩ)]]+RT1_TH_S)*100</f>
        <v>85.357458154608338</v>
      </c>
      <c r="AL160" s="20">
        <f>Table9[[#This Row],[RLower(max) (kΩ)]]/(Table9[[#This Row],[RLower(max) (kΩ)]]+RT1_TH_S_MIN)*100</f>
        <v>85.382437493546604</v>
      </c>
      <c r="AM160" s="20">
        <f>IF(Table9[[#This Row],[Vmin (%)]]&lt;$BA$14, 0, IF(Table9[[#This Row],[Vmin (%)]]&lt;$BA$12, 4, IF(Table9[[#This Row],[Vmin (%)]]&lt;$BA$9, 3, IF(Table9[[#This Row],[Vmin (%)]]&lt;$BA$7, 2, 0))))</f>
        <v>0</v>
      </c>
      <c r="AN160" s="20">
        <f>IF(Table9[[#This Row],[Vmin (%)]]&lt;$BA$13, 0, IF(Table9[[#This Row],[Vmin (%)]]&lt;$BA$11, 4, IF(Table9[[#This Row],[Vmin (%)]]&lt;$BA$10, 3, IF(Table9[[#This Row],[Vmin (%)]]&lt;$BA$8, 2, 0))))</f>
        <v>0</v>
      </c>
      <c r="AO160" s="76" t="str">
        <f>IF(Table9[[#This Row],[Vmin (%)]]&lt;$BA$14, "Hot", IF(Table9[[#This Row],[Vmin (%)]]&lt;$BA$12, "Warm", IF(Table9[[#This Row],[Vmin (%)]]&lt;$BA$9, "Normal", IF(Table9[[#This Row],[Vmin (%)]]&lt;$BA$7, "Cool", "Cold"))))</f>
        <v>Cold</v>
      </c>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c r="FZ160" s="19"/>
      <c r="GA160" s="19"/>
      <c r="GB160" s="19"/>
      <c r="GC160" s="19"/>
      <c r="GD160" s="19"/>
      <c r="GE160" s="19"/>
      <c r="GF160" s="19"/>
      <c r="GG160" s="19"/>
      <c r="GH160" s="19"/>
      <c r="GI160" s="19"/>
      <c r="GJ160" s="19"/>
      <c r="GK160" s="19"/>
      <c r="GL160" s="19"/>
      <c r="GM160" s="19"/>
      <c r="GN160" s="19"/>
      <c r="GO160" s="19"/>
      <c r="GP160" s="19"/>
      <c r="GQ160" s="19"/>
      <c r="GR160" s="19"/>
      <c r="GS160" s="19"/>
      <c r="GT160" s="19"/>
      <c r="GU160" s="19"/>
      <c r="GV160" s="19"/>
      <c r="GW160" s="19"/>
      <c r="GX160" s="19"/>
      <c r="GY160" s="19"/>
      <c r="GZ160" s="19"/>
      <c r="HA160" s="19"/>
      <c r="HB160" s="19"/>
    </row>
    <row r="161" spans="1:210" hidden="1" x14ac:dyDescent="0.2">
      <c r="A161" s="113">
        <f t="shared" si="30"/>
        <v>-31</v>
      </c>
      <c r="B161" s="163"/>
      <c r="C161" s="172" t="str">
        <f t="shared" si="25"/>
        <v>RTH at -31 °C</v>
      </c>
      <c r="D161" s="196">
        <f t="shared" si="19"/>
        <v>3.4266666666666667</v>
      </c>
      <c r="E161" s="207">
        <v>9.9999999999999997E+98</v>
      </c>
      <c r="F161" s="208">
        <v>9.9999999999999997E+98</v>
      </c>
      <c r="G161" s="209">
        <v>9.9999999999999997E+98</v>
      </c>
      <c r="H161" s="128" t="s">
        <v>30</v>
      </c>
      <c r="I161" s="29"/>
      <c r="J161" s="29">
        <v>121.2</v>
      </c>
      <c r="K161" s="29">
        <v>117.1</v>
      </c>
      <c r="L161" s="29">
        <v>113.1</v>
      </c>
      <c r="M161" s="29"/>
      <c r="N161" s="29"/>
      <c r="O161" s="29"/>
      <c r="P161" s="29"/>
      <c r="Q161" s="29"/>
      <c r="R161" s="29"/>
      <c r="S161" s="29"/>
      <c r="T161" s="29"/>
      <c r="U161" s="29"/>
      <c r="V161" s="29"/>
      <c r="W161" s="29"/>
      <c r="X161" s="29"/>
      <c r="Y161" s="30"/>
      <c r="Z161" s="18"/>
      <c r="AA161" s="19"/>
      <c r="AB161" s="19"/>
      <c r="AC161" s="20">
        <f t="shared" si="26"/>
        <v>-31</v>
      </c>
      <c r="AD161" s="20">
        <f t="shared" si="27"/>
        <v>9.9999999999999997E+98</v>
      </c>
      <c r="AE161" s="20">
        <f t="shared" si="28"/>
        <v>9.9999999999999997E+98</v>
      </c>
      <c r="AF161" s="20">
        <f t="shared" si="29"/>
        <v>9.9999999999999997E+98</v>
      </c>
      <c r="AG161" s="20">
        <f>Table9[[#This Row],[RTH(min) (kΩ)]]*RT2_TH_MIN/(RT2_TH_MIN+Table9[[#This Row],[RTH(min) (kΩ)]])</f>
        <v>30.474773623767586</v>
      </c>
      <c r="AH161" s="20">
        <f>Table9[[#This Row],[RTH(nom) (kΩ)]]*RT2_TH_S/(RT2_TH_S+Table9[[#This Row],[RTH(nom) (kΩ)]])</f>
        <v>30.505278902670256</v>
      </c>
      <c r="AI161" s="20">
        <f>Table9[[#This Row],[RTH(max) (kΩ)]]*RT2_TH_S_MAX/(RT2_TH_S_MAX+Table9[[#This Row],[RTH(max) (kΩ)]])</f>
        <v>30.535784181572922</v>
      </c>
      <c r="AJ161" s="20">
        <f>Table9[[#This Row],[RLower(min) (kΩ)]]/(Table9[[#This Row],[RLower(min) (kΩ)]]+RT1_TH_S_MAX)*100</f>
        <v>85.332443462432792</v>
      </c>
      <c r="AK161" s="20">
        <f>Table9[[#This Row],[RLower(nom) (kΩ)]]/(Table9[[#This Row],[RLower(nom) (kΩ)]]+RT1_TH_S)*100</f>
        <v>85.357458154608338</v>
      </c>
      <c r="AL161" s="20">
        <f>Table9[[#This Row],[RLower(max) (kΩ)]]/(Table9[[#This Row],[RLower(max) (kΩ)]]+RT1_TH_S_MIN)*100</f>
        <v>85.382437493546604</v>
      </c>
      <c r="AM161" s="20">
        <f>IF(Table9[[#This Row],[Vmin (%)]]&lt;$BA$14, 0, IF(Table9[[#This Row],[Vmin (%)]]&lt;$BA$12, 4, IF(Table9[[#This Row],[Vmin (%)]]&lt;$BA$9, 3, IF(Table9[[#This Row],[Vmin (%)]]&lt;$BA$7, 2, 0))))</f>
        <v>0</v>
      </c>
      <c r="AN161" s="20">
        <f>IF(Table9[[#This Row],[Vmin (%)]]&lt;$BA$13, 0, IF(Table9[[#This Row],[Vmin (%)]]&lt;$BA$11, 4, IF(Table9[[#This Row],[Vmin (%)]]&lt;$BA$10, 3, IF(Table9[[#This Row],[Vmin (%)]]&lt;$BA$8, 2, 0))))</f>
        <v>0</v>
      </c>
      <c r="AO161" s="76" t="str">
        <f>IF(Table9[[#This Row],[Vmin (%)]]&lt;$BA$14, "Hot", IF(Table9[[#This Row],[Vmin (%)]]&lt;$BA$12, "Warm", IF(Table9[[#This Row],[Vmin (%)]]&lt;$BA$9, "Normal", IF(Table9[[#This Row],[Vmin (%)]]&lt;$BA$7, "Cool", "Cold"))))</f>
        <v>Cold</v>
      </c>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c r="FJ161" s="19"/>
      <c r="FK161" s="19"/>
      <c r="FL161" s="19"/>
      <c r="FM161" s="19"/>
      <c r="FN161" s="19"/>
      <c r="FO161" s="19"/>
      <c r="FP161" s="19"/>
      <c r="FQ161" s="19"/>
      <c r="FR161" s="19"/>
      <c r="FS161" s="19"/>
      <c r="FT161" s="19"/>
      <c r="FU161" s="19"/>
      <c r="FV161" s="19"/>
      <c r="FW161" s="19"/>
      <c r="FX161" s="19"/>
      <c r="FY161" s="19"/>
      <c r="FZ161" s="19"/>
      <c r="GA161" s="19"/>
      <c r="GB161" s="19"/>
      <c r="GC161" s="19"/>
      <c r="GD161" s="19"/>
      <c r="GE161" s="19"/>
      <c r="GF161" s="19"/>
      <c r="GG161" s="19"/>
      <c r="GH161" s="19"/>
      <c r="GI161" s="19"/>
      <c r="GJ161" s="19"/>
      <c r="GK161" s="19"/>
      <c r="GL161" s="19"/>
      <c r="GM161" s="19"/>
      <c r="GN161" s="19"/>
      <c r="GO161" s="19"/>
      <c r="GP161" s="19"/>
      <c r="GQ161" s="19"/>
      <c r="GR161" s="19"/>
      <c r="GS161" s="19"/>
      <c r="GT161" s="19"/>
      <c r="GU161" s="19"/>
      <c r="GV161" s="19"/>
      <c r="GW161" s="19"/>
      <c r="GX161" s="19"/>
      <c r="GY161" s="19"/>
      <c r="GZ161" s="19"/>
      <c r="HA161" s="19"/>
      <c r="HB161" s="19"/>
    </row>
    <row r="162" spans="1:210" hidden="1" x14ac:dyDescent="0.2">
      <c r="A162" s="113">
        <f t="shared" si="30"/>
        <v>-32</v>
      </c>
      <c r="B162" s="163"/>
      <c r="C162" s="172" t="str">
        <f t="shared" si="25"/>
        <v>RTH at -32 °C</v>
      </c>
      <c r="D162" s="196">
        <f t="shared" si="19"/>
        <v>3.47</v>
      </c>
      <c r="E162" s="207">
        <v>9.9999999999999997E+98</v>
      </c>
      <c r="F162" s="208">
        <v>9.9999999999999997E+98</v>
      </c>
      <c r="G162" s="209">
        <v>9.9999999999999997E+98</v>
      </c>
      <c r="H162" s="128" t="s">
        <v>30</v>
      </c>
      <c r="I162" s="29"/>
      <c r="J162" s="29">
        <v>127.7</v>
      </c>
      <c r="K162" s="29">
        <v>123.3</v>
      </c>
      <c r="L162" s="29">
        <v>119</v>
      </c>
      <c r="M162" s="29"/>
      <c r="N162" s="29"/>
      <c r="O162" s="29"/>
      <c r="P162" s="29"/>
      <c r="Q162" s="29"/>
      <c r="R162" s="29"/>
      <c r="S162" s="29"/>
      <c r="T162" s="29"/>
      <c r="U162" s="29"/>
      <c r="V162" s="29"/>
      <c r="W162" s="29"/>
      <c r="X162" s="29"/>
      <c r="Y162" s="30"/>
      <c r="Z162" s="18"/>
      <c r="AA162" s="19"/>
      <c r="AB162" s="19"/>
      <c r="AC162" s="20">
        <f t="shared" si="26"/>
        <v>-32</v>
      </c>
      <c r="AD162" s="20">
        <f t="shared" si="27"/>
        <v>9.9999999999999997E+98</v>
      </c>
      <c r="AE162" s="20">
        <f t="shared" si="28"/>
        <v>9.9999999999999997E+98</v>
      </c>
      <c r="AF162" s="20">
        <f t="shared" si="29"/>
        <v>9.9999999999999997E+98</v>
      </c>
      <c r="AG162" s="20">
        <f>Table9[[#This Row],[RTH(min) (kΩ)]]*RT2_TH_MIN/(RT2_TH_MIN+Table9[[#This Row],[RTH(min) (kΩ)]])</f>
        <v>30.474773623767586</v>
      </c>
      <c r="AH162" s="20">
        <f>Table9[[#This Row],[RTH(nom) (kΩ)]]*RT2_TH_S/(RT2_TH_S+Table9[[#This Row],[RTH(nom) (kΩ)]])</f>
        <v>30.505278902670256</v>
      </c>
      <c r="AI162" s="20">
        <f>Table9[[#This Row],[RTH(max) (kΩ)]]*RT2_TH_S_MAX/(RT2_TH_S_MAX+Table9[[#This Row],[RTH(max) (kΩ)]])</f>
        <v>30.535784181572922</v>
      </c>
      <c r="AJ162" s="20">
        <f>Table9[[#This Row],[RLower(min) (kΩ)]]/(Table9[[#This Row],[RLower(min) (kΩ)]]+RT1_TH_S_MAX)*100</f>
        <v>85.332443462432792</v>
      </c>
      <c r="AK162" s="20">
        <f>Table9[[#This Row],[RLower(nom) (kΩ)]]/(Table9[[#This Row],[RLower(nom) (kΩ)]]+RT1_TH_S)*100</f>
        <v>85.357458154608338</v>
      </c>
      <c r="AL162" s="20">
        <f>Table9[[#This Row],[RLower(max) (kΩ)]]/(Table9[[#This Row],[RLower(max) (kΩ)]]+RT1_TH_S_MIN)*100</f>
        <v>85.382437493546604</v>
      </c>
      <c r="AM162" s="20">
        <f>IF(Table9[[#This Row],[Vmin (%)]]&lt;$BA$14, 0, IF(Table9[[#This Row],[Vmin (%)]]&lt;$BA$12, 4, IF(Table9[[#This Row],[Vmin (%)]]&lt;$BA$9, 3, IF(Table9[[#This Row],[Vmin (%)]]&lt;$BA$7, 2, 0))))</f>
        <v>0</v>
      </c>
      <c r="AN162" s="20">
        <f>IF(Table9[[#This Row],[Vmin (%)]]&lt;$BA$13, 0, IF(Table9[[#This Row],[Vmin (%)]]&lt;$BA$11, 4, IF(Table9[[#This Row],[Vmin (%)]]&lt;$BA$10, 3, IF(Table9[[#This Row],[Vmin (%)]]&lt;$BA$8, 2, 0))))</f>
        <v>0</v>
      </c>
      <c r="AO162" s="76" t="str">
        <f>IF(Table9[[#This Row],[Vmin (%)]]&lt;$BA$14, "Hot", IF(Table9[[#This Row],[Vmin (%)]]&lt;$BA$12, "Warm", IF(Table9[[#This Row],[Vmin (%)]]&lt;$BA$9, "Normal", IF(Table9[[#This Row],[Vmin (%)]]&lt;$BA$7, "Cool", "Cold"))))</f>
        <v>Cold</v>
      </c>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c r="FJ162" s="19"/>
      <c r="FK162" s="19"/>
      <c r="FL162" s="19"/>
      <c r="FM162" s="19"/>
      <c r="FN162" s="19"/>
      <c r="FO162" s="19"/>
      <c r="FP162" s="19"/>
      <c r="FQ162" s="19"/>
      <c r="FR162" s="19"/>
      <c r="FS162" s="19"/>
      <c r="FT162" s="19"/>
      <c r="FU162" s="19"/>
      <c r="FV162" s="19"/>
      <c r="FW162" s="19"/>
      <c r="FX162" s="19"/>
      <c r="FY162" s="19"/>
      <c r="FZ162" s="19"/>
      <c r="GA162" s="19"/>
      <c r="GB162" s="19"/>
      <c r="GC162" s="19"/>
      <c r="GD162" s="19"/>
      <c r="GE162" s="19"/>
      <c r="GF162" s="19"/>
      <c r="GG162" s="19"/>
      <c r="GH162" s="19"/>
      <c r="GI162" s="19"/>
      <c r="GJ162" s="19"/>
      <c r="GK162" s="19"/>
      <c r="GL162" s="19"/>
      <c r="GM162" s="19"/>
      <c r="GN162" s="19"/>
      <c r="GO162" s="19"/>
      <c r="GP162" s="19"/>
      <c r="GQ162" s="19"/>
      <c r="GR162" s="19"/>
      <c r="GS162" s="19"/>
      <c r="GT162" s="19"/>
      <c r="GU162" s="19"/>
      <c r="GV162" s="19"/>
      <c r="GW162" s="19"/>
      <c r="GX162" s="19"/>
      <c r="GY162" s="19"/>
      <c r="GZ162" s="19"/>
      <c r="HA162" s="19"/>
      <c r="HB162" s="19"/>
    </row>
    <row r="163" spans="1:210" hidden="1" x14ac:dyDescent="0.2">
      <c r="A163" s="113">
        <f t="shared" si="30"/>
        <v>-33</v>
      </c>
      <c r="B163" s="163"/>
      <c r="C163" s="172" t="str">
        <f t="shared" si="25"/>
        <v>RTH at -33 °C</v>
      </c>
      <c r="D163" s="196">
        <f t="shared" si="19"/>
        <v>3.5133333333333332</v>
      </c>
      <c r="E163" s="207">
        <v>9.9999999999999997E+98</v>
      </c>
      <c r="F163" s="208">
        <v>9.9999999999999997E+98</v>
      </c>
      <c r="G163" s="209">
        <v>9.9999999999999997E+98</v>
      </c>
      <c r="H163" s="128" t="s">
        <v>30</v>
      </c>
      <c r="I163" s="29"/>
      <c r="J163" s="29">
        <v>134.5</v>
      </c>
      <c r="K163" s="29">
        <v>129.80000000000001</v>
      </c>
      <c r="L163" s="29">
        <v>125.2</v>
      </c>
      <c r="M163" s="29"/>
      <c r="N163" s="29"/>
      <c r="O163" s="29"/>
      <c r="P163" s="29"/>
      <c r="Q163" s="29"/>
      <c r="R163" s="29"/>
      <c r="S163" s="29"/>
      <c r="T163" s="29"/>
      <c r="U163" s="29"/>
      <c r="V163" s="29"/>
      <c r="W163" s="29"/>
      <c r="X163" s="29"/>
      <c r="Y163" s="30"/>
      <c r="Z163" s="18"/>
      <c r="AA163" s="19"/>
      <c r="AB163" s="19"/>
      <c r="AC163" s="20">
        <f t="shared" si="26"/>
        <v>-33</v>
      </c>
      <c r="AD163" s="20">
        <f t="shared" si="27"/>
        <v>9.9999999999999997E+98</v>
      </c>
      <c r="AE163" s="20">
        <f t="shared" si="28"/>
        <v>9.9999999999999997E+98</v>
      </c>
      <c r="AF163" s="20">
        <f t="shared" si="29"/>
        <v>9.9999999999999997E+98</v>
      </c>
      <c r="AG163" s="20">
        <f>Table9[[#This Row],[RTH(min) (kΩ)]]*RT2_TH_MIN/(RT2_TH_MIN+Table9[[#This Row],[RTH(min) (kΩ)]])</f>
        <v>30.474773623767586</v>
      </c>
      <c r="AH163" s="20">
        <f>Table9[[#This Row],[RTH(nom) (kΩ)]]*RT2_TH_S/(RT2_TH_S+Table9[[#This Row],[RTH(nom) (kΩ)]])</f>
        <v>30.505278902670256</v>
      </c>
      <c r="AI163" s="20">
        <f>Table9[[#This Row],[RTH(max) (kΩ)]]*RT2_TH_S_MAX/(RT2_TH_S_MAX+Table9[[#This Row],[RTH(max) (kΩ)]])</f>
        <v>30.535784181572922</v>
      </c>
      <c r="AJ163" s="20">
        <f>Table9[[#This Row],[RLower(min) (kΩ)]]/(Table9[[#This Row],[RLower(min) (kΩ)]]+RT1_TH_S_MAX)*100</f>
        <v>85.332443462432792</v>
      </c>
      <c r="AK163" s="20">
        <f>Table9[[#This Row],[RLower(nom) (kΩ)]]/(Table9[[#This Row],[RLower(nom) (kΩ)]]+RT1_TH_S)*100</f>
        <v>85.357458154608338</v>
      </c>
      <c r="AL163" s="20">
        <f>Table9[[#This Row],[RLower(max) (kΩ)]]/(Table9[[#This Row],[RLower(max) (kΩ)]]+RT1_TH_S_MIN)*100</f>
        <v>85.382437493546604</v>
      </c>
      <c r="AM163" s="20">
        <f>IF(Table9[[#This Row],[Vmin (%)]]&lt;$BA$14, 0, IF(Table9[[#This Row],[Vmin (%)]]&lt;$BA$12, 4, IF(Table9[[#This Row],[Vmin (%)]]&lt;$BA$9, 3, IF(Table9[[#This Row],[Vmin (%)]]&lt;$BA$7, 2, 0))))</f>
        <v>0</v>
      </c>
      <c r="AN163" s="20">
        <f>IF(Table9[[#This Row],[Vmin (%)]]&lt;$BA$13, 0, IF(Table9[[#This Row],[Vmin (%)]]&lt;$BA$11, 4, IF(Table9[[#This Row],[Vmin (%)]]&lt;$BA$10, 3, IF(Table9[[#This Row],[Vmin (%)]]&lt;$BA$8, 2, 0))))</f>
        <v>0</v>
      </c>
      <c r="AO163" s="76" t="str">
        <f>IF(Table9[[#This Row],[Vmin (%)]]&lt;$BA$14, "Hot", IF(Table9[[#This Row],[Vmin (%)]]&lt;$BA$12, "Warm", IF(Table9[[#This Row],[Vmin (%)]]&lt;$BA$9, "Normal", IF(Table9[[#This Row],[Vmin (%)]]&lt;$BA$7, "Cool", "Cold"))))</f>
        <v>Cold</v>
      </c>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c r="FJ163" s="19"/>
      <c r="FK163" s="19"/>
      <c r="FL163" s="19"/>
      <c r="FM163" s="19"/>
      <c r="FN163" s="19"/>
      <c r="FO163" s="19"/>
      <c r="FP163" s="19"/>
      <c r="FQ163" s="19"/>
      <c r="FR163" s="19"/>
      <c r="FS163" s="19"/>
      <c r="FT163" s="19"/>
      <c r="FU163" s="19"/>
      <c r="FV163" s="19"/>
      <c r="FW163" s="19"/>
      <c r="FX163" s="19"/>
      <c r="FY163" s="19"/>
      <c r="FZ163" s="19"/>
      <c r="GA163" s="19"/>
      <c r="GB163" s="19"/>
      <c r="GC163" s="19"/>
      <c r="GD163" s="19"/>
      <c r="GE163" s="19"/>
      <c r="GF163" s="19"/>
      <c r="GG163" s="19"/>
      <c r="GH163" s="19"/>
      <c r="GI163" s="19"/>
      <c r="GJ163" s="19"/>
      <c r="GK163" s="19"/>
      <c r="GL163" s="19"/>
      <c r="GM163" s="19"/>
      <c r="GN163" s="19"/>
      <c r="GO163" s="19"/>
      <c r="GP163" s="19"/>
      <c r="GQ163" s="19"/>
      <c r="GR163" s="19"/>
      <c r="GS163" s="19"/>
      <c r="GT163" s="19"/>
      <c r="GU163" s="19"/>
      <c r="GV163" s="19"/>
      <c r="GW163" s="19"/>
      <c r="GX163" s="19"/>
      <c r="GY163" s="19"/>
      <c r="GZ163" s="19"/>
      <c r="HA163" s="19"/>
      <c r="HB163" s="19"/>
    </row>
    <row r="164" spans="1:210" hidden="1" x14ac:dyDescent="0.2">
      <c r="A164" s="113">
        <f t="shared" si="30"/>
        <v>-34</v>
      </c>
      <c r="B164" s="163"/>
      <c r="C164" s="172" t="str">
        <f t="shared" si="25"/>
        <v>RTH at -34 °C</v>
      </c>
      <c r="D164" s="196">
        <f t="shared" si="19"/>
        <v>3.5566666666666666</v>
      </c>
      <c r="E164" s="207">
        <v>9.9999999999999997E+98</v>
      </c>
      <c r="F164" s="208">
        <v>9.9999999999999997E+98</v>
      </c>
      <c r="G164" s="209">
        <v>9.9999999999999997E+98</v>
      </c>
      <c r="H164" s="128" t="s">
        <v>30</v>
      </c>
      <c r="I164" s="29"/>
      <c r="J164" s="29">
        <v>141.69999999999999</v>
      </c>
      <c r="K164" s="29">
        <v>136.69999999999999</v>
      </c>
      <c r="L164" s="29">
        <v>131.80000000000001</v>
      </c>
      <c r="M164" s="29"/>
      <c r="N164" s="29"/>
      <c r="O164" s="29"/>
      <c r="P164" s="29"/>
      <c r="Q164" s="29"/>
      <c r="R164" s="29"/>
      <c r="S164" s="29"/>
      <c r="T164" s="29"/>
      <c r="U164" s="29"/>
      <c r="V164" s="29"/>
      <c r="W164" s="29"/>
      <c r="X164" s="29"/>
      <c r="Y164" s="30"/>
      <c r="Z164" s="18"/>
      <c r="AA164" s="19"/>
      <c r="AB164" s="19"/>
      <c r="AC164" s="20">
        <f t="shared" si="26"/>
        <v>-34</v>
      </c>
      <c r="AD164" s="20">
        <f t="shared" si="27"/>
        <v>9.9999999999999997E+98</v>
      </c>
      <c r="AE164" s="20">
        <f t="shared" si="28"/>
        <v>9.9999999999999997E+98</v>
      </c>
      <c r="AF164" s="20">
        <f t="shared" si="29"/>
        <v>9.9999999999999997E+98</v>
      </c>
      <c r="AG164" s="20">
        <f>Table9[[#This Row],[RTH(min) (kΩ)]]*RT2_TH_MIN/(RT2_TH_MIN+Table9[[#This Row],[RTH(min) (kΩ)]])</f>
        <v>30.474773623767586</v>
      </c>
      <c r="AH164" s="20">
        <f>Table9[[#This Row],[RTH(nom) (kΩ)]]*RT2_TH_S/(RT2_TH_S+Table9[[#This Row],[RTH(nom) (kΩ)]])</f>
        <v>30.505278902670256</v>
      </c>
      <c r="AI164" s="20">
        <f>Table9[[#This Row],[RTH(max) (kΩ)]]*RT2_TH_S_MAX/(RT2_TH_S_MAX+Table9[[#This Row],[RTH(max) (kΩ)]])</f>
        <v>30.535784181572922</v>
      </c>
      <c r="AJ164" s="20">
        <f>Table9[[#This Row],[RLower(min) (kΩ)]]/(Table9[[#This Row],[RLower(min) (kΩ)]]+RT1_TH_S_MAX)*100</f>
        <v>85.332443462432792</v>
      </c>
      <c r="AK164" s="20">
        <f>Table9[[#This Row],[RLower(nom) (kΩ)]]/(Table9[[#This Row],[RLower(nom) (kΩ)]]+RT1_TH_S)*100</f>
        <v>85.357458154608338</v>
      </c>
      <c r="AL164" s="20">
        <f>Table9[[#This Row],[RLower(max) (kΩ)]]/(Table9[[#This Row],[RLower(max) (kΩ)]]+RT1_TH_S_MIN)*100</f>
        <v>85.382437493546604</v>
      </c>
      <c r="AM164" s="20">
        <f>IF(Table9[[#This Row],[Vmin (%)]]&lt;$BA$14, 0, IF(Table9[[#This Row],[Vmin (%)]]&lt;$BA$12, 4, IF(Table9[[#This Row],[Vmin (%)]]&lt;$BA$9, 3, IF(Table9[[#This Row],[Vmin (%)]]&lt;$BA$7, 2, 0))))</f>
        <v>0</v>
      </c>
      <c r="AN164" s="20">
        <f>IF(Table9[[#This Row],[Vmin (%)]]&lt;$BA$13, 0, IF(Table9[[#This Row],[Vmin (%)]]&lt;$BA$11, 4, IF(Table9[[#This Row],[Vmin (%)]]&lt;$BA$10, 3, IF(Table9[[#This Row],[Vmin (%)]]&lt;$BA$8, 2, 0))))</f>
        <v>0</v>
      </c>
      <c r="AO164" s="76" t="str">
        <f>IF(Table9[[#This Row],[Vmin (%)]]&lt;$BA$14, "Hot", IF(Table9[[#This Row],[Vmin (%)]]&lt;$BA$12, "Warm", IF(Table9[[#This Row],[Vmin (%)]]&lt;$BA$9, "Normal", IF(Table9[[#This Row],[Vmin (%)]]&lt;$BA$7, "Cool", "Cold"))))</f>
        <v>Cold</v>
      </c>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c r="FZ164" s="19"/>
      <c r="GA164" s="19"/>
      <c r="GB164" s="19"/>
      <c r="GC164" s="19"/>
      <c r="GD164" s="19"/>
      <c r="GE164" s="19"/>
      <c r="GF164" s="19"/>
      <c r="GG164" s="19"/>
      <c r="GH164" s="19"/>
      <c r="GI164" s="19"/>
      <c r="GJ164" s="19"/>
      <c r="GK164" s="19"/>
      <c r="GL164" s="19"/>
      <c r="GM164" s="19"/>
      <c r="GN164" s="19"/>
      <c r="GO164" s="19"/>
      <c r="GP164" s="19"/>
      <c r="GQ164" s="19"/>
      <c r="GR164" s="19"/>
      <c r="GS164" s="19"/>
      <c r="GT164" s="19"/>
      <c r="GU164" s="19"/>
      <c r="GV164" s="19"/>
      <c r="GW164" s="19"/>
      <c r="GX164" s="19"/>
      <c r="GY164" s="19"/>
      <c r="GZ164" s="19"/>
      <c r="HA164" s="19"/>
      <c r="HB164" s="19"/>
    </row>
    <row r="165" spans="1:210" hidden="1" x14ac:dyDescent="0.2">
      <c r="A165" s="113">
        <f t="shared" si="30"/>
        <v>-35</v>
      </c>
      <c r="B165" s="163"/>
      <c r="C165" s="172" t="str">
        <f t="shared" si="25"/>
        <v>RTH at -35 °C</v>
      </c>
      <c r="D165" s="196">
        <f t="shared" si="19"/>
        <v>3.6</v>
      </c>
      <c r="E165" s="207">
        <v>9.9999999999999997E+98</v>
      </c>
      <c r="F165" s="208">
        <v>9.9999999999999997E+98</v>
      </c>
      <c r="G165" s="209">
        <v>9.9999999999999997E+98</v>
      </c>
      <c r="H165" s="128" t="s">
        <v>30</v>
      </c>
      <c r="I165" s="29"/>
      <c r="J165" s="29">
        <v>149.4</v>
      </c>
      <c r="K165" s="29">
        <v>144.1</v>
      </c>
      <c r="L165" s="29">
        <v>138.80000000000001</v>
      </c>
      <c r="M165" s="29"/>
      <c r="N165" s="29"/>
      <c r="O165" s="29"/>
      <c r="P165" s="29"/>
      <c r="Q165" s="29"/>
      <c r="R165" s="29"/>
      <c r="S165" s="29"/>
      <c r="T165" s="29"/>
      <c r="U165" s="29"/>
      <c r="V165" s="29"/>
      <c r="W165" s="29"/>
      <c r="X165" s="29"/>
      <c r="Y165" s="30"/>
      <c r="Z165" s="18"/>
      <c r="AA165" s="19"/>
      <c r="AB165" s="19"/>
      <c r="AC165" s="20">
        <f t="shared" si="26"/>
        <v>-35</v>
      </c>
      <c r="AD165" s="20">
        <f t="shared" si="27"/>
        <v>9.9999999999999997E+98</v>
      </c>
      <c r="AE165" s="20">
        <f t="shared" si="28"/>
        <v>9.9999999999999997E+98</v>
      </c>
      <c r="AF165" s="20">
        <f t="shared" si="29"/>
        <v>9.9999999999999997E+98</v>
      </c>
      <c r="AG165" s="20">
        <f>Table9[[#This Row],[RTH(min) (kΩ)]]*RT2_TH_MIN/(RT2_TH_MIN+Table9[[#This Row],[RTH(min) (kΩ)]])</f>
        <v>30.474773623767586</v>
      </c>
      <c r="AH165" s="20">
        <f>Table9[[#This Row],[RTH(nom) (kΩ)]]*RT2_TH_S/(RT2_TH_S+Table9[[#This Row],[RTH(nom) (kΩ)]])</f>
        <v>30.505278902670256</v>
      </c>
      <c r="AI165" s="20">
        <f>Table9[[#This Row],[RTH(max) (kΩ)]]*RT2_TH_S_MAX/(RT2_TH_S_MAX+Table9[[#This Row],[RTH(max) (kΩ)]])</f>
        <v>30.535784181572922</v>
      </c>
      <c r="AJ165" s="20">
        <f>Table9[[#This Row],[RLower(min) (kΩ)]]/(Table9[[#This Row],[RLower(min) (kΩ)]]+RT1_TH_S_MAX)*100</f>
        <v>85.332443462432792</v>
      </c>
      <c r="AK165" s="20">
        <f>Table9[[#This Row],[RLower(nom) (kΩ)]]/(Table9[[#This Row],[RLower(nom) (kΩ)]]+RT1_TH_S)*100</f>
        <v>85.357458154608338</v>
      </c>
      <c r="AL165" s="20">
        <f>Table9[[#This Row],[RLower(max) (kΩ)]]/(Table9[[#This Row],[RLower(max) (kΩ)]]+RT1_TH_S_MIN)*100</f>
        <v>85.382437493546604</v>
      </c>
      <c r="AM165" s="20">
        <f>IF(Table9[[#This Row],[Vmin (%)]]&lt;$BA$14, 0, IF(Table9[[#This Row],[Vmin (%)]]&lt;$BA$12, 4, IF(Table9[[#This Row],[Vmin (%)]]&lt;$BA$9, 3, IF(Table9[[#This Row],[Vmin (%)]]&lt;$BA$7, 2, 0))))</f>
        <v>0</v>
      </c>
      <c r="AN165" s="20">
        <f>IF(Table9[[#This Row],[Vmin (%)]]&lt;$BA$13, 0, IF(Table9[[#This Row],[Vmin (%)]]&lt;$BA$11, 4, IF(Table9[[#This Row],[Vmin (%)]]&lt;$BA$10, 3, IF(Table9[[#This Row],[Vmin (%)]]&lt;$BA$8, 2, 0))))</f>
        <v>0</v>
      </c>
      <c r="AO165" s="76" t="str">
        <f>IF(Table9[[#This Row],[Vmin (%)]]&lt;$BA$14, "Hot", IF(Table9[[#This Row],[Vmin (%)]]&lt;$BA$12, "Warm", IF(Table9[[#This Row],[Vmin (%)]]&lt;$BA$9, "Normal", IF(Table9[[#This Row],[Vmin (%)]]&lt;$BA$7, "Cool", "Cold"))))</f>
        <v>Cold</v>
      </c>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c r="FJ165" s="19"/>
      <c r="FK165" s="19"/>
      <c r="FL165" s="19"/>
      <c r="FM165" s="19"/>
      <c r="FN165" s="19"/>
      <c r="FO165" s="19"/>
      <c r="FP165" s="19"/>
      <c r="FQ165" s="19"/>
      <c r="FR165" s="19"/>
      <c r="FS165" s="19"/>
      <c r="FT165" s="19"/>
      <c r="FU165" s="19"/>
      <c r="FV165" s="19"/>
      <c r="FW165" s="19"/>
      <c r="FX165" s="19"/>
      <c r="FY165" s="19"/>
      <c r="FZ165" s="19"/>
      <c r="GA165" s="19"/>
      <c r="GB165" s="19"/>
      <c r="GC165" s="19"/>
      <c r="GD165" s="19"/>
      <c r="GE165" s="19"/>
      <c r="GF165" s="19"/>
      <c r="GG165" s="19"/>
      <c r="GH165" s="19"/>
      <c r="GI165" s="19"/>
      <c r="GJ165" s="19"/>
      <c r="GK165" s="19"/>
      <c r="GL165" s="19"/>
      <c r="GM165" s="19"/>
      <c r="GN165" s="19"/>
      <c r="GO165" s="19"/>
      <c r="GP165" s="19"/>
      <c r="GQ165" s="19"/>
      <c r="GR165" s="19"/>
      <c r="GS165" s="19"/>
      <c r="GT165" s="19"/>
      <c r="GU165" s="19"/>
      <c r="GV165" s="19"/>
      <c r="GW165" s="19"/>
      <c r="GX165" s="19"/>
      <c r="GY165" s="19"/>
      <c r="GZ165" s="19"/>
      <c r="HA165" s="19"/>
      <c r="HB165" s="19"/>
    </row>
    <row r="166" spans="1:210" hidden="1" x14ac:dyDescent="0.2">
      <c r="A166" s="113">
        <f t="shared" si="30"/>
        <v>-36</v>
      </c>
      <c r="B166" s="163"/>
      <c r="C166" s="172" t="str">
        <f t="shared" si="25"/>
        <v>RTH at -36 °C</v>
      </c>
      <c r="D166" s="196">
        <f t="shared" si="19"/>
        <v>3.6433333333333335</v>
      </c>
      <c r="E166" s="207">
        <v>9.9999999999999997E+98</v>
      </c>
      <c r="F166" s="208">
        <v>9.9999999999999997E+98</v>
      </c>
      <c r="G166" s="209">
        <v>9.9999999999999997E+98</v>
      </c>
      <c r="H166" s="128" t="s">
        <v>30</v>
      </c>
      <c r="I166" s="29"/>
      <c r="J166" s="29">
        <v>157.6</v>
      </c>
      <c r="K166" s="29">
        <v>151.9</v>
      </c>
      <c r="L166" s="29">
        <v>146.30000000000001</v>
      </c>
      <c r="M166" s="29"/>
      <c r="N166" s="29"/>
      <c r="O166" s="29"/>
      <c r="P166" s="29"/>
      <c r="Q166" s="29"/>
      <c r="R166" s="29"/>
      <c r="S166" s="29"/>
      <c r="T166" s="29"/>
      <c r="U166" s="29"/>
      <c r="V166" s="29"/>
      <c r="W166" s="29"/>
      <c r="X166" s="29"/>
      <c r="Y166" s="30"/>
      <c r="Z166" s="18"/>
      <c r="AA166" s="19"/>
      <c r="AB166" s="19"/>
      <c r="AC166" s="20">
        <f t="shared" si="26"/>
        <v>-36</v>
      </c>
      <c r="AD166" s="20">
        <f t="shared" si="27"/>
        <v>9.9999999999999997E+98</v>
      </c>
      <c r="AE166" s="20">
        <f t="shared" si="28"/>
        <v>9.9999999999999997E+98</v>
      </c>
      <c r="AF166" s="20">
        <f t="shared" si="29"/>
        <v>9.9999999999999997E+98</v>
      </c>
      <c r="AG166" s="20">
        <f>Table9[[#This Row],[RTH(min) (kΩ)]]*RT2_TH_MIN/(RT2_TH_MIN+Table9[[#This Row],[RTH(min) (kΩ)]])</f>
        <v>30.474773623767586</v>
      </c>
      <c r="AH166" s="20">
        <f>Table9[[#This Row],[RTH(nom) (kΩ)]]*RT2_TH_S/(RT2_TH_S+Table9[[#This Row],[RTH(nom) (kΩ)]])</f>
        <v>30.505278902670256</v>
      </c>
      <c r="AI166" s="20">
        <f>Table9[[#This Row],[RTH(max) (kΩ)]]*RT2_TH_S_MAX/(RT2_TH_S_MAX+Table9[[#This Row],[RTH(max) (kΩ)]])</f>
        <v>30.535784181572922</v>
      </c>
      <c r="AJ166" s="20">
        <f>Table9[[#This Row],[RLower(min) (kΩ)]]/(Table9[[#This Row],[RLower(min) (kΩ)]]+RT1_TH_S_MAX)*100</f>
        <v>85.332443462432792</v>
      </c>
      <c r="AK166" s="20">
        <f>Table9[[#This Row],[RLower(nom) (kΩ)]]/(Table9[[#This Row],[RLower(nom) (kΩ)]]+RT1_TH_S)*100</f>
        <v>85.357458154608338</v>
      </c>
      <c r="AL166" s="20">
        <f>Table9[[#This Row],[RLower(max) (kΩ)]]/(Table9[[#This Row],[RLower(max) (kΩ)]]+RT1_TH_S_MIN)*100</f>
        <v>85.382437493546604</v>
      </c>
      <c r="AM166" s="20">
        <f>IF(Table9[[#This Row],[Vmin (%)]]&lt;$BA$14, 0, IF(Table9[[#This Row],[Vmin (%)]]&lt;$BA$12, 4, IF(Table9[[#This Row],[Vmin (%)]]&lt;$BA$9, 3, IF(Table9[[#This Row],[Vmin (%)]]&lt;$BA$7, 2, 0))))</f>
        <v>0</v>
      </c>
      <c r="AN166" s="20">
        <f>IF(Table9[[#This Row],[Vmin (%)]]&lt;$BA$13, 0, IF(Table9[[#This Row],[Vmin (%)]]&lt;$BA$11, 4, IF(Table9[[#This Row],[Vmin (%)]]&lt;$BA$10, 3, IF(Table9[[#This Row],[Vmin (%)]]&lt;$BA$8, 2, 0))))</f>
        <v>0</v>
      </c>
      <c r="AO166" s="76" t="str">
        <f>IF(Table9[[#This Row],[Vmin (%)]]&lt;$BA$14, "Hot", IF(Table9[[#This Row],[Vmin (%)]]&lt;$BA$12, "Warm", IF(Table9[[#This Row],[Vmin (%)]]&lt;$BA$9, "Normal", IF(Table9[[#This Row],[Vmin (%)]]&lt;$BA$7, "Cool", "Cold"))))</f>
        <v>Cold</v>
      </c>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c r="FJ166" s="19"/>
      <c r="FK166" s="19"/>
      <c r="FL166" s="19"/>
      <c r="FM166" s="19"/>
      <c r="FN166" s="19"/>
      <c r="FO166" s="19"/>
      <c r="FP166" s="19"/>
      <c r="FQ166" s="19"/>
      <c r="FR166" s="19"/>
      <c r="FS166" s="19"/>
      <c r="FT166" s="19"/>
      <c r="FU166" s="19"/>
      <c r="FV166" s="19"/>
      <c r="FW166" s="19"/>
      <c r="FX166" s="19"/>
      <c r="FY166" s="19"/>
      <c r="FZ166" s="19"/>
      <c r="GA166" s="19"/>
      <c r="GB166" s="19"/>
      <c r="GC166" s="19"/>
      <c r="GD166" s="19"/>
      <c r="GE166" s="19"/>
      <c r="GF166" s="19"/>
      <c r="GG166" s="19"/>
      <c r="GH166" s="19"/>
      <c r="GI166" s="19"/>
      <c r="GJ166" s="19"/>
      <c r="GK166" s="19"/>
      <c r="GL166" s="19"/>
      <c r="GM166" s="19"/>
      <c r="GN166" s="19"/>
      <c r="GO166" s="19"/>
      <c r="GP166" s="19"/>
      <c r="GQ166" s="19"/>
      <c r="GR166" s="19"/>
      <c r="GS166" s="19"/>
      <c r="GT166" s="19"/>
      <c r="GU166" s="19"/>
      <c r="GV166" s="19"/>
      <c r="GW166" s="19"/>
      <c r="GX166" s="19"/>
      <c r="GY166" s="19"/>
      <c r="GZ166" s="19"/>
      <c r="HA166" s="19"/>
      <c r="HB166" s="19"/>
    </row>
    <row r="167" spans="1:210" hidden="1" x14ac:dyDescent="0.2">
      <c r="A167" s="113">
        <f t="shared" si="30"/>
        <v>-37</v>
      </c>
      <c r="B167" s="163"/>
      <c r="C167" s="172" t="str">
        <f t="shared" si="25"/>
        <v>RTH at -37 °C</v>
      </c>
      <c r="D167" s="196">
        <f t="shared" si="19"/>
        <v>3.6866666666666665</v>
      </c>
      <c r="E167" s="207">
        <v>9.9999999999999997E+98</v>
      </c>
      <c r="F167" s="208">
        <v>9.9999999999999997E+98</v>
      </c>
      <c r="G167" s="209">
        <v>9.9999999999999997E+98</v>
      </c>
      <c r="H167" s="128" t="s">
        <v>30</v>
      </c>
      <c r="I167" s="29"/>
      <c r="J167" s="29">
        <v>166.3</v>
      </c>
      <c r="K167" s="29">
        <v>160.19999999999999</v>
      </c>
      <c r="L167" s="29">
        <v>154.19999999999999</v>
      </c>
      <c r="M167" s="29"/>
      <c r="N167" s="29"/>
      <c r="O167" s="29"/>
      <c r="P167" s="29"/>
      <c r="Q167" s="29"/>
      <c r="R167" s="29"/>
      <c r="S167" s="29"/>
      <c r="T167" s="29"/>
      <c r="U167" s="29"/>
      <c r="V167" s="29"/>
      <c r="W167" s="29"/>
      <c r="X167" s="29"/>
      <c r="Y167" s="30"/>
      <c r="Z167" s="18"/>
      <c r="AA167" s="19"/>
      <c r="AB167" s="19"/>
      <c r="AC167" s="20">
        <f t="shared" si="26"/>
        <v>-37</v>
      </c>
      <c r="AD167" s="20">
        <f t="shared" si="27"/>
        <v>9.9999999999999997E+98</v>
      </c>
      <c r="AE167" s="20">
        <f t="shared" si="28"/>
        <v>9.9999999999999997E+98</v>
      </c>
      <c r="AF167" s="20">
        <f t="shared" si="29"/>
        <v>9.9999999999999997E+98</v>
      </c>
      <c r="AG167" s="20">
        <f>Table9[[#This Row],[RTH(min) (kΩ)]]*RT2_TH_MIN/(RT2_TH_MIN+Table9[[#This Row],[RTH(min) (kΩ)]])</f>
        <v>30.474773623767586</v>
      </c>
      <c r="AH167" s="20">
        <f>Table9[[#This Row],[RTH(nom) (kΩ)]]*RT2_TH_S/(RT2_TH_S+Table9[[#This Row],[RTH(nom) (kΩ)]])</f>
        <v>30.505278902670256</v>
      </c>
      <c r="AI167" s="20">
        <f>Table9[[#This Row],[RTH(max) (kΩ)]]*RT2_TH_S_MAX/(RT2_TH_S_MAX+Table9[[#This Row],[RTH(max) (kΩ)]])</f>
        <v>30.535784181572922</v>
      </c>
      <c r="AJ167" s="20">
        <f>Table9[[#This Row],[RLower(min) (kΩ)]]/(Table9[[#This Row],[RLower(min) (kΩ)]]+RT1_TH_S_MAX)*100</f>
        <v>85.332443462432792</v>
      </c>
      <c r="AK167" s="20">
        <f>Table9[[#This Row],[RLower(nom) (kΩ)]]/(Table9[[#This Row],[RLower(nom) (kΩ)]]+RT1_TH_S)*100</f>
        <v>85.357458154608338</v>
      </c>
      <c r="AL167" s="20">
        <f>Table9[[#This Row],[RLower(max) (kΩ)]]/(Table9[[#This Row],[RLower(max) (kΩ)]]+RT1_TH_S_MIN)*100</f>
        <v>85.382437493546604</v>
      </c>
      <c r="AM167" s="20">
        <f>IF(Table9[[#This Row],[Vmin (%)]]&lt;$BA$14, 0, IF(Table9[[#This Row],[Vmin (%)]]&lt;$BA$12, 4, IF(Table9[[#This Row],[Vmin (%)]]&lt;$BA$9, 3, IF(Table9[[#This Row],[Vmin (%)]]&lt;$BA$7, 2, 0))))</f>
        <v>0</v>
      </c>
      <c r="AN167" s="20">
        <f>IF(Table9[[#This Row],[Vmin (%)]]&lt;$BA$13, 0, IF(Table9[[#This Row],[Vmin (%)]]&lt;$BA$11, 4, IF(Table9[[#This Row],[Vmin (%)]]&lt;$BA$10, 3, IF(Table9[[#This Row],[Vmin (%)]]&lt;$BA$8, 2, 0))))</f>
        <v>0</v>
      </c>
      <c r="AO167" s="76" t="str">
        <f>IF(Table9[[#This Row],[Vmin (%)]]&lt;$BA$14, "Hot", IF(Table9[[#This Row],[Vmin (%)]]&lt;$BA$12, "Warm", IF(Table9[[#This Row],[Vmin (%)]]&lt;$BA$9, "Normal", IF(Table9[[#This Row],[Vmin (%)]]&lt;$BA$7, "Cool", "Cold"))))</f>
        <v>Cold</v>
      </c>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19"/>
      <c r="GZ167" s="19"/>
      <c r="HA167" s="19"/>
      <c r="HB167" s="19"/>
    </row>
    <row r="168" spans="1:210" hidden="1" x14ac:dyDescent="0.2">
      <c r="A168" s="113">
        <f t="shared" si="30"/>
        <v>-38</v>
      </c>
      <c r="B168" s="163"/>
      <c r="C168" s="172" t="str">
        <f t="shared" si="25"/>
        <v>RTH at -38 °C</v>
      </c>
      <c r="D168" s="196">
        <f t="shared" si="19"/>
        <v>3.73</v>
      </c>
      <c r="E168" s="207">
        <v>9.9999999999999997E+98</v>
      </c>
      <c r="F168" s="208">
        <v>9.9999999999999997E+98</v>
      </c>
      <c r="G168" s="209">
        <v>9.9999999999999997E+98</v>
      </c>
      <c r="H168" s="128" t="s">
        <v>30</v>
      </c>
      <c r="I168" s="29"/>
      <c r="J168" s="29">
        <v>175.6</v>
      </c>
      <c r="K168" s="29">
        <v>169</v>
      </c>
      <c r="L168" s="29">
        <v>162.6</v>
      </c>
      <c r="M168" s="29"/>
      <c r="N168" s="29"/>
      <c r="O168" s="29"/>
      <c r="P168" s="29"/>
      <c r="Q168" s="29"/>
      <c r="R168" s="29"/>
      <c r="S168" s="29"/>
      <c r="T168" s="29"/>
      <c r="U168" s="29"/>
      <c r="V168" s="29"/>
      <c r="W168" s="29"/>
      <c r="X168" s="29"/>
      <c r="Y168" s="30"/>
      <c r="Z168" s="18"/>
      <c r="AA168" s="19"/>
      <c r="AB168" s="19"/>
      <c r="AC168" s="20">
        <f t="shared" si="26"/>
        <v>-38</v>
      </c>
      <c r="AD168" s="20">
        <f t="shared" si="27"/>
        <v>9.9999999999999997E+98</v>
      </c>
      <c r="AE168" s="20">
        <f t="shared" si="28"/>
        <v>9.9999999999999997E+98</v>
      </c>
      <c r="AF168" s="20">
        <f t="shared" si="29"/>
        <v>9.9999999999999997E+98</v>
      </c>
      <c r="AG168" s="20">
        <f>Table9[[#This Row],[RTH(min) (kΩ)]]*RT2_TH_MIN/(RT2_TH_MIN+Table9[[#This Row],[RTH(min) (kΩ)]])</f>
        <v>30.474773623767586</v>
      </c>
      <c r="AH168" s="20">
        <f>Table9[[#This Row],[RTH(nom) (kΩ)]]*RT2_TH_S/(RT2_TH_S+Table9[[#This Row],[RTH(nom) (kΩ)]])</f>
        <v>30.505278902670256</v>
      </c>
      <c r="AI168" s="20">
        <f>Table9[[#This Row],[RTH(max) (kΩ)]]*RT2_TH_S_MAX/(RT2_TH_S_MAX+Table9[[#This Row],[RTH(max) (kΩ)]])</f>
        <v>30.535784181572922</v>
      </c>
      <c r="AJ168" s="20">
        <f>Table9[[#This Row],[RLower(min) (kΩ)]]/(Table9[[#This Row],[RLower(min) (kΩ)]]+RT1_TH_S_MAX)*100</f>
        <v>85.332443462432792</v>
      </c>
      <c r="AK168" s="20">
        <f>Table9[[#This Row],[RLower(nom) (kΩ)]]/(Table9[[#This Row],[RLower(nom) (kΩ)]]+RT1_TH_S)*100</f>
        <v>85.357458154608338</v>
      </c>
      <c r="AL168" s="20">
        <f>Table9[[#This Row],[RLower(max) (kΩ)]]/(Table9[[#This Row],[RLower(max) (kΩ)]]+RT1_TH_S_MIN)*100</f>
        <v>85.382437493546604</v>
      </c>
      <c r="AM168" s="20">
        <f>IF(Table9[[#This Row],[Vmin (%)]]&lt;$BA$14, 0, IF(Table9[[#This Row],[Vmin (%)]]&lt;$BA$12, 4, IF(Table9[[#This Row],[Vmin (%)]]&lt;$BA$9, 3, IF(Table9[[#This Row],[Vmin (%)]]&lt;$BA$7, 2, 0))))</f>
        <v>0</v>
      </c>
      <c r="AN168" s="20">
        <f>IF(Table9[[#This Row],[Vmin (%)]]&lt;$BA$13, 0, IF(Table9[[#This Row],[Vmin (%)]]&lt;$BA$11, 4, IF(Table9[[#This Row],[Vmin (%)]]&lt;$BA$10, 3, IF(Table9[[#This Row],[Vmin (%)]]&lt;$BA$8, 2, 0))))</f>
        <v>0</v>
      </c>
      <c r="AO168" s="76" t="str">
        <f>IF(Table9[[#This Row],[Vmin (%)]]&lt;$BA$14, "Hot", IF(Table9[[#This Row],[Vmin (%)]]&lt;$BA$12, "Warm", IF(Table9[[#This Row],[Vmin (%)]]&lt;$BA$9, "Normal", IF(Table9[[#This Row],[Vmin (%)]]&lt;$BA$7, "Cool", "Cold"))))</f>
        <v>Cold</v>
      </c>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row>
    <row r="169" spans="1:210" hidden="1" x14ac:dyDescent="0.2">
      <c r="A169" s="113">
        <f t="shared" si="30"/>
        <v>-39</v>
      </c>
      <c r="B169" s="163"/>
      <c r="C169" s="172" t="str">
        <f t="shared" si="25"/>
        <v>RTH at -39 °C</v>
      </c>
      <c r="D169" s="196">
        <f t="shared" si="19"/>
        <v>3.7733333333333334</v>
      </c>
      <c r="E169" s="207">
        <v>9.9999999999999997E+98</v>
      </c>
      <c r="F169" s="208">
        <v>9.9999999999999997E+98</v>
      </c>
      <c r="G169" s="209">
        <v>9.9999999999999997E+98</v>
      </c>
      <c r="H169" s="128" t="s">
        <v>30</v>
      </c>
      <c r="I169" s="29"/>
      <c r="J169" s="29">
        <v>185.5</v>
      </c>
      <c r="K169" s="29">
        <v>178.5</v>
      </c>
      <c r="L169" s="29">
        <v>171.6</v>
      </c>
      <c r="M169" s="29"/>
      <c r="N169" s="29"/>
      <c r="O169" s="29"/>
      <c r="P169" s="29"/>
      <c r="Q169" s="29"/>
      <c r="R169" s="29"/>
      <c r="S169" s="29"/>
      <c r="T169" s="29"/>
      <c r="U169" s="29"/>
      <c r="V169" s="29"/>
      <c r="W169" s="29"/>
      <c r="X169" s="29"/>
      <c r="Y169" s="30"/>
      <c r="Z169" s="18"/>
      <c r="AA169" s="19"/>
      <c r="AB169" s="19"/>
      <c r="AC169" s="20">
        <f t="shared" si="26"/>
        <v>-39</v>
      </c>
      <c r="AD169" s="20">
        <f t="shared" si="27"/>
        <v>9.9999999999999997E+98</v>
      </c>
      <c r="AE169" s="20">
        <f t="shared" si="28"/>
        <v>9.9999999999999997E+98</v>
      </c>
      <c r="AF169" s="20">
        <f t="shared" si="29"/>
        <v>9.9999999999999997E+98</v>
      </c>
      <c r="AG169" s="20">
        <f>Table9[[#This Row],[RTH(min) (kΩ)]]*RT2_TH_MIN/(RT2_TH_MIN+Table9[[#This Row],[RTH(min) (kΩ)]])</f>
        <v>30.474773623767586</v>
      </c>
      <c r="AH169" s="20">
        <f>Table9[[#This Row],[RTH(nom) (kΩ)]]*RT2_TH_S/(RT2_TH_S+Table9[[#This Row],[RTH(nom) (kΩ)]])</f>
        <v>30.505278902670256</v>
      </c>
      <c r="AI169" s="20">
        <f>Table9[[#This Row],[RTH(max) (kΩ)]]*RT2_TH_S_MAX/(RT2_TH_S_MAX+Table9[[#This Row],[RTH(max) (kΩ)]])</f>
        <v>30.535784181572922</v>
      </c>
      <c r="AJ169" s="20">
        <f>Table9[[#This Row],[RLower(min) (kΩ)]]/(Table9[[#This Row],[RLower(min) (kΩ)]]+RT1_TH_S_MAX)*100</f>
        <v>85.332443462432792</v>
      </c>
      <c r="AK169" s="20">
        <f>Table9[[#This Row],[RLower(nom) (kΩ)]]/(Table9[[#This Row],[RLower(nom) (kΩ)]]+RT1_TH_S)*100</f>
        <v>85.357458154608338</v>
      </c>
      <c r="AL169" s="20">
        <f>Table9[[#This Row],[RLower(max) (kΩ)]]/(Table9[[#This Row],[RLower(max) (kΩ)]]+RT1_TH_S_MIN)*100</f>
        <v>85.382437493546604</v>
      </c>
      <c r="AM169" s="20">
        <f>IF(Table9[[#This Row],[Vmin (%)]]&lt;$BA$14, 0, IF(Table9[[#This Row],[Vmin (%)]]&lt;$BA$12, 4, IF(Table9[[#This Row],[Vmin (%)]]&lt;$BA$9, 3, IF(Table9[[#This Row],[Vmin (%)]]&lt;$BA$7, 2, 0))))</f>
        <v>0</v>
      </c>
      <c r="AN169" s="20">
        <f>IF(Table9[[#This Row],[Vmin (%)]]&lt;$BA$13, 0, IF(Table9[[#This Row],[Vmin (%)]]&lt;$BA$11, 4, IF(Table9[[#This Row],[Vmin (%)]]&lt;$BA$10, 3, IF(Table9[[#This Row],[Vmin (%)]]&lt;$BA$8, 2, 0))))</f>
        <v>0</v>
      </c>
      <c r="AO169" s="76" t="str">
        <f>IF(Table9[[#This Row],[Vmin (%)]]&lt;$BA$14, "Hot", IF(Table9[[#This Row],[Vmin (%)]]&lt;$BA$12, "Warm", IF(Table9[[#This Row],[Vmin (%)]]&lt;$BA$9, "Normal", IF(Table9[[#This Row],[Vmin (%)]]&lt;$BA$7, "Cool", "Cold"))))</f>
        <v>Cold</v>
      </c>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19"/>
      <c r="GZ169" s="19"/>
      <c r="HA169" s="19"/>
      <c r="HB169" s="19"/>
    </row>
    <row r="170" spans="1:210" hidden="1" x14ac:dyDescent="0.2">
      <c r="A170" s="113">
        <f t="shared" si="30"/>
        <v>-40</v>
      </c>
      <c r="B170" s="163"/>
      <c r="C170" s="172" t="str">
        <f t="shared" si="25"/>
        <v>RTH at -40 °C</v>
      </c>
      <c r="D170" s="196">
        <f t="shared" si="19"/>
        <v>3.8166666666666669</v>
      </c>
      <c r="E170" s="207">
        <v>9.9999999999999997E+98</v>
      </c>
      <c r="F170" s="208">
        <v>9.9999999999999997E+98</v>
      </c>
      <c r="G170" s="209">
        <v>9.9999999999999997E+98</v>
      </c>
      <c r="H170" s="128" t="s">
        <v>30</v>
      </c>
      <c r="I170" s="29"/>
      <c r="J170" s="29">
        <v>196</v>
      </c>
      <c r="K170" s="29">
        <v>188.5</v>
      </c>
      <c r="L170" s="29">
        <v>181.1</v>
      </c>
      <c r="M170" s="29"/>
      <c r="N170" s="29"/>
      <c r="O170" s="29"/>
      <c r="P170" s="29"/>
      <c r="Q170" s="29"/>
      <c r="R170" s="29"/>
      <c r="S170" s="29"/>
      <c r="T170" s="29"/>
      <c r="U170" s="29"/>
      <c r="V170" s="29"/>
      <c r="W170" s="29"/>
      <c r="X170" s="29"/>
      <c r="Y170" s="30"/>
      <c r="Z170" s="18"/>
      <c r="AA170" s="19"/>
      <c r="AB170" s="19"/>
      <c r="AC170" s="20">
        <f t="shared" si="26"/>
        <v>-40</v>
      </c>
      <c r="AD170" s="20">
        <f t="shared" si="27"/>
        <v>9.9999999999999997E+98</v>
      </c>
      <c r="AE170" s="20">
        <f t="shared" si="28"/>
        <v>9.9999999999999997E+98</v>
      </c>
      <c r="AF170" s="20">
        <f t="shared" si="29"/>
        <v>9.9999999999999997E+98</v>
      </c>
      <c r="AG170" s="20">
        <f>Table9[[#This Row],[RTH(min) (kΩ)]]*RT2_TH_MIN/(RT2_TH_MIN+Table9[[#This Row],[RTH(min) (kΩ)]])</f>
        <v>30.474773623767586</v>
      </c>
      <c r="AH170" s="20">
        <f>Table9[[#This Row],[RTH(nom) (kΩ)]]*RT2_TH_S/(RT2_TH_S+Table9[[#This Row],[RTH(nom) (kΩ)]])</f>
        <v>30.505278902670256</v>
      </c>
      <c r="AI170" s="20">
        <f>Table9[[#This Row],[RTH(max) (kΩ)]]*RT2_TH_S_MAX/(RT2_TH_S_MAX+Table9[[#This Row],[RTH(max) (kΩ)]])</f>
        <v>30.535784181572922</v>
      </c>
      <c r="AJ170" s="20">
        <f>Table9[[#This Row],[RLower(min) (kΩ)]]/(Table9[[#This Row],[RLower(min) (kΩ)]]+RT1_TH_S_MAX)*100</f>
        <v>85.332443462432792</v>
      </c>
      <c r="AK170" s="20">
        <f>Table9[[#This Row],[RLower(nom) (kΩ)]]/(Table9[[#This Row],[RLower(nom) (kΩ)]]+RT1_TH_S)*100</f>
        <v>85.357458154608338</v>
      </c>
      <c r="AL170" s="20">
        <f>Table9[[#This Row],[RLower(max) (kΩ)]]/(Table9[[#This Row],[RLower(max) (kΩ)]]+RT1_TH_S_MIN)*100</f>
        <v>85.382437493546604</v>
      </c>
      <c r="AM170" s="20">
        <f>IF(Table9[[#This Row],[Vmin (%)]]&lt;$BA$14, 0, IF(Table9[[#This Row],[Vmin (%)]]&lt;$BA$12, 4, IF(Table9[[#This Row],[Vmin (%)]]&lt;$BA$9, 3, IF(Table9[[#This Row],[Vmin (%)]]&lt;$BA$7, 2, 0))))</f>
        <v>0</v>
      </c>
      <c r="AN170" s="20">
        <f>IF(Table9[[#This Row],[Vmin (%)]]&lt;$BA$13, 0, IF(Table9[[#This Row],[Vmin (%)]]&lt;$BA$11, 4, IF(Table9[[#This Row],[Vmin (%)]]&lt;$BA$10, 3, IF(Table9[[#This Row],[Vmin (%)]]&lt;$BA$8, 2, 0))))</f>
        <v>0</v>
      </c>
      <c r="AO170" s="76" t="str">
        <f>IF(Table9[[#This Row],[Vmin (%)]]&lt;$BA$14, "Hot", IF(Table9[[#This Row],[Vmin (%)]]&lt;$BA$12, "Warm", IF(Table9[[#This Row],[Vmin (%)]]&lt;$BA$9, "Normal", IF(Table9[[#This Row],[Vmin (%)]]&lt;$BA$7, "Cool", "Cold"))))</f>
        <v>Cold</v>
      </c>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c r="FJ170" s="19"/>
      <c r="FK170" s="19"/>
      <c r="FL170" s="19"/>
      <c r="FM170" s="19"/>
      <c r="FN170" s="19"/>
      <c r="FO170" s="19"/>
      <c r="FP170" s="19"/>
      <c r="FQ170" s="19"/>
      <c r="FR170" s="19"/>
      <c r="FS170" s="19"/>
      <c r="FT170" s="19"/>
      <c r="FU170" s="19"/>
      <c r="FV170" s="19"/>
      <c r="FW170" s="19"/>
      <c r="FX170" s="19"/>
      <c r="FY170" s="19"/>
      <c r="FZ170" s="19"/>
      <c r="GA170" s="19"/>
      <c r="GB170" s="19"/>
      <c r="GC170" s="19"/>
      <c r="GD170" s="19"/>
      <c r="GE170" s="19"/>
      <c r="GF170" s="19"/>
      <c r="GG170" s="19"/>
      <c r="GH170" s="19"/>
      <c r="GI170" s="19"/>
      <c r="GJ170" s="19"/>
      <c r="GK170" s="19"/>
      <c r="GL170" s="19"/>
      <c r="GM170" s="19"/>
      <c r="GN170" s="19"/>
      <c r="GO170" s="19"/>
      <c r="GP170" s="19"/>
      <c r="GQ170" s="19"/>
      <c r="GR170" s="19"/>
      <c r="GS170" s="19"/>
      <c r="GT170" s="19"/>
      <c r="GU170" s="19"/>
      <c r="GV170" s="19"/>
      <c r="GW170" s="19"/>
      <c r="GX170" s="19"/>
      <c r="GY170" s="19"/>
      <c r="GZ170" s="19"/>
      <c r="HA170" s="19"/>
      <c r="HB170" s="19"/>
    </row>
    <row r="171" spans="1:210" hidden="1" x14ac:dyDescent="0.2">
      <c r="A171" s="113">
        <f t="shared" si="30"/>
        <v>-41</v>
      </c>
      <c r="B171" s="163"/>
      <c r="C171" s="172" t="str">
        <f t="shared" si="25"/>
        <v>RTH at -41 °C</v>
      </c>
      <c r="D171" s="196">
        <f t="shared" ref="D171:D179" si="31">$D$105+(ROW(D171)-ROW($D$105))*($D$180-$D$105)/(ROW($D$180)-ROW($D$105))</f>
        <v>3.86</v>
      </c>
      <c r="E171" s="207">
        <v>9.9999999999999997E+98</v>
      </c>
      <c r="F171" s="208">
        <v>9.9999999999999997E+98</v>
      </c>
      <c r="G171" s="209">
        <v>9.9999999999999997E+98</v>
      </c>
      <c r="H171" s="128" t="s">
        <v>30</v>
      </c>
      <c r="I171" s="29"/>
      <c r="J171" s="29">
        <v>207</v>
      </c>
      <c r="K171" s="29">
        <v>198.9</v>
      </c>
      <c r="L171" s="29">
        <v>191</v>
      </c>
      <c r="M171" s="29"/>
      <c r="N171" s="29"/>
      <c r="O171" s="29"/>
      <c r="P171" s="29"/>
      <c r="Q171" s="29"/>
      <c r="R171" s="29"/>
      <c r="S171" s="29"/>
      <c r="T171" s="29"/>
      <c r="U171" s="29"/>
      <c r="V171" s="29"/>
      <c r="W171" s="29"/>
      <c r="X171" s="29"/>
      <c r="Y171" s="30"/>
      <c r="Z171" s="18"/>
      <c r="AA171" s="19"/>
      <c r="AB171" s="19"/>
      <c r="AC171" s="20">
        <f t="shared" si="26"/>
        <v>-41</v>
      </c>
      <c r="AD171" s="20">
        <f t="shared" si="27"/>
        <v>9.9999999999999997E+98</v>
      </c>
      <c r="AE171" s="20">
        <f t="shared" si="28"/>
        <v>9.9999999999999997E+98</v>
      </c>
      <c r="AF171" s="20">
        <f t="shared" si="29"/>
        <v>9.9999999999999997E+98</v>
      </c>
      <c r="AG171" s="20">
        <f>Table9[[#This Row],[RTH(min) (kΩ)]]*RT2_TH_MIN/(RT2_TH_MIN+Table9[[#This Row],[RTH(min) (kΩ)]])</f>
        <v>30.474773623767586</v>
      </c>
      <c r="AH171" s="20">
        <f>Table9[[#This Row],[RTH(nom) (kΩ)]]*RT2_TH_S/(RT2_TH_S+Table9[[#This Row],[RTH(nom) (kΩ)]])</f>
        <v>30.505278902670256</v>
      </c>
      <c r="AI171" s="20">
        <f>Table9[[#This Row],[RTH(max) (kΩ)]]*RT2_TH_S_MAX/(RT2_TH_S_MAX+Table9[[#This Row],[RTH(max) (kΩ)]])</f>
        <v>30.535784181572922</v>
      </c>
      <c r="AJ171" s="20">
        <f>Table9[[#This Row],[RLower(min) (kΩ)]]/(Table9[[#This Row],[RLower(min) (kΩ)]]+RT1_TH_S_MAX)*100</f>
        <v>85.332443462432792</v>
      </c>
      <c r="AK171" s="20">
        <f>Table9[[#This Row],[RLower(nom) (kΩ)]]/(Table9[[#This Row],[RLower(nom) (kΩ)]]+RT1_TH_S)*100</f>
        <v>85.357458154608338</v>
      </c>
      <c r="AL171" s="20">
        <f>Table9[[#This Row],[RLower(max) (kΩ)]]/(Table9[[#This Row],[RLower(max) (kΩ)]]+RT1_TH_S_MIN)*100</f>
        <v>85.382437493546604</v>
      </c>
      <c r="AM171" s="20">
        <f>IF(Table9[[#This Row],[Vmin (%)]]&lt;$BA$14, 0, IF(Table9[[#This Row],[Vmin (%)]]&lt;$BA$12, 4, IF(Table9[[#This Row],[Vmin (%)]]&lt;$BA$9, 3, IF(Table9[[#This Row],[Vmin (%)]]&lt;$BA$7, 2, 0))))</f>
        <v>0</v>
      </c>
      <c r="AN171" s="20">
        <f>IF(Table9[[#This Row],[Vmin (%)]]&lt;$BA$13, 0, IF(Table9[[#This Row],[Vmin (%)]]&lt;$BA$11, 4, IF(Table9[[#This Row],[Vmin (%)]]&lt;$BA$10, 3, IF(Table9[[#This Row],[Vmin (%)]]&lt;$BA$8, 2, 0))))</f>
        <v>0</v>
      </c>
      <c r="AO171" s="76" t="str">
        <f>IF(Table9[[#This Row],[Vmin (%)]]&lt;$BA$14, "Hot", IF(Table9[[#This Row],[Vmin (%)]]&lt;$BA$12, "Warm", IF(Table9[[#This Row],[Vmin (%)]]&lt;$BA$9, "Normal", IF(Table9[[#This Row],[Vmin (%)]]&lt;$BA$7, "Cool", "Cold"))))</f>
        <v>Cold</v>
      </c>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c r="FZ171" s="19"/>
      <c r="GA171" s="19"/>
      <c r="GB171" s="19"/>
      <c r="GC171" s="19"/>
      <c r="GD171" s="19"/>
      <c r="GE171" s="19"/>
      <c r="GF171" s="19"/>
      <c r="GG171" s="19"/>
      <c r="GH171" s="19"/>
      <c r="GI171" s="19"/>
      <c r="GJ171" s="19"/>
      <c r="GK171" s="19"/>
      <c r="GL171" s="19"/>
      <c r="GM171" s="19"/>
      <c r="GN171" s="19"/>
      <c r="GO171" s="19"/>
      <c r="GP171" s="19"/>
      <c r="GQ171" s="19"/>
      <c r="GR171" s="19"/>
      <c r="GS171" s="19"/>
      <c r="GT171" s="19"/>
      <c r="GU171" s="19"/>
      <c r="GV171" s="19"/>
      <c r="GW171" s="19"/>
      <c r="GX171" s="19"/>
      <c r="GY171" s="19"/>
      <c r="GZ171" s="19"/>
      <c r="HA171" s="19"/>
      <c r="HB171" s="19"/>
    </row>
    <row r="172" spans="1:210" hidden="1" x14ac:dyDescent="0.2">
      <c r="A172" s="113">
        <f t="shared" si="30"/>
        <v>-42</v>
      </c>
      <c r="B172" s="163"/>
      <c r="C172" s="172" t="str">
        <f t="shared" si="25"/>
        <v>RTH at -42 °C</v>
      </c>
      <c r="D172" s="196">
        <f t="shared" si="31"/>
        <v>3.9033333333333333</v>
      </c>
      <c r="E172" s="207">
        <v>9.9999999999999997E+98</v>
      </c>
      <c r="F172" s="208">
        <v>9.9999999999999997E+98</v>
      </c>
      <c r="G172" s="209">
        <v>9.9999999999999997E+98</v>
      </c>
      <c r="H172" s="128" t="s">
        <v>30</v>
      </c>
      <c r="I172" s="29"/>
      <c r="J172" s="29">
        <v>218.6</v>
      </c>
      <c r="K172" s="29">
        <v>209.9</v>
      </c>
      <c r="L172" s="29">
        <v>201.6</v>
      </c>
      <c r="M172" s="29"/>
      <c r="N172" s="29"/>
      <c r="O172" s="29"/>
      <c r="P172" s="29"/>
      <c r="Q172" s="29"/>
      <c r="R172" s="29"/>
      <c r="S172" s="29"/>
      <c r="T172" s="29"/>
      <c r="U172" s="29"/>
      <c r="V172" s="29"/>
      <c r="W172" s="29"/>
      <c r="X172" s="29"/>
      <c r="Y172" s="30"/>
      <c r="Z172" s="18"/>
      <c r="AA172" s="19"/>
      <c r="AB172" s="19"/>
      <c r="AC172" s="20">
        <f t="shared" si="26"/>
        <v>-42</v>
      </c>
      <c r="AD172" s="20">
        <f t="shared" si="27"/>
        <v>9.9999999999999997E+98</v>
      </c>
      <c r="AE172" s="20">
        <f t="shared" si="28"/>
        <v>9.9999999999999997E+98</v>
      </c>
      <c r="AF172" s="20">
        <f t="shared" si="29"/>
        <v>9.9999999999999997E+98</v>
      </c>
      <c r="AG172" s="20">
        <f>Table9[[#This Row],[RTH(min) (kΩ)]]*RT2_TH_MIN/(RT2_TH_MIN+Table9[[#This Row],[RTH(min) (kΩ)]])</f>
        <v>30.474773623767586</v>
      </c>
      <c r="AH172" s="20">
        <f>Table9[[#This Row],[RTH(nom) (kΩ)]]*RT2_TH_S/(RT2_TH_S+Table9[[#This Row],[RTH(nom) (kΩ)]])</f>
        <v>30.505278902670256</v>
      </c>
      <c r="AI172" s="20">
        <f>Table9[[#This Row],[RTH(max) (kΩ)]]*RT2_TH_S_MAX/(RT2_TH_S_MAX+Table9[[#This Row],[RTH(max) (kΩ)]])</f>
        <v>30.535784181572922</v>
      </c>
      <c r="AJ172" s="20">
        <f>Table9[[#This Row],[RLower(min) (kΩ)]]/(Table9[[#This Row],[RLower(min) (kΩ)]]+RT1_TH_S_MAX)*100</f>
        <v>85.332443462432792</v>
      </c>
      <c r="AK172" s="20">
        <f>Table9[[#This Row],[RLower(nom) (kΩ)]]/(Table9[[#This Row],[RLower(nom) (kΩ)]]+RT1_TH_S)*100</f>
        <v>85.357458154608338</v>
      </c>
      <c r="AL172" s="20">
        <f>Table9[[#This Row],[RLower(max) (kΩ)]]/(Table9[[#This Row],[RLower(max) (kΩ)]]+RT1_TH_S_MIN)*100</f>
        <v>85.382437493546604</v>
      </c>
      <c r="AM172" s="20">
        <f>IF(Table9[[#This Row],[Vmin (%)]]&lt;$BA$14, 0, IF(Table9[[#This Row],[Vmin (%)]]&lt;$BA$12, 4, IF(Table9[[#This Row],[Vmin (%)]]&lt;$BA$9, 3, IF(Table9[[#This Row],[Vmin (%)]]&lt;$BA$7, 2, 0))))</f>
        <v>0</v>
      </c>
      <c r="AN172" s="20">
        <f>IF(Table9[[#This Row],[Vmin (%)]]&lt;$BA$13, 0, IF(Table9[[#This Row],[Vmin (%)]]&lt;$BA$11, 4, IF(Table9[[#This Row],[Vmin (%)]]&lt;$BA$10, 3, IF(Table9[[#This Row],[Vmin (%)]]&lt;$BA$8, 2, 0))))</f>
        <v>0</v>
      </c>
      <c r="AO172" s="76" t="str">
        <f>IF(Table9[[#This Row],[Vmin (%)]]&lt;$BA$14, "Hot", IF(Table9[[#This Row],[Vmin (%)]]&lt;$BA$12, "Warm", IF(Table9[[#This Row],[Vmin (%)]]&lt;$BA$9, "Normal", IF(Table9[[#This Row],[Vmin (%)]]&lt;$BA$7, "Cool", "Cold"))))</f>
        <v>Cold</v>
      </c>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c r="FJ172" s="19"/>
      <c r="FK172" s="19"/>
      <c r="FL172" s="19"/>
      <c r="FM172" s="19"/>
      <c r="FN172" s="19"/>
      <c r="FO172" s="19"/>
      <c r="FP172" s="19"/>
      <c r="FQ172" s="19"/>
      <c r="FR172" s="19"/>
      <c r="FS172" s="19"/>
      <c r="FT172" s="19"/>
      <c r="FU172" s="19"/>
      <c r="FV172" s="19"/>
      <c r="FW172" s="19"/>
      <c r="FX172" s="19"/>
      <c r="FY172" s="19"/>
      <c r="FZ172" s="19"/>
      <c r="GA172" s="19"/>
      <c r="GB172" s="19"/>
      <c r="GC172" s="19"/>
      <c r="GD172" s="19"/>
      <c r="GE172" s="19"/>
      <c r="GF172" s="19"/>
      <c r="GG172" s="19"/>
      <c r="GH172" s="19"/>
      <c r="GI172" s="19"/>
      <c r="GJ172" s="19"/>
      <c r="GK172" s="19"/>
      <c r="GL172" s="19"/>
      <c r="GM172" s="19"/>
      <c r="GN172" s="19"/>
      <c r="GO172" s="19"/>
      <c r="GP172" s="19"/>
      <c r="GQ172" s="19"/>
      <c r="GR172" s="19"/>
      <c r="GS172" s="19"/>
      <c r="GT172" s="19"/>
      <c r="GU172" s="19"/>
      <c r="GV172" s="19"/>
      <c r="GW172" s="19"/>
      <c r="GX172" s="19"/>
      <c r="GY172" s="19"/>
      <c r="GZ172" s="19"/>
      <c r="HA172" s="19"/>
      <c r="HB172" s="19"/>
    </row>
    <row r="173" spans="1:210" hidden="1" x14ac:dyDescent="0.2">
      <c r="A173" s="113">
        <f t="shared" si="30"/>
        <v>-43</v>
      </c>
      <c r="B173" s="163"/>
      <c r="C173" s="172" t="str">
        <f t="shared" si="25"/>
        <v>RTH at -43 °C</v>
      </c>
      <c r="D173" s="196">
        <f t="shared" si="31"/>
        <v>3.9466666666666668</v>
      </c>
      <c r="E173" s="207">
        <v>9.9999999999999997E+98</v>
      </c>
      <c r="F173" s="208">
        <v>9.9999999999999997E+98</v>
      </c>
      <c r="G173" s="209">
        <v>9.9999999999999997E+98</v>
      </c>
      <c r="H173" s="128" t="s">
        <v>30</v>
      </c>
      <c r="I173" s="29"/>
      <c r="J173" s="29">
        <v>231</v>
      </c>
      <c r="K173" s="29">
        <v>221.7</v>
      </c>
      <c r="L173" s="29">
        <v>212.8</v>
      </c>
      <c r="M173" s="29"/>
      <c r="N173" s="29"/>
      <c r="O173" s="29"/>
      <c r="P173" s="29"/>
      <c r="Q173" s="29"/>
      <c r="R173" s="29"/>
      <c r="S173" s="29"/>
      <c r="T173" s="29"/>
      <c r="U173" s="29"/>
      <c r="V173" s="29"/>
      <c r="W173" s="29"/>
      <c r="X173" s="29"/>
      <c r="Y173" s="30"/>
      <c r="Z173" s="18"/>
      <c r="AA173" s="19"/>
      <c r="AB173" s="19"/>
      <c r="AC173" s="20">
        <f t="shared" si="26"/>
        <v>-43</v>
      </c>
      <c r="AD173" s="20">
        <f t="shared" si="27"/>
        <v>9.9999999999999997E+98</v>
      </c>
      <c r="AE173" s="20">
        <f t="shared" si="28"/>
        <v>9.9999999999999997E+98</v>
      </c>
      <c r="AF173" s="20">
        <f t="shared" si="29"/>
        <v>9.9999999999999997E+98</v>
      </c>
      <c r="AG173" s="20">
        <f>Table9[[#This Row],[RTH(min) (kΩ)]]*RT2_TH_MIN/(RT2_TH_MIN+Table9[[#This Row],[RTH(min) (kΩ)]])</f>
        <v>30.474773623767586</v>
      </c>
      <c r="AH173" s="20">
        <f>Table9[[#This Row],[RTH(nom) (kΩ)]]*RT2_TH_S/(RT2_TH_S+Table9[[#This Row],[RTH(nom) (kΩ)]])</f>
        <v>30.505278902670256</v>
      </c>
      <c r="AI173" s="20">
        <f>Table9[[#This Row],[RTH(max) (kΩ)]]*RT2_TH_S_MAX/(RT2_TH_S_MAX+Table9[[#This Row],[RTH(max) (kΩ)]])</f>
        <v>30.535784181572922</v>
      </c>
      <c r="AJ173" s="20">
        <f>Table9[[#This Row],[RLower(min) (kΩ)]]/(Table9[[#This Row],[RLower(min) (kΩ)]]+RT1_TH_S_MAX)*100</f>
        <v>85.332443462432792</v>
      </c>
      <c r="AK173" s="20">
        <f>Table9[[#This Row],[RLower(nom) (kΩ)]]/(Table9[[#This Row],[RLower(nom) (kΩ)]]+RT1_TH_S)*100</f>
        <v>85.357458154608338</v>
      </c>
      <c r="AL173" s="20">
        <f>Table9[[#This Row],[RLower(max) (kΩ)]]/(Table9[[#This Row],[RLower(max) (kΩ)]]+RT1_TH_S_MIN)*100</f>
        <v>85.382437493546604</v>
      </c>
      <c r="AM173" s="20">
        <f>IF(Table9[[#This Row],[Vmin (%)]]&lt;$BA$14, 0, IF(Table9[[#This Row],[Vmin (%)]]&lt;$BA$12, 4, IF(Table9[[#This Row],[Vmin (%)]]&lt;$BA$9, 3, IF(Table9[[#This Row],[Vmin (%)]]&lt;$BA$7, 2, 0))))</f>
        <v>0</v>
      </c>
      <c r="AN173" s="20">
        <f>IF(Table9[[#This Row],[Vmin (%)]]&lt;$BA$13, 0, IF(Table9[[#This Row],[Vmin (%)]]&lt;$BA$11, 4, IF(Table9[[#This Row],[Vmin (%)]]&lt;$BA$10, 3, IF(Table9[[#This Row],[Vmin (%)]]&lt;$BA$8, 2, 0))))</f>
        <v>0</v>
      </c>
      <c r="AO173" s="76" t="str">
        <f>IF(Table9[[#This Row],[Vmin (%)]]&lt;$BA$14, "Hot", IF(Table9[[#This Row],[Vmin (%)]]&lt;$BA$12, "Warm", IF(Table9[[#This Row],[Vmin (%)]]&lt;$BA$9, "Normal", IF(Table9[[#This Row],[Vmin (%)]]&lt;$BA$7, "Cool", "Cold"))))</f>
        <v>Cold</v>
      </c>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c r="FJ173" s="19"/>
      <c r="FK173" s="19"/>
      <c r="FL173" s="19"/>
      <c r="FM173" s="19"/>
      <c r="FN173" s="19"/>
      <c r="FO173" s="19"/>
      <c r="FP173" s="19"/>
      <c r="FQ173" s="19"/>
      <c r="FR173" s="19"/>
      <c r="FS173" s="19"/>
      <c r="FT173" s="19"/>
      <c r="FU173" s="19"/>
      <c r="FV173" s="19"/>
      <c r="FW173" s="19"/>
      <c r="FX173" s="19"/>
      <c r="FY173" s="19"/>
      <c r="FZ173" s="19"/>
      <c r="GA173" s="19"/>
      <c r="GB173" s="19"/>
      <c r="GC173" s="19"/>
      <c r="GD173" s="19"/>
      <c r="GE173" s="19"/>
      <c r="GF173" s="19"/>
      <c r="GG173" s="19"/>
      <c r="GH173" s="19"/>
      <c r="GI173" s="19"/>
      <c r="GJ173" s="19"/>
      <c r="GK173" s="19"/>
      <c r="GL173" s="19"/>
      <c r="GM173" s="19"/>
      <c r="GN173" s="19"/>
      <c r="GO173" s="19"/>
      <c r="GP173" s="19"/>
      <c r="GQ173" s="19"/>
      <c r="GR173" s="19"/>
      <c r="GS173" s="19"/>
      <c r="GT173" s="19"/>
      <c r="GU173" s="19"/>
      <c r="GV173" s="19"/>
      <c r="GW173" s="19"/>
      <c r="GX173" s="19"/>
      <c r="GY173" s="19"/>
      <c r="GZ173" s="19"/>
      <c r="HA173" s="19"/>
      <c r="HB173" s="19"/>
    </row>
    <row r="174" spans="1:210" hidden="1" x14ac:dyDescent="0.2">
      <c r="A174" s="113">
        <f t="shared" si="30"/>
        <v>-44</v>
      </c>
      <c r="B174" s="163"/>
      <c r="C174" s="172" t="str">
        <f t="shared" si="25"/>
        <v>RTH at -44 °C</v>
      </c>
      <c r="D174" s="196">
        <f t="shared" si="31"/>
        <v>3.99</v>
      </c>
      <c r="E174" s="207">
        <v>9.9999999999999997E+98</v>
      </c>
      <c r="F174" s="208">
        <v>9.9999999999999997E+98</v>
      </c>
      <c r="G174" s="209">
        <v>9.9999999999999997E+98</v>
      </c>
      <c r="H174" s="128" t="s">
        <v>30</v>
      </c>
      <c r="I174" s="29"/>
      <c r="J174" s="29">
        <v>244.2</v>
      </c>
      <c r="K174" s="29">
        <v>234.3</v>
      </c>
      <c r="L174" s="29">
        <v>224.7</v>
      </c>
      <c r="M174" s="29"/>
      <c r="N174" s="29"/>
      <c r="O174" s="29"/>
      <c r="P174" s="29"/>
      <c r="Q174" s="29"/>
      <c r="R174" s="29"/>
      <c r="S174" s="29"/>
      <c r="T174" s="29"/>
      <c r="U174" s="29"/>
      <c r="V174" s="29"/>
      <c r="W174" s="29"/>
      <c r="X174" s="29"/>
      <c r="Y174" s="30"/>
      <c r="Z174" s="18"/>
      <c r="AA174" s="19"/>
      <c r="AB174" s="19"/>
      <c r="AC174" s="20">
        <f t="shared" si="26"/>
        <v>-44</v>
      </c>
      <c r="AD174" s="20">
        <f t="shared" si="27"/>
        <v>9.9999999999999997E+98</v>
      </c>
      <c r="AE174" s="20">
        <f t="shared" si="28"/>
        <v>9.9999999999999997E+98</v>
      </c>
      <c r="AF174" s="20">
        <f t="shared" si="29"/>
        <v>9.9999999999999997E+98</v>
      </c>
      <c r="AG174" s="20">
        <f>Table9[[#This Row],[RTH(min) (kΩ)]]*RT2_TH_MIN/(RT2_TH_MIN+Table9[[#This Row],[RTH(min) (kΩ)]])</f>
        <v>30.474773623767586</v>
      </c>
      <c r="AH174" s="20">
        <f>Table9[[#This Row],[RTH(nom) (kΩ)]]*RT2_TH_S/(RT2_TH_S+Table9[[#This Row],[RTH(nom) (kΩ)]])</f>
        <v>30.505278902670256</v>
      </c>
      <c r="AI174" s="20">
        <f>Table9[[#This Row],[RTH(max) (kΩ)]]*RT2_TH_S_MAX/(RT2_TH_S_MAX+Table9[[#This Row],[RTH(max) (kΩ)]])</f>
        <v>30.535784181572922</v>
      </c>
      <c r="AJ174" s="20">
        <f>Table9[[#This Row],[RLower(min) (kΩ)]]/(Table9[[#This Row],[RLower(min) (kΩ)]]+RT1_TH_S_MAX)*100</f>
        <v>85.332443462432792</v>
      </c>
      <c r="AK174" s="20">
        <f>Table9[[#This Row],[RLower(nom) (kΩ)]]/(Table9[[#This Row],[RLower(nom) (kΩ)]]+RT1_TH_S)*100</f>
        <v>85.357458154608338</v>
      </c>
      <c r="AL174" s="20">
        <f>Table9[[#This Row],[RLower(max) (kΩ)]]/(Table9[[#This Row],[RLower(max) (kΩ)]]+RT1_TH_S_MIN)*100</f>
        <v>85.382437493546604</v>
      </c>
      <c r="AM174" s="20">
        <f>IF(Table9[[#This Row],[Vmin (%)]]&lt;$BA$14, 0, IF(Table9[[#This Row],[Vmin (%)]]&lt;$BA$12, 4, IF(Table9[[#This Row],[Vmin (%)]]&lt;$BA$9, 3, IF(Table9[[#This Row],[Vmin (%)]]&lt;$BA$7, 2, 0))))</f>
        <v>0</v>
      </c>
      <c r="AN174" s="20">
        <f>IF(Table9[[#This Row],[Vmin (%)]]&lt;$BA$13, 0, IF(Table9[[#This Row],[Vmin (%)]]&lt;$BA$11, 4, IF(Table9[[#This Row],[Vmin (%)]]&lt;$BA$10, 3, IF(Table9[[#This Row],[Vmin (%)]]&lt;$BA$8, 2, 0))))</f>
        <v>0</v>
      </c>
      <c r="AO174" s="76" t="str">
        <f>IF(Table9[[#This Row],[Vmin (%)]]&lt;$BA$14, "Hot", IF(Table9[[#This Row],[Vmin (%)]]&lt;$BA$12, "Warm", IF(Table9[[#This Row],[Vmin (%)]]&lt;$BA$9, "Normal", IF(Table9[[#This Row],[Vmin (%)]]&lt;$BA$7, "Cool", "Cold"))))</f>
        <v>Cold</v>
      </c>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c r="FJ174" s="19"/>
      <c r="FK174" s="19"/>
      <c r="FL174" s="19"/>
      <c r="FM174" s="19"/>
      <c r="FN174" s="19"/>
      <c r="FO174" s="19"/>
      <c r="FP174" s="19"/>
      <c r="FQ174" s="19"/>
      <c r="FR174" s="19"/>
      <c r="FS174" s="19"/>
      <c r="FT174" s="19"/>
      <c r="FU174" s="19"/>
      <c r="FV174" s="19"/>
      <c r="FW174" s="19"/>
      <c r="FX174" s="19"/>
      <c r="FY174" s="19"/>
      <c r="FZ174" s="19"/>
      <c r="GA174" s="19"/>
      <c r="GB174" s="19"/>
      <c r="GC174" s="19"/>
      <c r="GD174" s="19"/>
      <c r="GE174" s="19"/>
      <c r="GF174" s="19"/>
      <c r="GG174" s="19"/>
      <c r="GH174" s="19"/>
      <c r="GI174" s="19"/>
      <c r="GJ174" s="19"/>
      <c r="GK174" s="19"/>
      <c r="GL174" s="19"/>
      <c r="GM174" s="19"/>
      <c r="GN174" s="19"/>
      <c r="GO174" s="19"/>
      <c r="GP174" s="19"/>
      <c r="GQ174" s="19"/>
      <c r="GR174" s="19"/>
      <c r="GS174" s="19"/>
      <c r="GT174" s="19"/>
      <c r="GU174" s="19"/>
      <c r="GV174" s="19"/>
      <c r="GW174" s="19"/>
      <c r="GX174" s="19"/>
      <c r="GY174" s="19"/>
      <c r="GZ174" s="19"/>
      <c r="HA174" s="19"/>
      <c r="HB174" s="19"/>
    </row>
    <row r="175" spans="1:210" hidden="1" x14ac:dyDescent="0.2">
      <c r="A175" s="113">
        <f t="shared" si="30"/>
        <v>-45</v>
      </c>
      <c r="B175" s="163"/>
      <c r="C175" s="172" t="str">
        <f t="shared" si="25"/>
        <v>RTH at -45 °C</v>
      </c>
      <c r="D175" s="196">
        <f t="shared" si="31"/>
        <v>4.0333333333333332</v>
      </c>
      <c r="E175" s="207">
        <v>9.9999999999999997E+98</v>
      </c>
      <c r="F175" s="208">
        <v>9.9999999999999997E+98</v>
      </c>
      <c r="G175" s="209">
        <v>9.9999999999999997E+98</v>
      </c>
      <c r="H175" s="128" t="s">
        <v>30</v>
      </c>
      <c r="I175" s="29"/>
      <c r="J175" s="29">
        <v>258.3</v>
      </c>
      <c r="K175" s="29">
        <v>247.7</v>
      </c>
      <c r="L175" s="29">
        <v>237.4</v>
      </c>
      <c r="M175" s="29"/>
      <c r="N175" s="29"/>
      <c r="O175" s="29"/>
      <c r="P175" s="29"/>
      <c r="Q175" s="29"/>
      <c r="R175" s="29"/>
      <c r="S175" s="29"/>
      <c r="T175" s="29"/>
      <c r="U175" s="29"/>
      <c r="V175" s="29"/>
      <c r="W175" s="29"/>
      <c r="X175" s="29"/>
      <c r="Y175" s="30"/>
      <c r="Z175" s="18"/>
      <c r="AA175" s="19"/>
      <c r="AB175" s="19"/>
      <c r="AC175" s="20">
        <f t="shared" si="26"/>
        <v>-45</v>
      </c>
      <c r="AD175" s="20">
        <f t="shared" si="27"/>
        <v>9.9999999999999997E+98</v>
      </c>
      <c r="AE175" s="20">
        <f t="shared" si="28"/>
        <v>9.9999999999999997E+98</v>
      </c>
      <c r="AF175" s="20">
        <f t="shared" si="29"/>
        <v>9.9999999999999997E+98</v>
      </c>
      <c r="AG175" s="20">
        <f>Table9[[#This Row],[RTH(min) (kΩ)]]*RT2_TH_MIN/(RT2_TH_MIN+Table9[[#This Row],[RTH(min) (kΩ)]])</f>
        <v>30.474773623767586</v>
      </c>
      <c r="AH175" s="20">
        <f>Table9[[#This Row],[RTH(nom) (kΩ)]]*RT2_TH_S/(RT2_TH_S+Table9[[#This Row],[RTH(nom) (kΩ)]])</f>
        <v>30.505278902670256</v>
      </c>
      <c r="AI175" s="20">
        <f>Table9[[#This Row],[RTH(max) (kΩ)]]*RT2_TH_S_MAX/(RT2_TH_S_MAX+Table9[[#This Row],[RTH(max) (kΩ)]])</f>
        <v>30.535784181572922</v>
      </c>
      <c r="AJ175" s="20">
        <f>Table9[[#This Row],[RLower(min) (kΩ)]]/(Table9[[#This Row],[RLower(min) (kΩ)]]+RT1_TH_S_MAX)*100</f>
        <v>85.332443462432792</v>
      </c>
      <c r="AK175" s="20">
        <f>Table9[[#This Row],[RLower(nom) (kΩ)]]/(Table9[[#This Row],[RLower(nom) (kΩ)]]+RT1_TH_S)*100</f>
        <v>85.357458154608338</v>
      </c>
      <c r="AL175" s="20">
        <f>Table9[[#This Row],[RLower(max) (kΩ)]]/(Table9[[#This Row],[RLower(max) (kΩ)]]+RT1_TH_S_MIN)*100</f>
        <v>85.382437493546604</v>
      </c>
      <c r="AM175" s="20">
        <f>IF(Table9[[#This Row],[Vmin (%)]]&lt;$BA$14, 0, IF(Table9[[#This Row],[Vmin (%)]]&lt;$BA$12, 4, IF(Table9[[#This Row],[Vmin (%)]]&lt;$BA$9, 3, IF(Table9[[#This Row],[Vmin (%)]]&lt;$BA$7, 2, 0))))</f>
        <v>0</v>
      </c>
      <c r="AN175" s="20">
        <f>IF(Table9[[#This Row],[Vmin (%)]]&lt;$BA$13, 0, IF(Table9[[#This Row],[Vmin (%)]]&lt;$BA$11, 4, IF(Table9[[#This Row],[Vmin (%)]]&lt;$BA$10, 3, IF(Table9[[#This Row],[Vmin (%)]]&lt;$BA$8, 2, 0))))</f>
        <v>0</v>
      </c>
      <c r="AO175" s="76" t="str">
        <f>IF(Table9[[#This Row],[Vmin (%)]]&lt;$BA$14, "Hot", IF(Table9[[#This Row],[Vmin (%)]]&lt;$BA$12, "Warm", IF(Table9[[#This Row],[Vmin (%)]]&lt;$BA$9, "Normal", IF(Table9[[#This Row],[Vmin (%)]]&lt;$BA$7, "Cool", "Cold"))))</f>
        <v>Cold</v>
      </c>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c r="FJ175" s="19"/>
      <c r="FK175" s="19"/>
      <c r="FL175" s="19"/>
      <c r="FM175" s="19"/>
      <c r="FN175" s="19"/>
      <c r="FO175" s="19"/>
      <c r="FP175" s="19"/>
      <c r="FQ175" s="19"/>
      <c r="FR175" s="19"/>
      <c r="FS175" s="19"/>
      <c r="FT175" s="19"/>
      <c r="FU175" s="19"/>
      <c r="FV175" s="19"/>
      <c r="FW175" s="19"/>
      <c r="FX175" s="19"/>
      <c r="FY175" s="19"/>
      <c r="FZ175" s="19"/>
      <c r="GA175" s="19"/>
      <c r="GB175" s="19"/>
      <c r="GC175" s="19"/>
      <c r="GD175" s="19"/>
      <c r="GE175" s="19"/>
      <c r="GF175" s="19"/>
      <c r="GG175" s="19"/>
      <c r="GH175" s="19"/>
      <c r="GI175" s="19"/>
      <c r="GJ175" s="19"/>
      <c r="GK175" s="19"/>
      <c r="GL175" s="19"/>
      <c r="GM175" s="19"/>
      <c r="GN175" s="19"/>
      <c r="GO175" s="19"/>
      <c r="GP175" s="19"/>
      <c r="GQ175" s="19"/>
      <c r="GR175" s="19"/>
      <c r="GS175" s="19"/>
      <c r="GT175" s="19"/>
      <c r="GU175" s="19"/>
      <c r="GV175" s="19"/>
      <c r="GW175" s="19"/>
      <c r="GX175" s="19"/>
      <c r="GY175" s="19"/>
      <c r="GZ175" s="19"/>
      <c r="HA175" s="19"/>
      <c r="HB175" s="19"/>
    </row>
    <row r="176" spans="1:210" hidden="1" x14ac:dyDescent="0.2">
      <c r="A176" s="113">
        <f t="shared" si="30"/>
        <v>-46</v>
      </c>
      <c r="B176" s="163"/>
      <c r="C176" s="172" t="str">
        <f t="shared" si="25"/>
        <v>RTH at -46 °C</v>
      </c>
      <c r="D176" s="196">
        <f t="shared" si="31"/>
        <v>4.0766666666666662</v>
      </c>
      <c r="E176" s="207">
        <v>9.9999999999999997E+98</v>
      </c>
      <c r="F176" s="208">
        <v>9.9999999999999997E+98</v>
      </c>
      <c r="G176" s="209">
        <v>9.9999999999999997E+98</v>
      </c>
      <c r="H176" s="128" t="s">
        <v>30</v>
      </c>
      <c r="I176" s="29"/>
      <c r="J176" s="29">
        <v>273.39999999999998</v>
      </c>
      <c r="K176" s="29">
        <v>262</v>
      </c>
      <c r="L176" s="29">
        <v>251</v>
      </c>
      <c r="M176" s="29"/>
      <c r="N176" s="29"/>
      <c r="O176" s="29"/>
      <c r="P176" s="29"/>
      <c r="Q176" s="29"/>
      <c r="R176" s="29"/>
      <c r="S176" s="29"/>
      <c r="T176" s="29"/>
      <c r="U176" s="29"/>
      <c r="V176" s="29"/>
      <c r="W176" s="29"/>
      <c r="X176" s="29"/>
      <c r="Y176" s="30"/>
      <c r="Z176" s="18"/>
      <c r="AA176" s="19"/>
      <c r="AB176" s="19"/>
      <c r="AC176" s="20">
        <f t="shared" si="26"/>
        <v>-46</v>
      </c>
      <c r="AD176" s="20">
        <f t="shared" si="27"/>
        <v>9.9999999999999997E+98</v>
      </c>
      <c r="AE176" s="20">
        <f t="shared" si="28"/>
        <v>9.9999999999999997E+98</v>
      </c>
      <c r="AF176" s="20">
        <f t="shared" si="29"/>
        <v>9.9999999999999997E+98</v>
      </c>
      <c r="AG176" s="20">
        <f>Table9[[#This Row],[RTH(min) (kΩ)]]*RT2_TH_MIN/(RT2_TH_MIN+Table9[[#This Row],[RTH(min) (kΩ)]])</f>
        <v>30.474773623767586</v>
      </c>
      <c r="AH176" s="20">
        <f>Table9[[#This Row],[RTH(nom) (kΩ)]]*RT2_TH_S/(RT2_TH_S+Table9[[#This Row],[RTH(nom) (kΩ)]])</f>
        <v>30.505278902670256</v>
      </c>
      <c r="AI176" s="20">
        <f>Table9[[#This Row],[RTH(max) (kΩ)]]*RT2_TH_S_MAX/(RT2_TH_S_MAX+Table9[[#This Row],[RTH(max) (kΩ)]])</f>
        <v>30.535784181572922</v>
      </c>
      <c r="AJ176" s="20">
        <f>Table9[[#This Row],[RLower(min) (kΩ)]]/(Table9[[#This Row],[RLower(min) (kΩ)]]+RT1_TH_S_MAX)*100</f>
        <v>85.332443462432792</v>
      </c>
      <c r="AK176" s="20">
        <f>Table9[[#This Row],[RLower(nom) (kΩ)]]/(Table9[[#This Row],[RLower(nom) (kΩ)]]+RT1_TH_S)*100</f>
        <v>85.357458154608338</v>
      </c>
      <c r="AL176" s="20">
        <f>Table9[[#This Row],[RLower(max) (kΩ)]]/(Table9[[#This Row],[RLower(max) (kΩ)]]+RT1_TH_S_MIN)*100</f>
        <v>85.382437493546604</v>
      </c>
      <c r="AM176" s="20">
        <f>IF(Table9[[#This Row],[Vmin (%)]]&lt;$BA$14, 0, IF(Table9[[#This Row],[Vmin (%)]]&lt;$BA$12, 4, IF(Table9[[#This Row],[Vmin (%)]]&lt;$BA$9, 3, IF(Table9[[#This Row],[Vmin (%)]]&lt;$BA$7, 2, 0))))</f>
        <v>0</v>
      </c>
      <c r="AN176" s="20">
        <f>IF(Table9[[#This Row],[Vmin (%)]]&lt;$BA$13, 0, IF(Table9[[#This Row],[Vmin (%)]]&lt;$BA$11, 4, IF(Table9[[#This Row],[Vmin (%)]]&lt;$BA$10, 3, IF(Table9[[#This Row],[Vmin (%)]]&lt;$BA$8, 2, 0))))</f>
        <v>0</v>
      </c>
      <c r="AO176" s="76" t="str">
        <f>IF(Table9[[#This Row],[Vmin (%)]]&lt;$BA$14, "Hot", IF(Table9[[#This Row],[Vmin (%)]]&lt;$BA$12, "Warm", IF(Table9[[#This Row],[Vmin (%)]]&lt;$BA$9, "Normal", IF(Table9[[#This Row],[Vmin (%)]]&lt;$BA$7, "Cool", "Cold"))))</f>
        <v>Cold</v>
      </c>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c r="FJ176" s="19"/>
      <c r="FK176" s="19"/>
      <c r="FL176" s="19"/>
      <c r="FM176" s="19"/>
      <c r="FN176" s="19"/>
      <c r="FO176" s="19"/>
      <c r="FP176" s="19"/>
      <c r="FQ176" s="19"/>
      <c r="FR176" s="19"/>
      <c r="FS176" s="19"/>
      <c r="FT176" s="19"/>
      <c r="FU176" s="19"/>
      <c r="FV176" s="19"/>
      <c r="FW176" s="19"/>
      <c r="FX176" s="19"/>
      <c r="FY176" s="19"/>
      <c r="FZ176" s="19"/>
      <c r="GA176" s="19"/>
      <c r="GB176" s="19"/>
      <c r="GC176" s="19"/>
      <c r="GD176" s="19"/>
      <c r="GE176" s="19"/>
      <c r="GF176" s="19"/>
      <c r="GG176" s="19"/>
      <c r="GH176" s="19"/>
      <c r="GI176" s="19"/>
      <c r="GJ176" s="19"/>
      <c r="GK176" s="19"/>
      <c r="GL176" s="19"/>
      <c r="GM176" s="19"/>
      <c r="GN176" s="19"/>
      <c r="GO176" s="19"/>
      <c r="GP176" s="19"/>
      <c r="GQ176" s="19"/>
      <c r="GR176" s="19"/>
      <c r="GS176" s="19"/>
      <c r="GT176" s="19"/>
      <c r="GU176" s="19"/>
      <c r="GV176" s="19"/>
      <c r="GW176" s="19"/>
      <c r="GX176" s="19"/>
      <c r="GY176" s="19"/>
      <c r="GZ176" s="19"/>
      <c r="HA176" s="19"/>
      <c r="HB176" s="19"/>
    </row>
    <row r="177" spans="1:210" hidden="1" x14ac:dyDescent="0.2">
      <c r="A177" s="113">
        <f t="shared" si="30"/>
        <v>-47</v>
      </c>
      <c r="B177" s="163"/>
      <c r="C177" s="172" t="str">
        <f t="shared" si="25"/>
        <v>RTH at -47 °C</v>
      </c>
      <c r="D177" s="196">
        <f t="shared" si="31"/>
        <v>4.12</v>
      </c>
      <c r="E177" s="207">
        <v>9.9999999999999997E+98</v>
      </c>
      <c r="F177" s="208">
        <v>9.9999999999999997E+98</v>
      </c>
      <c r="G177" s="209">
        <v>9.9999999999999997E+98</v>
      </c>
      <c r="H177" s="128" t="s">
        <v>30</v>
      </c>
      <c r="I177" s="29"/>
      <c r="J177" s="29">
        <v>289.39999999999998</v>
      </c>
      <c r="K177" s="29">
        <v>277.2</v>
      </c>
      <c r="L177" s="29">
        <v>265.39999999999998</v>
      </c>
      <c r="M177" s="29"/>
      <c r="N177" s="29"/>
      <c r="O177" s="29"/>
      <c r="P177" s="29"/>
      <c r="Q177" s="29"/>
      <c r="R177" s="29"/>
      <c r="S177" s="29"/>
      <c r="T177" s="29"/>
      <c r="U177" s="29"/>
      <c r="V177" s="29"/>
      <c r="W177" s="29"/>
      <c r="X177" s="29"/>
      <c r="Y177" s="30"/>
      <c r="Z177" s="18"/>
      <c r="AA177" s="19"/>
      <c r="AB177" s="19"/>
      <c r="AC177" s="20">
        <f t="shared" si="26"/>
        <v>-47</v>
      </c>
      <c r="AD177" s="20">
        <f t="shared" si="27"/>
        <v>9.9999999999999997E+98</v>
      </c>
      <c r="AE177" s="20">
        <f t="shared" si="28"/>
        <v>9.9999999999999997E+98</v>
      </c>
      <c r="AF177" s="20">
        <f t="shared" si="29"/>
        <v>9.9999999999999997E+98</v>
      </c>
      <c r="AG177" s="20">
        <f>Table9[[#This Row],[RTH(min) (kΩ)]]*RT2_TH_MIN/(RT2_TH_MIN+Table9[[#This Row],[RTH(min) (kΩ)]])</f>
        <v>30.474773623767586</v>
      </c>
      <c r="AH177" s="20">
        <f>Table9[[#This Row],[RTH(nom) (kΩ)]]*RT2_TH_S/(RT2_TH_S+Table9[[#This Row],[RTH(nom) (kΩ)]])</f>
        <v>30.505278902670256</v>
      </c>
      <c r="AI177" s="20">
        <f>Table9[[#This Row],[RTH(max) (kΩ)]]*RT2_TH_S_MAX/(RT2_TH_S_MAX+Table9[[#This Row],[RTH(max) (kΩ)]])</f>
        <v>30.535784181572922</v>
      </c>
      <c r="AJ177" s="20">
        <f>Table9[[#This Row],[RLower(min) (kΩ)]]/(Table9[[#This Row],[RLower(min) (kΩ)]]+RT1_TH_S_MAX)*100</f>
        <v>85.332443462432792</v>
      </c>
      <c r="AK177" s="20">
        <f>Table9[[#This Row],[RLower(nom) (kΩ)]]/(Table9[[#This Row],[RLower(nom) (kΩ)]]+RT1_TH_S)*100</f>
        <v>85.357458154608338</v>
      </c>
      <c r="AL177" s="20">
        <f>Table9[[#This Row],[RLower(max) (kΩ)]]/(Table9[[#This Row],[RLower(max) (kΩ)]]+RT1_TH_S_MIN)*100</f>
        <v>85.382437493546604</v>
      </c>
      <c r="AM177" s="20">
        <f>IF(Table9[[#This Row],[Vmin (%)]]&lt;$BA$14, 0, IF(Table9[[#This Row],[Vmin (%)]]&lt;$BA$12, 4, IF(Table9[[#This Row],[Vmin (%)]]&lt;$BA$9, 3, IF(Table9[[#This Row],[Vmin (%)]]&lt;$BA$7, 2, 0))))</f>
        <v>0</v>
      </c>
      <c r="AN177" s="20">
        <f>IF(Table9[[#This Row],[Vmin (%)]]&lt;$BA$13, 0, IF(Table9[[#This Row],[Vmin (%)]]&lt;$BA$11, 4, IF(Table9[[#This Row],[Vmin (%)]]&lt;$BA$10, 3, IF(Table9[[#This Row],[Vmin (%)]]&lt;$BA$8, 2, 0))))</f>
        <v>0</v>
      </c>
      <c r="AO177" s="76" t="str">
        <f>IF(Table9[[#This Row],[Vmin (%)]]&lt;$BA$14, "Hot", IF(Table9[[#This Row],[Vmin (%)]]&lt;$BA$12, "Warm", IF(Table9[[#This Row],[Vmin (%)]]&lt;$BA$9, "Normal", IF(Table9[[#This Row],[Vmin (%)]]&lt;$BA$7, "Cool", "Cold"))))</f>
        <v>Cold</v>
      </c>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c r="FJ177" s="19"/>
      <c r="FK177" s="19"/>
      <c r="FL177" s="19"/>
      <c r="FM177" s="19"/>
      <c r="FN177" s="19"/>
      <c r="FO177" s="19"/>
      <c r="FP177" s="19"/>
      <c r="FQ177" s="19"/>
      <c r="FR177" s="19"/>
      <c r="FS177" s="19"/>
      <c r="FT177" s="19"/>
      <c r="FU177" s="19"/>
      <c r="FV177" s="19"/>
      <c r="FW177" s="19"/>
      <c r="FX177" s="19"/>
      <c r="FY177" s="19"/>
      <c r="FZ177" s="19"/>
      <c r="GA177" s="19"/>
      <c r="GB177" s="19"/>
      <c r="GC177" s="19"/>
      <c r="GD177" s="19"/>
      <c r="GE177" s="19"/>
      <c r="GF177" s="19"/>
      <c r="GG177" s="19"/>
      <c r="GH177" s="19"/>
      <c r="GI177" s="19"/>
      <c r="GJ177" s="19"/>
      <c r="GK177" s="19"/>
      <c r="GL177" s="19"/>
      <c r="GM177" s="19"/>
      <c r="GN177" s="19"/>
      <c r="GO177" s="19"/>
      <c r="GP177" s="19"/>
      <c r="GQ177" s="19"/>
      <c r="GR177" s="19"/>
      <c r="GS177" s="19"/>
      <c r="GT177" s="19"/>
      <c r="GU177" s="19"/>
      <c r="GV177" s="19"/>
      <c r="GW177" s="19"/>
      <c r="GX177" s="19"/>
      <c r="GY177" s="19"/>
      <c r="GZ177" s="19"/>
      <c r="HA177" s="19"/>
      <c r="HB177" s="19"/>
    </row>
    <row r="178" spans="1:210" hidden="1" x14ac:dyDescent="0.2">
      <c r="A178" s="113">
        <f t="shared" si="30"/>
        <v>-48</v>
      </c>
      <c r="B178" s="163"/>
      <c r="C178" s="172" t="str">
        <f t="shared" si="25"/>
        <v>RTH at -48 °C</v>
      </c>
      <c r="D178" s="196">
        <f t="shared" si="31"/>
        <v>4.163333333333334</v>
      </c>
      <c r="E178" s="207">
        <v>9.9999999999999997E+98</v>
      </c>
      <c r="F178" s="208">
        <v>9.9999999999999997E+98</v>
      </c>
      <c r="G178" s="209">
        <v>9.9999999999999997E+98</v>
      </c>
      <c r="H178" s="128" t="s">
        <v>30</v>
      </c>
      <c r="I178" s="29"/>
      <c r="J178" s="29">
        <v>306.60000000000002</v>
      </c>
      <c r="K178" s="29">
        <v>293.5</v>
      </c>
      <c r="L178" s="29">
        <v>280.89999999999998</v>
      </c>
      <c r="M178" s="29"/>
      <c r="N178" s="29"/>
      <c r="O178" s="29"/>
      <c r="P178" s="29"/>
      <c r="Q178" s="29"/>
      <c r="R178" s="29"/>
      <c r="S178" s="29"/>
      <c r="T178" s="29"/>
      <c r="U178" s="29"/>
      <c r="V178" s="29"/>
      <c r="W178" s="29"/>
      <c r="X178" s="29"/>
      <c r="Y178" s="30"/>
      <c r="Z178" s="18"/>
      <c r="AA178" s="19"/>
      <c r="AB178" s="19"/>
      <c r="AC178" s="20">
        <f t="shared" si="26"/>
        <v>-48</v>
      </c>
      <c r="AD178" s="20">
        <f t="shared" si="27"/>
        <v>9.9999999999999997E+98</v>
      </c>
      <c r="AE178" s="20">
        <f t="shared" si="28"/>
        <v>9.9999999999999997E+98</v>
      </c>
      <c r="AF178" s="20">
        <f t="shared" si="29"/>
        <v>9.9999999999999997E+98</v>
      </c>
      <c r="AG178" s="20">
        <f>Table9[[#This Row],[RTH(min) (kΩ)]]*RT2_TH_MIN/(RT2_TH_MIN+Table9[[#This Row],[RTH(min) (kΩ)]])</f>
        <v>30.474773623767586</v>
      </c>
      <c r="AH178" s="20">
        <f>Table9[[#This Row],[RTH(nom) (kΩ)]]*RT2_TH_S/(RT2_TH_S+Table9[[#This Row],[RTH(nom) (kΩ)]])</f>
        <v>30.505278902670256</v>
      </c>
      <c r="AI178" s="20">
        <f>Table9[[#This Row],[RTH(max) (kΩ)]]*RT2_TH_S_MAX/(RT2_TH_S_MAX+Table9[[#This Row],[RTH(max) (kΩ)]])</f>
        <v>30.535784181572922</v>
      </c>
      <c r="AJ178" s="20">
        <f>Table9[[#This Row],[RLower(min) (kΩ)]]/(Table9[[#This Row],[RLower(min) (kΩ)]]+RT1_TH_S_MAX)*100</f>
        <v>85.332443462432792</v>
      </c>
      <c r="AK178" s="20">
        <f>Table9[[#This Row],[RLower(nom) (kΩ)]]/(Table9[[#This Row],[RLower(nom) (kΩ)]]+RT1_TH_S)*100</f>
        <v>85.357458154608338</v>
      </c>
      <c r="AL178" s="20">
        <f>Table9[[#This Row],[RLower(max) (kΩ)]]/(Table9[[#This Row],[RLower(max) (kΩ)]]+RT1_TH_S_MIN)*100</f>
        <v>85.382437493546604</v>
      </c>
      <c r="AM178" s="20">
        <f>IF(Table9[[#This Row],[Vmin (%)]]&lt;$BA$14, 0, IF(Table9[[#This Row],[Vmin (%)]]&lt;$BA$12, 4, IF(Table9[[#This Row],[Vmin (%)]]&lt;$BA$9, 3, IF(Table9[[#This Row],[Vmin (%)]]&lt;$BA$7, 2, 0))))</f>
        <v>0</v>
      </c>
      <c r="AN178" s="20">
        <f>IF(Table9[[#This Row],[Vmin (%)]]&lt;$BA$13, 0, IF(Table9[[#This Row],[Vmin (%)]]&lt;$BA$11, 4, IF(Table9[[#This Row],[Vmin (%)]]&lt;$BA$10, 3, IF(Table9[[#This Row],[Vmin (%)]]&lt;$BA$8, 2, 0))))</f>
        <v>0</v>
      </c>
      <c r="AO178" s="76" t="str">
        <f>IF(Table9[[#This Row],[Vmin (%)]]&lt;$BA$14, "Hot", IF(Table9[[#This Row],[Vmin (%)]]&lt;$BA$12, "Warm", IF(Table9[[#This Row],[Vmin (%)]]&lt;$BA$9, "Normal", IF(Table9[[#This Row],[Vmin (%)]]&lt;$BA$7, "Cool", "Cold"))))</f>
        <v>Cold</v>
      </c>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c r="FJ178" s="19"/>
      <c r="FK178" s="19"/>
      <c r="FL178" s="19"/>
      <c r="FM178" s="19"/>
      <c r="FN178" s="19"/>
      <c r="FO178" s="19"/>
      <c r="FP178" s="19"/>
      <c r="FQ178" s="19"/>
      <c r="FR178" s="19"/>
      <c r="FS178" s="19"/>
      <c r="FT178" s="19"/>
      <c r="FU178" s="19"/>
      <c r="FV178" s="19"/>
      <c r="FW178" s="19"/>
      <c r="FX178" s="19"/>
      <c r="FY178" s="19"/>
      <c r="FZ178" s="19"/>
      <c r="GA178" s="19"/>
      <c r="GB178" s="19"/>
      <c r="GC178" s="19"/>
      <c r="GD178" s="19"/>
      <c r="GE178" s="19"/>
      <c r="GF178" s="19"/>
      <c r="GG178" s="19"/>
      <c r="GH178" s="19"/>
      <c r="GI178" s="19"/>
      <c r="GJ178" s="19"/>
      <c r="GK178" s="19"/>
      <c r="GL178" s="19"/>
      <c r="GM178" s="19"/>
      <c r="GN178" s="19"/>
      <c r="GO178" s="19"/>
      <c r="GP178" s="19"/>
      <c r="GQ178" s="19"/>
      <c r="GR178" s="19"/>
      <c r="GS178" s="19"/>
      <c r="GT178" s="19"/>
      <c r="GU178" s="19"/>
      <c r="GV178" s="19"/>
      <c r="GW178" s="19"/>
      <c r="GX178" s="19"/>
      <c r="GY178" s="19"/>
      <c r="GZ178" s="19"/>
      <c r="HA178" s="19"/>
      <c r="HB178" s="19"/>
    </row>
    <row r="179" spans="1:210" hidden="1" x14ac:dyDescent="0.2">
      <c r="A179" s="113">
        <f t="shared" si="30"/>
        <v>-49</v>
      </c>
      <c r="B179" s="163"/>
      <c r="C179" s="172" t="str">
        <f t="shared" si="25"/>
        <v>RTH at -49 °C</v>
      </c>
      <c r="D179" s="196">
        <f t="shared" si="31"/>
        <v>4.206666666666667</v>
      </c>
      <c r="E179" s="207">
        <v>9.9999999999999997E+98</v>
      </c>
      <c r="F179" s="208">
        <v>9.9999999999999997E+98</v>
      </c>
      <c r="G179" s="209">
        <v>9.9999999999999997E+98</v>
      </c>
      <c r="H179" s="128" t="s">
        <v>30</v>
      </c>
      <c r="I179" s="29"/>
      <c r="J179" s="29">
        <v>325</v>
      </c>
      <c r="K179" s="29">
        <v>310.89999999999998</v>
      </c>
      <c r="L179" s="29">
        <v>297.3</v>
      </c>
      <c r="M179" s="29"/>
      <c r="N179" s="29"/>
      <c r="O179" s="29"/>
      <c r="P179" s="29"/>
      <c r="Q179" s="29"/>
      <c r="R179" s="29"/>
      <c r="S179" s="29"/>
      <c r="T179" s="29"/>
      <c r="U179" s="29"/>
      <c r="V179" s="29"/>
      <c r="W179" s="29"/>
      <c r="X179" s="29"/>
      <c r="Y179" s="30"/>
      <c r="Z179" s="18"/>
      <c r="AA179" s="19"/>
      <c r="AB179" s="19"/>
      <c r="AC179" s="20">
        <f t="shared" si="26"/>
        <v>-49</v>
      </c>
      <c r="AD179" s="20">
        <f t="shared" si="27"/>
        <v>9.9999999999999997E+98</v>
      </c>
      <c r="AE179" s="20">
        <f t="shared" si="28"/>
        <v>9.9999999999999997E+98</v>
      </c>
      <c r="AF179" s="20">
        <f t="shared" si="29"/>
        <v>9.9999999999999997E+98</v>
      </c>
      <c r="AG179" s="20">
        <f>Table9[[#This Row],[RTH(min) (kΩ)]]*RT2_TH_MIN/(RT2_TH_MIN+Table9[[#This Row],[RTH(min) (kΩ)]])</f>
        <v>30.474773623767586</v>
      </c>
      <c r="AH179" s="20">
        <f>Table9[[#This Row],[RTH(nom) (kΩ)]]*RT2_TH_S/(RT2_TH_S+Table9[[#This Row],[RTH(nom) (kΩ)]])</f>
        <v>30.505278902670256</v>
      </c>
      <c r="AI179" s="20">
        <f>Table9[[#This Row],[RTH(max) (kΩ)]]*RT2_TH_S_MAX/(RT2_TH_S_MAX+Table9[[#This Row],[RTH(max) (kΩ)]])</f>
        <v>30.535784181572922</v>
      </c>
      <c r="AJ179" s="20">
        <f>Table9[[#This Row],[RLower(min) (kΩ)]]/(Table9[[#This Row],[RLower(min) (kΩ)]]+RT1_TH_S_MAX)*100</f>
        <v>85.332443462432792</v>
      </c>
      <c r="AK179" s="20">
        <f>Table9[[#This Row],[RLower(nom) (kΩ)]]/(Table9[[#This Row],[RLower(nom) (kΩ)]]+RT1_TH_S)*100</f>
        <v>85.357458154608338</v>
      </c>
      <c r="AL179" s="20">
        <f>Table9[[#This Row],[RLower(max) (kΩ)]]/(Table9[[#This Row],[RLower(max) (kΩ)]]+RT1_TH_S_MIN)*100</f>
        <v>85.382437493546604</v>
      </c>
      <c r="AM179" s="20">
        <f>IF(Table9[[#This Row],[Vmin (%)]]&lt;$BA$14, 0, IF(Table9[[#This Row],[Vmin (%)]]&lt;$BA$12, 4, IF(Table9[[#This Row],[Vmin (%)]]&lt;$BA$9, 3, IF(Table9[[#This Row],[Vmin (%)]]&lt;$BA$7, 2, 0))))</f>
        <v>0</v>
      </c>
      <c r="AN179" s="20">
        <f>IF(Table9[[#This Row],[Vmin (%)]]&lt;$BA$13, 0, IF(Table9[[#This Row],[Vmin (%)]]&lt;$BA$11, 4, IF(Table9[[#This Row],[Vmin (%)]]&lt;$BA$10, 3, IF(Table9[[#This Row],[Vmin (%)]]&lt;$BA$8, 2, 0))))</f>
        <v>0</v>
      </c>
      <c r="AO179" s="76" t="str">
        <f>IF(Table9[[#This Row],[Vmin (%)]]&lt;$BA$14, "Hot", IF(Table9[[#This Row],[Vmin (%)]]&lt;$BA$12, "Warm", IF(Table9[[#This Row],[Vmin (%)]]&lt;$BA$9, "Normal", IF(Table9[[#This Row],[Vmin (%)]]&lt;$BA$7, "Cool", "Cold"))))</f>
        <v>Cold</v>
      </c>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c r="FJ179" s="19"/>
      <c r="FK179" s="19"/>
      <c r="FL179" s="19"/>
      <c r="FM179" s="19"/>
      <c r="FN179" s="19"/>
      <c r="FO179" s="19"/>
      <c r="FP179" s="19"/>
      <c r="FQ179" s="19"/>
      <c r="FR179" s="19"/>
      <c r="FS179" s="19"/>
      <c r="FT179" s="19"/>
      <c r="FU179" s="19"/>
      <c r="FV179" s="19"/>
      <c r="FW179" s="19"/>
      <c r="FX179" s="19"/>
      <c r="FY179" s="19"/>
      <c r="FZ179" s="19"/>
      <c r="GA179" s="19"/>
      <c r="GB179" s="19"/>
      <c r="GC179" s="19"/>
      <c r="GD179" s="19"/>
      <c r="GE179" s="19"/>
      <c r="GF179" s="19"/>
      <c r="GG179" s="19"/>
      <c r="GH179" s="19"/>
      <c r="GI179" s="19"/>
      <c r="GJ179" s="19"/>
      <c r="GK179" s="19"/>
      <c r="GL179" s="19"/>
      <c r="GM179" s="19"/>
      <c r="GN179" s="19"/>
      <c r="GO179" s="19"/>
      <c r="GP179" s="19"/>
      <c r="GQ179" s="19"/>
      <c r="GR179" s="19"/>
      <c r="GS179" s="19"/>
      <c r="GT179" s="19"/>
      <c r="GU179" s="19"/>
      <c r="GV179" s="19"/>
      <c r="GW179" s="19"/>
      <c r="GX179" s="19"/>
      <c r="GY179" s="19"/>
      <c r="GZ179" s="19"/>
      <c r="HA179" s="19"/>
      <c r="HB179" s="19"/>
    </row>
    <row r="180" spans="1:210" ht="16" hidden="1" thickBot="1" x14ac:dyDescent="0.25">
      <c r="A180" s="173">
        <f t="shared" si="30"/>
        <v>-50</v>
      </c>
      <c r="B180" s="162"/>
      <c r="C180" s="174" t="str">
        <f t="shared" si="25"/>
        <v>RTH at -50 °C</v>
      </c>
      <c r="D180" s="200">
        <v>4.25</v>
      </c>
      <c r="E180" s="204">
        <v>9.9999999999999997E+98</v>
      </c>
      <c r="F180" s="205">
        <v>9.9999999999999997E+98</v>
      </c>
      <c r="G180" s="206">
        <v>9.9999999999999997E+98</v>
      </c>
      <c r="H180" s="134" t="s">
        <v>30</v>
      </c>
      <c r="I180" s="29"/>
      <c r="J180" s="29">
        <v>344.6</v>
      </c>
      <c r="K180" s="29">
        <v>329.5</v>
      </c>
      <c r="L180" s="29">
        <v>314.89999999999998</v>
      </c>
      <c r="M180" s="29"/>
      <c r="N180" s="29"/>
      <c r="O180" s="29"/>
      <c r="P180" s="29"/>
      <c r="Q180" s="29"/>
      <c r="R180" s="29"/>
      <c r="S180" s="29"/>
      <c r="T180" s="29"/>
      <c r="U180" s="29"/>
      <c r="V180" s="29"/>
      <c r="W180" s="29"/>
      <c r="X180" s="29"/>
      <c r="Y180" s="30"/>
      <c r="Z180" s="18"/>
      <c r="AA180" s="19"/>
      <c r="AB180" s="19"/>
      <c r="AC180" s="20">
        <f t="shared" si="26"/>
        <v>-50</v>
      </c>
      <c r="AD180" s="20">
        <f t="shared" si="27"/>
        <v>9.9999999999999997E+98</v>
      </c>
      <c r="AE180" s="20">
        <f t="shared" si="28"/>
        <v>9.9999999999999997E+98</v>
      </c>
      <c r="AF180" s="20">
        <f t="shared" si="29"/>
        <v>9.9999999999999997E+98</v>
      </c>
      <c r="AG180" s="20">
        <f>Table9[[#This Row],[RTH(min) (kΩ)]]*RT2_TH_MIN/(RT2_TH_MIN+Table9[[#This Row],[RTH(min) (kΩ)]])</f>
        <v>30.474773623767586</v>
      </c>
      <c r="AH180" s="20">
        <f>Table9[[#This Row],[RTH(nom) (kΩ)]]*RT2_TH_S/(RT2_TH_S+Table9[[#This Row],[RTH(nom) (kΩ)]])</f>
        <v>30.505278902670256</v>
      </c>
      <c r="AI180" s="20">
        <f>Table9[[#This Row],[RTH(max) (kΩ)]]*RT2_TH_S_MAX/(RT2_TH_S_MAX+Table9[[#This Row],[RTH(max) (kΩ)]])</f>
        <v>30.535784181572922</v>
      </c>
      <c r="AJ180" s="20">
        <f>Table9[[#This Row],[RLower(min) (kΩ)]]/(Table9[[#This Row],[RLower(min) (kΩ)]]+RT1_TH_S_MAX)*100</f>
        <v>85.332443462432792</v>
      </c>
      <c r="AK180" s="20">
        <f>Table9[[#This Row],[RLower(nom) (kΩ)]]/(Table9[[#This Row],[RLower(nom) (kΩ)]]+RT1_TH_S)*100</f>
        <v>85.357458154608338</v>
      </c>
      <c r="AL180" s="20">
        <f>Table9[[#This Row],[RLower(max) (kΩ)]]/(Table9[[#This Row],[RLower(max) (kΩ)]]+RT1_TH_S_MIN)*100</f>
        <v>85.382437493546604</v>
      </c>
      <c r="AM180" s="20">
        <f>IF(Table9[[#This Row],[Vmin (%)]]&lt;$BA$14, 0, IF(Table9[[#This Row],[Vmin (%)]]&lt;$BA$12, 4, IF(Table9[[#This Row],[Vmin (%)]]&lt;$BA$9, 3, IF(Table9[[#This Row],[Vmin (%)]]&lt;$BA$7, 2, 0))))</f>
        <v>0</v>
      </c>
      <c r="AN180" s="20">
        <f>IF(Table9[[#This Row],[Vmin (%)]]&lt;$BA$13, 0, IF(Table9[[#This Row],[Vmin (%)]]&lt;$BA$11, 4, IF(Table9[[#This Row],[Vmin (%)]]&lt;$BA$10, 3, IF(Table9[[#This Row],[Vmin (%)]]&lt;$BA$8, 2, 0))))</f>
        <v>0</v>
      </c>
      <c r="AO180" s="76" t="str">
        <f>IF(Table9[[#This Row],[Vmin (%)]]&lt;$BA$14, "Hot", IF(Table9[[#This Row],[Vmin (%)]]&lt;$BA$12, "Warm", IF(Table9[[#This Row],[Vmin (%)]]&lt;$BA$9, "Normal", IF(Table9[[#This Row],[Vmin (%)]]&lt;$BA$7, "Cool", "Cold"))))</f>
        <v>Cold</v>
      </c>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row>
    <row r="181" spans="1:210" x14ac:dyDescent="0.2">
      <c r="A181" s="112"/>
      <c r="B181" s="160"/>
      <c r="C181" s="160"/>
      <c r="D181" s="160"/>
      <c r="E181" s="160"/>
      <c r="F181" s="160"/>
      <c r="G181" s="25"/>
      <c r="H181" s="25"/>
      <c r="I181" s="29"/>
      <c r="J181" s="29"/>
      <c r="K181" s="29"/>
      <c r="L181" s="29"/>
      <c r="M181" s="29"/>
      <c r="N181" s="29"/>
      <c r="O181" s="29"/>
      <c r="P181" s="29"/>
      <c r="Q181" s="29"/>
      <c r="R181" s="29"/>
      <c r="S181" s="29"/>
      <c r="T181" s="29"/>
      <c r="U181" s="29"/>
      <c r="V181" s="29"/>
      <c r="W181" s="29"/>
      <c r="X181" s="29"/>
      <c r="Y181" s="30"/>
      <c r="Z181" s="18"/>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c r="FJ181" s="19"/>
      <c r="FK181" s="19"/>
      <c r="FL181" s="19"/>
      <c r="FM181" s="19"/>
      <c r="FN181" s="19"/>
      <c r="FO181" s="19"/>
      <c r="FP181" s="19"/>
      <c r="FQ181" s="19"/>
      <c r="FR181" s="19"/>
      <c r="FS181" s="19"/>
      <c r="FT181" s="19"/>
      <c r="FU181" s="19"/>
      <c r="FV181" s="19"/>
      <c r="FW181" s="19"/>
      <c r="FX181" s="19"/>
      <c r="FY181" s="19"/>
      <c r="FZ181" s="19"/>
      <c r="GA181" s="19"/>
      <c r="GB181" s="19"/>
      <c r="GC181" s="19"/>
      <c r="GD181" s="19"/>
      <c r="GE181" s="19"/>
      <c r="GF181" s="19"/>
      <c r="GG181" s="19"/>
      <c r="GH181" s="19"/>
      <c r="GI181" s="19"/>
      <c r="GJ181" s="19"/>
      <c r="GK181" s="19"/>
      <c r="GL181" s="19"/>
      <c r="GM181" s="19"/>
      <c r="GN181" s="19"/>
      <c r="GO181" s="19"/>
      <c r="GP181" s="19"/>
      <c r="GQ181" s="19"/>
      <c r="GR181" s="19"/>
      <c r="GS181" s="19"/>
      <c r="GT181" s="19"/>
      <c r="GU181" s="19"/>
      <c r="GV181" s="19"/>
      <c r="GW181" s="19"/>
      <c r="GX181" s="19"/>
      <c r="GY181" s="19"/>
      <c r="GZ181" s="19"/>
      <c r="HA181" s="19"/>
      <c r="HB181" s="19"/>
    </row>
    <row r="182" spans="1:210" ht="16" thickBot="1" x14ac:dyDescent="0.25">
      <c r="A182" s="173"/>
      <c r="B182" s="162"/>
      <c r="C182" s="162"/>
      <c r="D182" s="162"/>
      <c r="E182" s="162"/>
      <c r="F182" s="162"/>
      <c r="G182" s="114"/>
      <c r="H182" s="114"/>
      <c r="I182" s="114"/>
      <c r="J182" s="114"/>
      <c r="K182" s="114"/>
      <c r="L182" s="114"/>
      <c r="M182" s="114"/>
      <c r="N182" s="114"/>
      <c r="O182" s="114"/>
      <c r="P182" s="114"/>
      <c r="Q182" s="114"/>
      <c r="R182" s="114"/>
      <c r="S182" s="114"/>
      <c r="T182" s="114"/>
      <c r="U182" s="114"/>
      <c r="V182" s="114"/>
      <c r="W182" s="114"/>
      <c r="X182" s="114"/>
      <c r="Y182" s="115"/>
      <c r="Z182" s="18"/>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c r="FJ182" s="19"/>
      <c r="FK182" s="19"/>
      <c r="FL182" s="19"/>
      <c r="FM182" s="19"/>
      <c r="FN182" s="19"/>
      <c r="FO182" s="19"/>
      <c r="FP182" s="19"/>
      <c r="FQ182" s="19"/>
      <c r="FR182" s="19"/>
      <c r="FS182" s="19"/>
      <c r="FT182" s="19"/>
      <c r="FU182" s="19"/>
      <c r="FV182" s="19"/>
      <c r="FW182" s="19"/>
      <c r="FX182" s="19"/>
      <c r="FY182" s="19"/>
      <c r="FZ182" s="19"/>
      <c r="GA182" s="19"/>
      <c r="GB182" s="19"/>
      <c r="GC182" s="19"/>
      <c r="GD182" s="19"/>
      <c r="GE182" s="19"/>
      <c r="GF182" s="19"/>
      <c r="GG182" s="19"/>
      <c r="GH182" s="19"/>
      <c r="GI182" s="19"/>
      <c r="GJ182" s="19"/>
      <c r="GK182" s="19"/>
      <c r="GL182" s="19"/>
      <c r="GM182" s="19"/>
      <c r="GN182" s="19"/>
      <c r="GO182" s="19"/>
      <c r="GP182" s="19"/>
      <c r="GQ182" s="19"/>
      <c r="GR182" s="19"/>
      <c r="GS182" s="19"/>
      <c r="GT182" s="19"/>
      <c r="GU182" s="19"/>
      <c r="GV182" s="19"/>
      <c r="GW182" s="19"/>
      <c r="GX182" s="19"/>
      <c r="GY182" s="19"/>
      <c r="GZ182" s="19"/>
      <c r="HA182" s="19"/>
      <c r="HB182" s="19"/>
    </row>
    <row r="183" spans="1:210"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c r="FJ183" s="19"/>
      <c r="FK183" s="19"/>
      <c r="FL183" s="19"/>
      <c r="FM183" s="19"/>
      <c r="FN183" s="19"/>
      <c r="FO183" s="19"/>
      <c r="FP183" s="19"/>
      <c r="FQ183" s="19"/>
      <c r="FR183" s="19"/>
      <c r="FS183" s="19"/>
      <c r="FT183" s="19"/>
      <c r="FU183" s="19"/>
      <c r="FV183" s="19"/>
      <c r="FW183" s="19"/>
      <c r="FX183" s="19"/>
      <c r="FY183" s="19"/>
      <c r="FZ183" s="19"/>
      <c r="GA183" s="19"/>
      <c r="GB183" s="19"/>
      <c r="GC183" s="19"/>
      <c r="GD183" s="19"/>
      <c r="GE183" s="19"/>
      <c r="GF183" s="19"/>
      <c r="GG183" s="19"/>
      <c r="GH183" s="19"/>
      <c r="GI183" s="19"/>
      <c r="GJ183" s="19"/>
      <c r="GK183" s="19"/>
      <c r="GL183" s="19"/>
      <c r="GM183" s="19"/>
      <c r="GN183" s="19"/>
      <c r="GO183" s="19"/>
      <c r="GP183" s="19"/>
      <c r="GQ183" s="19"/>
      <c r="GR183" s="19"/>
      <c r="GS183" s="19"/>
      <c r="GT183" s="19"/>
      <c r="GU183" s="19"/>
      <c r="GV183" s="19"/>
      <c r="GW183" s="19"/>
      <c r="GX183" s="19"/>
      <c r="GY183" s="19"/>
      <c r="GZ183" s="19"/>
      <c r="HA183" s="19"/>
      <c r="HB183" s="19"/>
    </row>
    <row r="184" spans="1:210"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row>
    <row r="185" spans="1:210"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c r="FJ185" s="19"/>
      <c r="FK185" s="19"/>
      <c r="FL185" s="19"/>
      <c r="FM185" s="19"/>
      <c r="FN185" s="19"/>
      <c r="FO185" s="19"/>
      <c r="FP185" s="19"/>
      <c r="FQ185" s="19"/>
      <c r="FR185" s="19"/>
      <c r="FS185" s="19"/>
      <c r="FT185" s="19"/>
      <c r="FU185" s="19"/>
      <c r="FV185" s="19"/>
      <c r="FW185" s="19"/>
      <c r="FX185" s="19"/>
      <c r="FY185" s="19"/>
      <c r="FZ185" s="19"/>
      <c r="GA185" s="19"/>
      <c r="GB185" s="19"/>
      <c r="GC185" s="19"/>
      <c r="GD185" s="19"/>
      <c r="GE185" s="19"/>
      <c r="GF185" s="19"/>
      <c r="GG185" s="19"/>
      <c r="GH185" s="19"/>
      <c r="GI185" s="19"/>
      <c r="GJ185" s="19"/>
      <c r="GK185" s="19"/>
      <c r="GL185" s="19"/>
      <c r="GM185" s="19"/>
      <c r="GN185" s="19"/>
      <c r="GO185" s="19"/>
      <c r="GP185" s="19"/>
      <c r="GQ185" s="19"/>
      <c r="GR185" s="19"/>
      <c r="GS185" s="19"/>
      <c r="GT185" s="19"/>
      <c r="GU185" s="19"/>
      <c r="GV185" s="19"/>
      <c r="GW185" s="19"/>
      <c r="GX185" s="19"/>
      <c r="GY185" s="19"/>
      <c r="GZ185" s="19"/>
      <c r="HA185" s="19"/>
      <c r="HB185" s="19"/>
    </row>
    <row r="186" spans="1:210"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c r="FJ186" s="19"/>
      <c r="FK186" s="19"/>
      <c r="FL186" s="19"/>
      <c r="FM186" s="19"/>
      <c r="FN186" s="19"/>
      <c r="FO186" s="19"/>
      <c r="FP186" s="19"/>
      <c r="FQ186" s="19"/>
      <c r="FR186" s="19"/>
      <c r="FS186" s="19"/>
      <c r="FT186" s="19"/>
      <c r="FU186" s="19"/>
      <c r="FV186" s="19"/>
      <c r="FW186" s="19"/>
      <c r="FX186" s="19"/>
      <c r="FY186" s="19"/>
      <c r="FZ186" s="19"/>
      <c r="GA186" s="19"/>
      <c r="GB186" s="19"/>
      <c r="GC186" s="19"/>
      <c r="GD186" s="19"/>
      <c r="GE186" s="19"/>
      <c r="GF186" s="19"/>
      <c r="GG186" s="19"/>
      <c r="GH186" s="19"/>
      <c r="GI186" s="19"/>
      <c r="GJ186" s="19"/>
      <c r="GK186" s="19"/>
      <c r="GL186" s="19"/>
      <c r="GM186" s="19"/>
      <c r="GN186" s="19"/>
      <c r="GO186" s="19"/>
      <c r="GP186" s="19"/>
      <c r="GQ186" s="19"/>
      <c r="GR186" s="19"/>
      <c r="GS186" s="19"/>
      <c r="GT186" s="19"/>
      <c r="GU186" s="19"/>
      <c r="GV186" s="19"/>
      <c r="GW186" s="19"/>
      <c r="GX186" s="19"/>
      <c r="GY186" s="19"/>
      <c r="GZ186" s="19"/>
      <c r="HA186" s="19"/>
      <c r="HB186" s="19"/>
    </row>
    <row r="187" spans="1:210"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c r="FJ187" s="19"/>
      <c r="FK187" s="19"/>
      <c r="FL187" s="19"/>
      <c r="FM187" s="19"/>
      <c r="FN187" s="19"/>
      <c r="FO187" s="19"/>
      <c r="FP187" s="19"/>
      <c r="FQ187" s="19"/>
      <c r="FR187" s="19"/>
      <c r="FS187" s="19"/>
      <c r="FT187" s="19"/>
      <c r="FU187" s="19"/>
      <c r="FV187" s="19"/>
      <c r="FW187" s="19"/>
      <c r="FX187" s="19"/>
      <c r="FY187" s="19"/>
      <c r="FZ187" s="19"/>
      <c r="GA187" s="19"/>
      <c r="GB187" s="19"/>
      <c r="GC187" s="19"/>
      <c r="GD187" s="19"/>
      <c r="GE187" s="19"/>
      <c r="GF187" s="19"/>
      <c r="GG187" s="19"/>
      <c r="GH187" s="19"/>
      <c r="GI187" s="19"/>
      <c r="GJ187" s="19"/>
      <c r="GK187" s="19"/>
      <c r="GL187" s="19"/>
      <c r="GM187" s="19"/>
      <c r="GN187" s="19"/>
      <c r="GO187" s="19"/>
      <c r="GP187" s="19"/>
      <c r="GQ187" s="19"/>
      <c r="GR187" s="19"/>
      <c r="GS187" s="19"/>
      <c r="GT187" s="19"/>
      <c r="GU187" s="19"/>
      <c r="GV187" s="19"/>
      <c r="GW187" s="19"/>
      <c r="GX187" s="19"/>
      <c r="GY187" s="19"/>
      <c r="GZ187" s="19"/>
      <c r="HA187" s="19"/>
      <c r="HB187" s="19"/>
    </row>
    <row r="188" spans="1:210"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c r="FZ188" s="19"/>
      <c r="GA188" s="19"/>
      <c r="GB188" s="19"/>
      <c r="GC188" s="19"/>
      <c r="GD188" s="19"/>
      <c r="GE188" s="19"/>
      <c r="GF188" s="19"/>
      <c r="GG188" s="19"/>
      <c r="GH188" s="19"/>
      <c r="GI188" s="19"/>
      <c r="GJ188" s="19"/>
      <c r="GK188" s="19"/>
      <c r="GL188" s="19"/>
      <c r="GM188" s="19"/>
      <c r="GN188" s="19"/>
      <c r="GO188" s="19"/>
      <c r="GP188" s="19"/>
      <c r="GQ188" s="19"/>
      <c r="GR188" s="19"/>
      <c r="GS188" s="19"/>
      <c r="GT188" s="19"/>
      <c r="GU188" s="19"/>
      <c r="GV188" s="19"/>
      <c r="GW188" s="19"/>
      <c r="GX188" s="19"/>
      <c r="GY188" s="19"/>
      <c r="GZ188" s="19"/>
      <c r="HA188" s="19"/>
      <c r="HB188" s="19"/>
    </row>
    <row r="189" spans="1:210"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row>
    <row r="190" spans="1:210"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c r="FJ190" s="19"/>
      <c r="FK190" s="19"/>
      <c r="FL190" s="19"/>
      <c r="FM190" s="19"/>
      <c r="FN190" s="19"/>
      <c r="FO190" s="19"/>
      <c r="FP190" s="19"/>
      <c r="FQ190" s="19"/>
      <c r="FR190" s="19"/>
      <c r="FS190" s="19"/>
      <c r="FT190" s="19"/>
      <c r="FU190" s="19"/>
      <c r="FV190" s="19"/>
      <c r="FW190" s="19"/>
      <c r="FX190" s="19"/>
      <c r="FY190" s="19"/>
      <c r="FZ190" s="19"/>
      <c r="GA190" s="19"/>
      <c r="GB190" s="19"/>
      <c r="GC190" s="19"/>
      <c r="GD190" s="19"/>
      <c r="GE190" s="19"/>
      <c r="GF190" s="19"/>
      <c r="GG190" s="19"/>
      <c r="GH190" s="19"/>
      <c r="GI190" s="19"/>
      <c r="GJ190" s="19"/>
      <c r="GK190" s="19"/>
      <c r="GL190" s="19"/>
      <c r="GM190" s="19"/>
      <c r="GN190" s="19"/>
      <c r="GO190" s="19"/>
      <c r="GP190" s="19"/>
      <c r="GQ190" s="19"/>
      <c r="GR190" s="19"/>
      <c r="GS190" s="19"/>
      <c r="GT190" s="19"/>
      <c r="GU190" s="19"/>
      <c r="GV190" s="19"/>
      <c r="GW190" s="19"/>
      <c r="GX190" s="19"/>
      <c r="GY190" s="19"/>
      <c r="GZ190" s="19"/>
      <c r="HA190" s="19"/>
      <c r="HB190" s="19"/>
    </row>
    <row r="191" spans="1:210"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c r="FJ191" s="19"/>
      <c r="FK191" s="19"/>
      <c r="FL191" s="19"/>
      <c r="FM191" s="19"/>
      <c r="FN191" s="19"/>
      <c r="FO191" s="19"/>
      <c r="FP191" s="19"/>
      <c r="FQ191" s="19"/>
      <c r="FR191" s="19"/>
      <c r="FS191" s="19"/>
      <c r="FT191" s="19"/>
      <c r="FU191" s="19"/>
      <c r="FV191" s="19"/>
      <c r="FW191" s="19"/>
      <c r="FX191" s="19"/>
      <c r="FY191" s="19"/>
      <c r="FZ191" s="19"/>
      <c r="GA191" s="19"/>
      <c r="GB191" s="19"/>
      <c r="GC191" s="19"/>
      <c r="GD191" s="19"/>
      <c r="GE191" s="19"/>
      <c r="GF191" s="19"/>
      <c r="GG191" s="19"/>
      <c r="GH191" s="19"/>
      <c r="GI191" s="19"/>
      <c r="GJ191" s="19"/>
      <c r="GK191" s="19"/>
      <c r="GL191" s="19"/>
      <c r="GM191" s="19"/>
      <c r="GN191" s="19"/>
      <c r="GO191" s="19"/>
      <c r="GP191" s="19"/>
      <c r="GQ191" s="19"/>
      <c r="GR191" s="19"/>
      <c r="GS191" s="19"/>
      <c r="GT191" s="19"/>
      <c r="GU191" s="19"/>
      <c r="GV191" s="19"/>
      <c r="GW191" s="19"/>
      <c r="GX191" s="19"/>
      <c r="GY191" s="19"/>
      <c r="GZ191" s="19"/>
      <c r="HA191" s="19"/>
      <c r="HB191" s="19"/>
    </row>
    <row r="192" spans="1:210"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c r="FJ192" s="19"/>
      <c r="FK192" s="19"/>
      <c r="FL192" s="19"/>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c r="GU192" s="19"/>
      <c r="GV192" s="19"/>
      <c r="GW192" s="19"/>
      <c r="GX192" s="19"/>
      <c r="GY192" s="19"/>
      <c r="GZ192" s="19"/>
      <c r="HA192" s="19"/>
      <c r="HB192" s="19"/>
    </row>
    <row r="193" spans="1:210"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row>
    <row r="194" spans="1:210"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c r="FJ194" s="19"/>
      <c r="FK194" s="19"/>
      <c r="FL194" s="19"/>
      <c r="FM194" s="19"/>
      <c r="FN194" s="19"/>
      <c r="FO194" s="19"/>
      <c r="FP194" s="19"/>
      <c r="FQ194" s="19"/>
      <c r="FR194" s="19"/>
      <c r="FS194" s="19"/>
      <c r="FT194" s="19"/>
      <c r="FU194" s="19"/>
      <c r="FV194" s="19"/>
      <c r="FW194" s="19"/>
      <c r="FX194" s="19"/>
      <c r="FY194" s="19"/>
      <c r="FZ194" s="19"/>
      <c r="GA194" s="19"/>
      <c r="GB194" s="19"/>
      <c r="GC194" s="19"/>
      <c r="GD194" s="19"/>
      <c r="GE194" s="19"/>
      <c r="GF194" s="19"/>
      <c r="GG194" s="19"/>
      <c r="GH194" s="19"/>
      <c r="GI194" s="19"/>
      <c r="GJ194" s="19"/>
      <c r="GK194" s="19"/>
      <c r="GL194" s="19"/>
      <c r="GM194" s="19"/>
      <c r="GN194" s="19"/>
      <c r="GO194" s="19"/>
      <c r="GP194" s="19"/>
      <c r="GQ194" s="19"/>
      <c r="GR194" s="19"/>
      <c r="GS194" s="19"/>
      <c r="GT194" s="19"/>
      <c r="GU194" s="19"/>
      <c r="GV194" s="19"/>
      <c r="GW194" s="19"/>
      <c r="GX194" s="19"/>
      <c r="GY194" s="19"/>
      <c r="GZ194" s="19"/>
      <c r="HA194" s="19"/>
      <c r="HB194" s="19"/>
    </row>
    <row r="195" spans="1:210"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19"/>
      <c r="GZ195" s="19"/>
      <c r="HA195" s="19"/>
      <c r="HB195" s="19"/>
    </row>
    <row r="196" spans="1:210"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c r="FJ196" s="19"/>
      <c r="FK196" s="19"/>
      <c r="FL196" s="19"/>
      <c r="FM196" s="19"/>
      <c r="FN196" s="19"/>
      <c r="FO196" s="19"/>
      <c r="FP196" s="19"/>
      <c r="FQ196" s="19"/>
      <c r="FR196" s="19"/>
      <c r="FS196" s="19"/>
      <c r="FT196" s="19"/>
      <c r="FU196" s="19"/>
      <c r="FV196" s="19"/>
      <c r="FW196" s="19"/>
      <c r="FX196" s="19"/>
      <c r="FY196" s="19"/>
      <c r="FZ196" s="19"/>
      <c r="GA196" s="19"/>
      <c r="GB196" s="19"/>
      <c r="GC196" s="19"/>
      <c r="GD196" s="19"/>
      <c r="GE196" s="19"/>
      <c r="GF196" s="19"/>
      <c r="GG196" s="19"/>
      <c r="GH196" s="19"/>
      <c r="GI196" s="19"/>
      <c r="GJ196" s="19"/>
      <c r="GK196" s="19"/>
      <c r="GL196" s="19"/>
      <c r="GM196" s="19"/>
      <c r="GN196" s="19"/>
      <c r="GO196" s="19"/>
      <c r="GP196" s="19"/>
      <c r="GQ196" s="19"/>
      <c r="GR196" s="19"/>
      <c r="GS196" s="19"/>
      <c r="GT196" s="19"/>
      <c r="GU196" s="19"/>
      <c r="GV196" s="19"/>
      <c r="GW196" s="19"/>
      <c r="GX196" s="19"/>
      <c r="GY196" s="19"/>
      <c r="GZ196" s="19"/>
      <c r="HA196" s="19"/>
      <c r="HB196" s="19"/>
    </row>
    <row r="197" spans="1:210"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c r="FJ197" s="19"/>
      <c r="FK197" s="19"/>
      <c r="FL197" s="19"/>
      <c r="FM197" s="19"/>
      <c r="FN197" s="19"/>
      <c r="FO197" s="19"/>
      <c r="FP197" s="19"/>
      <c r="FQ197" s="19"/>
      <c r="FR197" s="19"/>
      <c r="FS197" s="19"/>
      <c r="FT197" s="19"/>
      <c r="FU197" s="19"/>
      <c r="FV197" s="19"/>
      <c r="FW197" s="19"/>
      <c r="FX197" s="19"/>
      <c r="FY197" s="19"/>
      <c r="FZ197" s="19"/>
      <c r="GA197" s="19"/>
      <c r="GB197" s="19"/>
      <c r="GC197" s="19"/>
      <c r="GD197" s="19"/>
      <c r="GE197" s="19"/>
      <c r="GF197" s="19"/>
      <c r="GG197" s="19"/>
      <c r="GH197" s="19"/>
      <c r="GI197" s="19"/>
      <c r="GJ197" s="19"/>
      <c r="GK197" s="19"/>
      <c r="GL197" s="19"/>
      <c r="GM197" s="19"/>
      <c r="GN197" s="19"/>
      <c r="GO197" s="19"/>
      <c r="GP197" s="19"/>
      <c r="GQ197" s="19"/>
      <c r="GR197" s="19"/>
      <c r="GS197" s="19"/>
      <c r="GT197" s="19"/>
      <c r="GU197" s="19"/>
      <c r="GV197" s="19"/>
      <c r="GW197" s="19"/>
      <c r="GX197" s="19"/>
      <c r="GY197" s="19"/>
      <c r="GZ197" s="19"/>
      <c r="HA197" s="19"/>
      <c r="HB197" s="19"/>
    </row>
    <row r="198" spans="1:210"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c r="FJ198" s="19"/>
      <c r="FK198" s="19"/>
      <c r="FL198" s="19"/>
      <c r="FM198" s="19"/>
      <c r="FN198" s="19"/>
      <c r="FO198" s="19"/>
      <c r="FP198" s="19"/>
      <c r="FQ198" s="19"/>
      <c r="FR198" s="19"/>
      <c r="FS198" s="19"/>
      <c r="FT198" s="19"/>
      <c r="FU198" s="19"/>
      <c r="FV198" s="19"/>
      <c r="FW198" s="19"/>
      <c r="FX198" s="19"/>
      <c r="FY198" s="19"/>
      <c r="FZ198" s="19"/>
      <c r="GA198" s="19"/>
      <c r="GB198" s="19"/>
      <c r="GC198" s="19"/>
      <c r="GD198" s="19"/>
      <c r="GE198" s="19"/>
      <c r="GF198" s="19"/>
      <c r="GG198" s="19"/>
      <c r="GH198" s="19"/>
      <c r="GI198" s="19"/>
      <c r="GJ198" s="19"/>
      <c r="GK198" s="19"/>
      <c r="GL198" s="19"/>
      <c r="GM198" s="19"/>
      <c r="GN198" s="19"/>
      <c r="GO198" s="19"/>
      <c r="GP198" s="19"/>
      <c r="GQ198" s="19"/>
      <c r="GR198" s="19"/>
      <c r="GS198" s="19"/>
      <c r="GT198" s="19"/>
      <c r="GU198" s="19"/>
      <c r="GV198" s="19"/>
      <c r="GW198" s="19"/>
      <c r="GX198" s="19"/>
      <c r="GY198" s="19"/>
      <c r="GZ198" s="19"/>
      <c r="HA198" s="19"/>
      <c r="HB198" s="19"/>
    </row>
    <row r="199" spans="1:210"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c r="FJ199" s="19"/>
      <c r="FK199" s="19"/>
      <c r="FL199" s="19"/>
      <c r="FM199" s="19"/>
      <c r="FN199" s="19"/>
      <c r="FO199" s="19"/>
      <c r="FP199" s="19"/>
      <c r="FQ199" s="19"/>
      <c r="FR199" s="19"/>
      <c r="FS199" s="19"/>
      <c r="FT199" s="19"/>
      <c r="FU199" s="19"/>
      <c r="FV199" s="19"/>
      <c r="FW199" s="19"/>
      <c r="FX199" s="19"/>
      <c r="FY199" s="19"/>
      <c r="FZ199" s="19"/>
      <c r="GA199" s="19"/>
      <c r="GB199" s="19"/>
      <c r="GC199" s="19"/>
      <c r="GD199" s="19"/>
      <c r="GE199" s="19"/>
      <c r="GF199" s="19"/>
      <c r="GG199" s="19"/>
      <c r="GH199" s="19"/>
      <c r="GI199" s="19"/>
      <c r="GJ199" s="19"/>
      <c r="GK199" s="19"/>
      <c r="GL199" s="19"/>
      <c r="GM199" s="19"/>
      <c r="GN199" s="19"/>
      <c r="GO199" s="19"/>
      <c r="GP199" s="19"/>
      <c r="GQ199" s="19"/>
      <c r="GR199" s="19"/>
      <c r="GS199" s="19"/>
      <c r="GT199" s="19"/>
      <c r="GU199" s="19"/>
      <c r="GV199" s="19"/>
      <c r="GW199" s="19"/>
      <c r="GX199" s="19"/>
      <c r="GY199" s="19"/>
      <c r="GZ199" s="19"/>
      <c r="HA199" s="19"/>
      <c r="HB199" s="19"/>
    </row>
    <row r="200" spans="1:210"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c r="FJ200" s="19"/>
      <c r="FK200" s="19"/>
      <c r="FL200" s="19"/>
      <c r="FM200" s="19"/>
      <c r="FN200" s="19"/>
      <c r="FO200" s="19"/>
      <c r="FP200" s="19"/>
      <c r="FQ200" s="19"/>
      <c r="FR200" s="19"/>
      <c r="FS200" s="19"/>
      <c r="FT200" s="19"/>
      <c r="FU200" s="19"/>
      <c r="FV200" s="19"/>
      <c r="FW200" s="19"/>
      <c r="FX200" s="19"/>
      <c r="FY200" s="19"/>
      <c r="FZ200" s="19"/>
      <c r="GA200" s="19"/>
      <c r="GB200" s="19"/>
      <c r="GC200" s="19"/>
      <c r="GD200" s="19"/>
      <c r="GE200" s="19"/>
      <c r="GF200" s="19"/>
      <c r="GG200" s="19"/>
      <c r="GH200" s="19"/>
      <c r="GI200" s="19"/>
      <c r="GJ200" s="19"/>
      <c r="GK200" s="19"/>
      <c r="GL200" s="19"/>
      <c r="GM200" s="19"/>
      <c r="GN200" s="19"/>
      <c r="GO200" s="19"/>
      <c r="GP200" s="19"/>
      <c r="GQ200" s="19"/>
      <c r="GR200" s="19"/>
      <c r="GS200" s="19"/>
      <c r="GT200" s="19"/>
      <c r="GU200" s="19"/>
      <c r="GV200" s="19"/>
      <c r="GW200" s="19"/>
      <c r="GX200" s="19"/>
      <c r="GY200" s="19"/>
      <c r="GZ200" s="19"/>
      <c r="HA200" s="19"/>
      <c r="HB200" s="19"/>
    </row>
    <row r="201" spans="1:210"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c r="FZ201" s="19"/>
      <c r="GA201" s="19"/>
      <c r="GB201" s="19"/>
      <c r="GC201" s="19"/>
      <c r="GD201" s="19"/>
      <c r="GE201" s="19"/>
      <c r="GF201" s="19"/>
      <c r="GG201" s="19"/>
      <c r="GH201" s="19"/>
      <c r="GI201" s="19"/>
      <c r="GJ201" s="19"/>
      <c r="GK201" s="19"/>
      <c r="GL201" s="19"/>
      <c r="GM201" s="19"/>
      <c r="GN201" s="19"/>
      <c r="GO201" s="19"/>
      <c r="GP201" s="19"/>
      <c r="GQ201" s="19"/>
      <c r="GR201" s="19"/>
      <c r="GS201" s="19"/>
      <c r="GT201" s="19"/>
      <c r="GU201" s="19"/>
      <c r="GV201" s="19"/>
      <c r="GW201" s="19"/>
      <c r="GX201" s="19"/>
      <c r="GY201" s="19"/>
      <c r="GZ201" s="19"/>
      <c r="HA201" s="19"/>
      <c r="HB201" s="19"/>
    </row>
    <row r="202" spans="1:210"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row>
    <row r="203" spans="1:210"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row>
    <row r="204" spans="1:210"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row>
    <row r="205" spans="1:210"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row>
    <row r="206" spans="1:210"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c r="FD206" s="19"/>
      <c r="FE206" s="19"/>
      <c r="FF206" s="19"/>
      <c r="FG206" s="19"/>
      <c r="FH206" s="19"/>
      <c r="FI206" s="19"/>
      <c r="FJ206" s="19"/>
      <c r="FK206" s="19"/>
      <c r="FL206" s="19"/>
      <c r="FM206" s="19"/>
      <c r="FN206" s="19"/>
      <c r="FO206" s="19"/>
      <c r="FP206" s="19"/>
      <c r="FQ206" s="19"/>
      <c r="FR206" s="19"/>
      <c r="FS206" s="19"/>
      <c r="FT206" s="19"/>
      <c r="FU206" s="19"/>
      <c r="FV206" s="19"/>
      <c r="FW206" s="19"/>
      <c r="FX206" s="19"/>
      <c r="FY206" s="19"/>
      <c r="FZ206" s="19"/>
      <c r="GA206" s="19"/>
      <c r="GB206" s="19"/>
      <c r="GC206" s="19"/>
      <c r="GD206" s="19"/>
      <c r="GE206" s="19"/>
      <c r="GF206" s="19"/>
      <c r="GG206" s="19"/>
      <c r="GH206" s="19"/>
      <c r="GI206" s="19"/>
      <c r="GJ206" s="19"/>
      <c r="GK206" s="19"/>
      <c r="GL206" s="19"/>
      <c r="GM206" s="19"/>
      <c r="GN206" s="19"/>
      <c r="GO206" s="19"/>
      <c r="GP206" s="19"/>
      <c r="GQ206" s="19"/>
      <c r="GR206" s="19"/>
      <c r="GS206" s="19"/>
      <c r="GT206" s="19"/>
      <c r="GU206" s="19"/>
      <c r="GV206" s="19"/>
      <c r="GW206" s="19"/>
      <c r="GX206" s="19"/>
      <c r="GY206" s="19"/>
      <c r="GZ206" s="19"/>
      <c r="HA206" s="19"/>
      <c r="HB206" s="19"/>
    </row>
    <row r="207" spans="1:210"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c r="FD207" s="19"/>
      <c r="FE207" s="19"/>
      <c r="FF207" s="19"/>
      <c r="FG207" s="19"/>
      <c r="FH207" s="19"/>
      <c r="FI207" s="19"/>
      <c r="FJ207" s="19"/>
      <c r="FK207" s="19"/>
      <c r="FL207" s="19"/>
      <c r="FM207" s="19"/>
      <c r="FN207" s="19"/>
      <c r="FO207" s="19"/>
      <c r="FP207" s="19"/>
      <c r="FQ207" s="19"/>
      <c r="FR207" s="19"/>
      <c r="FS207" s="19"/>
      <c r="FT207" s="19"/>
      <c r="FU207" s="19"/>
      <c r="FV207" s="19"/>
      <c r="FW207" s="19"/>
      <c r="FX207" s="19"/>
      <c r="FY207" s="19"/>
      <c r="FZ207" s="19"/>
      <c r="GA207" s="19"/>
      <c r="GB207" s="19"/>
      <c r="GC207" s="19"/>
      <c r="GD207" s="19"/>
      <c r="GE207" s="19"/>
      <c r="GF207" s="19"/>
      <c r="GG207" s="19"/>
      <c r="GH207" s="19"/>
      <c r="GI207" s="19"/>
      <c r="GJ207" s="19"/>
      <c r="GK207" s="19"/>
      <c r="GL207" s="19"/>
      <c r="GM207" s="19"/>
      <c r="GN207" s="19"/>
      <c r="GO207" s="19"/>
      <c r="GP207" s="19"/>
      <c r="GQ207" s="19"/>
      <c r="GR207" s="19"/>
      <c r="GS207" s="19"/>
      <c r="GT207" s="19"/>
      <c r="GU207" s="19"/>
      <c r="GV207" s="19"/>
      <c r="GW207" s="19"/>
      <c r="GX207" s="19"/>
      <c r="GY207" s="19"/>
      <c r="GZ207" s="19"/>
      <c r="HA207" s="19"/>
      <c r="HB207" s="19"/>
    </row>
    <row r="208" spans="1:210"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c r="FJ208" s="19"/>
      <c r="FK208" s="19"/>
      <c r="FL208" s="19"/>
      <c r="FM208" s="19"/>
      <c r="FN208" s="19"/>
      <c r="FO208" s="19"/>
      <c r="FP208" s="19"/>
      <c r="FQ208" s="19"/>
      <c r="FR208" s="19"/>
      <c r="FS208" s="19"/>
      <c r="FT208" s="19"/>
      <c r="FU208" s="19"/>
      <c r="FV208" s="19"/>
      <c r="FW208" s="19"/>
      <c r="FX208" s="19"/>
      <c r="FY208" s="19"/>
      <c r="FZ208" s="19"/>
      <c r="GA208" s="19"/>
      <c r="GB208" s="19"/>
      <c r="GC208" s="19"/>
      <c r="GD208" s="19"/>
      <c r="GE208" s="19"/>
      <c r="GF208" s="19"/>
      <c r="GG208" s="19"/>
      <c r="GH208" s="19"/>
      <c r="GI208" s="19"/>
      <c r="GJ208" s="19"/>
      <c r="GK208" s="19"/>
      <c r="GL208" s="19"/>
      <c r="GM208" s="19"/>
      <c r="GN208" s="19"/>
      <c r="GO208" s="19"/>
      <c r="GP208" s="19"/>
      <c r="GQ208" s="19"/>
      <c r="GR208" s="19"/>
      <c r="GS208" s="19"/>
      <c r="GT208" s="19"/>
      <c r="GU208" s="19"/>
      <c r="GV208" s="19"/>
      <c r="GW208" s="19"/>
      <c r="GX208" s="19"/>
      <c r="GY208" s="19"/>
      <c r="GZ208" s="19"/>
      <c r="HA208" s="19"/>
      <c r="HB208" s="19"/>
    </row>
    <row r="209" spans="1:210"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c r="FJ209" s="19"/>
      <c r="FK209" s="19"/>
      <c r="FL209" s="19"/>
      <c r="FM209" s="19"/>
      <c r="FN209" s="19"/>
      <c r="FO209" s="19"/>
      <c r="FP209" s="19"/>
      <c r="FQ209" s="19"/>
      <c r="FR209" s="19"/>
      <c r="FS209" s="19"/>
      <c r="FT209" s="19"/>
      <c r="FU209" s="19"/>
      <c r="FV209" s="19"/>
      <c r="FW209" s="19"/>
      <c r="FX209" s="19"/>
      <c r="FY209" s="19"/>
      <c r="FZ209" s="19"/>
      <c r="GA209" s="19"/>
      <c r="GB209" s="19"/>
      <c r="GC209" s="19"/>
      <c r="GD209" s="19"/>
      <c r="GE209" s="19"/>
      <c r="GF209" s="19"/>
      <c r="GG209" s="19"/>
      <c r="GH209" s="19"/>
      <c r="GI209" s="19"/>
      <c r="GJ209" s="19"/>
      <c r="GK209" s="19"/>
      <c r="GL209" s="19"/>
      <c r="GM209" s="19"/>
      <c r="GN209" s="19"/>
      <c r="GO209" s="19"/>
      <c r="GP209" s="19"/>
      <c r="GQ209" s="19"/>
      <c r="GR209" s="19"/>
      <c r="GS209" s="19"/>
      <c r="GT209" s="19"/>
      <c r="GU209" s="19"/>
      <c r="GV209" s="19"/>
      <c r="GW209" s="19"/>
      <c r="GX209" s="19"/>
      <c r="GY209" s="19"/>
      <c r="GZ209" s="19"/>
      <c r="HA209" s="19"/>
      <c r="HB209" s="19"/>
    </row>
    <row r="210" spans="1:210"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c r="FJ210" s="19"/>
      <c r="FK210" s="19"/>
      <c r="FL210" s="19"/>
      <c r="FM210" s="19"/>
      <c r="FN210" s="19"/>
      <c r="FO210" s="19"/>
      <c r="FP210" s="19"/>
      <c r="FQ210" s="19"/>
      <c r="FR210" s="19"/>
      <c r="FS210" s="19"/>
      <c r="FT210" s="19"/>
      <c r="FU210" s="19"/>
      <c r="FV210" s="19"/>
      <c r="FW210" s="19"/>
      <c r="FX210" s="19"/>
      <c r="FY210" s="19"/>
      <c r="FZ210" s="19"/>
      <c r="GA210" s="19"/>
      <c r="GB210" s="19"/>
      <c r="GC210" s="19"/>
      <c r="GD210" s="19"/>
      <c r="GE210" s="19"/>
      <c r="GF210" s="19"/>
      <c r="GG210" s="19"/>
      <c r="GH210" s="19"/>
      <c r="GI210" s="19"/>
      <c r="GJ210" s="19"/>
      <c r="GK210" s="19"/>
      <c r="GL210" s="19"/>
      <c r="GM210" s="19"/>
      <c r="GN210" s="19"/>
      <c r="GO210" s="19"/>
      <c r="GP210" s="19"/>
      <c r="GQ210" s="19"/>
      <c r="GR210" s="19"/>
      <c r="GS210" s="19"/>
      <c r="GT210" s="19"/>
      <c r="GU210" s="19"/>
      <c r="GV210" s="19"/>
      <c r="GW210" s="19"/>
      <c r="GX210" s="19"/>
      <c r="GY210" s="19"/>
      <c r="GZ210" s="19"/>
      <c r="HA210" s="19"/>
      <c r="HB210" s="19"/>
    </row>
    <row r="211" spans="1:210"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row>
    <row r="212" spans="1:210"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c r="FZ212" s="19"/>
      <c r="GA212" s="19"/>
      <c r="GB212" s="19"/>
      <c r="GC212" s="19"/>
      <c r="GD212" s="19"/>
      <c r="GE212" s="19"/>
      <c r="GF212" s="19"/>
      <c r="GG212" s="19"/>
      <c r="GH212" s="19"/>
      <c r="GI212" s="19"/>
      <c r="GJ212" s="19"/>
      <c r="GK212" s="19"/>
      <c r="GL212" s="19"/>
      <c r="GM212" s="19"/>
      <c r="GN212" s="19"/>
      <c r="GO212" s="19"/>
      <c r="GP212" s="19"/>
      <c r="GQ212" s="19"/>
      <c r="GR212" s="19"/>
      <c r="GS212" s="19"/>
      <c r="GT212" s="19"/>
      <c r="GU212" s="19"/>
      <c r="GV212" s="19"/>
      <c r="GW212" s="19"/>
      <c r="GX212" s="19"/>
      <c r="GY212" s="19"/>
      <c r="GZ212" s="19"/>
      <c r="HA212" s="19"/>
      <c r="HB212" s="19"/>
    </row>
    <row r="213" spans="1:210"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row>
    <row r="214" spans="1:210"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row>
    <row r="215" spans="1:210"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c r="FJ215" s="19"/>
      <c r="FK215" s="19"/>
      <c r="FL215" s="19"/>
      <c r="FM215" s="19"/>
      <c r="FN215" s="19"/>
      <c r="FO215" s="19"/>
      <c r="FP215" s="19"/>
      <c r="FQ215" s="19"/>
      <c r="FR215" s="19"/>
      <c r="FS215" s="19"/>
      <c r="FT215" s="19"/>
      <c r="FU215" s="19"/>
      <c r="FV215" s="19"/>
      <c r="FW215" s="19"/>
      <c r="FX215" s="19"/>
      <c r="FY215" s="19"/>
      <c r="FZ215" s="19"/>
      <c r="GA215" s="19"/>
      <c r="GB215" s="19"/>
      <c r="GC215" s="19"/>
      <c r="GD215" s="19"/>
      <c r="GE215" s="19"/>
      <c r="GF215" s="19"/>
      <c r="GG215" s="19"/>
      <c r="GH215" s="19"/>
      <c r="GI215" s="19"/>
      <c r="GJ215" s="19"/>
      <c r="GK215" s="19"/>
      <c r="GL215" s="19"/>
      <c r="GM215" s="19"/>
      <c r="GN215" s="19"/>
      <c r="GO215" s="19"/>
      <c r="GP215" s="19"/>
      <c r="GQ215" s="19"/>
      <c r="GR215" s="19"/>
      <c r="GS215" s="19"/>
      <c r="GT215" s="19"/>
      <c r="GU215" s="19"/>
      <c r="GV215" s="19"/>
      <c r="GW215" s="19"/>
      <c r="GX215" s="19"/>
      <c r="GY215" s="19"/>
      <c r="GZ215" s="19"/>
      <c r="HA215" s="19"/>
      <c r="HB215" s="19"/>
    </row>
    <row r="216" spans="1:210"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c r="FJ216" s="19"/>
      <c r="FK216" s="19"/>
      <c r="FL216" s="19"/>
      <c r="FM216" s="19"/>
      <c r="FN216" s="19"/>
      <c r="FO216" s="19"/>
      <c r="FP216" s="19"/>
      <c r="FQ216" s="19"/>
      <c r="FR216" s="19"/>
      <c r="FS216" s="19"/>
      <c r="FT216" s="19"/>
      <c r="FU216" s="19"/>
      <c r="FV216" s="19"/>
      <c r="FW216" s="19"/>
      <c r="FX216" s="19"/>
      <c r="FY216" s="19"/>
      <c r="FZ216" s="19"/>
      <c r="GA216" s="19"/>
      <c r="GB216" s="19"/>
      <c r="GC216" s="19"/>
      <c r="GD216" s="19"/>
      <c r="GE216" s="19"/>
      <c r="GF216" s="19"/>
      <c r="GG216" s="19"/>
      <c r="GH216" s="19"/>
      <c r="GI216" s="19"/>
      <c r="GJ216" s="19"/>
      <c r="GK216" s="19"/>
      <c r="GL216" s="19"/>
      <c r="GM216" s="19"/>
      <c r="GN216" s="19"/>
      <c r="GO216" s="19"/>
      <c r="GP216" s="19"/>
      <c r="GQ216" s="19"/>
      <c r="GR216" s="19"/>
      <c r="GS216" s="19"/>
      <c r="GT216" s="19"/>
      <c r="GU216" s="19"/>
      <c r="GV216" s="19"/>
      <c r="GW216" s="19"/>
      <c r="GX216" s="19"/>
      <c r="GY216" s="19"/>
      <c r="GZ216" s="19"/>
      <c r="HA216" s="19"/>
      <c r="HB216" s="19"/>
    </row>
    <row r="217" spans="1:210"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c r="FJ217" s="19"/>
      <c r="FK217" s="19"/>
      <c r="FL217" s="19"/>
      <c r="FM217" s="19"/>
      <c r="FN217" s="19"/>
      <c r="FO217" s="19"/>
      <c r="FP217" s="19"/>
      <c r="FQ217" s="19"/>
      <c r="FR217" s="19"/>
      <c r="FS217" s="19"/>
      <c r="FT217" s="19"/>
      <c r="FU217" s="19"/>
      <c r="FV217" s="19"/>
      <c r="FW217" s="19"/>
      <c r="FX217" s="19"/>
      <c r="FY217" s="19"/>
      <c r="FZ217" s="19"/>
      <c r="GA217" s="19"/>
      <c r="GB217" s="19"/>
      <c r="GC217" s="19"/>
      <c r="GD217" s="19"/>
      <c r="GE217" s="19"/>
      <c r="GF217" s="19"/>
      <c r="GG217" s="19"/>
      <c r="GH217" s="19"/>
      <c r="GI217" s="19"/>
      <c r="GJ217" s="19"/>
      <c r="GK217" s="19"/>
      <c r="GL217" s="19"/>
      <c r="GM217" s="19"/>
      <c r="GN217" s="19"/>
      <c r="GO217" s="19"/>
      <c r="GP217" s="19"/>
      <c r="GQ217" s="19"/>
      <c r="GR217" s="19"/>
      <c r="GS217" s="19"/>
      <c r="GT217" s="19"/>
      <c r="GU217" s="19"/>
      <c r="GV217" s="19"/>
      <c r="GW217" s="19"/>
      <c r="GX217" s="19"/>
      <c r="GY217" s="19"/>
      <c r="GZ217" s="19"/>
      <c r="HA217" s="19"/>
      <c r="HB217" s="19"/>
    </row>
    <row r="218" spans="1:210"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c r="FZ218" s="19"/>
      <c r="GA218" s="19"/>
      <c r="GB218" s="19"/>
      <c r="GC218" s="19"/>
      <c r="GD218" s="19"/>
      <c r="GE218" s="19"/>
      <c r="GF218" s="19"/>
      <c r="GG218" s="19"/>
      <c r="GH218" s="19"/>
      <c r="GI218" s="19"/>
      <c r="GJ218" s="19"/>
      <c r="GK218" s="19"/>
      <c r="GL218" s="19"/>
      <c r="GM218" s="19"/>
      <c r="GN218" s="19"/>
      <c r="GO218" s="19"/>
      <c r="GP218" s="19"/>
      <c r="GQ218" s="19"/>
      <c r="GR218" s="19"/>
      <c r="GS218" s="19"/>
      <c r="GT218" s="19"/>
      <c r="GU218" s="19"/>
      <c r="GV218" s="19"/>
      <c r="GW218" s="19"/>
      <c r="GX218" s="19"/>
      <c r="GY218" s="19"/>
      <c r="GZ218" s="19"/>
      <c r="HA218" s="19"/>
      <c r="HB218" s="19"/>
    </row>
    <row r="219" spans="1:210"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row>
    <row r="220" spans="1:210"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c r="FJ220" s="19"/>
      <c r="FK220" s="19"/>
      <c r="FL220" s="19"/>
      <c r="FM220" s="19"/>
      <c r="FN220" s="19"/>
      <c r="FO220" s="19"/>
      <c r="FP220" s="19"/>
      <c r="FQ220" s="19"/>
      <c r="FR220" s="19"/>
      <c r="FS220" s="19"/>
      <c r="FT220" s="19"/>
      <c r="FU220" s="19"/>
      <c r="FV220" s="19"/>
      <c r="FW220" s="19"/>
      <c r="FX220" s="19"/>
      <c r="FY220" s="19"/>
      <c r="FZ220" s="19"/>
      <c r="GA220" s="19"/>
      <c r="GB220" s="19"/>
      <c r="GC220" s="19"/>
      <c r="GD220" s="19"/>
      <c r="GE220" s="19"/>
      <c r="GF220" s="19"/>
      <c r="GG220" s="19"/>
      <c r="GH220" s="19"/>
      <c r="GI220" s="19"/>
      <c r="GJ220" s="19"/>
      <c r="GK220" s="19"/>
      <c r="GL220" s="19"/>
      <c r="GM220" s="19"/>
      <c r="GN220" s="19"/>
      <c r="GO220" s="19"/>
      <c r="GP220" s="19"/>
      <c r="GQ220" s="19"/>
      <c r="GR220" s="19"/>
      <c r="GS220" s="19"/>
      <c r="GT220" s="19"/>
      <c r="GU220" s="19"/>
      <c r="GV220" s="19"/>
      <c r="GW220" s="19"/>
      <c r="GX220" s="19"/>
      <c r="GY220" s="19"/>
      <c r="GZ220" s="19"/>
      <c r="HA220" s="19"/>
      <c r="HB220" s="19"/>
    </row>
    <row r="221" spans="1:210"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c r="FJ221" s="19"/>
      <c r="FK221" s="19"/>
      <c r="FL221" s="19"/>
      <c r="FM221" s="19"/>
      <c r="FN221" s="19"/>
      <c r="FO221" s="19"/>
      <c r="FP221" s="19"/>
      <c r="FQ221" s="19"/>
      <c r="FR221" s="19"/>
      <c r="FS221" s="19"/>
      <c r="FT221" s="19"/>
      <c r="FU221" s="19"/>
      <c r="FV221" s="19"/>
      <c r="FW221" s="19"/>
      <c r="FX221" s="19"/>
      <c r="FY221" s="19"/>
      <c r="FZ221" s="19"/>
      <c r="GA221" s="19"/>
      <c r="GB221" s="19"/>
      <c r="GC221" s="19"/>
      <c r="GD221" s="19"/>
      <c r="GE221" s="19"/>
      <c r="GF221" s="19"/>
      <c r="GG221" s="19"/>
      <c r="GH221" s="19"/>
      <c r="GI221" s="19"/>
      <c r="GJ221" s="19"/>
      <c r="GK221" s="19"/>
      <c r="GL221" s="19"/>
      <c r="GM221" s="19"/>
      <c r="GN221" s="19"/>
      <c r="GO221" s="19"/>
      <c r="GP221" s="19"/>
      <c r="GQ221" s="19"/>
      <c r="GR221" s="19"/>
      <c r="GS221" s="19"/>
      <c r="GT221" s="19"/>
      <c r="GU221" s="19"/>
      <c r="GV221" s="19"/>
      <c r="GW221" s="19"/>
      <c r="GX221" s="19"/>
      <c r="GY221" s="19"/>
      <c r="GZ221" s="19"/>
      <c r="HA221" s="19"/>
      <c r="HB221" s="19"/>
    </row>
    <row r="222" spans="1:210"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c r="FJ222" s="19"/>
      <c r="FK222" s="19"/>
      <c r="FL222" s="19"/>
      <c r="FM222" s="19"/>
      <c r="FN222" s="19"/>
      <c r="FO222" s="19"/>
      <c r="FP222" s="19"/>
      <c r="FQ222" s="19"/>
      <c r="FR222" s="19"/>
      <c r="FS222" s="19"/>
      <c r="FT222" s="19"/>
      <c r="FU222" s="19"/>
      <c r="FV222" s="19"/>
      <c r="FW222" s="19"/>
      <c r="FX222" s="19"/>
      <c r="FY222" s="19"/>
      <c r="FZ222" s="19"/>
      <c r="GA222" s="19"/>
      <c r="GB222" s="19"/>
      <c r="GC222" s="19"/>
      <c r="GD222" s="19"/>
      <c r="GE222" s="19"/>
      <c r="GF222" s="19"/>
      <c r="GG222" s="19"/>
      <c r="GH222" s="19"/>
      <c r="GI222" s="19"/>
      <c r="GJ222" s="19"/>
      <c r="GK222" s="19"/>
      <c r="GL222" s="19"/>
      <c r="GM222" s="19"/>
      <c r="GN222" s="19"/>
      <c r="GO222" s="19"/>
      <c r="GP222" s="19"/>
      <c r="GQ222" s="19"/>
      <c r="GR222" s="19"/>
      <c r="GS222" s="19"/>
      <c r="GT222" s="19"/>
      <c r="GU222" s="19"/>
      <c r="GV222" s="19"/>
      <c r="GW222" s="19"/>
      <c r="GX222" s="19"/>
      <c r="GY222" s="19"/>
      <c r="GZ222" s="19"/>
      <c r="HA222" s="19"/>
      <c r="HB222" s="19"/>
    </row>
    <row r="223" spans="1:210"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c r="FJ223" s="19"/>
      <c r="FK223" s="19"/>
      <c r="FL223" s="19"/>
      <c r="FM223" s="19"/>
      <c r="FN223" s="19"/>
      <c r="FO223" s="19"/>
      <c r="FP223" s="19"/>
      <c r="FQ223" s="19"/>
      <c r="FR223" s="19"/>
      <c r="FS223" s="19"/>
      <c r="FT223" s="19"/>
      <c r="FU223" s="19"/>
      <c r="FV223" s="19"/>
      <c r="FW223" s="19"/>
      <c r="FX223" s="19"/>
      <c r="FY223" s="19"/>
      <c r="FZ223" s="19"/>
      <c r="GA223" s="19"/>
      <c r="GB223" s="19"/>
      <c r="GC223" s="19"/>
      <c r="GD223" s="19"/>
      <c r="GE223" s="19"/>
      <c r="GF223" s="19"/>
      <c r="GG223" s="19"/>
      <c r="GH223" s="19"/>
      <c r="GI223" s="19"/>
      <c r="GJ223" s="19"/>
      <c r="GK223" s="19"/>
      <c r="GL223" s="19"/>
      <c r="GM223" s="19"/>
      <c r="GN223" s="19"/>
      <c r="GO223" s="19"/>
      <c r="GP223" s="19"/>
      <c r="GQ223" s="19"/>
      <c r="GR223" s="19"/>
      <c r="GS223" s="19"/>
      <c r="GT223" s="19"/>
      <c r="GU223" s="19"/>
      <c r="GV223" s="19"/>
      <c r="GW223" s="19"/>
      <c r="GX223" s="19"/>
      <c r="GY223" s="19"/>
      <c r="GZ223" s="19"/>
      <c r="HA223" s="19"/>
      <c r="HB223" s="19"/>
    </row>
    <row r="224" spans="1:210"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c r="FJ224" s="19"/>
      <c r="FK224" s="19"/>
      <c r="FL224" s="19"/>
      <c r="FM224" s="19"/>
      <c r="FN224" s="19"/>
      <c r="FO224" s="19"/>
      <c r="FP224" s="19"/>
      <c r="FQ224" s="19"/>
      <c r="FR224" s="19"/>
      <c r="FS224" s="19"/>
      <c r="FT224" s="19"/>
      <c r="FU224" s="19"/>
      <c r="FV224" s="19"/>
      <c r="FW224" s="19"/>
      <c r="FX224" s="19"/>
      <c r="FY224" s="19"/>
      <c r="FZ224" s="19"/>
      <c r="GA224" s="19"/>
      <c r="GB224" s="19"/>
      <c r="GC224" s="19"/>
      <c r="GD224" s="19"/>
      <c r="GE224" s="19"/>
      <c r="GF224" s="19"/>
      <c r="GG224" s="19"/>
      <c r="GH224" s="19"/>
      <c r="GI224" s="19"/>
      <c r="GJ224" s="19"/>
      <c r="GK224" s="19"/>
      <c r="GL224" s="19"/>
      <c r="GM224" s="19"/>
      <c r="GN224" s="19"/>
      <c r="GO224" s="19"/>
      <c r="GP224" s="19"/>
      <c r="GQ224" s="19"/>
      <c r="GR224" s="19"/>
      <c r="GS224" s="19"/>
      <c r="GT224" s="19"/>
      <c r="GU224" s="19"/>
      <c r="GV224" s="19"/>
      <c r="GW224" s="19"/>
      <c r="GX224" s="19"/>
      <c r="GY224" s="19"/>
      <c r="GZ224" s="19"/>
      <c r="HA224" s="19"/>
      <c r="HB224" s="19"/>
    </row>
    <row r="225" spans="1:210"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c r="FJ225" s="19"/>
      <c r="FK225" s="19"/>
      <c r="FL225" s="19"/>
      <c r="FM225" s="19"/>
      <c r="FN225" s="19"/>
      <c r="FO225" s="19"/>
      <c r="FP225" s="19"/>
      <c r="FQ225" s="19"/>
      <c r="FR225" s="19"/>
      <c r="FS225" s="19"/>
      <c r="FT225" s="19"/>
      <c r="FU225" s="19"/>
      <c r="FV225" s="19"/>
      <c r="FW225" s="19"/>
      <c r="FX225" s="19"/>
      <c r="FY225" s="19"/>
      <c r="FZ225" s="19"/>
      <c r="GA225" s="19"/>
      <c r="GB225" s="19"/>
      <c r="GC225" s="19"/>
      <c r="GD225" s="19"/>
      <c r="GE225" s="19"/>
      <c r="GF225" s="19"/>
      <c r="GG225" s="19"/>
      <c r="GH225" s="19"/>
      <c r="GI225" s="19"/>
      <c r="GJ225" s="19"/>
      <c r="GK225" s="19"/>
      <c r="GL225" s="19"/>
      <c r="GM225" s="19"/>
      <c r="GN225" s="19"/>
      <c r="GO225" s="19"/>
      <c r="GP225" s="19"/>
      <c r="GQ225" s="19"/>
      <c r="GR225" s="19"/>
      <c r="GS225" s="19"/>
      <c r="GT225" s="19"/>
      <c r="GU225" s="19"/>
      <c r="GV225" s="19"/>
      <c r="GW225" s="19"/>
      <c r="GX225" s="19"/>
      <c r="GY225" s="19"/>
      <c r="GZ225" s="19"/>
      <c r="HA225" s="19"/>
      <c r="HB225" s="19"/>
    </row>
    <row r="226" spans="1:210"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c r="FJ226" s="19"/>
      <c r="FK226" s="19"/>
      <c r="FL226" s="19"/>
      <c r="FM226" s="19"/>
      <c r="FN226" s="19"/>
      <c r="FO226" s="19"/>
      <c r="FP226" s="19"/>
      <c r="FQ226" s="19"/>
      <c r="FR226" s="19"/>
      <c r="FS226" s="19"/>
      <c r="FT226" s="19"/>
      <c r="FU226" s="19"/>
      <c r="FV226" s="19"/>
      <c r="FW226" s="19"/>
      <c r="FX226" s="19"/>
      <c r="FY226" s="19"/>
      <c r="FZ226" s="19"/>
      <c r="GA226" s="19"/>
      <c r="GB226" s="19"/>
      <c r="GC226" s="19"/>
      <c r="GD226" s="19"/>
      <c r="GE226" s="19"/>
      <c r="GF226" s="19"/>
      <c r="GG226" s="19"/>
      <c r="GH226" s="19"/>
      <c r="GI226" s="19"/>
      <c r="GJ226" s="19"/>
      <c r="GK226" s="19"/>
      <c r="GL226" s="19"/>
      <c r="GM226" s="19"/>
      <c r="GN226" s="19"/>
      <c r="GO226" s="19"/>
      <c r="GP226" s="19"/>
      <c r="GQ226" s="19"/>
      <c r="GR226" s="19"/>
      <c r="GS226" s="19"/>
      <c r="GT226" s="19"/>
      <c r="GU226" s="19"/>
      <c r="GV226" s="19"/>
      <c r="GW226" s="19"/>
      <c r="GX226" s="19"/>
      <c r="GY226" s="19"/>
      <c r="GZ226" s="19"/>
      <c r="HA226" s="19"/>
      <c r="HB226" s="19"/>
    </row>
    <row r="227" spans="1:210"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c r="FJ227" s="19"/>
      <c r="FK227" s="19"/>
      <c r="FL227" s="19"/>
      <c r="FM227" s="19"/>
      <c r="FN227" s="19"/>
      <c r="FO227" s="19"/>
      <c r="FP227" s="19"/>
      <c r="FQ227" s="19"/>
      <c r="FR227" s="19"/>
      <c r="FS227" s="19"/>
      <c r="FT227" s="19"/>
      <c r="FU227" s="19"/>
      <c r="FV227" s="19"/>
      <c r="FW227" s="19"/>
      <c r="FX227" s="19"/>
      <c r="FY227" s="19"/>
      <c r="FZ227" s="19"/>
      <c r="GA227" s="19"/>
      <c r="GB227" s="19"/>
      <c r="GC227" s="19"/>
      <c r="GD227" s="19"/>
      <c r="GE227" s="19"/>
      <c r="GF227" s="19"/>
      <c r="GG227" s="19"/>
      <c r="GH227" s="19"/>
      <c r="GI227" s="19"/>
      <c r="GJ227" s="19"/>
      <c r="GK227" s="19"/>
      <c r="GL227" s="19"/>
      <c r="GM227" s="19"/>
      <c r="GN227" s="19"/>
      <c r="GO227" s="19"/>
      <c r="GP227" s="19"/>
      <c r="GQ227" s="19"/>
      <c r="GR227" s="19"/>
      <c r="GS227" s="19"/>
      <c r="GT227" s="19"/>
      <c r="GU227" s="19"/>
      <c r="GV227" s="19"/>
      <c r="GW227" s="19"/>
      <c r="GX227" s="19"/>
      <c r="GY227" s="19"/>
      <c r="GZ227" s="19"/>
      <c r="HA227" s="19"/>
      <c r="HB227" s="19"/>
    </row>
    <row r="228" spans="1:210"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c r="FJ228" s="19"/>
      <c r="FK228" s="19"/>
      <c r="FL228" s="19"/>
      <c r="FM228" s="19"/>
      <c r="FN228" s="19"/>
      <c r="FO228" s="19"/>
      <c r="FP228" s="19"/>
      <c r="FQ228" s="19"/>
      <c r="FR228" s="19"/>
      <c r="FS228" s="19"/>
      <c r="FT228" s="19"/>
      <c r="FU228" s="19"/>
      <c r="FV228" s="19"/>
      <c r="FW228" s="19"/>
      <c r="FX228" s="19"/>
      <c r="FY228" s="19"/>
      <c r="FZ228" s="19"/>
      <c r="GA228" s="19"/>
      <c r="GB228" s="19"/>
      <c r="GC228" s="19"/>
      <c r="GD228" s="19"/>
      <c r="GE228" s="19"/>
      <c r="GF228" s="19"/>
      <c r="GG228" s="19"/>
      <c r="GH228" s="19"/>
      <c r="GI228" s="19"/>
      <c r="GJ228" s="19"/>
      <c r="GK228" s="19"/>
      <c r="GL228" s="19"/>
      <c r="GM228" s="19"/>
      <c r="GN228" s="19"/>
      <c r="GO228" s="19"/>
      <c r="GP228" s="19"/>
      <c r="GQ228" s="19"/>
      <c r="GR228" s="19"/>
      <c r="GS228" s="19"/>
      <c r="GT228" s="19"/>
      <c r="GU228" s="19"/>
      <c r="GV228" s="19"/>
      <c r="GW228" s="19"/>
      <c r="GX228" s="19"/>
      <c r="GY228" s="19"/>
      <c r="GZ228" s="19"/>
      <c r="HA228" s="19"/>
      <c r="HB228" s="19"/>
    </row>
    <row r="229" spans="1:210"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c r="FZ229" s="19"/>
      <c r="GA229" s="19"/>
      <c r="GB229" s="19"/>
      <c r="GC229" s="19"/>
      <c r="GD229" s="19"/>
      <c r="GE229" s="19"/>
      <c r="GF229" s="19"/>
      <c r="GG229" s="19"/>
      <c r="GH229" s="19"/>
      <c r="GI229" s="19"/>
      <c r="GJ229" s="19"/>
      <c r="GK229" s="19"/>
      <c r="GL229" s="19"/>
      <c r="GM229" s="19"/>
      <c r="GN229" s="19"/>
      <c r="GO229" s="19"/>
      <c r="GP229" s="19"/>
      <c r="GQ229" s="19"/>
      <c r="GR229" s="19"/>
      <c r="GS229" s="19"/>
      <c r="GT229" s="19"/>
      <c r="GU229" s="19"/>
      <c r="GV229" s="19"/>
      <c r="GW229" s="19"/>
      <c r="GX229" s="19"/>
      <c r="GY229" s="19"/>
      <c r="GZ229" s="19"/>
      <c r="HA229" s="19"/>
      <c r="HB229" s="19"/>
    </row>
    <row r="230" spans="1:210"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19"/>
      <c r="GZ230" s="19"/>
      <c r="HA230" s="19"/>
      <c r="HB230" s="19"/>
    </row>
    <row r="231" spans="1:210"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c r="FJ231" s="19"/>
      <c r="FK231" s="19"/>
      <c r="FL231" s="19"/>
      <c r="FM231" s="19"/>
      <c r="FN231" s="19"/>
      <c r="FO231" s="19"/>
      <c r="FP231" s="19"/>
      <c r="FQ231" s="19"/>
      <c r="FR231" s="19"/>
      <c r="FS231" s="19"/>
      <c r="FT231" s="19"/>
      <c r="FU231" s="19"/>
      <c r="FV231" s="19"/>
      <c r="FW231" s="19"/>
      <c r="FX231" s="19"/>
      <c r="FY231" s="19"/>
      <c r="FZ231" s="19"/>
      <c r="GA231" s="19"/>
      <c r="GB231" s="19"/>
      <c r="GC231" s="19"/>
      <c r="GD231" s="19"/>
      <c r="GE231" s="19"/>
      <c r="GF231" s="19"/>
      <c r="GG231" s="19"/>
      <c r="GH231" s="19"/>
      <c r="GI231" s="19"/>
      <c r="GJ231" s="19"/>
      <c r="GK231" s="19"/>
      <c r="GL231" s="19"/>
      <c r="GM231" s="19"/>
      <c r="GN231" s="19"/>
      <c r="GO231" s="19"/>
      <c r="GP231" s="19"/>
      <c r="GQ231" s="19"/>
      <c r="GR231" s="19"/>
      <c r="GS231" s="19"/>
      <c r="GT231" s="19"/>
      <c r="GU231" s="19"/>
      <c r="GV231" s="19"/>
      <c r="GW231" s="19"/>
      <c r="GX231" s="19"/>
      <c r="GY231" s="19"/>
      <c r="GZ231" s="19"/>
      <c r="HA231" s="19"/>
      <c r="HB231" s="19"/>
    </row>
    <row r="232" spans="1:210"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row>
    <row r="233" spans="1:210"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c r="FJ233" s="19"/>
      <c r="FK233" s="19"/>
      <c r="FL233" s="19"/>
      <c r="FM233" s="19"/>
      <c r="FN233" s="19"/>
      <c r="FO233" s="19"/>
      <c r="FP233" s="19"/>
      <c r="FQ233" s="19"/>
      <c r="FR233" s="19"/>
      <c r="FS233" s="19"/>
      <c r="FT233" s="19"/>
      <c r="FU233" s="19"/>
      <c r="FV233" s="19"/>
      <c r="FW233" s="19"/>
      <c r="FX233" s="19"/>
      <c r="FY233" s="19"/>
      <c r="FZ233" s="19"/>
      <c r="GA233" s="19"/>
      <c r="GB233" s="19"/>
      <c r="GC233" s="19"/>
      <c r="GD233" s="19"/>
      <c r="GE233" s="19"/>
      <c r="GF233" s="19"/>
      <c r="GG233" s="19"/>
      <c r="GH233" s="19"/>
      <c r="GI233" s="19"/>
      <c r="GJ233" s="19"/>
      <c r="GK233" s="19"/>
      <c r="GL233" s="19"/>
      <c r="GM233" s="19"/>
      <c r="GN233" s="19"/>
      <c r="GO233" s="19"/>
      <c r="GP233" s="19"/>
      <c r="GQ233" s="19"/>
      <c r="GR233" s="19"/>
      <c r="GS233" s="19"/>
      <c r="GT233" s="19"/>
      <c r="GU233" s="19"/>
      <c r="GV233" s="19"/>
      <c r="GW233" s="19"/>
      <c r="GX233" s="19"/>
      <c r="GY233" s="19"/>
      <c r="GZ233" s="19"/>
      <c r="HA233" s="19"/>
      <c r="HB233" s="19"/>
    </row>
    <row r="234" spans="1:210"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c r="FJ234" s="19"/>
      <c r="FK234" s="19"/>
      <c r="FL234" s="19"/>
      <c r="FM234" s="19"/>
      <c r="FN234" s="19"/>
      <c r="FO234" s="19"/>
      <c r="FP234" s="19"/>
      <c r="FQ234" s="19"/>
      <c r="FR234" s="19"/>
      <c r="FS234" s="19"/>
      <c r="FT234" s="19"/>
      <c r="FU234" s="19"/>
      <c r="FV234" s="19"/>
      <c r="FW234" s="19"/>
      <c r="FX234" s="19"/>
      <c r="FY234" s="19"/>
      <c r="FZ234" s="19"/>
      <c r="GA234" s="19"/>
      <c r="GB234" s="19"/>
      <c r="GC234" s="19"/>
      <c r="GD234" s="19"/>
      <c r="GE234" s="19"/>
      <c r="GF234" s="19"/>
      <c r="GG234" s="19"/>
      <c r="GH234" s="19"/>
      <c r="GI234" s="19"/>
      <c r="GJ234" s="19"/>
      <c r="GK234" s="19"/>
      <c r="GL234" s="19"/>
      <c r="GM234" s="19"/>
      <c r="GN234" s="19"/>
      <c r="GO234" s="19"/>
      <c r="GP234" s="19"/>
      <c r="GQ234" s="19"/>
      <c r="GR234" s="19"/>
      <c r="GS234" s="19"/>
      <c r="GT234" s="19"/>
      <c r="GU234" s="19"/>
      <c r="GV234" s="19"/>
      <c r="GW234" s="19"/>
      <c r="GX234" s="19"/>
      <c r="GY234" s="19"/>
      <c r="GZ234" s="19"/>
      <c r="HA234" s="19"/>
      <c r="HB234" s="19"/>
    </row>
    <row r="235" spans="1:210"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c r="FJ235" s="19"/>
      <c r="FK235" s="19"/>
      <c r="FL235" s="19"/>
      <c r="FM235" s="19"/>
      <c r="FN235" s="19"/>
      <c r="FO235" s="19"/>
      <c r="FP235" s="19"/>
      <c r="FQ235" s="19"/>
      <c r="FR235" s="19"/>
      <c r="FS235" s="19"/>
      <c r="FT235" s="19"/>
      <c r="FU235" s="19"/>
      <c r="FV235" s="19"/>
      <c r="FW235" s="19"/>
      <c r="FX235" s="19"/>
      <c r="FY235" s="19"/>
      <c r="FZ235" s="19"/>
      <c r="GA235" s="19"/>
      <c r="GB235" s="19"/>
      <c r="GC235" s="19"/>
      <c r="GD235" s="19"/>
      <c r="GE235" s="19"/>
      <c r="GF235" s="19"/>
      <c r="GG235" s="19"/>
      <c r="GH235" s="19"/>
      <c r="GI235" s="19"/>
      <c r="GJ235" s="19"/>
      <c r="GK235" s="19"/>
      <c r="GL235" s="19"/>
      <c r="GM235" s="19"/>
      <c r="GN235" s="19"/>
      <c r="GO235" s="19"/>
      <c r="GP235" s="19"/>
      <c r="GQ235" s="19"/>
      <c r="GR235" s="19"/>
      <c r="GS235" s="19"/>
      <c r="GT235" s="19"/>
      <c r="GU235" s="19"/>
      <c r="GV235" s="19"/>
      <c r="GW235" s="19"/>
      <c r="GX235" s="19"/>
      <c r="GY235" s="19"/>
      <c r="GZ235" s="19"/>
      <c r="HA235" s="19"/>
      <c r="HB235" s="19"/>
    </row>
    <row r="236" spans="1:210"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c r="FJ236" s="19"/>
      <c r="FK236" s="19"/>
      <c r="FL236" s="19"/>
      <c r="FM236" s="19"/>
      <c r="FN236" s="19"/>
      <c r="FO236" s="19"/>
      <c r="FP236" s="19"/>
      <c r="FQ236" s="19"/>
      <c r="FR236" s="19"/>
      <c r="FS236" s="19"/>
      <c r="FT236" s="19"/>
      <c r="FU236" s="19"/>
      <c r="FV236" s="19"/>
      <c r="FW236" s="19"/>
      <c r="FX236" s="19"/>
      <c r="FY236" s="19"/>
      <c r="FZ236" s="19"/>
      <c r="GA236" s="19"/>
      <c r="GB236" s="19"/>
      <c r="GC236" s="19"/>
      <c r="GD236" s="19"/>
      <c r="GE236" s="19"/>
      <c r="GF236" s="19"/>
      <c r="GG236" s="19"/>
      <c r="GH236" s="19"/>
      <c r="GI236" s="19"/>
      <c r="GJ236" s="19"/>
      <c r="GK236" s="19"/>
      <c r="GL236" s="19"/>
      <c r="GM236" s="19"/>
      <c r="GN236" s="19"/>
      <c r="GO236" s="19"/>
      <c r="GP236" s="19"/>
      <c r="GQ236" s="19"/>
      <c r="GR236" s="19"/>
      <c r="GS236" s="19"/>
      <c r="GT236" s="19"/>
      <c r="GU236" s="19"/>
      <c r="GV236" s="19"/>
      <c r="GW236" s="19"/>
      <c r="GX236" s="19"/>
      <c r="GY236" s="19"/>
      <c r="GZ236" s="19"/>
      <c r="HA236" s="19"/>
      <c r="HB236" s="19"/>
    </row>
    <row r="237" spans="1:210"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c r="FJ237" s="19"/>
      <c r="FK237" s="19"/>
      <c r="FL237" s="19"/>
      <c r="FM237" s="19"/>
      <c r="FN237" s="19"/>
      <c r="FO237" s="19"/>
      <c r="FP237" s="19"/>
      <c r="FQ237" s="19"/>
      <c r="FR237" s="19"/>
      <c r="FS237" s="19"/>
      <c r="FT237" s="19"/>
      <c r="FU237" s="19"/>
      <c r="FV237" s="19"/>
      <c r="FW237" s="19"/>
      <c r="FX237" s="19"/>
      <c r="FY237" s="19"/>
      <c r="FZ237" s="19"/>
      <c r="GA237" s="19"/>
      <c r="GB237" s="19"/>
      <c r="GC237" s="19"/>
      <c r="GD237" s="19"/>
      <c r="GE237" s="19"/>
      <c r="GF237" s="19"/>
      <c r="GG237" s="19"/>
      <c r="GH237" s="19"/>
      <c r="GI237" s="19"/>
      <c r="GJ237" s="19"/>
      <c r="GK237" s="19"/>
      <c r="GL237" s="19"/>
      <c r="GM237" s="19"/>
      <c r="GN237" s="19"/>
      <c r="GO237" s="19"/>
      <c r="GP237" s="19"/>
      <c r="GQ237" s="19"/>
      <c r="GR237" s="19"/>
      <c r="GS237" s="19"/>
      <c r="GT237" s="19"/>
      <c r="GU237" s="19"/>
      <c r="GV237" s="19"/>
      <c r="GW237" s="19"/>
      <c r="GX237" s="19"/>
      <c r="GY237" s="19"/>
      <c r="GZ237" s="19"/>
      <c r="HA237" s="19"/>
      <c r="HB237" s="19"/>
    </row>
    <row r="238" spans="1:210"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c r="FJ238" s="19"/>
      <c r="FK238" s="19"/>
      <c r="FL238" s="19"/>
      <c r="FM238" s="19"/>
      <c r="FN238" s="19"/>
      <c r="FO238" s="19"/>
      <c r="FP238" s="19"/>
      <c r="FQ238" s="19"/>
      <c r="FR238" s="19"/>
      <c r="FS238" s="19"/>
      <c r="FT238" s="19"/>
      <c r="FU238" s="19"/>
      <c r="FV238" s="19"/>
      <c r="FW238" s="19"/>
      <c r="FX238" s="19"/>
      <c r="FY238" s="19"/>
      <c r="FZ238" s="19"/>
      <c r="GA238" s="19"/>
      <c r="GB238" s="19"/>
      <c r="GC238" s="19"/>
      <c r="GD238" s="19"/>
      <c r="GE238" s="19"/>
      <c r="GF238" s="19"/>
      <c r="GG238" s="19"/>
      <c r="GH238" s="19"/>
      <c r="GI238" s="19"/>
      <c r="GJ238" s="19"/>
      <c r="GK238" s="19"/>
      <c r="GL238" s="19"/>
      <c r="GM238" s="19"/>
      <c r="GN238" s="19"/>
      <c r="GO238" s="19"/>
      <c r="GP238" s="19"/>
      <c r="GQ238" s="19"/>
      <c r="GR238" s="19"/>
      <c r="GS238" s="19"/>
      <c r="GT238" s="19"/>
      <c r="GU238" s="19"/>
      <c r="GV238" s="19"/>
      <c r="GW238" s="19"/>
      <c r="GX238" s="19"/>
      <c r="GY238" s="19"/>
      <c r="GZ238" s="19"/>
      <c r="HA238" s="19"/>
      <c r="HB238" s="19"/>
    </row>
    <row r="239" spans="1:210"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c r="FJ239" s="19"/>
      <c r="FK239" s="19"/>
      <c r="FL239" s="19"/>
      <c r="FM239" s="19"/>
      <c r="FN239" s="19"/>
      <c r="FO239" s="19"/>
      <c r="FP239" s="19"/>
      <c r="FQ239" s="19"/>
      <c r="FR239" s="19"/>
      <c r="FS239" s="19"/>
      <c r="FT239" s="19"/>
      <c r="FU239" s="19"/>
      <c r="FV239" s="19"/>
      <c r="FW239" s="19"/>
      <c r="FX239" s="19"/>
      <c r="FY239" s="19"/>
      <c r="FZ239" s="19"/>
      <c r="GA239" s="19"/>
      <c r="GB239" s="19"/>
      <c r="GC239" s="19"/>
      <c r="GD239" s="19"/>
      <c r="GE239" s="19"/>
      <c r="GF239" s="19"/>
      <c r="GG239" s="19"/>
      <c r="GH239" s="19"/>
      <c r="GI239" s="19"/>
      <c r="GJ239" s="19"/>
      <c r="GK239" s="19"/>
      <c r="GL239" s="19"/>
      <c r="GM239" s="19"/>
      <c r="GN239" s="19"/>
      <c r="GO239" s="19"/>
      <c r="GP239" s="19"/>
      <c r="GQ239" s="19"/>
      <c r="GR239" s="19"/>
      <c r="GS239" s="19"/>
      <c r="GT239" s="19"/>
      <c r="GU239" s="19"/>
      <c r="GV239" s="19"/>
      <c r="GW239" s="19"/>
      <c r="GX239" s="19"/>
      <c r="GY239" s="19"/>
      <c r="GZ239" s="19"/>
      <c r="HA239" s="19"/>
      <c r="HB239" s="19"/>
    </row>
    <row r="240" spans="1:210"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c r="FJ240" s="19"/>
      <c r="FK240" s="19"/>
      <c r="FL240" s="19"/>
      <c r="FM240" s="19"/>
      <c r="FN240" s="19"/>
      <c r="FO240" s="19"/>
      <c r="FP240" s="19"/>
      <c r="FQ240" s="19"/>
      <c r="FR240" s="19"/>
      <c r="FS240" s="19"/>
      <c r="FT240" s="19"/>
      <c r="FU240" s="19"/>
      <c r="FV240" s="19"/>
      <c r="FW240" s="19"/>
      <c r="FX240" s="19"/>
      <c r="FY240" s="19"/>
      <c r="FZ240" s="19"/>
      <c r="GA240" s="19"/>
      <c r="GB240" s="19"/>
      <c r="GC240" s="19"/>
      <c r="GD240" s="19"/>
      <c r="GE240" s="19"/>
      <c r="GF240" s="19"/>
      <c r="GG240" s="19"/>
      <c r="GH240" s="19"/>
      <c r="GI240" s="19"/>
      <c r="GJ240" s="19"/>
      <c r="GK240" s="19"/>
      <c r="GL240" s="19"/>
      <c r="GM240" s="19"/>
      <c r="GN240" s="19"/>
      <c r="GO240" s="19"/>
      <c r="GP240" s="19"/>
      <c r="GQ240" s="19"/>
      <c r="GR240" s="19"/>
      <c r="GS240" s="19"/>
      <c r="GT240" s="19"/>
      <c r="GU240" s="19"/>
      <c r="GV240" s="19"/>
      <c r="GW240" s="19"/>
      <c r="GX240" s="19"/>
      <c r="GY240" s="19"/>
      <c r="GZ240" s="19"/>
      <c r="HA240" s="19"/>
      <c r="HB240" s="19"/>
    </row>
    <row r="241" spans="1:210"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c r="FJ241" s="19"/>
      <c r="FK241" s="19"/>
      <c r="FL241" s="19"/>
      <c r="FM241" s="19"/>
      <c r="FN241" s="19"/>
      <c r="FO241" s="19"/>
      <c r="FP241" s="19"/>
      <c r="FQ241" s="19"/>
      <c r="FR241" s="19"/>
      <c r="FS241" s="19"/>
      <c r="FT241" s="19"/>
      <c r="FU241" s="19"/>
      <c r="FV241" s="19"/>
      <c r="FW241" s="19"/>
      <c r="FX241" s="19"/>
      <c r="FY241" s="19"/>
      <c r="FZ241" s="19"/>
      <c r="GA241" s="19"/>
      <c r="GB241" s="19"/>
      <c r="GC241" s="19"/>
      <c r="GD241" s="19"/>
      <c r="GE241" s="19"/>
      <c r="GF241" s="19"/>
      <c r="GG241" s="19"/>
      <c r="GH241" s="19"/>
      <c r="GI241" s="19"/>
      <c r="GJ241" s="19"/>
      <c r="GK241" s="19"/>
      <c r="GL241" s="19"/>
      <c r="GM241" s="19"/>
      <c r="GN241" s="19"/>
      <c r="GO241" s="19"/>
      <c r="GP241" s="19"/>
      <c r="GQ241" s="19"/>
      <c r="GR241" s="19"/>
      <c r="GS241" s="19"/>
      <c r="GT241" s="19"/>
      <c r="GU241" s="19"/>
      <c r="GV241" s="19"/>
      <c r="GW241" s="19"/>
      <c r="GX241" s="19"/>
      <c r="GY241" s="19"/>
      <c r="GZ241" s="19"/>
      <c r="HA241" s="19"/>
      <c r="HB241" s="19"/>
    </row>
    <row r="242" spans="1:210"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c r="FJ242" s="19"/>
      <c r="FK242" s="19"/>
      <c r="FL242" s="19"/>
      <c r="FM242" s="19"/>
      <c r="FN242" s="19"/>
      <c r="FO242" s="19"/>
      <c r="FP242" s="19"/>
      <c r="FQ242" s="19"/>
      <c r="FR242" s="19"/>
      <c r="FS242" s="19"/>
      <c r="FT242" s="19"/>
      <c r="FU242" s="19"/>
      <c r="FV242" s="19"/>
      <c r="FW242" s="19"/>
      <c r="FX242" s="19"/>
      <c r="FY242" s="19"/>
      <c r="FZ242" s="19"/>
      <c r="GA242" s="19"/>
      <c r="GB242" s="19"/>
      <c r="GC242" s="19"/>
      <c r="GD242" s="19"/>
      <c r="GE242" s="19"/>
      <c r="GF242" s="19"/>
      <c r="GG242" s="19"/>
      <c r="GH242" s="19"/>
      <c r="GI242" s="19"/>
      <c r="GJ242" s="19"/>
      <c r="GK242" s="19"/>
      <c r="GL242" s="19"/>
      <c r="GM242" s="19"/>
      <c r="GN242" s="19"/>
      <c r="GO242" s="19"/>
      <c r="GP242" s="19"/>
      <c r="GQ242" s="19"/>
      <c r="GR242" s="19"/>
      <c r="GS242" s="19"/>
      <c r="GT242" s="19"/>
      <c r="GU242" s="19"/>
      <c r="GV242" s="19"/>
      <c r="GW242" s="19"/>
      <c r="GX242" s="19"/>
      <c r="GY242" s="19"/>
      <c r="GZ242" s="19"/>
      <c r="HA242" s="19"/>
      <c r="HB242" s="19"/>
    </row>
    <row r="243" spans="1:210"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c r="FJ243" s="19"/>
      <c r="FK243" s="19"/>
      <c r="FL243" s="19"/>
      <c r="FM243" s="19"/>
      <c r="FN243" s="19"/>
      <c r="FO243" s="19"/>
      <c r="FP243" s="19"/>
      <c r="FQ243" s="19"/>
      <c r="FR243" s="19"/>
      <c r="FS243" s="19"/>
      <c r="FT243" s="19"/>
      <c r="FU243" s="19"/>
      <c r="FV243" s="19"/>
      <c r="FW243" s="19"/>
      <c r="FX243" s="19"/>
      <c r="FY243" s="19"/>
      <c r="FZ243" s="19"/>
      <c r="GA243" s="19"/>
      <c r="GB243" s="19"/>
      <c r="GC243" s="19"/>
      <c r="GD243" s="19"/>
      <c r="GE243" s="19"/>
      <c r="GF243" s="19"/>
      <c r="GG243" s="19"/>
      <c r="GH243" s="19"/>
      <c r="GI243" s="19"/>
      <c r="GJ243" s="19"/>
      <c r="GK243" s="19"/>
      <c r="GL243" s="19"/>
      <c r="GM243" s="19"/>
      <c r="GN243" s="19"/>
      <c r="GO243" s="19"/>
      <c r="GP243" s="19"/>
      <c r="GQ243" s="19"/>
      <c r="GR243" s="19"/>
      <c r="GS243" s="19"/>
      <c r="GT243" s="19"/>
      <c r="GU243" s="19"/>
      <c r="GV243" s="19"/>
      <c r="GW243" s="19"/>
      <c r="GX243" s="19"/>
      <c r="GY243" s="19"/>
      <c r="GZ243" s="19"/>
      <c r="HA243" s="19"/>
      <c r="HB243" s="19"/>
    </row>
    <row r="244" spans="1:210"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c r="FJ244" s="19"/>
      <c r="FK244" s="19"/>
      <c r="FL244" s="19"/>
      <c r="FM244" s="19"/>
      <c r="FN244" s="19"/>
      <c r="FO244" s="19"/>
      <c r="FP244" s="19"/>
      <c r="FQ244" s="19"/>
      <c r="FR244" s="19"/>
      <c r="FS244" s="19"/>
      <c r="FT244" s="19"/>
      <c r="FU244" s="19"/>
      <c r="FV244" s="19"/>
      <c r="FW244" s="19"/>
      <c r="FX244" s="19"/>
      <c r="FY244" s="19"/>
      <c r="FZ244" s="19"/>
      <c r="GA244" s="19"/>
      <c r="GB244" s="19"/>
      <c r="GC244" s="19"/>
      <c r="GD244" s="19"/>
      <c r="GE244" s="19"/>
      <c r="GF244" s="19"/>
      <c r="GG244" s="19"/>
      <c r="GH244" s="19"/>
      <c r="GI244" s="19"/>
      <c r="GJ244" s="19"/>
      <c r="GK244" s="19"/>
      <c r="GL244" s="19"/>
      <c r="GM244" s="19"/>
      <c r="GN244" s="19"/>
      <c r="GO244" s="19"/>
      <c r="GP244" s="19"/>
      <c r="GQ244" s="19"/>
      <c r="GR244" s="19"/>
      <c r="GS244" s="19"/>
      <c r="GT244" s="19"/>
      <c r="GU244" s="19"/>
      <c r="GV244" s="19"/>
      <c r="GW244" s="19"/>
      <c r="GX244" s="19"/>
      <c r="GY244" s="19"/>
      <c r="GZ244" s="19"/>
      <c r="HA244" s="19"/>
      <c r="HB244" s="19"/>
    </row>
    <row r="245" spans="1:210"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row>
    <row r="246" spans="1:210"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c r="FJ246" s="19"/>
      <c r="FK246" s="19"/>
      <c r="FL246" s="19"/>
      <c r="FM246" s="19"/>
      <c r="FN246" s="19"/>
      <c r="FO246" s="19"/>
      <c r="FP246" s="19"/>
      <c r="FQ246" s="19"/>
      <c r="FR246" s="19"/>
      <c r="FS246" s="19"/>
      <c r="FT246" s="19"/>
      <c r="FU246" s="19"/>
      <c r="FV246" s="19"/>
      <c r="FW246" s="19"/>
      <c r="FX246" s="19"/>
      <c r="FY246" s="19"/>
      <c r="FZ246" s="19"/>
      <c r="GA246" s="19"/>
      <c r="GB246" s="19"/>
      <c r="GC246" s="19"/>
      <c r="GD246" s="19"/>
      <c r="GE246" s="19"/>
      <c r="GF246" s="19"/>
      <c r="GG246" s="19"/>
      <c r="GH246" s="19"/>
      <c r="GI246" s="19"/>
      <c r="GJ246" s="19"/>
      <c r="GK246" s="19"/>
      <c r="GL246" s="19"/>
      <c r="GM246" s="19"/>
      <c r="GN246" s="19"/>
      <c r="GO246" s="19"/>
      <c r="GP246" s="19"/>
      <c r="GQ246" s="19"/>
      <c r="GR246" s="19"/>
      <c r="GS246" s="19"/>
      <c r="GT246" s="19"/>
      <c r="GU246" s="19"/>
      <c r="GV246" s="19"/>
      <c r="GW246" s="19"/>
      <c r="GX246" s="19"/>
      <c r="GY246" s="19"/>
      <c r="GZ246" s="19"/>
      <c r="HA246" s="19"/>
      <c r="HB246" s="19"/>
    </row>
    <row r="247" spans="1:210"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c r="FJ247" s="19"/>
      <c r="FK247" s="19"/>
      <c r="FL247" s="19"/>
      <c r="FM247" s="19"/>
      <c r="FN247" s="19"/>
      <c r="FO247" s="19"/>
      <c r="FP247" s="19"/>
      <c r="FQ247" s="19"/>
      <c r="FR247" s="19"/>
      <c r="FS247" s="19"/>
      <c r="FT247" s="19"/>
      <c r="FU247" s="19"/>
      <c r="FV247" s="19"/>
      <c r="FW247" s="19"/>
      <c r="FX247" s="19"/>
      <c r="FY247" s="19"/>
      <c r="FZ247" s="19"/>
      <c r="GA247" s="19"/>
      <c r="GB247" s="19"/>
      <c r="GC247" s="19"/>
      <c r="GD247" s="19"/>
      <c r="GE247" s="19"/>
      <c r="GF247" s="19"/>
      <c r="GG247" s="19"/>
      <c r="GH247" s="19"/>
      <c r="GI247" s="19"/>
      <c r="GJ247" s="19"/>
      <c r="GK247" s="19"/>
      <c r="GL247" s="19"/>
      <c r="GM247" s="19"/>
      <c r="GN247" s="19"/>
      <c r="GO247" s="19"/>
      <c r="GP247" s="19"/>
      <c r="GQ247" s="19"/>
      <c r="GR247" s="19"/>
      <c r="GS247" s="19"/>
      <c r="GT247" s="19"/>
      <c r="GU247" s="19"/>
      <c r="GV247" s="19"/>
      <c r="GW247" s="19"/>
      <c r="GX247" s="19"/>
      <c r="GY247" s="19"/>
      <c r="GZ247" s="19"/>
      <c r="HA247" s="19"/>
      <c r="HB247" s="19"/>
    </row>
    <row r="248" spans="1:210"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row>
    <row r="249" spans="1:210"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row>
    <row r="250" spans="1:210"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row>
    <row r="251" spans="1:210"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row>
    <row r="252" spans="1:210"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row>
    <row r="253" spans="1:210"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row>
    <row r="254" spans="1:210"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row>
    <row r="255" spans="1:210"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row>
    <row r="256" spans="1:210"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row>
    <row r="257" spans="1:210"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c r="FZ257" s="19"/>
      <c r="GA257" s="19"/>
      <c r="GB257" s="19"/>
      <c r="GC257" s="19"/>
      <c r="GD257" s="19"/>
      <c r="GE257" s="19"/>
      <c r="GF257" s="19"/>
      <c r="GG257" s="19"/>
      <c r="GH257" s="19"/>
      <c r="GI257" s="19"/>
      <c r="GJ257" s="19"/>
      <c r="GK257" s="19"/>
      <c r="GL257" s="19"/>
      <c r="GM257" s="19"/>
      <c r="GN257" s="19"/>
      <c r="GO257" s="19"/>
      <c r="GP257" s="19"/>
      <c r="GQ257" s="19"/>
      <c r="GR257" s="19"/>
      <c r="GS257" s="19"/>
      <c r="GT257" s="19"/>
      <c r="GU257" s="19"/>
      <c r="GV257" s="19"/>
      <c r="GW257" s="19"/>
      <c r="GX257" s="19"/>
      <c r="GY257" s="19"/>
      <c r="GZ257" s="19"/>
      <c r="HA257" s="19"/>
      <c r="HB257" s="19"/>
    </row>
    <row r="258" spans="1:210"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row>
    <row r="259" spans="1:210"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c r="FZ259" s="19"/>
      <c r="GA259" s="19"/>
      <c r="GB259" s="19"/>
      <c r="GC259" s="19"/>
      <c r="GD259" s="19"/>
      <c r="GE259" s="19"/>
      <c r="GF259" s="19"/>
      <c r="GG259" s="19"/>
      <c r="GH259" s="19"/>
      <c r="GI259" s="19"/>
      <c r="GJ259" s="19"/>
      <c r="GK259" s="19"/>
      <c r="GL259" s="19"/>
      <c r="GM259" s="19"/>
      <c r="GN259" s="19"/>
      <c r="GO259" s="19"/>
      <c r="GP259" s="19"/>
      <c r="GQ259" s="19"/>
      <c r="GR259" s="19"/>
      <c r="GS259" s="19"/>
      <c r="GT259" s="19"/>
      <c r="GU259" s="19"/>
      <c r="GV259" s="19"/>
      <c r="GW259" s="19"/>
      <c r="GX259" s="19"/>
      <c r="GY259" s="19"/>
      <c r="GZ259" s="19"/>
      <c r="HA259" s="19"/>
      <c r="HB259" s="19"/>
    </row>
    <row r="260" spans="1:210"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c r="FZ260" s="19"/>
      <c r="GA260" s="19"/>
      <c r="GB260" s="19"/>
      <c r="GC260" s="19"/>
      <c r="GD260" s="19"/>
      <c r="GE260" s="19"/>
      <c r="GF260" s="19"/>
      <c r="GG260" s="19"/>
      <c r="GH260" s="19"/>
      <c r="GI260" s="19"/>
      <c r="GJ260" s="19"/>
      <c r="GK260" s="19"/>
      <c r="GL260" s="19"/>
      <c r="GM260" s="19"/>
      <c r="GN260" s="19"/>
      <c r="GO260" s="19"/>
      <c r="GP260" s="19"/>
      <c r="GQ260" s="19"/>
      <c r="GR260" s="19"/>
      <c r="GS260" s="19"/>
      <c r="GT260" s="19"/>
      <c r="GU260" s="19"/>
      <c r="GV260" s="19"/>
      <c r="GW260" s="19"/>
      <c r="GX260" s="19"/>
      <c r="GY260" s="19"/>
      <c r="GZ260" s="19"/>
      <c r="HA260" s="19"/>
      <c r="HB260" s="19"/>
    </row>
    <row r="261" spans="1:210"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row>
    <row r="262" spans="1:210"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row>
    <row r="263" spans="1:210"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c r="FZ263" s="19"/>
      <c r="GA263" s="19"/>
      <c r="GB263" s="19"/>
      <c r="GC263" s="19"/>
      <c r="GD263" s="19"/>
      <c r="GE263" s="19"/>
      <c r="GF263" s="19"/>
      <c r="GG263" s="19"/>
      <c r="GH263" s="19"/>
      <c r="GI263" s="19"/>
      <c r="GJ263" s="19"/>
      <c r="GK263" s="19"/>
      <c r="GL263" s="19"/>
      <c r="GM263" s="19"/>
      <c r="GN263" s="19"/>
      <c r="GO263" s="19"/>
      <c r="GP263" s="19"/>
      <c r="GQ263" s="19"/>
      <c r="GR263" s="19"/>
      <c r="GS263" s="19"/>
      <c r="GT263" s="19"/>
      <c r="GU263" s="19"/>
      <c r="GV263" s="19"/>
      <c r="GW263" s="19"/>
      <c r="GX263" s="19"/>
      <c r="GY263" s="19"/>
      <c r="GZ263" s="19"/>
      <c r="HA263" s="19"/>
      <c r="HB263" s="19"/>
    </row>
    <row r="264" spans="1:210"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c r="FQ264" s="19"/>
      <c r="FR264" s="19"/>
      <c r="FS264" s="19"/>
      <c r="FT264" s="19"/>
      <c r="FU264" s="19"/>
      <c r="FV264" s="19"/>
      <c r="FW264" s="19"/>
      <c r="FX264" s="19"/>
      <c r="FY264" s="19"/>
      <c r="FZ264" s="19"/>
      <c r="GA264" s="19"/>
      <c r="GB264" s="19"/>
      <c r="GC264" s="19"/>
      <c r="GD264" s="19"/>
      <c r="GE264" s="19"/>
      <c r="GF264" s="19"/>
      <c r="GG264" s="19"/>
      <c r="GH264" s="19"/>
      <c r="GI264" s="19"/>
      <c r="GJ264" s="19"/>
      <c r="GK264" s="19"/>
      <c r="GL264" s="19"/>
      <c r="GM264" s="19"/>
      <c r="GN264" s="19"/>
      <c r="GO264" s="19"/>
      <c r="GP264" s="19"/>
      <c r="GQ264" s="19"/>
      <c r="GR264" s="19"/>
      <c r="GS264" s="19"/>
      <c r="GT264" s="19"/>
      <c r="GU264" s="19"/>
      <c r="GV264" s="19"/>
      <c r="GW264" s="19"/>
      <c r="GX264" s="19"/>
      <c r="GY264" s="19"/>
      <c r="GZ264" s="19"/>
      <c r="HA264" s="19"/>
      <c r="HB264" s="19"/>
    </row>
    <row r="265" spans="1:210"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c r="FJ265" s="19"/>
      <c r="FK265" s="19"/>
      <c r="FL265" s="19"/>
      <c r="FM265" s="19"/>
      <c r="FN265" s="19"/>
      <c r="FO265" s="19"/>
      <c r="FP265" s="19"/>
      <c r="FQ265" s="19"/>
      <c r="FR265" s="19"/>
      <c r="FS265" s="19"/>
      <c r="FT265" s="19"/>
      <c r="FU265" s="19"/>
      <c r="FV265" s="19"/>
      <c r="FW265" s="19"/>
      <c r="FX265" s="19"/>
      <c r="FY265" s="19"/>
      <c r="FZ265" s="19"/>
      <c r="GA265" s="19"/>
      <c r="GB265" s="19"/>
      <c r="GC265" s="19"/>
      <c r="GD265" s="19"/>
      <c r="GE265" s="19"/>
      <c r="GF265" s="19"/>
      <c r="GG265" s="19"/>
      <c r="GH265" s="19"/>
      <c r="GI265" s="19"/>
      <c r="GJ265" s="19"/>
      <c r="GK265" s="19"/>
      <c r="GL265" s="19"/>
      <c r="GM265" s="19"/>
      <c r="GN265" s="19"/>
      <c r="GO265" s="19"/>
      <c r="GP265" s="19"/>
      <c r="GQ265" s="19"/>
      <c r="GR265" s="19"/>
      <c r="GS265" s="19"/>
      <c r="GT265" s="19"/>
      <c r="GU265" s="19"/>
      <c r="GV265" s="19"/>
      <c r="GW265" s="19"/>
      <c r="GX265" s="19"/>
      <c r="GY265" s="19"/>
      <c r="GZ265" s="19"/>
      <c r="HA265" s="19"/>
      <c r="HB265" s="19"/>
    </row>
    <row r="266" spans="1:210"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c r="FJ266" s="19"/>
      <c r="FK266" s="19"/>
      <c r="FL266" s="19"/>
      <c r="FM266" s="19"/>
      <c r="FN266" s="19"/>
      <c r="FO266" s="19"/>
      <c r="FP266" s="19"/>
      <c r="FQ266" s="19"/>
      <c r="FR266" s="19"/>
      <c r="FS266" s="19"/>
      <c r="FT266" s="19"/>
      <c r="FU266" s="19"/>
      <c r="FV266" s="19"/>
      <c r="FW266" s="19"/>
      <c r="FX266" s="19"/>
      <c r="FY266" s="19"/>
      <c r="FZ266" s="19"/>
      <c r="GA266" s="19"/>
      <c r="GB266" s="19"/>
      <c r="GC266" s="19"/>
      <c r="GD266" s="19"/>
      <c r="GE266" s="19"/>
      <c r="GF266" s="19"/>
      <c r="GG266" s="19"/>
      <c r="GH266" s="19"/>
      <c r="GI266" s="19"/>
      <c r="GJ266" s="19"/>
      <c r="GK266" s="19"/>
      <c r="GL266" s="19"/>
      <c r="GM266" s="19"/>
      <c r="GN266" s="19"/>
      <c r="GO266" s="19"/>
      <c r="GP266" s="19"/>
      <c r="GQ266" s="19"/>
      <c r="GR266" s="19"/>
      <c r="GS266" s="19"/>
      <c r="GT266" s="19"/>
      <c r="GU266" s="19"/>
      <c r="GV266" s="19"/>
      <c r="GW266" s="19"/>
      <c r="GX266" s="19"/>
      <c r="GY266" s="19"/>
      <c r="GZ266" s="19"/>
      <c r="HA266" s="19"/>
      <c r="HB266" s="19"/>
    </row>
    <row r="267" spans="1:210"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c r="FJ267" s="19"/>
      <c r="FK267" s="19"/>
      <c r="FL267" s="19"/>
      <c r="FM267" s="19"/>
      <c r="FN267" s="19"/>
      <c r="FO267" s="19"/>
      <c r="FP267" s="19"/>
      <c r="FQ267" s="19"/>
      <c r="FR267" s="19"/>
      <c r="FS267" s="19"/>
      <c r="FT267" s="19"/>
      <c r="FU267" s="19"/>
      <c r="FV267" s="19"/>
      <c r="FW267" s="19"/>
      <c r="FX267" s="19"/>
      <c r="FY267" s="19"/>
      <c r="FZ267" s="19"/>
      <c r="GA267" s="19"/>
      <c r="GB267" s="19"/>
      <c r="GC267" s="19"/>
      <c r="GD267" s="19"/>
      <c r="GE267" s="19"/>
      <c r="GF267" s="19"/>
      <c r="GG267" s="19"/>
      <c r="GH267" s="19"/>
      <c r="GI267" s="19"/>
      <c r="GJ267" s="19"/>
      <c r="GK267" s="19"/>
      <c r="GL267" s="19"/>
      <c r="GM267" s="19"/>
      <c r="GN267" s="19"/>
      <c r="GO267" s="19"/>
      <c r="GP267" s="19"/>
      <c r="GQ267" s="19"/>
      <c r="GR267" s="19"/>
      <c r="GS267" s="19"/>
      <c r="GT267" s="19"/>
      <c r="GU267" s="19"/>
      <c r="GV267" s="19"/>
      <c r="GW267" s="19"/>
      <c r="GX267" s="19"/>
      <c r="GY267" s="19"/>
      <c r="GZ267" s="19"/>
      <c r="HA267" s="19"/>
      <c r="HB267" s="19"/>
    </row>
    <row r="268" spans="1:210"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c r="FJ268" s="19"/>
      <c r="FK268" s="19"/>
      <c r="FL268" s="19"/>
      <c r="FM268" s="19"/>
      <c r="FN268" s="19"/>
      <c r="FO268" s="19"/>
      <c r="FP268" s="19"/>
      <c r="FQ268" s="19"/>
      <c r="FR268" s="19"/>
      <c r="FS268" s="19"/>
      <c r="FT268" s="19"/>
      <c r="FU268" s="19"/>
      <c r="FV268" s="19"/>
      <c r="FW268" s="19"/>
      <c r="FX268" s="19"/>
      <c r="FY268" s="19"/>
      <c r="FZ268" s="19"/>
      <c r="GA268" s="19"/>
      <c r="GB268" s="19"/>
      <c r="GC268" s="19"/>
      <c r="GD268" s="19"/>
      <c r="GE268" s="19"/>
      <c r="GF268" s="19"/>
      <c r="GG268" s="19"/>
      <c r="GH268" s="19"/>
      <c r="GI268" s="19"/>
      <c r="GJ268" s="19"/>
      <c r="GK268" s="19"/>
      <c r="GL268" s="19"/>
      <c r="GM268" s="19"/>
      <c r="GN268" s="19"/>
      <c r="GO268" s="19"/>
      <c r="GP268" s="19"/>
      <c r="GQ268" s="19"/>
      <c r="GR268" s="19"/>
      <c r="GS268" s="19"/>
      <c r="GT268" s="19"/>
      <c r="GU268" s="19"/>
      <c r="GV268" s="19"/>
      <c r="GW268" s="19"/>
      <c r="GX268" s="19"/>
      <c r="GY268" s="19"/>
      <c r="GZ268" s="19"/>
      <c r="HA268" s="19"/>
      <c r="HB268" s="19"/>
    </row>
    <row r="269" spans="1:210"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c r="FZ269" s="19"/>
      <c r="GA269" s="19"/>
      <c r="GB269" s="19"/>
      <c r="GC269" s="19"/>
      <c r="GD269" s="19"/>
      <c r="GE269" s="19"/>
      <c r="GF269" s="19"/>
      <c r="GG269" s="19"/>
      <c r="GH269" s="19"/>
      <c r="GI269" s="19"/>
      <c r="GJ269" s="19"/>
      <c r="GK269" s="19"/>
      <c r="GL269" s="19"/>
      <c r="GM269" s="19"/>
      <c r="GN269" s="19"/>
      <c r="GO269" s="19"/>
      <c r="GP269" s="19"/>
      <c r="GQ269" s="19"/>
      <c r="GR269" s="19"/>
      <c r="GS269" s="19"/>
      <c r="GT269" s="19"/>
      <c r="GU269" s="19"/>
      <c r="GV269" s="19"/>
      <c r="GW269" s="19"/>
      <c r="GX269" s="19"/>
      <c r="GY269" s="19"/>
      <c r="GZ269" s="19"/>
      <c r="HA269" s="19"/>
      <c r="HB269" s="19"/>
    </row>
    <row r="270" spans="1:210"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c r="FJ270" s="19"/>
      <c r="FK270" s="19"/>
      <c r="FL270" s="19"/>
      <c r="FM270" s="19"/>
      <c r="FN270" s="19"/>
      <c r="FO270" s="19"/>
      <c r="FP270" s="19"/>
      <c r="FQ270" s="19"/>
      <c r="FR270" s="19"/>
      <c r="FS270" s="19"/>
      <c r="FT270" s="19"/>
      <c r="FU270" s="19"/>
      <c r="FV270" s="19"/>
      <c r="FW270" s="19"/>
      <c r="FX270" s="19"/>
      <c r="FY270" s="19"/>
      <c r="FZ270" s="19"/>
      <c r="GA270" s="19"/>
      <c r="GB270" s="19"/>
      <c r="GC270" s="19"/>
      <c r="GD270" s="19"/>
      <c r="GE270" s="19"/>
      <c r="GF270" s="19"/>
      <c r="GG270" s="19"/>
      <c r="GH270" s="19"/>
      <c r="GI270" s="19"/>
      <c r="GJ270" s="19"/>
      <c r="GK270" s="19"/>
      <c r="GL270" s="19"/>
      <c r="GM270" s="19"/>
      <c r="GN270" s="19"/>
      <c r="GO270" s="19"/>
      <c r="GP270" s="19"/>
      <c r="GQ270" s="19"/>
      <c r="GR270" s="19"/>
      <c r="GS270" s="19"/>
      <c r="GT270" s="19"/>
      <c r="GU270" s="19"/>
      <c r="GV270" s="19"/>
      <c r="GW270" s="19"/>
      <c r="GX270" s="19"/>
      <c r="GY270" s="19"/>
      <c r="GZ270" s="19"/>
      <c r="HA270" s="19"/>
      <c r="HB270" s="19"/>
    </row>
    <row r="271" spans="1:210"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c r="FJ271" s="19"/>
      <c r="FK271" s="19"/>
      <c r="FL271" s="19"/>
      <c r="FM271" s="19"/>
      <c r="FN271" s="19"/>
      <c r="FO271" s="19"/>
      <c r="FP271" s="19"/>
      <c r="FQ271" s="19"/>
      <c r="FR271" s="19"/>
      <c r="FS271" s="19"/>
      <c r="FT271" s="19"/>
      <c r="FU271" s="19"/>
      <c r="FV271" s="19"/>
      <c r="FW271" s="19"/>
      <c r="FX271" s="19"/>
      <c r="FY271" s="19"/>
      <c r="FZ271" s="19"/>
      <c r="GA271" s="19"/>
      <c r="GB271" s="19"/>
      <c r="GC271" s="19"/>
      <c r="GD271" s="19"/>
      <c r="GE271" s="19"/>
      <c r="GF271" s="19"/>
      <c r="GG271" s="19"/>
      <c r="GH271" s="19"/>
      <c r="GI271" s="19"/>
      <c r="GJ271" s="19"/>
      <c r="GK271" s="19"/>
      <c r="GL271" s="19"/>
      <c r="GM271" s="19"/>
      <c r="GN271" s="19"/>
      <c r="GO271" s="19"/>
      <c r="GP271" s="19"/>
      <c r="GQ271" s="19"/>
      <c r="GR271" s="19"/>
      <c r="GS271" s="19"/>
      <c r="GT271" s="19"/>
      <c r="GU271" s="19"/>
      <c r="GV271" s="19"/>
      <c r="GW271" s="19"/>
      <c r="GX271" s="19"/>
      <c r="GY271" s="19"/>
      <c r="GZ271" s="19"/>
      <c r="HA271" s="19"/>
      <c r="HB271" s="19"/>
    </row>
    <row r="272" spans="1:210"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c r="FZ272" s="19"/>
      <c r="GA272" s="19"/>
      <c r="GB272" s="19"/>
      <c r="GC272" s="19"/>
      <c r="GD272" s="19"/>
      <c r="GE272" s="19"/>
      <c r="GF272" s="19"/>
      <c r="GG272" s="19"/>
      <c r="GH272" s="19"/>
      <c r="GI272" s="19"/>
      <c r="GJ272" s="19"/>
      <c r="GK272" s="19"/>
      <c r="GL272" s="19"/>
      <c r="GM272" s="19"/>
      <c r="GN272" s="19"/>
      <c r="GO272" s="19"/>
      <c r="GP272" s="19"/>
      <c r="GQ272" s="19"/>
      <c r="GR272" s="19"/>
      <c r="GS272" s="19"/>
      <c r="GT272" s="19"/>
      <c r="GU272" s="19"/>
      <c r="GV272" s="19"/>
      <c r="GW272" s="19"/>
      <c r="GX272" s="19"/>
      <c r="GY272" s="19"/>
      <c r="GZ272" s="19"/>
      <c r="HA272" s="19"/>
      <c r="HB272" s="19"/>
    </row>
    <row r="273" spans="1:210"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c r="FJ273" s="19"/>
      <c r="FK273" s="19"/>
      <c r="FL273" s="19"/>
      <c r="FM273" s="19"/>
      <c r="FN273" s="19"/>
      <c r="FO273" s="19"/>
      <c r="FP273" s="19"/>
      <c r="FQ273" s="19"/>
      <c r="FR273" s="19"/>
      <c r="FS273" s="19"/>
      <c r="FT273" s="19"/>
      <c r="FU273" s="19"/>
      <c r="FV273" s="19"/>
      <c r="FW273" s="19"/>
      <c r="FX273" s="19"/>
      <c r="FY273" s="19"/>
      <c r="FZ273" s="19"/>
      <c r="GA273" s="19"/>
      <c r="GB273" s="19"/>
      <c r="GC273" s="19"/>
      <c r="GD273" s="19"/>
      <c r="GE273" s="19"/>
      <c r="GF273" s="19"/>
      <c r="GG273" s="19"/>
      <c r="GH273" s="19"/>
      <c r="GI273" s="19"/>
      <c r="GJ273" s="19"/>
      <c r="GK273" s="19"/>
      <c r="GL273" s="19"/>
      <c r="GM273" s="19"/>
      <c r="GN273" s="19"/>
      <c r="GO273" s="19"/>
      <c r="GP273" s="19"/>
      <c r="GQ273" s="19"/>
      <c r="GR273" s="19"/>
      <c r="GS273" s="19"/>
      <c r="GT273" s="19"/>
      <c r="GU273" s="19"/>
      <c r="GV273" s="19"/>
      <c r="GW273" s="19"/>
      <c r="GX273" s="19"/>
      <c r="GY273" s="19"/>
      <c r="GZ273" s="19"/>
      <c r="HA273" s="19"/>
      <c r="HB273" s="19"/>
    </row>
    <row r="274" spans="1:210"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c r="FJ274" s="19"/>
      <c r="FK274" s="19"/>
      <c r="FL274" s="19"/>
      <c r="FM274" s="19"/>
      <c r="FN274" s="19"/>
      <c r="FO274" s="19"/>
      <c r="FP274" s="19"/>
      <c r="FQ274" s="19"/>
      <c r="FR274" s="19"/>
      <c r="FS274" s="19"/>
      <c r="FT274" s="19"/>
      <c r="FU274" s="19"/>
      <c r="FV274" s="19"/>
      <c r="FW274" s="19"/>
      <c r="FX274" s="19"/>
      <c r="FY274" s="19"/>
      <c r="FZ274" s="19"/>
      <c r="GA274" s="19"/>
      <c r="GB274" s="19"/>
      <c r="GC274" s="19"/>
      <c r="GD274" s="19"/>
      <c r="GE274" s="19"/>
      <c r="GF274" s="19"/>
      <c r="GG274" s="19"/>
      <c r="GH274" s="19"/>
      <c r="GI274" s="19"/>
      <c r="GJ274" s="19"/>
      <c r="GK274" s="19"/>
      <c r="GL274" s="19"/>
      <c r="GM274" s="19"/>
      <c r="GN274" s="19"/>
      <c r="GO274" s="19"/>
      <c r="GP274" s="19"/>
      <c r="GQ274" s="19"/>
      <c r="GR274" s="19"/>
      <c r="GS274" s="19"/>
      <c r="GT274" s="19"/>
      <c r="GU274" s="19"/>
      <c r="GV274" s="19"/>
      <c r="GW274" s="19"/>
      <c r="GX274" s="19"/>
      <c r="GY274" s="19"/>
      <c r="GZ274" s="19"/>
      <c r="HA274" s="19"/>
      <c r="HB274" s="19"/>
    </row>
    <row r="275" spans="1:210"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c r="FJ275" s="19"/>
      <c r="FK275" s="19"/>
      <c r="FL275" s="19"/>
      <c r="FM275" s="19"/>
      <c r="FN275" s="19"/>
      <c r="FO275" s="19"/>
      <c r="FP275" s="19"/>
      <c r="FQ275" s="19"/>
      <c r="FR275" s="19"/>
      <c r="FS275" s="19"/>
      <c r="FT275" s="19"/>
      <c r="FU275" s="19"/>
      <c r="FV275" s="19"/>
      <c r="FW275" s="19"/>
      <c r="FX275" s="19"/>
      <c r="FY275" s="19"/>
      <c r="FZ275" s="19"/>
      <c r="GA275" s="19"/>
      <c r="GB275" s="19"/>
      <c r="GC275" s="19"/>
      <c r="GD275" s="19"/>
      <c r="GE275" s="19"/>
      <c r="GF275" s="19"/>
      <c r="GG275" s="19"/>
      <c r="GH275" s="19"/>
      <c r="GI275" s="19"/>
      <c r="GJ275" s="19"/>
      <c r="GK275" s="19"/>
      <c r="GL275" s="19"/>
      <c r="GM275" s="19"/>
      <c r="GN275" s="19"/>
      <c r="GO275" s="19"/>
      <c r="GP275" s="19"/>
      <c r="GQ275" s="19"/>
      <c r="GR275" s="19"/>
      <c r="GS275" s="19"/>
      <c r="GT275" s="19"/>
      <c r="GU275" s="19"/>
      <c r="GV275" s="19"/>
      <c r="GW275" s="19"/>
      <c r="GX275" s="19"/>
      <c r="GY275" s="19"/>
      <c r="GZ275" s="19"/>
      <c r="HA275" s="19"/>
      <c r="HB275" s="19"/>
    </row>
    <row r="276" spans="1:210"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c r="FJ276" s="19"/>
      <c r="FK276" s="19"/>
      <c r="FL276" s="19"/>
      <c r="FM276" s="19"/>
      <c r="FN276" s="19"/>
      <c r="FO276" s="19"/>
      <c r="FP276" s="19"/>
      <c r="FQ276" s="19"/>
      <c r="FR276" s="19"/>
      <c r="FS276" s="19"/>
      <c r="FT276" s="19"/>
      <c r="FU276" s="19"/>
      <c r="FV276" s="19"/>
      <c r="FW276" s="19"/>
      <c r="FX276" s="19"/>
      <c r="FY276" s="19"/>
      <c r="FZ276" s="19"/>
      <c r="GA276" s="19"/>
      <c r="GB276" s="19"/>
      <c r="GC276" s="19"/>
      <c r="GD276" s="19"/>
      <c r="GE276" s="19"/>
      <c r="GF276" s="19"/>
      <c r="GG276" s="19"/>
      <c r="GH276" s="19"/>
      <c r="GI276" s="19"/>
      <c r="GJ276" s="19"/>
      <c r="GK276" s="19"/>
      <c r="GL276" s="19"/>
      <c r="GM276" s="19"/>
      <c r="GN276" s="19"/>
      <c r="GO276" s="19"/>
      <c r="GP276" s="19"/>
      <c r="GQ276" s="19"/>
      <c r="GR276" s="19"/>
      <c r="GS276" s="19"/>
      <c r="GT276" s="19"/>
      <c r="GU276" s="19"/>
      <c r="GV276" s="19"/>
      <c r="GW276" s="19"/>
      <c r="GX276" s="19"/>
      <c r="GY276" s="19"/>
      <c r="GZ276" s="19"/>
      <c r="HA276" s="19"/>
      <c r="HB276" s="19"/>
    </row>
    <row r="277" spans="1:210"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c r="FJ277" s="19"/>
      <c r="FK277" s="19"/>
      <c r="FL277" s="19"/>
      <c r="FM277" s="19"/>
      <c r="FN277" s="19"/>
      <c r="FO277" s="19"/>
      <c r="FP277" s="19"/>
      <c r="FQ277" s="19"/>
      <c r="FR277" s="19"/>
      <c r="FS277" s="19"/>
      <c r="FT277" s="19"/>
      <c r="FU277" s="19"/>
      <c r="FV277" s="19"/>
      <c r="FW277" s="19"/>
      <c r="FX277" s="19"/>
      <c r="FY277" s="19"/>
      <c r="FZ277" s="19"/>
      <c r="GA277" s="19"/>
      <c r="GB277" s="19"/>
      <c r="GC277" s="19"/>
      <c r="GD277" s="19"/>
      <c r="GE277" s="19"/>
      <c r="GF277" s="19"/>
      <c r="GG277" s="19"/>
      <c r="GH277" s="19"/>
      <c r="GI277" s="19"/>
      <c r="GJ277" s="19"/>
      <c r="GK277" s="19"/>
      <c r="GL277" s="19"/>
      <c r="GM277" s="19"/>
      <c r="GN277" s="19"/>
      <c r="GO277" s="19"/>
      <c r="GP277" s="19"/>
      <c r="GQ277" s="19"/>
      <c r="GR277" s="19"/>
      <c r="GS277" s="19"/>
      <c r="GT277" s="19"/>
      <c r="GU277" s="19"/>
      <c r="GV277" s="19"/>
      <c r="GW277" s="19"/>
      <c r="GX277" s="19"/>
      <c r="GY277" s="19"/>
      <c r="GZ277" s="19"/>
      <c r="HA277" s="19"/>
      <c r="HB277" s="19"/>
    </row>
    <row r="278" spans="1:210"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c r="FJ278" s="19"/>
      <c r="FK278" s="19"/>
      <c r="FL278" s="19"/>
      <c r="FM278" s="19"/>
      <c r="FN278" s="19"/>
      <c r="FO278" s="19"/>
      <c r="FP278" s="19"/>
      <c r="FQ278" s="19"/>
      <c r="FR278" s="19"/>
      <c r="FS278" s="19"/>
      <c r="FT278" s="19"/>
      <c r="FU278" s="19"/>
      <c r="FV278" s="19"/>
      <c r="FW278" s="19"/>
      <c r="FX278" s="19"/>
      <c r="FY278" s="19"/>
      <c r="FZ278" s="19"/>
      <c r="GA278" s="19"/>
      <c r="GB278" s="19"/>
      <c r="GC278" s="19"/>
      <c r="GD278" s="19"/>
      <c r="GE278" s="19"/>
      <c r="GF278" s="19"/>
      <c r="GG278" s="19"/>
      <c r="GH278" s="19"/>
      <c r="GI278" s="19"/>
      <c r="GJ278" s="19"/>
      <c r="GK278" s="19"/>
      <c r="GL278" s="19"/>
      <c r="GM278" s="19"/>
      <c r="GN278" s="19"/>
      <c r="GO278" s="19"/>
      <c r="GP278" s="19"/>
      <c r="GQ278" s="19"/>
      <c r="GR278" s="19"/>
      <c r="GS278" s="19"/>
      <c r="GT278" s="19"/>
      <c r="GU278" s="19"/>
      <c r="GV278" s="19"/>
      <c r="GW278" s="19"/>
      <c r="GX278" s="19"/>
      <c r="GY278" s="19"/>
      <c r="GZ278" s="19"/>
      <c r="HA278" s="19"/>
      <c r="HB278" s="19"/>
    </row>
    <row r="279" spans="1:210"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c r="FJ279" s="19"/>
      <c r="FK279" s="19"/>
      <c r="FL279" s="19"/>
      <c r="FM279" s="19"/>
      <c r="FN279" s="19"/>
      <c r="FO279" s="19"/>
      <c r="FP279" s="19"/>
      <c r="FQ279" s="19"/>
      <c r="FR279" s="19"/>
      <c r="FS279" s="19"/>
      <c r="FT279" s="19"/>
      <c r="FU279" s="19"/>
      <c r="FV279" s="19"/>
      <c r="FW279" s="19"/>
      <c r="FX279" s="19"/>
      <c r="FY279" s="19"/>
      <c r="FZ279" s="19"/>
      <c r="GA279" s="19"/>
      <c r="GB279" s="19"/>
      <c r="GC279" s="19"/>
      <c r="GD279" s="19"/>
      <c r="GE279" s="19"/>
      <c r="GF279" s="19"/>
      <c r="GG279" s="19"/>
      <c r="GH279" s="19"/>
      <c r="GI279" s="19"/>
      <c r="GJ279" s="19"/>
      <c r="GK279" s="19"/>
      <c r="GL279" s="19"/>
      <c r="GM279" s="19"/>
      <c r="GN279" s="19"/>
      <c r="GO279" s="19"/>
      <c r="GP279" s="19"/>
      <c r="GQ279" s="19"/>
      <c r="GR279" s="19"/>
      <c r="GS279" s="19"/>
      <c r="GT279" s="19"/>
      <c r="GU279" s="19"/>
      <c r="GV279" s="19"/>
      <c r="GW279" s="19"/>
      <c r="GX279" s="19"/>
      <c r="GY279" s="19"/>
      <c r="GZ279" s="19"/>
      <c r="HA279" s="19"/>
      <c r="HB279" s="19"/>
    </row>
    <row r="280" spans="1:210"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c r="FJ280" s="19"/>
      <c r="FK280" s="19"/>
      <c r="FL280" s="19"/>
      <c r="FM280" s="19"/>
      <c r="FN280" s="19"/>
      <c r="FO280" s="19"/>
      <c r="FP280" s="19"/>
      <c r="FQ280" s="19"/>
      <c r="FR280" s="19"/>
      <c r="FS280" s="19"/>
      <c r="FT280" s="19"/>
      <c r="FU280" s="19"/>
      <c r="FV280" s="19"/>
      <c r="FW280" s="19"/>
      <c r="FX280" s="19"/>
      <c r="FY280" s="19"/>
      <c r="FZ280" s="19"/>
      <c r="GA280" s="19"/>
      <c r="GB280" s="19"/>
      <c r="GC280" s="19"/>
      <c r="GD280" s="19"/>
      <c r="GE280" s="19"/>
      <c r="GF280" s="19"/>
      <c r="GG280" s="19"/>
      <c r="GH280" s="19"/>
      <c r="GI280" s="19"/>
      <c r="GJ280" s="19"/>
      <c r="GK280" s="19"/>
      <c r="GL280" s="19"/>
      <c r="GM280" s="19"/>
      <c r="GN280" s="19"/>
      <c r="GO280" s="19"/>
      <c r="GP280" s="19"/>
      <c r="GQ280" s="19"/>
      <c r="GR280" s="19"/>
      <c r="GS280" s="19"/>
      <c r="GT280" s="19"/>
      <c r="GU280" s="19"/>
      <c r="GV280" s="19"/>
      <c r="GW280" s="19"/>
      <c r="GX280" s="19"/>
      <c r="GY280" s="19"/>
      <c r="GZ280" s="19"/>
      <c r="HA280" s="19"/>
      <c r="HB280" s="19"/>
    </row>
    <row r="281" spans="1:210"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c r="FJ281" s="19"/>
      <c r="FK281" s="19"/>
      <c r="FL281" s="19"/>
      <c r="FM281" s="19"/>
      <c r="FN281" s="19"/>
      <c r="FO281" s="19"/>
      <c r="FP281" s="19"/>
      <c r="FQ281" s="19"/>
      <c r="FR281" s="19"/>
      <c r="FS281" s="19"/>
      <c r="FT281" s="19"/>
      <c r="FU281" s="19"/>
      <c r="FV281" s="19"/>
      <c r="FW281" s="19"/>
      <c r="FX281" s="19"/>
      <c r="FY281" s="19"/>
      <c r="FZ281" s="19"/>
      <c r="GA281" s="19"/>
      <c r="GB281" s="19"/>
      <c r="GC281" s="19"/>
      <c r="GD281" s="19"/>
      <c r="GE281" s="19"/>
      <c r="GF281" s="19"/>
      <c r="GG281" s="19"/>
      <c r="GH281" s="19"/>
      <c r="GI281" s="19"/>
      <c r="GJ281" s="19"/>
      <c r="GK281" s="19"/>
      <c r="GL281" s="19"/>
      <c r="GM281" s="19"/>
      <c r="GN281" s="19"/>
      <c r="GO281" s="19"/>
      <c r="GP281" s="19"/>
      <c r="GQ281" s="19"/>
      <c r="GR281" s="19"/>
      <c r="GS281" s="19"/>
      <c r="GT281" s="19"/>
      <c r="GU281" s="19"/>
      <c r="GV281" s="19"/>
      <c r="GW281" s="19"/>
      <c r="GX281" s="19"/>
      <c r="GY281" s="19"/>
      <c r="GZ281" s="19"/>
      <c r="HA281" s="19"/>
      <c r="HB281" s="19"/>
    </row>
    <row r="282" spans="1:210"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c r="FJ282" s="19"/>
      <c r="FK282" s="19"/>
      <c r="FL282" s="19"/>
      <c r="FM282" s="19"/>
      <c r="FN282" s="19"/>
      <c r="FO282" s="19"/>
      <c r="FP282" s="19"/>
      <c r="FQ282" s="19"/>
      <c r="FR282" s="19"/>
      <c r="FS282" s="19"/>
      <c r="FT282" s="19"/>
      <c r="FU282" s="19"/>
      <c r="FV282" s="19"/>
      <c r="FW282" s="19"/>
      <c r="FX282" s="19"/>
      <c r="FY282" s="19"/>
      <c r="FZ282" s="19"/>
      <c r="GA282" s="19"/>
      <c r="GB282" s="19"/>
      <c r="GC282" s="19"/>
      <c r="GD282" s="19"/>
      <c r="GE282" s="19"/>
      <c r="GF282" s="19"/>
      <c r="GG282" s="19"/>
      <c r="GH282" s="19"/>
      <c r="GI282" s="19"/>
      <c r="GJ282" s="19"/>
      <c r="GK282" s="19"/>
      <c r="GL282" s="19"/>
      <c r="GM282" s="19"/>
      <c r="GN282" s="19"/>
      <c r="GO282" s="19"/>
      <c r="GP282" s="19"/>
      <c r="GQ282" s="19"/>
      <c r="GR282" s="19"/>
      <c r="GS282" s="19"/>
      <c r="GT282" s="19"/>
      <c r="GU282" s="19"/>
      <c r="GV282" s="19"/>
      <c r="GW282" s="19"/>
      <c r="GX282" s="19"/>
      <c r="GY282" s="19"/>
      <c r="GZ282" s="19"/>
      <c r="HA282" s="19"/>
      <c r="HB282" s="19"/>
    </row>
    <row r="283" spans="1:210"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c r="FJ283" s="19"/>
      <c r="FK283" s="19"/>
      <c r="FL283" s="19"/>
      <c r="FM283" s="19"/>
      <c r="FN283" s="19"/>
      <c r="FO283" s="19"/>
      <c r="FP283" s="19"/>
      <c r="FQ283" s="19"/>
      <c r="FR283" s="19"/>
      <c r="FS283" s="19"/>
      <c r="FT283" s="19"/>
      <c r="FU283" s="19"/>
      <c r="FV283" s="19"/>
      <c r="FW283" s="19"/>
      <c r="FX283" s="19"/>
      <c r="FY283" s="19"/>
      <c r="FZ283" s="19"/>
      <c r="GA283" s="19"/>
      <c r="GB283" s="19"/>
      <c r="GC283" s="19"/>
      <c r="GD283" s="19"/>
      <c r="GE283" s="19"/>
      <c r="GF283" s="19"/>
      <c r="GG283" s="19"/>
      <c r="GH283" s="19"/>
      <c r="GI283" s="19"/>
      <c r="GJ283" s="19"/>
      <c r="GK283" s="19"/>
      <c r="GL283" s="19"/>
      <c r="GM283" s="19"/>
      <c r="GN283" s="19"/>
      <c r="GO283" s="19"/>
      <c r="GP283" s="19"/>
      <c r="GQ283" s="19"/>
      <c r="GR283" s="19"/>
      <c r="GS283" s="19"/>
      <c r="GT283" s="19"/>
      <c r="GU283" s="19"/>
      <c r="GV283" s="19"/>
      <c r="GW283" s="19"/>
      <c r="GX283" s="19"/>
      <c r="GY283" s="19"/>
      <c r="GZ283" s="19"/>
      <c r="HA283" s="19"/>
      <c r="HB283" s="19"/>
    </row>
    <row r="284" spans="1:210"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c r="FJ284" s="19"/>
      <c r="FK284" s="19"/>
      <c r="FL284" s="19"/>
      <c r="FM284" s="19"/>
      <c r="FN284" s="19"/>
      <c r="FO284" s="19"/>
      <c r="FP284" s="19"/>
      <c r="FQ284" s="19"/>
      <c r="FR284" s="19"/>
      <c r="FS284" s="19"/>
      <c r="FT284" s="19"/>
      <c r="FU284" s="19"/>
      <c r="FV284" s="19"/>
      <c r="FW284" s="19"/>
      <c r="FX284" s="19"/>
      <c r="FY284" s="19"/>
      <c r="FZ284" s="19"/>
      <c r="GA284" s="19"/>
      <c r="GB284" s="19"/>
      <c r="GC284" s="19"/>
      <c r="GD284" s="19"/>
      <c r="GE284" s="19"/>
      <c r="GF284" s="19"/>
      <c r="GG284" s="19"/>
      <c r="GH284" s="19"/>
      <c r="GI284" s="19"/>
      <c r="GJ284" s="19"/>
      <c r="GK284" s="19"/>
      <c r="GL284" s="19"/>
      <c r="GM284" s="19"/>
      <c r="GN284" s="19"/>
      <c r="GO284" s="19"/>
      <c r="GP284" s="19"/>
      <c r="GQ284" s="19"/>
      <c r="GR284" s="19"/>
      <c r="GS284" s="19"/>
      <c r="GT284" s="19"/>
      <c r="GU284" s="19"/>
      <c r="GV284" s="19"/>
      <c r="GW284" s="19"/>
      <c r="GX284" s="19"/>
      <c r="GY284" s="19"/>
      <c r="GZ284" s="19"/>
      <c r="HA284" s="19"/>
      <c r="HB284" s="19"/>
    </row>
    <row r="285" spans="1:210"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c r="FJ285" s="19"/>
      <c r="FK285" s="19"/>
      <c r="FL285" s="19"/>
      <c r="FM285" s="19"/>
      <c r="FN285" s="19"/>
      <c r="FO285" s="19"/>
      <c r="FP285" s="19"/>
      <c r="FQ285" s="19"/>
      <c r="FR285" s="19"/>
      <c r="FS285" s="19"/>
      <c r="FT285" s="19"/>
      <c r="FU285" s="19"/>
      <c r="FV285" s="19"/>
      <c r="FW285" s="19"/>
      <c r="FX285" s="19"/>
      <c r="FY285" s="19"/>
      <c r="FZ285" s="19"/>
      <c r="GA285" s="19"/>
      <c r="GB285" s="19"/>
      <c r="GC285" s="19"/>
      <c r="GD285" s="19"/>
      <c r="GE285" s="19"/>
      <c r="GF285" s="19"/>
      <c r="GG285" s="19"/>
      <c r="GH285" s="19"/>
      <c r="GI285" s="19"/>
      <c r="GJ285" s="19"/>
      <c r="GK285" s="19"/>
      <c r="GL285" s="19"/>
      <c r="GM285" s="19"/>
      <c r="GN285" s="19"/>
      <c r="GO285" s="19"/>
      <c r="GP285" s="19"/>
      <c r="GQ285" s="19"/>
      <c r="GR285" s="19"/>
      <c r="GS285" s="19"/>
      <c r="GT285" s="19"/>
      <c r="GU285" s="19"/>
      <c r="GV285" s="19"/>
      <c r="GW285" s="19"/>
      <c r="GX285" s="19"/>
      <c r="GY285" s="19"/>
      <c r="GZ285" s="19"/>
      <c r="HA285" s="19"/>
      <c r="HB285" s="19"/>
    </row>
    <row r="286" spans="1:210"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c r="FJ286" s="19"/>
      <c r="FK286" s="19"/>
      <c r="FL286" s="19"/>
      <c r="FM286" s="19"/>
      <c r="FN286" s="19"/>
      <c r="FO286" s="19"/>
      <c r="FP286" s="19"/>
      <c r="FQ286" s="19"/>
      <c r="FR286" s="19"/>
      <c r="FS286" s="19"/>
      <c r="FT286" s="19"/>
      <c r="FU286" s="19"/>
      <c r="FV286" s="19"/>
      <c r="FW286" s="19"/>
      <c r="FX286" s="19"/>
      <c r="FY286" s="19"/>
      <c r="FZ286" s="19"/>
      <c r="GA286" s="19"/>
      <c r="GB286" s="19"/>
      <c r="GC286" s="19"/>
      <c r="GD286" s="19"/>
      <c r="GE286" s="19"/>
      <c r="GF286" s="19"/>
      <c r="GG286" s="19"/>
      <c r="GH286" s="19"/>
      <c r="GI286" s="19"/>
      <c r="GJ286" s="19"/>
      <c r="GK286" s="19"/>
      <c r="GL286" s="19"/>
      <c r="GM286" s="19"/>
      <c r="GN286" s="19"/>
      <c r="GO286" s="19"/>
      <c r="GP286" s="19"/>
      <c r="GQ286" s="19"/>
      <c r="GR286" s="19"/>
      <c r="GS286" s="19"/>
      <c r="GT286" s="19"/>
      <c r="GU286" s="19"/>
      <c r="GV286" s="19"/>
      <c r="GW286" s="19"/>
      <c r="GX286" s="19"/>
      <c r="GY286" s="19"/>
      <c r="GZ286" s="19"/>
      <c r="HA286" s="19"/>
      <c r="HB286" s="19"/>
    </row>
    <row r="287" spans="1:210"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c r="FJ287" s="19"/>
      <c r="FK287" s="19"/>
      <c r="FL287" s="19"/>
      <c r="FM287" s="19"/>
      <c r="FN287" s="19"/>
      <c r="FO287" s="19"/>
      <c r="FP287" s="19"/>
      <c r="FQ287" s="19"/>
      <c r="FR287" s="19"/>
      <c r="FS287" s="19"/>
      <c r="FT287" s="19"/>
      <c r="FU287" s="19"/>
      <c r="FV287" s="19"/>
      <c r="FW287" s="19"/>
      <c r="FX287" s="19"/>
      <c r="FY287" s="19"/>
      <c r="FZ287" s="19"/>
      <c r="GA287" s="19"/>
      <c r="GB287" s="19"/>
      <c r="GC287" s="19"/>
      <c r="GD287" s="19"/>
      <c r="GE287" s="19"/>
      <c r="GF287" s="19"/>
      <c r="GG287" s="19"/>
      <c r="GH287" s="19"/>
      <c r="GI287" s="19"/>
      <c r="GJ287" s="19"/>
      <c r="GK287" s="19"/>
      <c r="GL287" s="19"/>
      <c r="GM287" s="19"/>
      <c r="GN287" s="19"/>
      <c r="GO287" s="19"/>
      <c r="GP287" s="19"/>
      <c r="GQ287" s="19"/>
      <c r="GR287" s="19"/>
      <c r="GS287" s="19"/>
      <c r="GT287" s="19"/>
      <c r="GU287" s="19"/>
      <c r="GV287" s="19"/>
      <c r="GW287" s="19"/>
      <c r="GX287" s="19"/>
      <c r="GY287" s="19"/>
      <c r="GZ287" s="19"/>
      <c r="HA287" s="19"/>
      <c r="HB287" s="19"/>
    </row>
    <row r="288" spans="1:210"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c r="FJ288" s="19"/>
      <c r="FK288" s="19"/>
      <c r="FL288" s="19"/>
      <c r="FM288" s="19"/>
      <c r="FN288" s="19"/>
      <c r="FO288" s="19"/>
      <c r="FP288" s="19"/>
      <c r="FQ288" s="19"/>
      <c r="FR288" s="19"/>
      <c r="FS288" s="19"/>
      <c r="FT288" s="19"/>
      <c r="FU288" s="19"/>
      <c r="FV288" s="19"/>
      <c r="FW288" s="19"/>
      <c r="FX288" s="19"/>
      <c r="FY288" s="19"/>
      <c r="FZ288" s="19"/>
      <c r="GA288" s="19"/>
      <c r="GB288" s="19"/>
      <c r="GC288" s="19"/>
      <c r="GD288" s="19"/>
      <c r="GE288" s="19"/>
      <c r="GF288" s="19"/>
      <c r="GG288" s="19"/>
      <c r="GH288" s="19"/>
      <c r="GI288" s="19"/>
      <c r="GJ288" s="19"/>
      <c r="GK288" s="19"/>
      <c r="GL288" s="19"/>
      <c r="GM288" s="19"/>
      <c r="GN288" s="19"/>
      <c r="GO288" s="19"/>
      <c r="GP288" s="19"/>
      <c r="GQ288" s="19"/>
      <c r="GR288" s="19"/>
      <c r="GS288" s="19"/>
      <c r="GT288" s="19"/>
      <c r="GU288" s="19"/>
      <c r="GV288" s="19"/>
      <c r="GW288" s="19"/>
      <c r="GX288" s="19"/>
      <c r="GY288" s="19"/>
      <c r="GZ288" s="19"/>
      <c r="HA288" s="19"/>
      <c r="HB288" s="19"/>
    </row>
    <row r="289" spans="1:210"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c r="FD289" s="19"/>
      <c r="FE289" s="19"/>
      <c r="FF289" s="19"/>
      <c r="FG289" s="19"/>
      <c r="FH289" s="19"/>
      <c r="FI289" s="19"/>
      <c r="FJ289" s="19"/>
      <c r="FK289" s="19"/>
      <c r="FL289" s="19"/>
      <c r="FM289" s="19"/>
      <c r="FN289" s="19"/>
      <c r="FO289" s="19"/>
      <c r="FP289" s="19"/>
      <c r="FQ289" s="19"/>
      <c r="FR289" s="19"/>
      <c r="FS289" s="19"/>
      <c r="FT289" s="19"/>
      <c r="FU289" s="19"/>
      <c r="FV289" s="19"/>
      <c r="FW289" s="19"/>
      <c r="FX289" s="19"/>
      <c r="FY289" s="19"/>
      <c r="FZ289" s="19"/>
      <c r="GA289" s="19"/>
      <c r="GB289" s="19"/>
      <c r="GC289" s="19"/>
      <c r="GD289" s="19"/>
      <c r="GE289" s="19"/>
      <c r="GF289" s="19"/>
      <c r="GG289" s="19"/>
      <c r="GH289" s="19"/>
      <c r="GI289" s="19"/>
      <c r="GJ289" s="19"/>
      <c r="GK289" s="19"/>
      <c r="GL289" s="19"/>
      <c r="GM289" s="19"/>
      <c r="GN289" s="19"/>
      <c r="GO289" s="19"/>
      <c r="GP289" s="19"/>
      <c r="GQ289" s="19"/>
      <c r="GR289" s="19"/>
      <c r="GS289" s="19"/>
      <c r="GT289" s="19"/>
      <c r="GU289" s="19"/>
      <c r="GV289" s="19"/>
      <c r="GW289" s="19"/>
      <c r="GX289" s="19"/>
      <c r="GY289" s="19"/>
      <c r="GZ289" s="19"/>
      <c r="HA289" s="19"/>
      <c r="HB289" s="19"/>
    </row>
    <row r="290" spans="1:210"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c r="FD290" s="19"/>
      <c r="FE290" s="19"/>
      <c r="FF290" s="19"/>
      <c r="FG290" s="19"/>
      <c r="FH290" s="19"/>
      <c r="FI290" s="19"/>
      <c r="FJ290" s="19"/>
      <c r="FK290" s="19"/>
      <c r="FL290" s="19"/>
      <c r="FM290" s="19"/>
      <c r="FN290" s="19"/>
      <c r="FO290" s="19"/>
      <c r="FP290" s="19"/>
      <c r="FQ290" s="19"/>
      <c r="FR290" s="19"/>
      <c r="FS290" s="19"/>
      <c r="FT290" s="19"/>
      <c r="FU290" s="19"/>
      <c r="FV290" s="19"/>
      <c r="FW290" s="19"/>
      <c r="FX290" s="19"/>
      <c r="FY290" s="19"/>
      <c r="FZ290" s="19"/>
      <c r="GA290" s="19"/>
      <c r="GB290" s="19"/>
      <c r="GC290" s="19"/>
      <c r="GD290" s="19"/>
      <c r="GE290" s="19"/>
      <c r="GF290" s="19"/>
      <c r="GG290" s="19"/>
      <c r="GH290" s="19"/>
      <c r="GI290" s="19"/>
      <c r="GJ290" s="19"/>
      <c r="GK290" s="19"/>
      <c r="GL290" s="19"/>
      <c r="GM290" s="19"/>
      <c r="GN290" s="19"/>
      <c r="GO290" s="19"/>
      <c r="GP290" s="19"/>
      <c r="GQ290" s="19"/>
      <c r="GR290" s="19"/>
      <c r="GS290" s="19"/>
      <c r="GT290" s="19"/>
      <c r="GU290" s="19"/>
      <c r="GV290" s="19"/>
      <c r="GW290" s="19"/>
      <c r="GX290" s="19"/>
      <c r="GY290" s="19"/>
      <c r="GZ290" s="19"/>
      <c r="HA290" s="19"/>
      <c r="HB290" s="19"/>
    </row>
    <row r="291" spans="1:210"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row>
    <row r="292" spans="1:210"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row>
    <row r="293" spans="1:210"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row>
    <row r="294" spans="1:210"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c r="FJ294" s="19"/>
      <c r="FK294" s="19"/>
      <c r="FL294" s="19"/>
      <c r="FM294" s="19"/>
      <c r="FN294" s="19"/>
      <c r="FO294" s="19"/>
      <c r="FP294" s="19"/>
      <c r="FQ294" s="19"/>
      <c r="FR294" s="19"/>
      <c r="FS294" s="19"/>
      <c r="FT294" s="19"/>
      <c r="FU294" s="19"/>
      <c r="FV294" s="19"/>
      <c r="FW294" s="19"/>
      <c r="FX294" s="19"/>
      <c r="FY294" s="19"/>
      <c r="FZ294" s="19"/>
      <c r="GA294" s="19"/>
      <c r="GB294" s="19"/>
      <c r="GC294" s="19"/>
      <c r="GD294" s="19"/>
      <c r="GE294" s="19"/>
      <c r="GF294" s="19"/>
      <c r="GG294" s="19"/>
      <c r="GH294" s="19"/>
      <c r="GI294" s="19"/>
      <c r="GJ294" s="19"/>
      <c r="GK294" s="19"/>
      <c r="GL294" s="19"/>
      <c r="GM294" s="19"/>
      <c r="GN294" s="19"/>
      <c r="GO294" s="19"/>
      <c r="GP294" s="19"/>
      <c r="GQ294" s="19"/>
      <c r="GR294" s="19"/>
      <c r="GS294" s="19"/>
      <c r="GT294" s="19"/>
      <c r="GU294" s="19"/>
      <c r="GV294" s="19"/>
      <c r="GW294" s="19"/>
      <c r="GX294" s="19"/>
      <c r="GY294" s="19"/>
      <c r="GZ294" s="19"/>
      <c r="HA294" s="19"/>
      <c r="HB294" s="19"/>
    </row>
    <row r="295" spans="1:210"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c r="FD295" s="19"/>
      <c r="FE295" s="19"/>
      <c r="FF295" s="19"/>
      <c r="FG295" s="19"/>
      <c r="FH295" s="19"/>
      <c r="FI295" s="19"/>
      <c r="FJ295" s="19"/>
      <c r="FK295" s="19"/>
      <c r="FL295" s="19"/>
      <c r="FM295" s="19"/>
      <c r="FN295" s="19"/>
      <c r="FO295" s="19"/>
      <c r="FP295" s="19"/>
      <c r="FQ295" s="19"/>
      <c r="FR295" s="19"/>
      <c r="FS295" s="19"/>
      <c r="FT295" s="19"/>
      <c r="FU295" s="19"/>
      <c r="FV295" s="19"/>
      <c r="FW295" s="19"/>
      <c r="FX295" s="19"/>
      <c r="FY295" s="19"/>
      <c r="FZ295" s="19"/>
      <c r="GA295" s="19"/>
      <c r="GB295" s="19"/>
      <c r="GC295" s="19"/>
      <c r="GD295" s="19"/>
      <c r="GE295" s="19"/>
      <c r="GF295" s="19"/>
      <c r="GG295" s="19"/>
      <c r="GH295" s="19"/>
      <c r="GI295" s="19"/>
      <c r="GJ295" s="19"/>
      <c r="GK295" s="19"/>
      <c r="GL295" s="19"/>
      <c r="GM295" s="19"/>
      <c r="GN295" s="19"/>
      <c r="GO295" s="19"/>
      <c r="GP295" s="19"/>
      <c r="GQ295" s="19"/>
      <c r="GR295" s="19"/>
      <c r="GS295" s="19"/>
      <c r="GT295" s="19"/>
      <c r="GU295" s="19"/>
      <c r="GV295" s="19"/>
      <c r="GW295" s="19"/>
      <c r="GX295" s="19"/>
      <c r="GY295" s="19"/>
      <c r="GZ295" s="19"/>
      <c r="HA295" s="19"/>
      <c r="HB295" s="19"/>
    </row>
    <row r="296" spans="1:210"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c r="FJ296" s="19"/>
      <c r="FK296" s="19"/>
      <c r="FL296" s="19"/>
      <c r="FM296" s="19"/>
      <c r="FN296" s="19"/>
      <c r="FO296" s="19"/>
      <c r="FP296" s="19"/>
      <c r="FQ296" s="19"/>
      <c r="FR296" s="19"/>
      <c r="FS296" s="19"/>
      <c r="FT296" s="19"/>
      <c r="FU296" s="19"/>
      <c r="FV296" s="19"/>
      <c r="FW296" s="19"/>
      <c r="FX296" s="19"/>
      <c r="FY296" s="19"/>
      <c r="FZ296" s="19"/>
      <c r="GA296" s="19"/>
      <c r="GB296" s="19"/>
      <c r="GC296" s="19"/>
      <c r="GD296" s="19"/>
      <c r="GE296" s="19"/>
      <c r="GF296" s="19"/>
      <c r="GG296" s="19"/>
      <c r="GH296" s="19"/>
      <c r="GI296" s="19"/>
      <c r="GJ296" s="19"/>
      <c r="GK296" s="19"/>
      <c r="GL296" s="19"/>
      <c r="GM296" s="19"/>
      <c r="GN296" s="19"/>
      <c r="GO296" s="19"/>
      <c r="GP296" s="19"/>
      <c r="GQ296" s="19"/>
      <c r="GR296" s="19"/>
      <c r="GS296" s="19"/>
      <c r="GT296" s="19"/>
      <c r="GU296" s="19"/>
      <c r="GV296" s="19"/>
      <c r="GW296" s="19"/>
      <c r="GX296" s="19"/>
      <c r="GY296" s="19"/>
      <c r="GZ296" s="19"/>
      <c r="HA296" s="19"/>
      <c r="HB296" s="19"/>
    </row>
    <row r="297" spans="1:210"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c r="FJ297" s="19"/>
      <c r="FK297" s="19"/>
      <c r="FL297" s="19"/>
      <c r="FM297" s="19"/>
      <c r="FN297" s="19"/>
      <c r="FO297" s="19"/>
      <c r="FP297" s="19"/>
      <c r="FQ297" s="19"/>
      <c r="FR297" s="19"/>
      <c r="FS297" s="19"/>
      <c r="FT297" s="19"/>
      <c r="FU297" s="19"/>
      <c r="FV297" s="19"/>
      <c r="FW297" s="19"/>
      <c r="FX297" s="19"/>
      <c r="FY297" s="19"/>
      <c r="FZ297" s="19"/>
      <c r="GA297" s="19"/>
      <c r="GB297" s="19"/>
      <c r="GC297" s="19"/>
      <c r="GD297" s="19"/>
      <c r="GE297" s="19"/>
      <c r="GF297" s="19"/>
      <c r="GG297" s="19"/>
      <c r="GH297" s="19"/>
      <c r="GI297" s="19"/>
      <c r="GJ297" s="19"/>
      <c r="GK297" s="19"/>
      <c r="GL297" s="19"/>
      <c r="GM297" s="19"/>
      <c r="GN297" s="19"/>
      <c r="GO297" s="19"/>
      <c r="GP297" s="19"/>
      <c r="GQ297" s="19"/>
      <c r="GR297" s="19"/>
      <c r="GS297" s="19"/>
      <c r="GT297" s="19"/>
      <c r="GU297" s="19"/>
      <c r="GV297" s="19"/>
      <c r="GW297" s="19"/>
      <c r="GX297" s="19"/>
      <c r="GY297" s="19"/>
      <c r="GZ297" s="19"/>
      <c r="HA297" s="19"/>
      <c r="HB297" s="19"/>
    </row>
    <row r="298" spans="1:210"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c r="FJ298" s="19"/>
      <c r="FK298" s="19"/>
      <c r="FL298" s="19"/>
      <c r="FM298" s="19"/>
      <c r="FN298" s="19"/>
      <c r="FO298" s="19"/>
      <c r="FP298" s="19"/>
      <c r="FQ298" s="19"/>
      <c r="FR298" s="19"/>
      <c r="FS298" s="19"/>
      <c r="FT298" s="19"/>
      <c r="FU298" s="19"/>
      <c r="FV298" s="19"/>
      <c r="FW298" s="19"/>
      <c r="FX298" s="19"/>
      <c r="FY298" s="19"/>
      <c r="FZ298" s="19"/>
      <c r="GA298" s="19"/>
      <c r="GB298" s="19"/>
      <c r="GC298" s="19"/>
      <c r="GD298" s="19"/>
      <c r="GE298" s="19"/>
      <c r="GF298" s="19"/>
      <c r="GG298" s="19"/>
      <c r="GH298" s="19"/>
      <c r="GI298" s="19"/>
      <c r="GJ298" s="19"/>
      <c r="GK298" s="19"/>
      <c r="GL298" s="19"/>
      <c r="GM298" s="19"/>
      <c r="GN298" s="19"/>
      <c r="GO298" s="19"/>
      <c r="GP298" s="19"/>
      <c r="GQ298" s="19"/>
      <c r="GR298" s="19"/>
      <c r="GS298" s="19"/>
      <c r="GT298" s="19"/>
      <c r="GU298" s="19"/>
      <c r="GV298" s="19"/>
      <c r="GW298" s="19"/>
      <c r="GX298" s="19"/>
      <c r="GY298" s="19"/>
      <c r="GZ298" s="19"/>
      <c r="HA298" s="19"/>
      <c r="HB298" s="19"/>
    </row>
    <row r="299" spans="1:210"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c r="FJ299" s="19"/>
      <c r="FK299" s="19"/>
      <c r="FL299" s="19"/>
      <c r="FM299" s="19"/>
      <c r="FN299" s="19"/>
      <c r="FO299" s="19"/>
      <c r="FP299" s="19"/>
      <c r="FQ299" s="19"/>
      <c r="FR299" s="19"/>
      <c r="FS299" s="19"/>
      <c r="FT299" s="19"/>
      <c r="FU299" s="19"/>
      <c r="FV299" s="19"/>
      <c r="FW299" s="19"/>
      <c r="FX299" s="19"/>
      <c r="FY299" s="19"/>
      <c r="FZ299" s="19"/>
      <c r="GA299" s="19"/>
      <c r="GB299" s="19"/>
      <c r="GC299" s="19"/>
      <c r="GD299" s="19"/>
      <c r="GE299" s="19"/>
      <c r="GF299" s="19"/>
      <c r="GG299" s="19"/>
      <c r="GH299" s="19"/>
      <c r="GI299" s="19"/>
      <c r="GJ299" s="19"/>
      <c r="GK299" s="19"/>
      <c r="GL299" s="19"/>
      <c r="GM299" s="19"/>
      <c r="GN299" s="19"/>
      <c r="GO299" s="19"/>
      <c r="GP299" s="19"/>
      <c r="GQ299" s="19"/>
      <c r="GR299" s="19"/>
      <c r="GS299" s="19"/>
      <c r="GT299" s="19"/>
      <c r="GU299" s="19"/>
      <c r="GV299" s="19"/>
      <c r="GW299" s="19"/>
      <c r="GX299" s="19"/>
      <c r="GY299" s="19"/>
      <c r="GZ299" s="19"/>
      <c r="HA299" s="19"/>
      <c r="HB299" s="19"/>
    </row>
    <row r="300" spans="1:210"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c r="FJ300" s="19"/>
      <c r="FK300" s="19"/>
      <c r="FL300" s="19"/>
      <c r="FM300" s="19"/>
      <c r="FN300" s="19"/>
      <c r="FO300" s="19"/>
      <c r="FP300" s="19"/>
      <c r="FQ300" s="19"/>
      <c r="FR300" s="19"/>
      <c r="FS300" s="19"/>
      <c r="FT300" s="19"/>
      <c r="FU300" s="19"/>
      <c r="FV300" s="19"/>
      <c r="FW300" s="19"/>
      <c r="FX300" s="19"/>
      <c r="FY300" s="19"/>
      <c r="FZ300" s="19"/>
      <c r="GA300" s="19"/>
      <c r="GB300" s="19"/>
      <c r="GC300" s="19"/>
      <c r="GD300" s="19"/>
      <c r="GE300" s="19"/>
      <c r="GF300" s="19"/>
      <c r="GG300" s="19"/>
      <c r="GH300" s="19"/>
      <c r="GI300" s="19"/>
      <c r="GJ300" s="19"/>
      <c r="GK300" s="19"/>
      <c r="GL300" s="19"/>
      <c r="GM300" s="19"/>
      <c r="GN300" s="19"/>
      <c r="GO300" s="19"/>
      <c r="GP300" s="19"/>
      <c r="GQ300" s="19"/>
      <c r="GR300" s="19"/>
      <c r="GS300" s="19"/>
      <c r="GT300" s="19"/>
      <c r="GU300" s="19"/>
      <c r="GV300" s="19"/>
      <c r="GW300" s="19"/>
      <c r="GX300" s="19"/>
      <c r="GY300" s="19"/>
      <c r="GZ300" s="19"/>
      <c r="HA300" s="19"/>
      <c r="HB300" s="19"/>
    </row>
    <row r="301" spans="1:210"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c r="FJ301" s="19"/>
      <c r="FK301" s="19"/>
      <c r="FL301" s="19"/>
      <c r="FM301" s="19"/>
      <c r="FN301" s="19"/>
      <c r="FO301" s="19"/>
      <c r="FP301" s="19"/>
      <c r="FQ301" s="19"/>
      <c r="FR301" s="19"/>
      <c r="FS301" s="19"/>
      <c r="FT301" s="19"/>
      <c r="FU301" s="19"/>
      <c r="FV301" s="19"/>
      <c r="FW301" s="19"/>
      <c r="FX301" s="19"/>
      <c r="FY301" s="19"/>
      <c r="FZ301" s="19"/>
      <c r="GA301" s="19"/>
      <c r="GB301" s="19"/>
      <c r="GC301" s="19"/>
      <c r="GD301" s="19"/>
      <c r="GE301" s="19"/>
      <c r="GF301" s="19"/>
      <c r="GG301" s="19"/>
      <c r="GH301" s="19"/>
      <c r="GI301" s="19"/>
      <c r="GJ301" s="19"/>
      <c r="GK301" s="19"/>
      <c r="GL301" s="19"/>
      <c r="GM301" s="19"/>
      <c r="GN301" s="19"/>
      <c r="GO301" s="19"/>
      <c r="GP301" s="19"/>
      <c r="GQ301" s="19"/>
      <c r="GR301" s="19"/>
      <c r="GS301" s="19"/>
      <c r="GT301" s="19"/>
      <c r="GU301" s="19"/>
      <c r="GV301" s="19"/>
      <c r="GW301" s="19"/>
      <c r="GX301" s="19"/>
      <c r="GY301" s="19"/>
      <c r="GZ301" s="19"/>
      <c r="HA301" s="19"/>
      <c r="HB301" s="19"/>
    </row>
    <row r="302" spans="1:210"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c r="FJ302" s="19"/>
      <c r="FK302" s="19"/>
      <c r="FL302" s="19"/>
      <c r="FM302" s="19"/>
      <c r="FN302" s="19"/>
      <c r="FO302" s="19"/>
      <c r="FP302" s="19"/>
      <c r="FQ302" s="19"/>
      <c r="FR302" s="19"/>
      <c r="FS302" s="19"/>
      <c r="FT302" s="19"/>
      <c r="FU302" s="19"/>
      <c r="FV302" s="19"/>
      <c r="FW302" s="19"/>
      <c r="FX302" s="19"/>
      <c r="FY302" s="19"/>
      <c r="FZ302" s="19"/>
      <c r="GA302" s="19"/>
      <c r="GB302" s="19"/>
      <c r="GC302" s="19"/>
      <c r="GD302" s="19"/>
      <c r="GE302" s="19"/>
      <c r="GF302" s="19"/>
      <c r="GG302" s="19"/>
      <c r="GH302" s="19"/>
      <c r="GI302" s="19"/>
      <c r="GJ302" s="19"/>
      <c r="GK302" s="19"/>
      <c r="GL302" s="19"/>
      <c r="GM302" s="19"/>
      <c r="GN302" s="19"/>
      <c r="GO302" s="19"/>
      <c r="GP302" s="19"/>
      <c r="GQ302" s="19"/>
      <c r="GR302" s="19"/>
      <c r="GS302" s="19"/>
      <c r="GT302" s="19"/>
      <c r="GU302" s="19"/>
      <c r="GV302" s="19"/>
      <c r="GW302" s="19"/>
      <c r="GX302" s="19"/>
      <c r="GY302" s="19"/>
      <c r="GZ302" s="19"/>
      <c r="HA302" s="19"/>
      <c r="HB302" s="19"/>
    </row>
    <row r="303" spans="1:210"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c r="FJ303" s="19"/>
      <c r="FK303" s="19"/>
      <c r="FL303" s="19"/>
      <c r="FM303" s="19"/>
      <c r="FN303" s="19"/>
      <c r="FO303" s="19"/>
      <c r="FP303" s="19"/>
      <c r="FQ303" s="19"/>
      <c r="FR303" s="19"/>
      <c r="FS303" s="19"/>
      <c r="FT303" s="19"/>
      <c r="FU303" s="19"/>
      <c r="FV303" s="19"/>
      <c r="FW303" s="19"/>
      <c r="FX303" s="19"/>
      <c r="FY303" s="19"/>
      <c r="FZ303" s="19"/>
      <c r="GA303" s="19"/>
      <c r="GB303" s="19"/>
      <c r="GC303" s="19"/>
      <c r="GD303" s="19"/>
      <c r="GE303" s="19"/>
      <c r="GF303" s="19"/>
      <c r="GG303" s="19"/>
      <c r="GH303" s="19"/>
      <c r="GI303" s="19"/>
      <c r="GJ303" s="19"/>
      <c r="GK303" s="19"/>
      <c r="GL303" s="19"/>
      <c r="GM303" s="19"/>
      <c r="GN303" s="19"/>
      <c r="GO303" s="19"/>
      <c r="GP303" s="19"/>
      <c r="GQ303" s="19"/>
      <c r="GR303" s="19"/>
      <c r="GS303" s="19"/>
      <c r="GT303" s="19"/>
      <c r="GU303" s="19"/>
      <c r="GV303" s="19"/>
      <c r="GW303" s="19"/>
      <c r="GX303" s="19"/>
      <c r="GY303" s="19"/>
      <c r="GZ303" s="19"/>
      <c r="HA303" s="19"/>
      <c r="HB303" s="19"/>
    </row>
    <row r="304" spans="1:210"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c r="FJ304" s="19"/>
      <c r="FK304" s="19"/>
      <c r="FL304" s="19"/>
      <c r="FM304" s="19"/>
      <c r="FN304" s="19"/>
      <c r="FO304" s="19"/>
      <c r="FP304" s="19"/>
      <c r="FQ304" s="19"/>
      <c r="FR304" s="19"/>
      <c r="FS304" s="19"/>
      <c r="FT304" s="19"/>
      <c r="FU304" s="19"/>
      <c r="FV304" s="19"/>
      <c r="FW304" s="19"/>
      <c r="FX304" s="19"/>
      <c r="FY304" s="19"/>
      <c r="FZ304" s="19"/>
      <c r="GA304" s="19"/>
      <c r="GB304" s="19"/>
      <c r="GC304" s="19"/>
      <c r="GD304" s="19"/>
      <c r="GE304" s="19"/>
      <c r="GF304" s="19"/>
      <c r="GG304" s="19"/>
      <c r="GH304" s="19"/>
      <c r="GI304" s="19"/>
      <c r="GJ304" s="19"/>
      <c r="GK304" s="19"/>
      <c r="GL304" s="19"/>
      <c r="GM304" s="19"/>
      <c r="GN304" s="19"/>
      <c r="GO304" s="19"/>
      <c r="GP304" s="19"/>
      <c r="GQ304" s="19"/>
      <c r="GR304" s="19"/>
      <c r="GS304" s="19"/>
      <c r="GT304" s="19"/>
      <c r="GU304" s="19"/>
      <c r="GV304" s="19"/>
      <c r="GW304" s="19"/>
      <c r="GX304" s="19"/>
      <c r="GY304" s="19"/>
      <c r="GZ304" s="19"/>
      <c r="HA304" s="19"/>
      <c r="HB304" s="19"/>
    </row>
    <row r="305" spans="1:210"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c r="FZ305" s="19"/>
      <c r="GA305" s="19"/>
      <c r="GB305" s="19"/>
      <c r="GC305" s="19"/>
      <c r="GD305" s="19"/>
      <c r="GE305" s="19"/>
      <c r="GF305" s="19"/>
      <c r="GG305" s="19"/>
      <c r="GH305" s="19"/>
      <c r="GI305" s="19"/>
      <c r="GJ305" s="19"/>
      <c r="GK305" s="19"/>
      <c r="GL305" s="19"/>
      <c r="GM305" s="19"/>
      <c r="GN305" s="19"/>
      <c r="GO305" s="19"/>
      <c r="GP305" s="19"/>
      <c r="GQ305" s="19"/>
      <c r="GR305" s="19"/>
      <c r="GS305" s="19"/>
      <c r="GT305" s="19"/>
      <c r="GU305" s="19"/>
      <c r="GV305" s="19"/>
      <c r="GW305" s="19"/>
      <c r="GX305" s="19"/>
      <c r="GY305" s="19"/>
      <c r="GZ305" s="19"/>
      <c r="HA305" s="19"/>
      <c r="HB305" s="19"/>
    </row>
    <row r="306" spans="1:210"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c r="FJ306" s="19"/>
      <c r="FK306" s="19"/>
      <c r="FL306" s="19"/>
      <c r="FM306" s="19"/>
      <c r="FN306" s="19"/>
      <c r="FO306" s="19"/>
      <c r="FP306" s="19"/>
      <c r="FQ306" s="19"/>
      <c r="FR306" s="19"/>
      <c r="FS306" s="19"/>
      <c r="FT306" s="19"/>
      <c r="FU306" s="19"/>
      <c r="FV306" s="19"/>
      <c r="FW306" s="19"/>
      <c r="FX306" s="19"/>
      <c r="FY306" s="19"/>
      <c r="FZ306" s="19"/>
      <c r="GA306" s="19"/>
      <c r="GB306" s="19"/>
      <c r="GC306" s="19"/>
      <c r="GD306" s="19"/>
      <c r="GE306" s="19"/>
      <c r="GF306" s="19"/>
      <c r="GG306" s="19"/>
      <c r="GH306" s="19"/>
      <c r="GI306" s="19"/>
      <c r="GJ306" s="19"/>
      <c r="GK306" s="19"/>
      <c r="GL306" s="19"/>
      <c r="GM306" s="19"/>
      <c r="GN306" s="19"/>
      <c r="GO306" s="19"/>
      <c r="GP306" s="19"/>
      <c r="GQ306" s="19"/>
      <c r="GR306" s="19"/>
      <c r="GS306" s="19"/>
      <c r="GT306" s="19"/>
      <c r="GU306" s="19"/>
      <c r="GV306" s="19"/>
      <c r="GW306" s="19"/>
      <c r="GX306" s="19"/>
      <c r="GY306" s="19"/>
      <c r="GZ306" s="19"/>
      <c r="HA306" s="19"/>
      <c r="HB306" s="19"/>
    </row>
    <row r="307" spans="1:210"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c r="FJ307" s="19"/>
      <c r="FK307" s="19"/>
      <c r="FL307" s="19"/>
      <c r="FM307" s="19"/>
      <c r="FN307" s="19"/>
      <c r="FO307" s="19"/>
      <c r="FP307" s="19"/>
      <c r="FQ307" s="19"/>
      <c r="FR307" s="19"/>
      <c r="FS307" s="19"/>
      <c r="FT307" s="19"/>
      <c r="FU307" s="19"/>
      <c r="FV307" s="19"/>
      <c r="FW307" s="19"/>
      <c r="FX307" s="19"/>
      <c r="FY307" s="19"/>
      <c r="FZ307" s="19"/>
      <c r="GA307" s="19"/>
      <c r="GB307" s="19"/>
      <c r="GC307" s="19"/>
      <c r="GD307" s="19"/>
      <c r="GE307" s="19"/>
      <c r="GF307" s="19"/>
      <c r="GG307" s="19"/>
      <c r="GH307" s="19"/>
      <c r="GI307" s="19"/>
      <c r="GJ307" s="19"/>
      <c r="GK307" s="19"/>
      <c r="GL307" s="19"/>
      <c r="GM307" s="19"/>
      <c r="GN307" s="19"/>
      <c r="GO307" s="19"/>
      <c r="GP307" s="19"/>
      <c r="GQ307" s="19"/>
      <c r="GR307" s="19"/>
      <c r="GS307" s="19"/>
      <c r="GT307" s="19"/>
      <c r="GU307" s="19"/>
      <c r="GV307" s="19"/>
      <c r="GW307" s="19"/>
      <c r="GX307" s="19"/>
      <c r="GY307" s="19"/>
      <c r="GZ307" s="19"/>
      <c r="HA307" s="19"/>
      <c r="HB307" s="19"/>
    </row>
    <row r="308" spans="1:210"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c r="FJ308" s="19"/>
      <c r="FK308" s="19"/>
      <c r="FL308" s="19"/>
      <c r="FM308" s="19"/>
      <c r="FN308" s="19"/>
      <c r="FO308" s="19"/>
      <c r="FP308" s="19"/>
      <c r="FQ308" s="19"/>
      <c r="FR308" s="19"/>
      <c r="FS308" s="19"/>
      <c r="FT308" s="19"/>
      <c r="FU308" s="19"/>
      <c r="FV308" s="19"/>
      <c r="FW308" s="19"/>
      <c r="FX308" s="19"/>
      <c r="FY308" s="19"/>
      <c r="FZ308" s="19"/>
      <c r="GA308" s="19"/>
      <c r="GB308" s="19"/>
      <c r="GC308" s="19"/>
      <c r="GD308" s="19"/>
      <c r="GE308" s="19"/>
      <c r="GF308" s="19"/>
      <c r="GG308" s="19"/>
      <c r="GH308" s="19"/>
      <c r="GI308" s="19"/>
      <c r="GJ308" s="19"/>
      <c r="GK308" s="19"/>
      <c r="GL308" s="19"/>
      <c r="GM308" s="19"/>
      <c r="GN308" s="19"/>
      <c r="GO308" s="19"/>
      <c r="GP308" s="19"/>
      <c r="GQ308" s="19"/>
      <c r="GR308" s="19"/>
      <c r="GS308" s="19"/>
      <c r="GT308" s="19"/>
      <c r="GU308" s="19"/>
      <c r="GV308" s="19"/>
      <c r="GW308" s="19"/>
      <c r="GX308" s="19"/>
      <c r="GY308" s="19"/>
      <c r="GZ308" s="19"/>
      <c r="HA308" s="19"/>
      <c r="HB308" s="19"/>
    </row>
    <row r="309" spans="1:210"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c r="FJ309" s="19"/>
      <c r="FK309" s="19"/>
      <c r="FL309" s="19"/>
      <c r="FM309" s="19"/>
      <c r="FN309" s="19"/>
      <c r="FO309" s="19"/>
      <c r="FP309" s="19"/>
      <c r="FQ309" s="19"/>
      <c r="FR309" s="19"/>
      <c r="FS309" s="19"/>
      <c r="FT309" s="19"/>
      <c r="FU309" s="19"/>
      <c r="FV309" s="19"/>
      <c r="FW309" s="19"/>
      <c r="FX309" s="19"/>
      <c r="FY309" s="19"/>
      <c r="FZ309" s="19"/>
      <c r="GA309" s="19"/>
      <c r="GB309" s="19"/>
      <c r="GC309" s="19"/>
      <c r="GD309" s="19"/>
      <c r="GE309" s="19"/>
      <c r="GF309" s="19"/>
      <c r="GG309" s="19"/>
      <c r="GH309" s="19"/>
      <c r="GI309" s="19"/>
      <c r="GJ309" s="19"/>
      <c r="GK309" s="19"/>
      <c r="GL309" s="19"/>
      <c r="GM309" s="19"/>
      <c r="GN309" s="19"/>
      <c r="GO309" s="19"/>
      <c r="GP309" s="19"/>
      <c r="GQ309" s="19"/>
      <c r="GR309" s="19"/>
      <c r="GS309" s="19"/>
      <c r="GT309" s="19"/>
      <c r="GU309" s="19"/>
      <c r="GV309" s="19"/>
      <c r="GW309" s="19"/>
      <c r="GX309" s="19"/>
      <c r="GY309" s="19"/>
      <c r="GZ309" s="19"/>
      <c r="HA309" s="19"/>
      <c r="HB309" s="19"/>
    </row>
    <row r="310" spans="1:210"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c r="FJ310" s="19"/>
      <c r="FK310" s="19"/>
      <c r="FL310" s="19"/>
      <c r="FM310" s="19"/>
      <c r="FN310" s="19"/>
      <c r="FO310" s="19"/>
      <c r="FP310" s="19"/>
      <c r="FQ310" s="19"/>
      <c r="FR310" s="19"/>
      <c r="FS310" s="19"/>
      <c r="FT310" s="19"/>
      <c r="FU310" s="19"/>
      <c r="FV310" s="19"/>
      <c r="FW310" s="19"/>
      <c r="FX310" s="19"/>
      <c r="FY310" s="19"/>
      <c r="FZ310" s="19"/>
      <c r="GA310" s="19"/>
      <c r="GB310" s="19"/>
      <c r="GC310" s="19"/>
      <c r="GD310" s="19"/>
      <c r="GE310" s="19"/>
      <c r="GF310" s="19"/>
      <c r="GG310" s="19"/>
      <c r="GH310" s="19"/>
      <c r="GI310" s="19"/>
      <c r="GJ310" s="19"/>
      <c r="GK310" s="19"/>
      <c r="GL310" s="19"/>
      <c r="GM310" s="19"/>
      <c r="GN310" s="19"/>
      <c r="GO310" s="19"/>
      <c r="GP310" s="19"/>
      <c r="GQ310" s="19"/>
      <c r="GR310" s="19"/>
      <c r="GS310" s="19"/>
      <c r="GT310" s="19"/>
      <c r="GU310" s="19"/>
      <c r="GV310" s="19"/>
      <c r="GW310" s="19"/>
      <c r="GX310" s="19"/>
      <c r="GY310" s="19"/>
      <c r="GZ310" s="19"/>
      <c r="HA310" s="19"/>
      <c r="HB310" s="19"/>
    </row>
    <row r="311" spans="1:210"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c r="FJ311" s="19"/>
      <c r="FK311" s="19"/>
      <c r="FL311" s="19"/>
      <c r="FM311" s="19"/>
      <c r="FN311" s="19"/>
      <c r="FO311" s="19"/>
      <c r="FP311" s="19"/>
      <c r="FQ311" s="19"/>
      <c r="FR311" s="19"/>
      <c r="FS311" s="19"/>
      <c r="FT311" s="19"/>
      <c r="FU311" s="19"/>
      <c r="FV311" s="19"/>
      <c r="FW311" s="19"/>
      <c r="FX311" s="19"/>
      <c r="FY311" s="19"/>
      <c r="FZ311" s="19"/>
      <c r="GA311" s="19"/>
      <c r="GB311" s="19"/>
      <c r="GC311" s="19"/>
      <c r="GD311" s="19"/>
      <c r="GE311" s="19"/>
      <c r="GF311" s="19"/>
      <c r="GG311" s="19"/>
      <c r="GH311" s="19"/>
      <c r="GI311" s="19"/>
      <c r="GJ311" s="19"/>
      <c r="GK311" s="19"/>
      <c r="GL311" s="19"/>
      <c r="GM311" s="19"/>
      <c r="GN311" s="19"/>
      <c r="GO311" s="19"/>
      <c r="GP311" s="19"/>
      <c r="GQ311" s="19"/>
      <c r="GR311" s="19"/>
      <c r="GS311" s="19"/>
      <c r="GT311" s="19"/>
      <c r="GU311" s="19"/>
      <c r="GV311" s="19"/>
      <c r="GW311" s="19"/>
      <c r="GX311" s="19"/>
      <c r="GY311" s="19"/>
      <c r="GZ311" s="19"/>
      <c r="HA311" s="19"/>
      <c r="HB311" s="19"/>
    </row>
    <row r="312" spans="1:210"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c r="FJ312" s="19"/>
      <c r="FK312" s="19"/>
      <c r="FL312" s="19"/>
      <c r="FM312" s="19"/>
      <c r="FN312" s="19"/>
      <c r="FO312" s="19"/>
      <c r="FP312" s="19"/>
      <c r="FQ312" s="19"/>
      <c r="FR312" s="19"/>
      <c r="FS312" s="19"/>
      <c r="FT312" s="19"/>
      <c r="FU312" s="19"/>
      <c r="FV312" s="19"/>
      <c r="FW312" s="19"/>
      <c r="FX312" s="19"/>
      <c r="FY312" s="19"/>
      <c r="FZ312" s="19"/>
      <c r="GA312" s="19"/>
      <c r="GB312" s="19"/>
      <c r="GC312" s="19"/>
      <c r="GD312" s="19"/>
      <c r="GE312" s="19"/>
      <c r="GF312" s="19"/>
      <c r="GG312" s="19"/>
      <c r="GH312" s="19"/>
      <c r="GI312" s="19"/>
      <c r="GJ312" s="19"/>
      <c r="GK312" s="19"/>
      <c r="GL312" s="19"/>
      <c r="GM312" s="19"/>
      <c r="GN312" s="19"/>
      <c r="GO312" s="19"/>
      <c r="GP312" s="19"/>
      <c r="GQ312" s="19"/>
      <c r="GR312" s="19"/>
      <c r="GS312" s="19"/>
      <c r="GT312" s="19"/>
      <c r="GU312" s="19"/>
      <c r="GV312" s="19"/>
      <c r="GW312" s="19"/>
      <c r="GX312" s="19"/>
      <c r="GY312" s="19"/>
      <c r="GZ312" s="19"/>
      <c r="HA312" s="19"/>
      <c r="HB312" s="19"/>
    </row>
    <row r="313" spans="1:210"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c r="FJ313" s="19"/>
      <c r="FK313" s="19"/>
      <c r="FL313" s="19"/>
      <c r="FM313" s="19"/>
      <c r="FN313" s="19"/>
      <c r="FO313" s="19"/>
      <c r="FP313" s="19"/>
      <c r="FQ313" s="19"/>
      <c r="FR313" s="19"/>
      <c r="FS313" s="19"/>
      <c r="FT313" s="19"/>
      <c r="FU313" s="19"/>
      <c r="FV313" s="19"/>
      <c r="FW313" s="19"/>
      <c r="FX313" s="19"/>
      <c r="FY313" s="19"/>
      <c r="FZ313" s="19"/>
      <c r="GA313" s="19"/>
      <c r="GB313" s="19"/>
      <c r="GC313" s="19"/>
      <c r="GD313" s="19"/>
      <c r="GE313" s="19"/>
      <c r="GF313" s="19"/>
      <c r="GG313" s="19"/>
      <c r="GH313" s="19"/>
      <c r="GI313" s="19"/>
      <c r="GJ313" s="19"/>
      <c r="GK313" s="19"/>
      <c r="GL313" s="19"/>
      <c r="GM313" s="19"/>
      <c r="GN313" s="19"/>
      <c r="GO313" s="19"/>
      <c r="GP313" s="19"/>
      <c r="GQ313" s="19"/>
      <c r="GR313" s="19"/>
      <c r="GS313" s="19"/>
      <c r="GT313" s="19"/>
      <c r="GU313" s="19"/>
      <c r="GV313" s="19"/>
      <c r="GW313" s="19"/>
      <c r="GX313" s="19"/>
      <c r="GY313" s="19"/>
      <c r="GZ313" s="19"/>
      <c r="HA313" s="19"/>
      <c r="HB313" s="19"/>
    </row>
    <row r="314" spans="1:210"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c r="FJ314" s="19"/>
      <c r="FK314" s="19"/>
      <c r="FL314" s="19"/>
      <c r="FM314" s="19"/>
      <c r="FN314" s="19"/>
      <c r="FO314" s="19"/>
      <c r="FP314" s="19"/>
      <c r="FQ314" s="19"/>
      <c r="FR314" s="19"/>
      <c r="FS314" s="19"/>
      <c r="FT314" s="19"/>
      <c r="FU314" s="19"/>
      <c r="FV314" s="19"/>
      <c r="FW314" s="19"/>
      <c r="FX314" s="19"/>
      <c r="FY314" s="19"/>
      <c r="FZ314" s="19"/>
      <c r="GA314" s="19"/>
      <c r="GB314" s="19"/>
      <c r="GC314" s="19"/>
      <c r="GD314" s="19"/>
      <c r="GE314" s="19"/>
      <c r="GF314" s="19"/>
      <c r="GG314" s="19"/>
      <c r="GH314" s="19"/>
      <c r="GI314" s="19"/>
      <c r="GJ314" s="19"/>
      <c r="GK314" s="19"/>
      <c r="GL314" s="19"/>
      <c r="GM314" s="19"/>
      <c r="GN314" s="19"/>
      <c r="GO314" s="19"/>
      <c r="GP314" s="19"/>
      <c r="GQ314" s="19"/>
      <c r="GR314" s="19"/>
      <c r="GS314" s="19"/>
      <c r="GT314" s="19"/>
      <c r="GU314" s="19"/>
      <c r="GV314" s="19"/>
      <c r="GW314" s="19"/>
      <c r="GX314" s="19"/>
      <c r="GY314" s="19"/>
      <c r="GZ314" s="19"/>
      <c r="HA314" s="19"/>
      <c r="HB314" s="19"/>
    </row>
    <row r="315" spans="1:210"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c r="FJ315" s="19"/>
      <c r="FK315" s="19"/>
      <c r="FL315" s="19"/>
      <c r="FM315" s="19"/>
      <c r="FN315" s="19"/>
      <c r="FO315" s="19"/>
      <c r="FP315" s="19"/>
      <c r="FQ315" s="19"/>
      <c r="FR315" s="19"/>
      <c r="FS315" s="19"/>
      <c r="FT315" s="19"/>
      <c r="FU315" s="19"/>
      <c r="FV315" s="19"/>
      <c r="FW315" s="19"/>
      <c r="FX315" s="19"/>
      <c r="FY315" s="19"/>
      <c r="FZ315" s="19"/>
      <c r="GA315" s="19"/>
      <c r="GB315" s="19"/>
      <c r="GC315" s="19"/>
      <c r="GD315" s="19"/>
      <c r="GE315" s="19"/>
      <c r="GF315" s="19"/>
      <c r="GG315" s="19"/>
      <c r="GH315" s="19"/>
      <c r="GI315" s="19"/>
      <c r="GJ315" s="19"/>
      <c r="GK315" s="19"/>
      <c r="GL315" s="19"/>
      <c r="GM315" s="19"/>
      <c r="GN315" s="19"/>
      <c r="GO315" s="19"/>
      <c r="GP315" s="19"/>
      <c r="GQ315" s="19"/>
      <c r="GR315" s="19"/>
      <c r="GS315" s="19"/>
      <c r="GT315" s="19"/>
      <c r="GU315" s="19"/>
      <c r="GV315" s="19"/>
      <c r="GW315" s="19"/>
      <c r="GX315" s="19"/>
      <c r="GY315" s="19"/>
      <c r="GZ315" s="19"/>
      <c r="HA315" s="19"/>
      <c r="HB315" s="19"/>
    </row>
    <row r="316" spans="1:210"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c r="FJ316" s="19"/>
      <c r="FK316" s="19"/>
      <c r="FL316" s="19"/>
      <c r="FM316" s="19"/>
      <c r="FN316" s="19"/>
      <c r="FO316" s="19"/>
      <c r="FP316" s="19"/>
      <c r="FQ316" s="19"/>
      <c r="FR316" s="19"/>
      <c r="FS316" s="19"/>
      <c r="FT316" s="19"/>
      <c r="FU316" s="19"/>
      <c r="FV316" s="19"/>
      <c r="FW316" s="19"/>
      <c r="FX316" s="19"/>
      <c r="FY316" s="19"/>
      <c r="FZ316" s="19"/>
      <c r="GA316" s="19"/>
      <c r="GB316" s="19"/>
      <c r="GC316" s="19"/>
      <c r="GD316" s="19"/>
      <c r="GE316" s="19"/>
      <c r="GF316" s="19"/>
      <c r="GG316" s="19"/>
      <c r="GH316" s="19"/>
      <c r="GI316" s="19"/>
      <c r="GJ316" s="19"/>
      <c r="GK316" s="19"/>
      <c r="GL316" s="19"/>
      <c r="GM316" s="19"/>
      <c r="GN316" s="19"/>
      <c r="GO316" s="19"/>
      <c r="GP316" s="19"/>
      <c r="GQ316" s="19"/>
      <c r="GR316" s="19"/>
      <c r="GS316" s="19"/>
      <c r="GT316" s="19"/>
      <c r="GU316" s="19"/>
      <c r="GV316" s="19"/>
      <c r="GW316" s="19"/>
      <c r="GX316" s="19"/>
      <c r="GY316" s="19"/>
      <c r="GZ316" s="19"/>
      <c r="HA316" s="19"/>
      <c r="HB316" s="19"/>
    </row>
    <row r="317" spans="1:210"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c r="FJ317" s="19"/>
      <c r="FK317" s="19"/>
      <c r="FL317" s="19"/>
      <c r="FM317" s="19"/>
      <c r="FN317" s="19"/>
      <c r="FO317" s="19"/>
      <c r="FP317" s="19"/>
      <c r="FQ317" s="19"/>
      <c r="FR317" s="19"/>
      <c r="FS317" s="19"/>
      <c r="FT317" s="19"/>
      <c r="FU317" s="19"/>
      <c r="FV317" s="19"/>
      <c r="FW317" s="19"/>
      <c r="FX317" s="19"/>
      <c r="FY317" s="19"/>
      <c r="FZ317" s="19"/>
      <c r="GA317" s="19"/>
      <c r="GB317" s="19"/>
      <c r="GC317" s="19"/>
      <c r="GD317" s="19"/>
      <c r="GE317" s="19"/>
      <c r="GF317" s="19"/>
      <c r="GG317" s="19"/>
      <c r="GH317" s="19"/>
      <c r="GI317" s="19"/>
      <c r="GJ317" s="19"/>
      <c r="GK317" s="19"/>
      <c r="GL317" s="19"/>
      <c r="GM317" s="19"/>
      <c r="GN317" s="19"/>
      <c r="GO317" s="19"/>
      <c r="GP317" s="19"/>
      <c r="GQ317" s="19"/>
      <c r="GR317" s="19"/>
      <c r="GS317" s="19"/>
      <c r="GT317" s="19"/>
      <c r="GU317" s="19"/>
      <c r="GV317" s="19"/>
      <c r="GW317" s="19"/>
      <c r="GX317" s="19"/>
      <c r="GY317" s="19"/>
      <c r="GZ317" s="19"/>
      <c r="HA317" s="19"/>
      <c r="HB317" s="19"/>
    </row>
    <row r="318" spans="1:210"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c r="FJ318" s="19"/>
      <c r="FK318" s="19"/>
      <c r="FL318" s="19"/>
      <c r="FM318" s="19"/>
      <c r="FN318" s="19"/>
      <c r="FO318" s="19"/>
      <c r="FP318" s="19"/>
      <c r="FQ318" s="19"/>
      <c r="FR318" s="19"/>
      <c r="FS318" s="19"/>
      <c r="FT318" s="19"/>
      <c r="FU318" s="19"/>
      <c r="FV318" s="19"/>
      <c r="FW318" s="19"/>
      <c r="FX318" s="19"/>
      <c r="FY318" s="19"/>
      <c r="FZ318" s="19"/>
      <c r="GA318" s="19"/>
      <c r="GB318" s="19"/>
      <c r="GC318" s="19"/>
      <c r="GD318" s="19"/>
      <c r="GE318" s="19"/>
      <c r="GF318" s="19"/>
      <c r="GG318" s="19"/>
      <c r="GH318" s="19"/>
      <c r="GI318" s="19"/>
      <c r="GJ318" s="19"/>
      <c r="GK318" s="19"/>
      <c r="GL318" s="19"/>
      <c r="GM318" s="19"/>
      <c r="GN318" s="19"/>
      <c r="GO318" s="19"/>
      <c r="GP318" s="19"/>
      <c r="GQ318" s="19"/>
      <c r="GR318" s="19"/>
      <c r="GS318" s="19"/>
      <c r="GT318" s="19"/>
      <c r="GU318" s="19"/>
      <c r="GV318" s="19"/>
      <c r="GW318" s="19"/>
      <c r="GX318" s="19"/>
      <c r="GY318" s="19"/>
      <c r="GZ318" s="19"/>
      <c r="HA318" s="19"/>
      <c r="HB318" s="19"/>
    </row>
    <row r="319" spans="1:210"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c r="FJ319" s="19"/>
      <c r="FK319" s="19"/>
      <c r="FL319" s="19"/>
      <c r="FM319" s="19"/>
      <c r="FN319" s="19"/>
      <c r="FO319" s="19"/>
      <c r="FP319" s="19"/>
      <c r="FQ319" s="19"/>
      <c r="FR319" s="19"/>
      <c r="FS319" s="19"/>
      <c r="FT319" s="19"/>
      <c r="FU319" s="19"/>
      <c r="FV319" s="19"/>
      <c r="FW319" s="19"/>
      <c r="FX319" s="19"/>
      <c r="FY319" s="19"/>
      <c r="FZ319" s="19"/>
      <c r="GA319" s="19"/>
      <c r="GB319" s="19"/>
      <c r="GC319" s="19"/>
      <c r="GD319" s="19"/>
      <c r="GE319" s="19"/>
      <c r="GF319" s="19"/>
      <c r="GG319" s="19"/>
      <c r="GH319" s="19"/>
      <c r="GI319" s="19"/>
      <c r="GJ319" s="19"/>
      <c r="GK319" s="19"/>
      <c r="GL319" s="19"/>
      <c r="GM319" s="19"/>
      <c r="GN319" s="19"/>
      <c r="GO319" s="19"/>
      <c r="GP319" s="19"/>
      <c r="GQ319" s="19"/>
      <c r="GR319" s="19"/>
      <c r="GS319" s="19"/>
      <c r="GT319" s="19"/>
      <c r="GU319" s="19"/>
      <c r="GV319" s="19"/>
      <c r="GW319" s="19"/>
      <c r="GX319" s="19"/>
      <c r="GY319" s="19"/>
      <c r="GZ319" s="19"/>
      <c r="HA319" s="19"/>
      <c r="HB319" s="19"/>
    </row>
    <row r="320" spans="1:210"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c r="FJ320" s="19"/>
      <c r="FK320" s="19"/>
      <c r="FL320" s="19"/>
      <c r="FM320" s="19"/>
      <c r="FN320" s="19"/>
      <c r="FO320" s="19"/>
      <c r="FP320" s="19"/>
      <c r="FQ320" s="19"/>
      <c r="FR320" s="19"/>
      <c r="FS320" s="19"/>
      <c r="FT320" s="19"/>
      <c r="FU320" s="19"/>
      <c r="FV320" s="19"/>
      <c r="FW320" s="19"/>
      <c r="FX320" s="19"/>
      <c r="FY320" s="19"/>
      <c r="FZ320" s="19"/>
      <c r="GA320" s="19"/>
      <c r="GB320" s="19"/>
      <c r="GC320" s="19"/>
      <c r="GD320" s="19"/>
      <c r="GE320" s="19"/>
      <c r="GF320" s="19"/>
      <c r="GG320" s="19"/>
      <c r="GH320" s="19"/>
      <c r="GI320" s="19"/>
      <c r="GJ320" s="19"/>
      <c r="GK320" s="19"/>
      <c r="GL320" s="19"/>
      <c r="GM320" s="19"/>
      <c r="GN320" s="19"/>
      <c r="GO320" s="19"/>
      <c r="GP320" s="19"/>
      <c r="GQ320" s="19"/>
      <c r="GR320" s="19"/>
      <c r="GS320" s="19"/>
      <c r="GT320" s="19"/>
      <c r="GU320" s="19"/>
      <c r="GV320" s="19"/>
      <c r="GW320" s="19"/>
      <c r="GX320" s="19"/>
      <c r="GY320" s="19"/>
      <c r="GZ320" s="19"/>
      <c r="HA320" s="19"/>
      <c r="HB320" s="19"/>
    </row>
    <row r="321" spans="1:210"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c r="FJ321" s="19"/>
      <c r="FK321" s="19"/>
      <c r="FL321" s="19"/>
      <c r="FM321" s="19"/>
      <c r="FN321" s="19"/>
      <c r="FO321" s="19"/>
      <c r="FP321" s="19"/>
      <c r="FQ321" s="19"/>
      <c r="FR321" s="19"/>
      <c r="FS321" s="19"/>
      <c r="FT321" s="19"/>
      <c r="FU321" s="19"/>
      <c r="FV321" s="19"/>
      <c r="FW321" s="19"/>
      <c r="FX321" s="19"/>
      <c r="FY321" s="19"/>
      <c r="FZ321" s="19"/>
      <c r="GA321" s="19"/>
      <c r="GB321" s="19"/>
      <c r="GC321" s="19"/>
      <c r="GD321" s="19"/>
      <c r="GE321" s="19"/>
      <c r="GF321" s="19"/>
      <c r="GG321" s="19"/>
      <c r="GH321" s="19"/>
      <c r="GI321" s="19"/>
      <c r="GJ321" s="19"/>
      <c r="GK321" s="19"/>
      <c r="GL321" s="19"/>
      <c r="GM321" s="19"/>
      <c r="GN321" s="19"/>
      <c r="GO321" s="19"/>
      <c r="GP321" s="19"/>
      <c r="GQ321" s="19"/>
      <c r="GR321" s="19"/>
      <c r="GS321" s="19"/>
      <c r="GT321" s="19"/>
      <c r="GU321" s="19"/>
      <c r="GV321" s="19"/>
      <c r="GW321" s="19"/>
      <c r="GX321" s="19"/>
      <c r="GY321" s="19"/>
      <c r="GZ321" s="19"/>
      <c r="HA321" s="19"/>
      <c r="HB321" s="19"/>
    </row>
    <row r="322" spans="1:210"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c r="FJ322" s="19"/>
      <c r="FK322" s="19"/>
      <c r="FL322" s="19"/>
      <c r="FM322" s="19"/>
      <c r="FN322" s="19"/>
      <c r="FO322" s="19"/>
      <c r="FP322" s="19"/>
      <c r="FQ322" s="19"/>
      <c r="FR322" s="19"/>
      <c r="FS322" s="19"/>
      <c r="FT322" s="19"/>
      <c r="FU322" s="19"/>
      <c r="FV322" s="19"/>
      <c r="FW322" s="19"/>
      <c r="FX322" s="19"/>
      <c r="FY322" s="19"/>
      <c r="FZ322" s="19"/>
      <c r="GA322" s="19"/>
      <c r="GB322" s="19"/>
      <c r="GC322" s="19"/>
      <c r="GD322" s="19"/>
      <c r="GE322" s="19"/>
      <c r="GF322" s="19"/>
      <c r="GG322" s="19"/>
      <c r="GH322" s="19"/>
      <c r="GI322" s="19"/>
      <c r="GJ322" s="19"/>
      <c r="GK322" s="19"/>
      <c r="GL322" s="19"/>
      <c r="GM322" s="19"/>
      <c r="GN322" s="19"/>
      <c r="GO322" s="19"/>
      <c r="GP322" s="19"/>
      <c r="GQ322" s="19"/>
      <c r="GR322" s="19"/>
      <c r="GS322" s="19"/>
      <c r="GT322" s="19"/>
      <c r="GU322" s="19"/>
      <c r="GV322" s="19"/>
      <c r="GW322" s="19"/>
      <c r="GX322" s="19"/>
      <c r="GY322" s="19"/>
      <c r="GZ322" s="19"/>
      <c r="HA322" s="19"/>
      <c r="HB322" s="19"/>
    </row>
    <row r="323" spans="1:210"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c r="FJ323" s="19"/>
      <c r="FK323" s="19"/>
      <c r="FL323" s="19"/>
      <c r="FM323" s="19"/>
      <c r="FN323" s="19"/>
      <c r="FO323" s="19"/>
      <c r="FP323" s="19"/>
      <c r="FQ323" s="19"/>
      <c r="FR323" s="19"/>
      <c r="FS323" s="19"/>
      <c r="FT323" s="19"/>
      <c r="FU323" s="19"/>
      <c r="FV323" s="19"/>
      <c r="FW323" s="19"/>
      <c r="FX323" s="19"/>
      <c r="FY323" s="19"/>
      <c r="FZ323" s="19"/>
      <c r="GA323" s="19"/>
      <c r="GB323" s="19"/>
      <c r="GC323" s="19"/>
      <c r="GD323" s="19"/>
      <c r="GE323" s="19"/>
      <c r="GF323" s="19"/>
      <c r="GG323" s="19"/>
      <c r="GH323" s="19"/>
      <c r="GI323" s="19"/>
      <c r="GJ323" s="19"/>
      <c r="GK323" s="19"/>
      <c r="GL323" s="19"/>
      <c r="GM323" s="19"/>
      <c r="GN323" s="19"/>
      <c r="GO323" s="19"/>
      <c r="GP323" s="19"/>
      <c r="GQ323" s="19"/>
      <c r="GR323" s="19"/>
      <c r="GS323" s="19"/>
      <c r="GT323" s="19"/>
      <c r="GU323" s="19"/>
      <c r="GV323" s="19"/>
      <c r="GW323" s="19"/>
      <c r="GX323" s="19"/>
      <c r="GY323" s="19"/>
      <c r="GZ323" s="19"/>
      <c r="HA323" s="19"/>
      <c r="HB323" s="19"/>
    </row>
    <row r="324" spans="1:210"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c r="FJ324" s="19"/>
      <c r="FK324" s="19"/>
      <c r="FL324" s="19"/>
      <c r="FM324" s="19"/>
      <c r="FN324" s="19"/>
      <c r="FO324" s="19"/>
      <c r="FP324" s="19"/>
      <c r="FQ324" s="19"/>
      <c r="FR324" s="19"/>
      <c r="FS324" s="19"/>
      <c r="FT324" s="19"/>
      <c r="FU324" s="19"/>
      <c r="FV324" s="19"/>
      <c r="FW324" s="19"/>
      <c r="FX324" s="19"/>
      <c r="FY324" s="19"/>
      <c r="FZ324" s="19"/>
      <c r="GA324" s="19"/>
      <c r="GB324" s="19"/>
      <c r="GC324" s="19"/>
      <c r="GD324" s="19"/>
      <c r="GE324" s="19"/>
      <c r="GF324" s="19"/>
      <c r="GG324" s="19"/>
      <c r="GH324" s="19"/>
      <c r="GI324" s="19"/>
      <c r="GJ324" s="19"/>
      <c r="GK324" s="19"/>
      <c r="GL324" s="19"/>
      <c r="GM324" s="19"/>
      <c r="GN324" s="19"/>
      <c r="GO324" s="19"/>
      <c r="GP324" s="19"/>
      <c r="GQ324" s="19"/>
      <c r="GR324" s="19"/>
      <c r="GS324" s="19"/>
      <c r="GT324" s="19"/>
      <c r="GU324" s="19"/>
      <c r="GV324" s="19"/>
      <c r="GW324" s="19"/>
      <c r="GX324" s="19"/>
      <c r="GY324" s="19"/>
      <c r="GZ324" s="19"/>
      <c r="HA324" s="19"/>
      <c r="HB324" s="19"/>
    </row>
    <row r="325" spans="1:210"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c r="FJ325" s="19"/>
      <c r="FK325" s="19"/>
      <c r="FL325" s="19"/>
      <c r="FM325" s="19"/>
      <c r="FN325" s="19"/>
      <c r="FO325" s="19"/>
      <c r="FP325" s="19"/>
      <c r="FQ325" s="19"/>
      <c r="FR325" s="19"/>
      <c r="FS325" s="19"/>
      <c r="FT325" s="19"/>
      <c r="FU325" s="19"/>
      <c r="FV325" s="19"/>
      <c r="FW325" s="19"/>
      <c r="FX325" s="19"/>
      <c r="FY325" s="19"/>
      <c r="FZ325" s="19"/>
      <c r="GA325" s="19"/>
      <c r="GB325" s="19"/>
      <c r="GC325" s="19"/>
      <c r="GD325" s="19"/>
      <c r="GE325" s="19"/>
      <c r="GF325" s="19"/>
      <c r="GG325" s="19"/>
      <c r="GH325" s="19"/>
      <c r="GI325" s="19"/>
      <c r="GJ325" s="19"/>
      <c r="GK325" s="19"/>
      <c r="GL325" s="19"/>
      <c r="GM325" s="19"/>
      <c r="GN325" s="19"/>
      <c r="GO325" s="19"/>
      <c r="GP325" s="19"/>
      <c r="GQ325" s="19"/>
      <c r="GR325" s="19"/>
      <c r="GS325" s="19"/>
      <c r="GT325" s="19"/>
      <c r="GU325" s="19"/>
      <c r="GV325" s="19"/>
      <c r="GW325" s="19"/>
      <c r="GX325" s="19"/>
      <c r="GY325" s="19"/>
      <c r="GZ325" s="19"/>
      <c r="HA325" s="19"/>
      <c r="HB325" s="19"/>
    </row>
    <row r="326" spans="1:210"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c r="FJ326" s="19"/>
      <c r="FK326" s="19"/>
      <c r="FL326" s="19"/>
      <c r="FM326" s="19"/>
      <c r="FN326" s="19"/>
      <c r="FO326" s="19"/>
      <c r="FP326" s="19"/>
      <c r="FQ326" s="19"/>
      <c r="FR326" s="19"/>
      <c r="FS326" s="19"/>
      <c r="FT326" s="19"/>
      <c r="FU326" s="19"/>
      <c r="FV326" s="19"/>
      <c r="FW326" s="19"/>
      <c r="FX326" s="19"/>
      <c r="FY326" s="19"/>
      <c r="FZ326" s="19"/>
      <c r="GA326" s="19"/>
      <c r="GB326" s="19"/>
      <c r="GC326" s="19"/>
      <c r="GD326" s="19"/>
      <c r="GE326" s="19"/>
      <c r="GF326" s="19"/>
      <c r="GG326" s="19"/>
      <c r="GH326" s="19"/>
      <c r="GI326" s="19"/>
      <c r="GJ326" s="19"/>
      <c r="GK326" s="19"/>
      <c r="GL326" s="19"/>
      <c r="GM326" s="19"/>
      <c r="GN326" s="19"/>
      <c r="GO326" s="19"/>
      <c r="GP326" s="19"/>
      <c r="GQ326" s="19"/>
      <c r="GR326" s="19"/>
      <c r="GS326" s="19"/>
      <c r="GT326" s="19"/>
      <c r="GU326" s="19"/>
      <c r="GV326" s="19"/>
      <c r="GW326" s="19"/>
      <c r="GX326" s="19"/>
      <c r="GY326" s="19"/>
      <c r="GZ326" s="19"/>
      <c r="HA326" s="19"/>
      <c r="HB326" s="19"/>
    </row>
    <row r="327" spans="1:210"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c r="FJ327" s="19"/>
      <c r="FK327" s="19"/>
      <c r="FL327" s="19"/>
      <c r="FM327" s="19"/>
      <c r="FN327" s="19"/>
      <c r="FO327" s="19"/>
      <c r="FP327" s="19"/>
      <c r="FQ327" s="19"/>
      <c r="FR327" s="19"/>
      <c r="FS327" s="19"/>
      <c r="FT327" s="19"/>
      <c r="FU327" s="19"/>
      <c r="FV327" s="19"/>
      <c r="FW327" s="19"/>
      <c r="FX327" s="19"/>
      <c r="FY327" s="19"/>
      <c r="FZ327" s="19"/>
      <c r="GA327" s="19"/>
      <c r="GB327" s="19"/>
      <c r="GC327" s="19"/>
      <c r="GD327" s="19"/>
      <c r="GE327" s="19"/>
      <c r="GF327" s="19"/>
      <c r="GG327" s="19"/>
      <c r="GH327" s="19"/>
      <c r="GI327" s="19"/>
      <c r="GJ327" s="19"/>
      <c r="GK327" s="19"/>
      <c r="GL327" s="19"/>
      <c r="GM327" s="19"/>
      <c r="GN327" s="19"/>
      <c r="GO327" s="19"/>
      <c r="GP327" s="19"/>
      <c r="GQ327" s="19"/>
      <c r="GR327" s="19"/>
      <c r="GS327" s="19"/>
      <c r="GT327" s="19"/>
      <c r="GU327" s="19"/>
      <c r="GV327" s="19"/>
      <c r="GW327" s="19"/>
      <c r="GX327" s="19"/>
      <c r="GY327" s="19"/>
      <c r="GZ327" s="19"/>
      <c r="HA327" s="19"/>
      <c r="HB327" s="19"/>
    </row>
    <row r="328" spans="1:210"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c r="FJ328" s="19"/>
      <c r="FK328" s="19"/>
      <c r="FL328" s="19"/>
      <c r="FM328" s="19"/>
      <c r="FN328" s="19"/>
      <c r="FO328" s="19"/>
      <c r="FP328" s="19"/>
      <c r="FQ328" s="19"/>
      <c r="FR328" s="19"/>
      <c r="FS328" s="19"/>
      <c r="FT328" s="19"/>
      <c r="FU328" s="19"/>
      <c r="FV328" s="19"/>
      <c r="FW328" s="19"/>
      <c r="FX328" s="19"/>
      <c r="FY328" s="19"/>
      <c r="FZ328" s="19"/>
      <c r="GA328" s="19"/>
      <c r="GB328" s="19"/>
      <c r="GC328" s="19"/>
      <c r="GD328" s="19"/>
      <c r="GE328" s="19"/>
      <c r="GF328" s="19"/>
      <c r="GG328" s="19"/>
      <c r="GH328" s="19"/>
      <c r="GI328" s="19"/>
      <c r="GJ328" s="19"/>
      <c r="GK328" s="19"/>
      <c r="GL328" s="19"/>
      <c r="GM328" s="19"/>
      <c r="GN328" s="19"/>
      <c r="GO328" s="19"/>
      <c r="GP328" s="19"/>
      <c r="GQ328" s="19"/>
      <c r="GR328" s="19"/>
      <c r="GS328" s="19"/>
      <c r="GT328" s="19"/>
      <c r="GU328" s="19"/>
      <c r="GV328" s="19"/>
      <c r="GW328" s="19"/>
      <c r="GX328" s="19"/>
      <c r="GY328" s="19"/>
      <c r="GZ328" s="19"/>
      <c r="HA328" s="19"/>
      <c r="HB328" s="19"/>
    </row>
    <row r="329" spans="1:210"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c r="FJ329" s="19"/>
      <c r="FK329" s="19"/>
      <c r="FL329" s="19"/>
      <c r="FM329" s="19"/>
      <c r="FN329" s="19"/>
      <c r="FO329" s="19"/>
      <c r="FP329" s="19"/>
      <c r="FQ329" s="19"/>
      <c r="FR329" s="19"/>
      <c r="FS329" s="19"/>
      <c r="FT329" s="19"/>
      <c r="FU329" s="19"/>
      <c r="FV329" s="19"/>
      <c r="FW329" s="19"/>
      <c r="FX329" s="19"/>
      <c r="FY329" s="19"/>
      <c r="FZ329" s="19"/>
      <c r="GA329" s="19"/>
      <c r="GB329" s="19"/>
      <c r="GC329" s="19"/>
      <c r="GD329" s="19"/>
      <c r="GE329" s="19"/>
      <c r="GF329" s="19"/>
      <c r="GG329" s="19"/>
      <c r="GH329" s="19"/>
      <c r="GI329" s="19"/>
      <c r="GJ329" s="19"/>
      <c r="GK329" s="19"/>
      <c r="GL329" s="19"/>
      <c r="GM329" s="19"/>
      <c r="GN329" s="19"/>
      <c r="GO329" s="19"/>
      <c r="GP329" s="19"/>
      <c r="GQ329" s="19"/>
      <c r="GR329" s="19"/>
      <c r="GS329" s="19"/>
      <c r="GT329" s="19"/>
      <c r="GU329" s="19"/>
      <c r="GV329" s="19"/>
      <c r="GW329" s="19"/>
      <c r="GX329" s="19"/>
      <c r="GY329" s="19"/>
      <c r="GZ329" s="19"/>
      <c r="HA329" s="19"/>
      <c r="HB329" s="19"/>
    </row>
    <row r="330" spans="1:210"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c r="FJ330" s="19"/>
      <c r="FK330" s="19"/>
      <c r="FL330" s="19"/>
      <c r="FM330" s="19"/>
      <c r="FN330" s="19"/>
      <c r="FO330" s="19"/>
      <c r="FP330" s="19"/>
      <c r="FQ330" s="19"/>
      <c r="FR330" s="19"/>
      <c r="FS330" s="19"/>
      <c r="FT330" s="19"/>
      <c r="FU330" s="19"/>
      <c r="FV330" s="19"/>
      <c r="FW330" s="19"/>
      <c r="FX330" s="19"/>
      <c r="FY330" s="19"/>
      <c r="FZ330" s="19"/>
      <c r="GA330" s="19"/>
      <c r="GB330" s="19"/>
      <c r="GC330" s="19"/>
      <c r="GD330" s="19"/>
      <c r="GE330" s="19"/>
      <c r="GF330" s="19"/>
      <c r="GG330" s="19"/>
      <c r="GH330" s="19"/>
      <c r="GI330" s="19"/>
      <c r="GJ330" s="19"/>
      <c r="GK330" s="19"/>
      <c r="GL330" s="19"/>
      <c r="GM330" s="19"/>
      <c r="GN330" s="19"/>
      <c r="GO330" s="19"/>
      <c r="GP330" s="19"/>
      <c r="GQ330" s="19"/>
      <c r="GR330" s="19"/>
      <c r="GS330" s="19"/>
      <c r="GT330" s="19"/>
      <c r="GU330" s="19"/>
      <c r="GV330" s="19"/>
      <c r="GW330" s="19"/>
      <c r="GX330" s="19"/>
      <c r="GY330" s="19"/>
      <c r="GZ330" s="19"/>
      <c r="HA330" s="19"/>
      <c r="HB330" s="19"/>
    </row>
    <row r="331" spans="1:210"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c r="FJ331" s="19"/>
      <c r="FK331" s="19"/>
      <c r="FL331" s="19"/>
      <c r="FM331" s="19"/>
      <c r="FN331" s="19"/>
      <c r="FO331" s="19"/>
      <c r="FP331" s="19"/>
      <c r="FQ331" s="19"/>
      <c r="FR331" s="19"/>
      <c r="FS331" s="19"/>
      <c r="FT331" s="19"/>
      <c r="FU331" s="19"/>
      <c r="FV331" s="19"/>
      <c r="FW331" s="19"/>
      <c r="FX331" s="19"/>
      <c r="FY331" s="19"/>
      <c r="FZ331" s="19"/>
      <c r="GA331" s="19"/>
      <c r="GB331" s="19"/>
      <c r="GC331" s="19"/>
      <c r="GD331" s="19"/>
      <c r="GE331" s="19"/>
      <c r="GF331" s="19"/>
      <c r="GG331" s="19"/>
      <c r="GH331" s="19"/>
      <c r="GI331" s="19"/>
      <c r="GJ331" s="19"/>
      <c r="GK331" s="19"/>
      <c r="GL331" s="19"/>
      <c r="GM331" s="19"/>
      <c r="GN331" s="19"/>
      <c r="GO331" s="19"/>
      <c r="GP331" s="19"/>
      <c r="GQ331" s="19"/>
      <c r="GR331" s="19"/>
      <c r="GS331" s="19"/>
      <c r="GT331" s="19"/>
      <c r="GU331" s="19"/>
      <c r="GV331" s="19"/>
      <c r="GW331" s="19"/>
      <c r="GX331" s="19"/>
      <c r="GY331" s="19"/>
      <c r="GZ331" s="19"/>
      <c r="HA331" s="19"/>
      <c r="HB331" s="19"/>
    </row>
    <row r="332" spans="1:210"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c r="FJ332" s="19"/>
      <c r="FK332" s="19"/>
      <c r="FL332" s="19"/>
      <c r="FM332" s="19"/>
      <c r="FN332" s="19"/>
      <c r="FO332" s="19"/>
      <c r="FP332" s="19"/>
      <c r="FQ332" s="19"/>
      <c r="FR332" s="19"/>
      <c r="FS332" s="19"/>
      <c r="FT332" s="19"/>
      <c r="FU332" s="19"/>
      <c r="FV332" s="19"/>
      <c r="FW332" s="19"/>
      <c r="FX332" s="19"/>
      <c r="FY332" s="19"/>
      <c r="FZ332" s="19"/>
      <c r="GA332" s="19"/>
      <c r="GB332" s="19"/>
      <c r="GC332" s="19"/>
      <c r="GD332" s="19"/>
      <c r="GE332" s="19"/>
      <c r="GF332" s="19"/>
      <c r="GG332" s="19"/>
      <c r="GH332" s="19"/>
      <c r="GI332" s="19"/>
      <c r="GJ332" s="19"/>
      <c r="GK332" s="19"/>
      <c r="GL332" s="19"/>
      <c r="GM332" s="19"/>
      <c r="GN332" s="19"/>
      <c r="GO332" s="19"/>
      <c r="GP332" s="19"/>
      <c r="GQ332" s="19"/>
      <c r="GR332" s="19"/>
      <c r="GS332" s="19"/>
      <c r="GT332" s="19"/>
      <c r="GU332" s="19"/>
      <c r="GV332" s="19"/>
      <c r="GW332" s="19"/>
      <c r="GX332" s="19"/>
      <c r="GY332" s="19"/>
      <c r="GZ332" s="19"/>
      <c r="HA332" s="19"/>
      <c r="HB332" s="19"/>
    </row>
    <row r="333" spans="1:210"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c r="FJ333" s="19"/>
      <c r="FK333" s="19"/>
      <c r="FL333" s="19"/>
      <c r="FM333" s="19"/>
      <c r="FN333" s="19"/>
      <c r="FO333" s="19"/>
      <c r="FP333" s="19"/>
      <c r="FQ333" s="19"/>
      <c r="FR333" s="19"/>
      <c r="FS333" s="19"/>
      <c r="FT333" s="19"/>
      <c r="FU333" s="19"/>
      <c r="FV333" s="19"/>
      <c r="FW333" s="19"/>
      <c r="FX333" s="19"/>
      <c r="FY333" s="19"/>
      <c r="FZ333" s="19"/>
      <c r="GA333" s="19"/>
      <c r="GB333" s="19"/>
      <c r="GC333" s="19"/>
      <c r="GD333" s="19"/>
      <c r="GE333" s="19"/>
      <c r="GF333" s="19"/>
      <c r="GG333" s="19"/>
      <c r="GH333" s="19"/>
      <c r="GI333" s="19"/>
      <c r="GJ333" s="19"/>
      <c r="GK333" s="19"/>
      <c r="GL333" s="19"/>
      <c r="GM333" s="19"/>
      <c r="GN333" s="19"/>
      <c r="GO333" s="19"/>
      <c r="GP333" s="19"/>
      <c r="GQ333" s="19"/>
      <c r="GR333" s="19"/>
      <c r="GS333" s="19"/>
      <c r="GT333" s="19"/>
      <c r="GU333" s="19"/>
      <c r="GV333" s="19"/>
      <c r="GW333" s="19"/>
      <c r="GX333" s="19"/>
      <c r="GY333" s="19"/>
      <c r="GZ333" s="19"/>
      <c r="HA333" s="19"/>
      <c r="HB333" s="19"/>
    </row>
    <row r="334" spans="1:210"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c r="FQ334" s="19"/>
      <c r="FR334" s="19"/>
      <c r="FS334" s="19"/>
      <c r="FT334" s="19"/>
      <c r="FU334" s="19"/>
      <c r="FV334" s="19"/>
      <c r="FW334" s="19"/>
      <c r="FX334" s="19"/>
      <c r="FY334" s="19"/>
      <c r="FZ334" s="19"/>
      <c r="GA334" s="19"/>
      <c r="GB334" s="19"/>
      <c r="GC334" s="19"/>
      <c r="GD334" s="19"/>
      <c r="GE334" s="19"/>
      <c r="GF334" s="19"/>
      <c r="GG334" s="19"/>
      <c r="GH334" s="19"/>
      <c r="GI334" s="19"/>
      <c r="GJ334" s="19"/>
      <c r="GK334" s="19"/>
      <c r="GL334" s="19"/>
      <c r="GM334" s="19"/>
      <c r="GN334" s="19"/>
      <c r="GO334" s="19"/>
      <c r="GP334" s="19"/>
      <c r="GQ334" s="19"/>
      <c r="GR334" s="19"/>
      <c r="GS334" s="19"/>
      <c r="GT334" s="19"/>
      <c r="GU334" s="19"/>
      <c r="GV334" s="19"/>
      <c r="GW334" s="19"/>
      <c r="GX334" s="19"/>
      <c r="GY334" s="19"/>
      <c r="GZ334" s="19"/>
      <c r="HA334" s="19"/>
      <c r="HB334" s="19"/>
    </row>
    <row r="335" spans="1:210"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c r="FJ335" s="19"/>
      <c r="FK335" s="19"/>
      <c r="FL335" s="19"/>
      <c r="FM335" s="19"/>
      <c r="FN335" s="19"/>
      <c r="FO335" s="19"/>
      <c r="FP335" s="19"/>
      <c r="FQ335" s="19"/>
      <c r="FR335" s="19"/>
      <c r="FS335" s="19"/>
      <c r="FT335" s="19"/>
      <c r="FU335" s="19"/>
      <c r="FV335" s="19"/>
      <c r="FW335" s="19"/>
      <c r="FX335" s="19"/>
      <c r="FY335" s="19"/>
      <c r="FZ335" s="19"/>
      <c r="GA335" s="19"/>
      <c r="GB335" s="19"/>
      <c r="GC335" s="19"/>
      <c r="GD335" s="19"/>
      <c r="GE335" s="19"/>
      <c r="GF335" s="19"/>
      <c r="GG335" s="19"/>
      <c r="GH335" s="19"/>
      <c r="GI335" s="19"/>
      <c r="GJ335" s="19"/>
      <c r="GK335" s="19"/>
      <c r="GL335" s="19"/>
      <c r="GM335" s="19"/>
      <c r="GN335" s="19"/>
      <c r="GO335" s="19"/>
      <c r="GP335" s="19"/>
      <c r="GQ335" s="19"/>
      <c r="GR335" s="19"/>
      <c r="GS335" s="19"/>
      <c r="GT335" s="19"/>
      <c r="GU335" s="19"/>
      <c r="GV335" s="19"/>
      <c r="GW335" s="19"/>
      <c r="GX335" s="19"/>
      <c r="GY335" s="19"/>
      <c r="GZ335" s="19"/>
      <c r="HA335" s="19"/>
      <c r="HB335" s="19"/>
    </row>
    <row r="336" spans="1:210"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c r="FJ336" s="19"/>
      <c r="FK336" s="19"/>
      <c r="FL336" s="19"/>
      <c r="FM336" s="19"/>
      <c r="FN336" s="19"/>
      <c r="FO336" s="19"/>
      <c r="FP336" s="19"/>
      <c r="FQ336" s="19"/>
      <c r="FR336" s="19"/>
      <c r="FS336" s="19"/>
      <c r="FT336" s="19"/>
      <c r="FU336" s="19"/>
      <c r="FV336" s="19"/>
      <c r="FW336" s="19"/>
      <c r="FX336" s="19"/>
      <c r="FY336" s="19"/>
      <c r="FZ336" s="19"/>
      <c r="GA336" s="19"/>
      <c r="GB336" s="19"/>
      <c r="GC336" s="19"/>
      <c r="GD336" s="19"/>
      <c r="GE336" s="19"/>
      <c r="GF336" s="19"/>
      <c r="GG336" s="19"/>
      <c r="GH336" s="19"/>
      <c r="GI336" s="19"/>
      <c r="GJ336" s="19"/>
      <c r="GK336" s="19"/>
      <c r="GL336" s="19"/>
      <c r="GM336" s="19"/>
      <c r="GN336" s="19"/>
      <c r="GO336" s="19"/>
      <c r="GP336" s="19"/>
      <c r="GQ336" s="19"/>
      <c r="GR336" s="19"/>
      <c r="GS336" s="19"/>
      <c r="GT336" s="19"/>
      <c r="GU336" s="19"/>
      <c r="GV336" s="19"/>
      <c r="GW336" s="19"/>
      <c r="GX336" s="19"/>
      <c r="GY336" s="19"/>
      <c r="GZ336" s="19"/>
      <c r="HA336" s="19"/>
      <c r="HB336" s="19"/>
    </row>
    <row r="337" spans="1:210"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c r="FJ337" s="19"/>
      <c r="FK337" s="19"/>
      <c r="FL337" s="19"/>
      <c r="FM337" s="19"/>
      <c r="FN337" s="19"/>
      <c r="FO337" s="19"/>
      <c r="FP337" s="19"/>
      <c r="FQ337" s="19"/>
      <c r="FR337" s="19"/>
      <c r="FS337" s="19"/>
      <c r="FT337" s="19"/>
      <c r="FU337" s="19"/>
      <c r="FV337" s="19"/>
      <c r="FW337" s="19"/>
      <c r="FX337" s="19"/>
      <c r="FY337" s="19"/>
      <c r="FZ337" s="19"/>
      <c r="GA337" s="19"/>
      <c r="GB337" s="19"/>
      <c r="GC337" s="19"/>
      <c r="GD337" s="19"/>
      <c r="GE337" s="19"/>
      <c r="GF337" s="19"/>
      <c r="GG337" s="19"/>
      <c r="GH337" s="19"/>
      <c r="GI337" s="19"/>
      <c r="GJ337" s="19"/>
      <c r="GK337" s="19"/>
      <c r="GL337" s="19"/>
      <c r="GM337" s="19"/>
      <c r="GN337" s="19"/>
      <c r="GO337" s="19"/>
      <c r="GP337" s="19"/>
      <c r="GQ337" s="19"/>
      <c r="GR337" s="19"/>
      <c r="GS337" s="19"/>
      <c r="GT337" s="19"/>
      <c r="GU337" s="19"/>
      <c r="GV337" s="19"/>
      <c r="GW337" s="19"/>
      <c r="GX337" s="19"/>
      <c r="GY337" s="19"/>
      <c r="GZ337" s="19"/>
      <c r="HA337" s="19"/>
      <c r="HB337" s="19"/>
    </row>
    <row r="338" spans="1:210"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c r="FJ338" s="19"/>
      <c r="FK338" s="19"/>
      <c r="FL338" s="19"/>
      <c r="FM338" s="19"/>
      <c r="FN338" s="19"/>
      <c r="FO338" s="19"/>
      <c r="FP338" s="19"/>
      <c r="FQ338" s="19"/>
      <c r="FR338" s="19"/>
      <c r="FS338" s="19"/>
      <c r="FT338" s="19"/>
      <c r="FU338" s="19"/>
      <c r="FV338" s="19"/>
      <c r="FW338" s="19"/>
      <c r="FX338" s="19"/>
      <c r="FY338" s="19"/>
      <c r="FZ338" s="19"/>
      <c r="GA338" s="19"/>
      <c r="GB338" s="19"/>
      <c r="GC338" s="19"/>
      <c r="GD338" s="19"/>
      <c r="GE338" s="19"/>
      <c r="GF338" s="19"/>
      <c r="GG338" s="19"/>
      <c r="GH338" s="19"/>
      <c r="GI338" s="19"/>
      <c r="GJ338" s="19"/>
      <c r="GK338" s="19"/>
      <c r="GL338" s="19"/>
      <c r="GM338" s="19"/>
      <c r="GN338" s="19"/>
      <c r="GO338" s="19"/>
      <c r="GP338" s="19"/>
      <c r="GQ338" s="19"/>
      <c r="GR338" s="19"/>
      <c r="GS338" s="19"/>
      <c r="GT338" s="19"/>
      <c r="GU338" s="19"/>
      <c r="GV338" s="19"/>
      <c r="GW338" s="19"/>
      <c r="GX338" s="19"/>
      <c r="GY338" s="19"/>
      <c r="GZ338" s="19"/>
      <c r="HA338" s="19"/>
      <c r="HB338" s="19"/>
    </row>
    <row r="339" spans="1:210"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c r="FJ339" s="19"/>
      <c r="FK339" s="19"/>
      <c r="FL339" s="19"/>
      <c r="FM339" s="19"/>
      <c r="FN339" s="19"/>
      <c r="FO339" s="19"/>
      <c r="FP339" s="19"/>
      <c r="FQ339" s="19"/>
      <c r="FR339" s="19"/>
      <c r="FS339" s="19"/>
      <c r="FT339" s="19"/>
      <c r="FU339" s="19"/>
      <c r="FV339" s="19"/>
      <c r="FW339" s="19"/>
      <c r="FX339" s="19"/>
      <c r="FY339" s="19"/>
      <c r="FZ339" s="19"/>
      <c r="GA339" s="19"/>
      <c r="GB339" s="19"/>
      <c r="GC339" s="19"/>
      <c r="GD339" s="19"/>
      <c r="GE339" s="19"/>
      <c r="GF339" s="19"/>
      <c r="GG339" s="19"/>
      <c r="GH339" s="19"/>
      <c r="GI339" s="19"/>
      <c r="GJ339" s="19"/>
      <c r="GK339" s="19"/>
      <c r="GL339" s="19"/>
      <c r="GM339" s="19"/>
      <c r="GN339" s="19"/>
      <c r="GO339" s="19"/>
      <c r="GP339" s="19"/>
      <c r="GQ339" s="19"/>
      <c r="GR339" s="19"/>
      <c r="GS339" s="19"/>
      <c r="GT339" s="19"/>
      <c r="GU339" s="19"/>
      <c r="GV339" s="19"/>
      <c r="GW339" s="19"/>
      <c r="GX339" s="19"/>
      <c r="GY339" s="19"/>
      <c r="GZ339" s="19"/>
      <c r="HA339" s="19"/>
      <c r="HB339" s="19"/>
    </row>
    <row r="340" spans="1:210"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c r="FJ340" s="19"/>
      <c r="FK340" s="19"/>
      <c r="FL340" s="19"/>
      <c r="FM340" s="19"/>
      <c r="FN340" s="19"/>
      <c r="FO340" s="19"/>
      <c r="FP340" s="19"/>
      <c r="FQ340" s="19"/>
      <c r="FR340" s="19"/>
      <c r="FS340" s="19"/>
      <c r="FT340" s="19"/>
      <c r="FU340" s="19"/>
      <c r="FV340" s="19"/>
      <c r="FW340" s="19"/>
      <c r="FX340" s="19"/>
      <c r="FY340" s="19"/>
      <c r="FZ340" s="19"/>
      <c r="GA340" s="19"/>
      <c r="GB340" s="19"/>
      <c r="GC340" s="19"/>
      <c r="GD340" s="19"/>
      <c r="GE340" s="19"/>
      <c r="GF340" s="19"/>
      <c r="GG340" s="19"/>
      <c r="GH340" s="19"/>
      <c r="GI340" s="19"/>
      <c r="GJ340" s="19"/>
      <c r="GK340" s="19"/>
      <c r="GL340" s="19"/>
      <c r="GM340" s="19"/>
      <c r="GN340" s="19"/>
      <c r="GO340" s="19"/>
      <c r="GP340" s="19"/>
      <c r="GQ340" s="19"/>
      <c r="GR340" s="19"/>
      <c r="GS340" s="19"/>
      <c r="GT340" s="19"/>
      <c r="GU340" s="19"/>
      <c r="GV340" s="19"/>
      <c r="GW340" s="19"/>
      <c r="GX340" s="19"/>
      <c r="GY340" s="19"/>
      <c r="GZ340" s="19"/>
      <c r="HA340" s="19"/>
      <c r="HB340" s="19"/>
    </row>
    <row r="341" spans="1:210"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c r="FJ341" s="19"/>
      <c r="FK341" s="19"/>
      <c r="FL341" s="19"/>
      <c r="FM341" s="19"/>
      <c r="FN341" s="19"/>
      <c r="FO341" s="19"/>
      <c r="FP341" s="19"/>
      <c r="FQ341" s="19"/>
      <c r="FR341" s="19"/>
      <c r="FS341" s="19"/>
      <c r="FT341" s="19"/>
      <c r="FU341" s="19"/>
      <c r="FV341" s="19"/>
      <c r="FW341" s="19"/>
      <c r="FX341" s="19"/>
      <c r="FY341" s="19"/>
      <c r="FZ341" s="19"/>
      <c r="GA341" s="19"/>
      <c r="GB341" s="19"/>
      <c r="GC341" s="19"/>
      <c r="GD341" s="19"/>
      <c r="GE341" s="19"/>
      <c r="GF341" s="19"/>
      <c r="GG341" s="19"/>
      <c r="GH341" s="19"/>
      <c r="GI341" s="19"/>
      <c r="GJ341" s="19"/>
      <c r="GK341" s="19"/>
      <c r="GL341" s="19"/>
      <c r="GM341" s="19"/>
      <c r="GN341" s="19"/>
      <c r="GO341" s="19"/>
      <c r="GP341" s="19"/>
      <c r="GQ341" s="19"/>
      <c r="GR341" s="19"/>
      <c r="GS341" s="19"/>
      <c r="GT341" s="19"/>
      <c r="GU341" s="19"/>
      <c r="GV341" s="19"/>
      <c r="GW341" s="19"/>
      <c r="GX341" s="19"/>
      <c r="GY341" s="19"/>
      <c r="GZ341" s="19"/>
      <c r="HA341" s="19"/>
      <c r="HB341" s="19"/>
    </row>
    <row r="342" spans="1:210"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c r="FJ342" s="19"/>
      <c r="FK342" s="19"/>
      <c r="FL342" s="19"/>
      <c r="FM342" s="19"/>
      <c r="FN342" s="19"/>
      <c r="FO342" s="19"/>
      <c r="FP342" s="19"/>
      <c r="FQ342" s="19"/>
      <c r="FR342" s="19"/>
      <c r="FS342" s="19"/>
      <c r="FT342" s="19"/>
      <c r="FU342" s="19"/>
      <c r="FV342" s="19"/>
      <c r="FW342" s="19"/>
      <c r="FX342" s="19"/>
      <c r="FY342" s="19"/>
      <c r="FZ342" s="19"/>
      <c r="GA342" s="19"/>
      <c r="GB342" s="19"/>
      <c r="GC342" s="19"/>
      <c r="GD342" s="19"/>
      <c r="GE342" s="19"/>
      <c r="GF342" s="19"/>
      <c r="GG342" s="19"/>
      <c r="GH342" s="19"/>
      <c r="GI342" s="19"/>
      <c r="GJ342" s="19"/>
      <c r="GK342" s="19"/>
      <c r="GL342" s="19"/>
      <c r="GM342" s="19"/>
      <c r="GN342" s="19"/>
      <c r="GO342" s="19"/>
      <c r="GP342" s="19"/>
      <c r="GQ342" s="19"/>
      <c r="GR342" s="19"/>
      <c r="GS342" s="19"/>
      <c r="GT342" s="19"/>
      <c r="GU342" s="19"/>
      <c r="GV342" s="19"/>
      <c r="GW342" s="19"/>
      <c r="GX342" s="19"/>
      <c r="GY342" s="19"/>
      <c r="GZ342" s="19"/>
      <c r="HA342" s="19"/>
      <c r="HB342" s="19"/>
    </row>
    <row r="343" spans="1:210"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c r="FJ343" s="19"/>
      <c r="FK343" s="19"/>
      <c r="FL343" s="19"/>
      <c r="FM343" s="19"/>
      <c r="FN343" s="19"/>
      <c r="FO343" s="19"/>
      <c r="FP343" s="19"/>
      <c r="FQ343" s="19"/>
      <c r="FR343" s="19"/>
      <c r="FS343" s="19"/>
      <c r="FT343" s="19"/>
      <c r="FU343" s="19"/>
      <c r="FV343" s="19"/>
      <c r="FW343" s="19"/>
      <c r="FX343" s="19"/>
      <c r="FY343" s="19"/>
      <c r="FZ343" s="19"/>
      <c r="GA343" s="19"/>
      <c r="GB343" s="19"/>
      <c r="GC343" s="19"/>
      <c r="GD343" s="19"/>
      <c r="GE343" s="19"/>
      <c r="GF343" s="19"/>
      <c r="GG343" s="19"/>
      <c r="GH343" s="19"/>
      <c r="GI343" s="19"/>
      <c r="GJ343" s="19"/>
      <c r="GK343" s="19"/>
      <c r="GL343" s="19"/>
      <c r="GM343" s="19"/>
      <c r="GN343" s="19"/>
      <c r="GO343" s="19"/>
      <c r="GP343" s="19"/>
      <c r="GQ343" s="19"/>
      <c r="GR343" s="19"/>
      <c r="GS343" s="19"/>
      <c r="GT343" s="19"/>
      <c r="GU343" s="19"/>
      <c r="GV343" s="19"/>
      <c r="GW343" s="19"/>
      <c r="GX343" s="19"/>
      <c r="GY343" s="19"/>
      <c r="GZ343" s="19"/>
      <c r="HA343" s="19"/>
      <c r="HB343" s="19"/>
    </row>
    <row r="344" spans="1:210"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c r="FJ344" s="19"/>
      <c r="FK344" s="19"/>
      <c r="FL344" s="19"/>
      <c r="FM344" s="19"/>
      <c r="FN344" s="19"/>
      <c r="FO344" s="19"/>
      <c r="FP344" s="19"/>
      <c r="FQ344" s="19"/>
      <c r="FR344" s="19"/>
      <c r="FS344" s="19"/>
      <c r="FT344" s="19"/>
      <c r="FU344" s="19"/>
      <c r="FV344" s="19"/>
      <c r="FW344" s="19"/>
      <c r="FX344" s="19"/>
      <c r="FY344" s="19"/>
      <c r="FZ344" s="19"/>
      <c r="GA344" s="19"/>
      <c r="GB344" s="19"/>
      <c r="GC344" s="19"/>
      <c r="GD344" s="19"/>
      <c r="GE344" s="19"/>
      <c r="GF344" s="19"/>
      <c r="GG344" s="19"/>
      <c r="GH344" s="19"/>
      <c r="GI344" s="19"/>
      <c r="GJ344" s="19"/>
      <c r="GK344" s="19"/>
      <c r="GL344" s="19"/>
      <c r="GM344" s="19"/>
      <c r="GN344" s="19"/>
      <c r="GO344" s="19"/>
      <c r="GP344" s="19"/>
      <c r="GQ344" s="19"/>
      <c r="GR344" s="19"/>
      <c r="GS344" s="19"/>
      <c r="GT344" s="19"/>
      <c r="GU344" s="19"/>
      <c r="GV344" s="19"/>
      <c r="GW344" s="19"/>
      <c r="GX344" s="19"/>
      <c r="GY344" s="19"/>
      <c r="GZ344" s="19"/>
      <c r="HA344" s="19"/>
      <c r="HB344" s="19"/>
    </row>
    <row r="345" spans="1:210"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c r="FJ345" s="19"/>
      <c r="FK345" s="19"/>
      <c r="FL345" s="19"/>
      <c r="FM345" s="19"/>
      <c r="FN345" s="19"/>
      <c r="FO345" s="19"/>
      <c r="FP345" s="19"/>
      <c r="FQ345" s="19"/>
      <c r="FR345" s="19"/>
      <c r="FS345" s="19"/>
      <c r="FT345" s="19"/>
      <c r="FU345" s="19"/>
      <c r="FV345" s="19"/>
      <c r="FW345" s="19"/>
      <c r="FX345" s="19"/>
      <c r="FY345" s="19"/>
      <c r="FZ345" s="19"/>
      <c r="GA345" s="19"/>
      <c r="GB345" s="19"/>
      <c r="GC345" s="19"/>
      <c r="GD345" s="19"/>
      <c r="GE345" s="19"/>
      <c r="GF345" s="19"/>
      <c r="GG345" s="19"/>
      <c r="GH345" s="19"/>
      <c r="GI345" s="19"/>
      <c r="GJ345" s="19"/>
      <c r="GK345" s="19"/>
      <c r="GL345" s="19"/>
      <c r="GM345" s="19"/>
      <c r="GN345" s="19"/>
      <c r="GO345" s="19"/>
      <c r="GP345" s="19"/>
      <c r="GQ345" s="19"/>
      <c r="GR345" s="19"/>
      <c r="GS345" s="19"/>
      <c r="GT345" s="19"/>
      <c r="GU345" s="19"/>
      <c r="GV345" s="19"/>
      <c r="GW345" s="19"/>
      <c r="GX345" s="19"/>
      <c r="GY345" s="19"/>
      <c r="GZ345" s="19"/>
      <c r="HA345" s="19"/>
      <c r="HB345" s="19"/>
    </row>
    <row r="346" spans="1:210"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c r="FJ346" s="19"/>
      <c r="FK346" s="19"/>
      <c r="FL346" s="19"/>
      <c r="FM346" s="19"/>
      <c r="FN346" s="19"/>
      <c r="FO346" s="19"/>
      <c r="FP346" s="19"/>
      <c r="FQ346" s="19"/>
      <c r="FR346" s="19"/>
      <c r="FS346" s="19"/>
      <c r="FT346" s="19"/>
      <c r="FU346" s="19"/>
      <c r="FV346" s="19"/>
      <c r="FW346" s="19"/>
      <c r="FX346" s="19"/>
      <c r="FY346" s="19"/>
      <c r="FZ346" s="19"/>
      <c r="GA346" s="19"/>
      <c r="GB346" s="19"/>
      <c r="GC346" s="19"/>
      <c r="GD346" s="19"/>
      <c r="GE346" s="19"/>
      <c r="GF346" s="19"/>
      <c r="GG346" s="19"/>
      <c r="GH346" s="19"/>
      <c r="GI346" s="19"/>
      <c r="GJ346" s="19"/>
      <c r="GK346" s="19"/>
      <c r="GL346" s="19"/>
      <c r="GM346" s="19"/>
      <c r="GN346" s="19"/>
      <c r="GO346" s="19"/>
      <c r="GP346" s="19"/>
      <c r="GQ346" s="19"/>
      <c r="GR346" s="19"/>
      <c r="GS346" s="19"/>
      <c r="GT346" s="19"/>
      <c r="GU346" s="19"/>
      <c r="GV346" s="19"/>
      <c r="GW346" s="19"/>
      <c r="GX346" s="19"/>
      <c r="GY346" s="19"/>
      <c r="GZ346" s="19"/>
      <c r="HA346" s="19"/>
      <c r="HB346" s="19"/>
    </row>
    <row r="347" spans="1:210"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c r="FJ347" s="19"/>
      <c r="FK347" s="19"/>
      <c r="FL347" s="19"/>
      <c r="FM347" s="19"/>
      <c r="FN347" s="19"/>
      <c r="FO347" s="19"/>
      <c r="FP347" s="19"/>
      <c r="FQ347" s="19"/>
      <c r="FR347" s="19"/>
      <c r="FS347" s="19"/>
      <c r="FT347" s="19"/>
      <c r="FU347" s="19"/>
      <c r="FV347" s="19"/>
      <c r="FW347" s="19"/>
      <c r="FX347" s="19"/>
      <c r="FY347" s="19"/>
      <c r="FZ347" s="19"/>
      <c r="GA347" s="19"/>
      <c r="GB347" s="19"/>
      <c r="GC347" s="19"/>
      <c r="GD347" s="19"/>
      <c r="GE347" s="19"/>
      <c r="GF347" s="19"/>
      <c r="GG347" s="19"/>
      <c r="GH347" s="19"/>
      <c r="GI347" s="19"/>
      <c r="GJ347" s="19"/>
      <c r="GK347" s="19"/>
      <c r="GL347" s="19"/>
      <c r="GM347" s="19"/>
      <c r="GN347" s="19"/>
      <c r="GO347" s="19"/>
      <c r="GP347" s="19"/>
      <c r="GQ347" s="19"/>
      <c r="GR347" s="19"/>
      <c r="GS347" s="19"/>
      <c r="GT347" s="19"/>
      <c r="GU347" s="19"/>
      <c r="GV347" s="19"/>
      <c r="GW347" s="19"/>
      <c r="GX347" s="19"/>
      <c r="GY347" s="19"/>
      <c r="GZ347" s="19"/>
      <c r="HA347" s="19"/>
      <c r="HB347" s="19"/>
    </row>
    <row r="348" spans="1:210"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c r="FZ348" s="19"/>
      <c r="GA348" s="19"/>
      <c r="GB348" s="19"/>
      <c r="GC348" s="19"/>
      <c r="GD348" s="19"/>
      <c r="GE348" s="19"/>
      <c r="GF348" s="19"/>
      <c r="GG348" s="19"/>
      <c r="GH348" s="19"/>
      <c r="GI348" s="19"/>
      <c r="GJ348" s="19"/>
      <c r="GK348" s="19"/>
      <c r="GL348" s="19"/>
      <c r="GM348" s="19"/>
      <c r="GN348" s="19"/>
      <c r="GO348" s="19"/>
      <c r="GP348" s="19"/>
      <c r="GQ348" s="19"/>
      <c r="GR348" s="19"/>
      <c r="GS348" s="19"/>
      <c r="GT348" s="19"/>
      <c r="GU348" s="19"/>
      <c r="GV348" s="19"/>
      <c r="GW348" s="19"/>
      <c r="GX348" s="19"/>
      <c r="GY348" s="19"/>
      <c r="GZ348" s="19"/>
      <c r="HA348" s="19"/>
      <c r="HB348" s="19"/>
    </row>
    <row r="349" spans="1:210"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c r="FZ349" s="19"/>
      <c r="GA349" s="19"/>
      <c r="GB349" s="19"/>
      <c r="GC349" s="19"/>
      <c r="GD349" s="19"/>
      <c r="GE349" s="19"/>
      <c r="GF349" s="19"/>
      <c r="GG349" s="19"/>
      <c r="GH349" s="19"/>
      <c r="GI349" s="19"/>
      <c r="GJ349" s="19"/>
      <c r="GK349" s="19"/>
      <c r="GL349" s="19"/>
      <c r="GM349" s="19"/>
      <c r="GN349" s="19"/>
      <c r="GO349" s="19"/>
      <c r="GP349" s="19"/>
      <c r="GQ349" s="19"/>
      <c r="GR349" s="19"/>
      <c r="GS349" s="19"/>
      <c r="GT349" s="19"/>
      <c r="GU349" s="19"/>
      <c r="GV349" s="19"/>
      <c r="GW349" s="19"/>
      <c r="GX349" s="19"/>
      <c r="GY349" s="19"/>
      <c r="GZ349" s="19"/>
      <c r="HA349" s="19"/>
      <c r="HB349" s="19"/>
    </row>
    <row r="350" spans="1:210"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c r="FZ350" s="19"/>
      <c r="GA350" s="19"/>
      <c r="GB350" s="19"/>
      <c r="GC350" s="19"/>
      <c r="GD350" s="19"/>
      <c r="GE350" s="19"/>
      <c r="GF350" s="19"/>
      <c r="GG350" s="19"/>
      <c r="GH350" s="19"/>
      <c r="GI350" s="19"/>
      <c r="GJ350" s="19"/>
      <c r="GK350" s="19"/>
      <c r="GL350" s="19"/>
      <c r="GM350" s="19"/>
      <c r="GN350" s="19"/>
      <c r="GO350" s="19"/>
      <c r="GP350" s="19"/>
      <c r="GQ350" s="19"/>
      <c r="GR350" s="19"/>
      <c r="GS350" s="19"/>
      <c r="GT350" s="19"/>
      <c r="GU350" s="19"/>
      <c r="GV350" s="19"/>
      <c r="GW350" s="19"/>
      <c r="GX350" s="19"/>
      <c r="GY350" s="19"/>
      <c r="GZ350" s="19"/>
      <c r="HA350" s="19"/>
      <c r="HB350" s="19"/>
    </row>
    <row r="351" spans="1:210"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c r="FZ351" s="19"/>
      <c r="GA351" s="19"/>
      <c r="GB351" s="19"/>
      <c r="GC351" s="19"/>
      <c r="GD351" s="19"/>
      <c r="GE351" s="19"/>
      <c r="GF351" s="19"/>
      <c r="GG351" s="19"/>
      <c r="GH351" s="19"/>
      <c r="GI351" s="19"/>
      <c r="GJ351" s="19"/>
      <c r="GK351" s="19"/>
      <c r="GL351" s="19"/>
      <c r="GM351" s="19"/>
      <c r="GN351" s="19"/>
      <c r="GO351" s="19"/>
      <c r="GP351" s="19"/>
      <c r="GQ351" s="19"/>
      <c r="GR351" s="19"/>
      <c r="GS351" s="19"/>
      <c r="GT351" s="19"/>
      <c r="GU351" s="19"/>
      <c r="GV351" s="19"/>
      <c r="GW351" s="19"/>
      <c r="GX351" s="19"/>
      <c r="GY351" s="19"/>
      <c r="GZ351" s="19"/>
      <c r="HA351" s="19"/>
      <c r="HB351" s="19"/>
    </row>
    <row r="352" spans="1:210"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c r="FJ352" s="19"/>
      <c r="FK352" s="19"/>
      <c r="FL352" s="19"/>
      <c r="FM352" s="19"/>
      <c r="FN352" s="19"/>
      <c r="FO352" s="19"/>
      <c r="FP352" s="19"/>
      <c r="FQ352" s="19"/>
      <c r="FR352" s="19"/>
      <c r="FS352" s="19"/>
      <c r="FT352" s="19"/>
      <c r="FU352" s="19"/>
      <c r="FV352" s="19"/>
      <c r="FW352" s="19"/>
      <c r="FX352" s="19"/>
      <c r="FY352" s="19"/>
      <c r="FZ352" s="19"/>
      <c r="GA352" s="19"/>
      <c r="GB352" s="19"/>
      <c r="GC352" s="19"/>
      <c r="GD352" s="19"/>
      <c r="GE352" s="19"/>
      <c r="GF352" s="19"/>
      <c r="GG352" s="19"/>
      <c r="GH352" s="19"/>
      <c r="GI352" s="19"/>
      <c r="GJ352" s="19"/>
      <c r="GK352" s="19"/>
      <c r="GL352" s="19"/>
      <c r="GM352" s="19"/>
      <c r="GN352" s="19"/>
      <c r="GO352" s="19"/>
      <c r="GP352" s="19"/>
      <c r="GQ352" s="19"/>
      <c r="GR352" s="19"/>
      <c r="GS352" s="19"/>
      <c r="GT352" s="19"/>
      <c r="GU352" s="19"/>
      <c r="GV352" s="19"/>
      <c r="GW352" s="19"/>
      <c r="GX352" s="19"/>
      <c r="GY352" s="19"/>
      <c r="GZ352" s="19"/>
      <c r="HA352" s="19"/>
      <c r="HB352" s="19"/>
    </row>
    <row r="353" spans="1:210"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c r="FJ353" s="19"/>
      <c r="FK353" s="19"/>
      <c r="FL353" s="19"/>
      <c r="FM353" s="19"/>
      <c r="FN353" s="19"/>
      <c r="FO353" s="19"/>
      <c r="FP353" s="19"/>
      <c r="FQ353" s="19"/>
      <c r="FR353" s="19"/>
      <c r="FS353" s="19"/>
      <c r="FT353" s="19"/>
      <c r="FU353" s="19"/>
      <c r="FV353" s="19"/>
      <c r="FW353" s="19"/>
      <c r="FX353" s="19"/>
      <c r="FY353" s="19"/>
      <c r="FZ353" s="19"/>
      <c r="GA353" s="19"/>
      <c r="GB353" s="19"/>
      <c r="GC353" s="19"/>
      <c r="GD353" s="19"/>
      <c r="GE353" s="19"/>
      <c r="GF353" s="19"/>
      <c r="GG353" s="19"/>
      <c r="GH353" s="19"/>
      <c r="GI353" s="19"/>
      <c r="GJ353" s="19"/>
      <c r="GK353" s="19"/>
      <c r="GL353" s="19"/>
      <c r="GM353" s="19"/>
      <c r="GN353" s="19"/>
      <c r="GO353" s="19"/>
      <c r="GP353" s="19"/>
      <c r="GQ353" s="19"/>
      <c r="GR353" s="19"/>
      <c r="GS353" s="19"/>
      <c r="GT353" s="19"/>
      <c r="GU353" s="19"/>
      <c r="GV353" s="19"/>
      <c r="GW353" s="19"/>
      <c r="GX353" s="19"/>
      <c r="GY353" s="19"/>
      <c r="GZ353" s="19"/>
      <c r="HA353" s="19"/>
      <c r="HB353" s="19"/>
    </row>
    <row r="354" spans="1:210"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c r="FJ354" s="19"/>
      <c r="FK354" s="19"/>
      <c r="FL354" s="19"/>
      <c r="FM354" s="19"/>
      <c r="FN354" s="19"/>
      <c r="FO354" s="19"/>
      <c r="FP354" s="19"/>
      <c r="FQ354" s="19"/>
      <c r="FR354" s="19"/>
      <c r="FS354" s="19"/>
      <c r="FT354" s="19"/>
      <c r="FU354" s="19"/>
      <c r="FV354" s="19"/>
      <c r="FW354" s="19"/>
      <c r="FX354" s="19"/>
      <c r="FY354" s="19"/>
      <c r="FZ354" s="19"/>
      <c r="GA354" s="19"/>
      <c r="GB354" s="19"/>
      <c r="GC354" s="19"/>
      <c r="GD354" s="19"/>
      <c r="GE354" s="19"/>
      <c r="GF354" s="19"/>
      <c r="GG354" s="19"/>
      <c r="GH354" s="19"/>
      <c r="GI354" s="19"/>
      <c r="GJ354" s="19"/>
      <c r="GK354" s="19"/>
      <c r="GL354" s="19"/>
      <c r="GM354" s="19"/>
      <c r="GN354" s="19"/>
      <c r="GO354" s="19"/>
      <c r="GP354" s="19"/>
      <c r="GQ354" s="19"/>
      <c r="GR354" s="19"/>
      <c r="GS354" s="19"/>
      <c r="GT354" s="19"/>
      <c r="GU354" s="19"/>
      <c r="GV354" s="19"/>
      <c r="GW354" s="19"/>
      <c r="GX354" s="19"/>
      <c r="GY354" s="19"/>
      <c r="GZ354" s="19"/>
      <c r="HA354" s="19"/>
      <c r="HB354" s="19"/>
    </row>
    <row r="355" spans="1:210"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c r="FJ355" s="19"/>
      <c r="FK355" s="19"/>
      <c r="FL355" s="19"/>
      <c r="FM355" s="19"/>
      <c r="FN355" s="19"/>
      <c r="FO355" s="19"/>
      <c r="FP355" s="19"/>
      <c r="FQ355" s="19"/>
      <c r="FR355" s="19"/>
      <c r="FS355" s="19"/>
      <c r="FT355" s="19"/>
      <c r="FU355" s="19"/>
      <c r="FV355" s="19"/>
      <c r="FW355" s="19"/>
      <c r="FX355" s="19"/>
      <c r="FY355" s="19"/>
      <c r="FZ355" s="19"/>
      <c r="GA355" s="19"/>
      <c r="GB355" s="19"/>
      <c r="GC355" s="19"/>
      <c r="GD355" s="19"/>
      <c r="GE355" s="19"/>
      <c r="GF355" s="19"/>
      <c r="GG355" s="19"/>
      <c r="GH355" s="19"/>
      <c r="GI355" s="19"/>
      <c r="GJ355" s="19"/>
      <c r="GK355" s="19"/>
      <c r="GL355" s="19"/>
      <c r="GM355" s="19"/>
      <c r="GN355" s="19"/>
      <c r="GO355" s="19"/>
      <c r="GP355" s="19"/>
      <c r="GQ355" s="19"/>
      <c r="GR355" s="19"/>
      <c r="GS355" s="19"/>
      <c r="GT355" s="19"/>
      <c r="GU355" s="19"/>
      <c r="GV355" s="19"/>
      <c r="GW355" s="19"/>
      <c r="GX355" s="19"/>
      <c r="GY355" s="19"/>
      <c r="GZ355" s="19"/>
      <c r="HA355" s="19"/>
      <c r="HB355" s="19"/>
    </row>
    <row r="356" spans="1:210"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c r="FJ356" s="19"/>
      <c r="FK356" s="19"/>
      <c r="FL356" s="19"/>
      <c r="FM356" s="19"/>
      <c r="FN356" s="19"/>
      <c r="FO356" s="19"/>
      <c r="FP356" s="19"/>
      <c r="FQ356" s="19"/>
      <c r="FR356" s="19"/>
      <c r="FS356" s="19"/>
      <c r="FT356" s="19"/>
      <c r="FU356" s="19"/>
      <c r="FV356" s="19"/>
      <c r="FW356" s="19"/>
      <c r="FX356" s="19"/>
      <c r="FY356" s="19"/>
      <c r="FZ356" s="19"/>
      <c r="GA356" s="19"/>
      <c r="GB356" s="19"/>
      <c r="GC356" s="19"/>
      <c r="GD356" s="19"/>
      <c r="GE356" s="19"/>
      <c r="GF356" s="19"/>
      <c r="GG356" s="19"/>
      <c r="GH356" s="19"/>
      <c r="GI356" s="19"/>
      <c r="GJ356" s="19"/>
      <c r="GK356" s="19"/>
      <c r="GL356" s="19"/>
      <c r="GM356" s="19"/>
      <c r="GN356" s="19"/>
      <c r="GO356" s="19"/>
      <c r="GP356" s="19"/>
      <c r="GQ356" s="19"/>
      <c r="GR356" s="19"/>
      <c r="GS356" s="19"/>
      <c r="GT356" s="19"/>
      <c r="GU356" s="19"/>
      <c r="GV356" s="19"/>
      <c r="GW356" s="19"/>
      <c r="GX356" s="19"/>
      <c r="GY356" s="19"/>
      <c r="GZ356" s="19"/>
      <c r="HA356" s="19"/>
      <c r="HB356" s="19"/>
    </row>
    <row r="357" spans="1:210"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row>
    <row r="358" spans="1:210"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row>
    <row r="359" spans="1:210"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row>
    <row r="360" spans="1:210"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row>
    <row r="361" spans="1:210"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row>
    <row r="362" spans="1:210"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row>
    <row r="363" spans="1:210"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row>
    <row r="364" spans="1:210"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row>
    <row r="365" spans="1:210"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c r="FJ365" s="19"/>
      <c r="FK365" s="19"/>
      <c r="FL365" s="19"/>
      <c r="FM365" s="19"/>
      <c r="FN365" s="19"/>
      <c r="FO365" s="19"/>
      <c r="FP365" s="19"/>
      <c r="FQ365" s="19"/>
      <c r="FR365" s="19"/>
      <c r="FS365" s="19"/>
      <c r="FT365" s="19"/>
      <c r="FU365" s="19"/>
      <c r="FV365" s="19"/>
      <c r="FW365" s="19"/>
      <c r="FX365" s="19"/>
      <c r="FY365" s="19"/>
      <c r="FZ365" s="19"/>
      <c r="GA365" s="19"/>
      <c r="GB365" s="19"/>
      <c r="GC365" s="19"/>
      <c r="GD365" s="19"/>
      <c r="GE365" s="19"/>
      <c r="GF365" s="19"/>
      <c r="GG365" s="19"/>
      <c r="GH365" s="19"/>
      <c r="GI365" s="19"/>
      <c r="GJ365" s="19"/>
      <c r="GK365" s="19"/>
      <c r="GL365" s="19"/>
      <c r="GM365" s="19"/>
      <c r="GN365" s="19"/>
      <c r="GO365" s="19"/>
      <c r="GP365" s="19"/>
      <c r="GQ365" s="19"/>
      <c r="GR365" s="19"/>
      <c r="GS365" s="19"/>
      <c r="GT365" s="19"/>
      <c r="GU365" s="19"/>
      <c r="GV365" s="19"/>
      <c r="GW365" s="19"/>
      <c r="GX365" s="19"/>
      <c r="GY365" s="19"/>
      <c r="GZ365" s="19"/>
      <c r="HA365" s="19"/>
      <c r="HB365" s="19"/>
    </row>
    <row r="366" spans="1:210"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row>
    <row r="367" spans="1:210"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row>
    <row r="368" spans="1:210"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c r="FJ368" s="19"/>
      <c r="FK368" s="19"/>
      <c r="FL368" s="19"/>
      <c r="FM368" s="19"/>
      <c r="FN368" s="19"/>
      <c r="FO368" s="19"/>
      <c r="FP368" s="19"/>
      <c r="FQ368" s="19"/>
      <c r="FR368" s="19"/>
      <c r="FS368" s="19"/>
      <c r="FT368" s="19"/>
      <c r="FU368" s="19"/>
      <c r="FV368" s="19"/>
      <c r="FW368" s="19"/>
      <c r="FX368" s="19"/>
      <c r="FY368" s="19"/>
      <c r="FZ368" s="19"/>
      <c r="GA368" s="19"/>
      <c r="GB368" s="19"/>
      <c r="GC368" s="19"/>
      <c r="GD368" s="19"/>
      <c r="GE368" s="19"/>
      <c r="GF368" s="19"/>
      <c r="GG368" s="19"/>
      <c r="GH368" s="19"/>
      <c r="GI368" s="19"/>
      <c r="GJ368" s="19"/>
      <c r="GK368" s="19"/>
      <c r="GL368" s="19"/>
      <c r="GM368" s="19"/>
      <c r="GN368" s="19"/>
      <c r="GO368" s="19"/>
      <c r="GP368" s="19"/>
      <c r="GQ368" s="19"/>
      <c r="GR368" s="19"/>
      <c r="GS368" s="19"/>
      <c r="GT368" s="19"/>
      <c r="GU368" s="19"/>
      <c r="GV368" s="19"/>
      <c r="GW368" s="19"/>
      <c r="GX368" s="19"/>
      <c r="GY368" s="19"/>
      <c r="GZ368" s="19"/>
      <c r="HA368" s="19"/>
      <c r="HB368" s="19"/>
    </row>
    <row r="369" spans="1:210"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c r="FJ369" s="19"/>
      <c r="FK369" s="19"/>
      <c r="FL369" s="19"/>
      <c r="FM369" s="19"/>
      <c r="FN369" s="19"/>
      <c r="FO369" s="19"/>
      <c r="FP369" s="19"/>
      <c r="FQ369" s="19"/>
      <c r="FR369" s="19"/>
      <c r="FS369" s="19"/>
      <c r="FT369" s="19"/>
      <c r="FU369" s="19"/>
      <c r="FV369" s="19"/>
      <c r="FW369" s="19"/>
      <c r="FX369" s="19"/>
      <c r="FY369" s="19"/>
      <c r="FZ369" s="19"/>
      <c r="GA369" s="19"/>
      <c r="GB369" s="19"/>
      <c r="GC369" s="19"/>
      <c r="GD369" s="19"/>
      <c r="GE369" s="19"/>
      <c r="GF369" s="19"/>
      <c r="GG369" s="19"/>
      <c r="GH369" s="19"/>
      <c r="GI369" s="19"/>
      <c r="GJ369" s="19"/>
      <c r="GK369" s="19"/>
      <c r="GL369" s="19"/>
      <c r="GM369" s="19"/>
      <c r="GN369" s="19"/>
      <c r="GO369" s="19"/>
      <c r="GP369" s="19"/>
      <c r="GQ369" s="19"/>
      <c r="GR369" s="19"/>
      <c r="GS369" s="19"/>
      <c r="GT369" s="19"/>
      <c r="GU369" s="19"/>
      <c r="GV369" s="19"/>
      <c r="GW369" s="19"/>
      <c r="GX369" s="19"/>
      <c r="GY369" s="19"/>
      <c r="GZ369" s="19"/>
      <c r="HA369" s="19"/>
      <c r="HB369" s="19"/>
    </row>
    <row r="370" spans="1:210"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c r="FJ370" s="19"/>
      <c r="FK370" s="19"/>
      <c r="FL370" s="19"/>
      <c r="FM370" s="19"/>
      <c r="FN370" s="19"/>
      <c r="FO370" s="19"/>
      <c r="FP370" s="19"/>
      <c r="FQ370" s="19"/>
      <c r="FR370" s="19"/>
      <c r="FS370" s="19"/>
      <c r="FT370" s="19"/>
      <c r="FU370" s="19"/>
      <c r="FV370" s="19"/>
      <c r="FW370" s="19"/>
      <c r="FX370" s="19"/>
      <c r="FY370" s="19"/>
      <c r="FZ370" s="19"/>
      <c r="GA370" s="19"/>
      <c r="GB370" s="19"/>
      <c r="GC370" s="19"/>
      <c r="GD370" s="19"/>
      <c r="GE370" s="19"/>
      <c r="GF370" s="19"/>
      <c r="GG370" s="19"/>
      <c r="GH370" s="19"/>
      <c r="GI370" s="19"/>
      <c r="GJ370" s="19"/>
      <c r="GK370" s="19"/>
      <c r="GL370" s="19"/>
      <c r="GM370" s="19"/>
      <c r="GN370" s="19"/>
      <c r="GO370" s="19"/>
      <c r="GP370" s="19"/>
      <c r="GQ370" s="19"/>
      <c r="GR370" s="19"/>
      <c r="GS370" s="19"/>
      <c r="GT370" s="19"/>
      <c r="GU370" s="19"/>
      <c r="GV370" s="19"/>
      <c r="GW370" s="19"/>
      <c r="GX370" s="19"/>
      <c r="GY370" s="19"/>
      <c r="GZ370" s="19"/>
      <c r="HA370" s="19"/>
      <c r="HB370" s="19"/>
    </row>
    <row r="371" spans="1:210"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c r="FJ371" s="19"/>
      <c r="FK371" s="19"/>
      <c r="FL371" s="19"/>
      <c r="FM371" s="19"/>
      <c r="FN371" s="19"/>
      <c r="FO371" s="19"/>
      <c r="FP371" s="19"/>
      <c r="FQ371" s="19"/>
      <c r="FR371" s="19"/>
      <c r="FS371" s="19"/>
      <c r="FT371" s="19"/>
      <c r="FU371" s="19"/>
      <c r="FV371" s="19"/>
      <c r="FW371" s="19"/>
      <c r="FX371" s="19"/>
      <c r="FY371" s="19"/>
      <c r="FZ371" s="19"/>
      <c r="GA371" s="19"/>
      <c r="GB371" s="19"/>
      <c r="GC371" s="19"/>
      <c r="GD371" s="19"/>
      <c r="GE371" s="19"/>
      <c r="GF371" s="19"/>
      <c r="GG371" s="19"/>
      <c r="GH371" s="19"/>
      <c r="GI371" s="19"/>
      <c r="GJ371" s="19"/>
      <c r="GK371" s="19"/>
      <c r="GL371" s="19"/>
      <c r="GM371" s="19"/>
      <c r="GN371" s="19"/>
      <c r="GO371" s="19"/>
      <c r="GP371" s="19"/>
      <c r="GQ371" s="19"/>
      <c r="GR371" s="19"/>
      <c r="GS371" s="19"/>
      <c r="GT371" s="19"/>
      <c r="GU371" s="19"/>
      <c r="GV371" s="19"/>
      <c r="GW371" s="19"/>
      <c r="GX371" s="19"/>
      <c r="GY371" s="19"/>
      <c r="GZ371" s="19"/>
      <c r="HA371" s="19"/>
      <c r="HB371" s="19"/>
    </row>
    <row r="372" spans="1:210"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c r="FJ372" s="19"/>
      <c r="FK372" s="19"/>
      <c r="FL372" s="19"/>
      <c r="FM372" s="19"/>
      <c r="FN372" s="19"/>
      <c r="FO372" s="19"/>
      <c r="FP372" s="19"/>
      <c r="FQ372" s="19"/>
      <c r="FR372" s="19"/>
      <c r="FS372" s="19"/>
      <c r="FT372" s="19"/>
      <c r="FU372" s="19"/>
      <c r="FV372" s="19"/>
      <c r="FW372" s="19"/>
      <c r="FX372" s="19"/>
      <c r="FY372" s="19"/>
      <c r="FZ372" s="19"/>
      <c r="GA372" s="19"/>
      <c r="GB372" s="19"/>
      <c r="GC372" s="19"/>
      <c r="GD372" s="19"/>
      <c r="GE372" s="19"/>
      <c r="GF372" s="19"/>
      <c r="GG372" s="19"/>
      <c r="GH372" s="19"/>
      <c r="GI372" s="19"/>
      <c r="GJ372" s="19"/>
      <c r="GK372" s="19"/>
      <c r="GL372" s="19"/>
      <c r="GM372" s="19"/>
      <c r="GN372" s="19"/>
      <c r="GO372" s="19"/>
      <c r="GP372" s="19"/>
      <c r="GQ372" s="19"/>
      <c r="GR372" s="19"/>
      <c r="GS372" s="19"/>
      <c r="GT372" s="19"/>
      <c r="GU372" s="19"/>
      <c r="GV372" s="19"/>
      <c r="GW372" s="19"/>
      <c r="GX372" s="19"/>
      <c r="GY372" s="19"/>
      <c r="GZ372" s="19"/>
      <c r="HA372" s="19"/>
      <c r="HB372" s="19"/>
    </row>
    <row r="373" spans="1:210"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c r="FJ373" s="19"/>
      <c r="FK373" s="19"/>
      <c r="FL373" s="19"/>
      <c r="FM373" s="19"/>
      <c r="FN373" s="19"/>
      <c r="FO373" s="19"/>
      <c r="FP373" s="19"/>
      <c r="FQ373" s="19"/>
      <c r="FR373" s="19"/>
      <c r="FS373" s="19"/>
      <c r="FT373" s="19"/>
      <c r="FU373" s="19"/>
      <c r="FV373" s="19"/>
      <c r="FW373" s="19"/>
      <c r="FX373" s="19"/>
      <c r="FY373" s="19"/>
      <c r="FZ373" s="19"/>
      <c r="GA373" s="19"/>
      <c r="GB373" s="19"/>
      <c r="GC373" s="19"/>
      <c r="GD373" s="19"/>
      <c r="GE373" s="19"/>
      <c r="GF373" s="19"/>
      <c r="GG373" s="19"/>
      <c r="GH373" s="19"/>
      <c r="GI373" s="19"/>
      <c r="GJ373" s="19"/>
      <c r="GK373" s="19"/>
      <c r="GL373" s="19"/>
      <c r="GM373" s="19"/>
      <c r="GN373" s="19"/>
      <c r="GO373" s="19"/>
      <c r="GP373" s="19"/>
      <c r="GQ373" s="19"/>
      <c r="GR373" s="19"/>
      <c r="GS373" s="19"/>
      <c r="GT373" s="19"/>
      <c r="GU373" s="19"/>
      <c r="GV373" s="19"/>
      <c r="GW373" s="19"/>
      <c r="GX373" s="19"/>
      <c r="GY373" s="19"/>
      <c r="GZ373" s="19"/>
      <c r="HA373" s="19"/>
      <c r="HB373" s="19"/>
    </row>
    <row r="374" spans="1:210"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c r="FJ374" s="19"/>
      <c r="FK374" s="19"/>
      <c r="FL374" s="19"/>
      <c r="FM374" s="19"/>
      <c r="FN374" s="19"/>
      <c r="FO374" s="19"/>
      <c r="FP374" s="19"/>
      <c r="FQ374" s="19"/>
      <c r="FR374" s="19"/>
      <c r="FS374" s="19"/>
      <c r="FT374" s="19"/>
      <c r="FU374" s="19"/>
      <c r="FV374" s="19"/>
      <c r="FW374" s="19"/>
      <c r="FX374" s="19"/>
      <c r="FY374" s="19"/>
      <c r="FZ374" s="19"/>
      <c r="GA374" s="19"/>
      <c r="GB374" s="19"/>
      <c r="GC374" s="19"/>
      <c r="GD374" s="19"/>
      <c r="GE374" s="19"/>
      <c r="GF374" s="19"/>
      <c r="GG374" s="19"/>
      <c r="GH374" s="19"/>
      <c r="GI374" s="19"/>
      <c r="GJ374" s="19"/>
      <c r="GK374" s="19"/>
      <c r="GL374" s="19"/>
      <c r="GM374" s="19"/>
      <c r="GN374" s="19"/>
      <c r="GO374" s="19"/>
      <c r="GP374" s="19"/>
      <c r="GQ374" s="19"/>
      <c r="GR374" s="19"/>
      <c r="GS374" s="19"/>
      <c r="GT374" s="19"/>
      <c r="GU374" s="19"/>
      <c r="GV374" s="19"/>
      <c r="GW374" s="19"/>
      <c r="GX374" s="19"/>
      <c r="GY374" s="19"/>
      <c r="GZ374" s="19"/>
      <c r="HA374" s="19"/>
      <c r="HB374" s="19"/>
    </row>
    <row r="375" spans="1:210"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c r="FJ375" s="19"/>
      <c r="FK375" s="19"/>
      <c r="FL375" s="19"/>
      <c r="FM375" s="19"/>
      <c r="FN375" s="19"/>
      <c r="FO375" s="19"/>
      <c r="FP375" s="19"/>
      <c r="FQ375" s="19"/>
      <c r="FR375" s="19"/>
      <c r="FS375" s="19"/>
      <c r="FT375" s="19"/>
      <c r="FU375" s="19"/>
      <c r="FV375" s="19"/>
      <c r="FW375" s="19"/>
      <c r="FX375" s="19"/>
      <c r="FY375" s="19"/>
      <c r="FZ375" s="19"/>
      <c r="GA375" s="19"/>
      <c r="GB375" s="19"/>
      <c r="GC375" s="19"/>
      <c r="GD375" s="19"/>
      <c r="GE375" s="19"/>
      <c r="GF375" s="19"/>
      <c r="GG375" s="19"/>
      <c r="GH375" s="19"/>
      <c r="GI375" s="19"/>
      <c r="GJ375" s="19"/>
      <c r="GK375" s="19"/>
      <c r="GL375" s="19"/>
      <c r="GM375" s="19"/>
      <c r="GN375" s="19"/>
      <c r="GO375" s="19"/>
      <c r="GP375" s="19"/>
      <c r="GQ375" s="19"/>
      <c r="GR375" s="19"/>
      <c r="GS375" s="19"/>
      <c r="GT375" s="19"/>
      <c r="GU375" s="19"/>
      <c r="GV375" s="19"/>
      <c r="GW375" s="19"/>
      <c r="GX375" s="19"/>
      <c r="GY375" s="19"/>
      <c r="GZ375" s="19"/>
      <c r="HA375" s="19"/>
      <c r="HB375" s="19"/>
    </row>
    <row r="376" spans="1:210"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c r="FJ376" s="19"/>
      <c r="FK376" s="19"/>
      <c r="FL376" s="19"/>
      <c r="FM376" s="19"/>
      <c r="FN376" s="19"/>
      <c r="FO376" s="19"/>
      <c r="FP376" s="19"/>
      <c r="FQ376" s="19"/>
      <c r="FR376" s="19"/>
      <c r="FS376" s="19"/>
      <c r="FT376" s="19"/>
      <c r="FU376" s="19"/>
      <c r="FV376" s="19"/>
      <c r="FW376" s="19"/>
      <c r="FX376" s="19"/>
      <c r="FY376" s="19"/>
      <c r="FZ376" s="19"/>
      <c r="GA376" s="19"/>
      <c r="GB376" s="19"/>
      <c r="GC376" s="19"/>
      <c r="GD376" s="19"/>
      <c r="GE376" s="19"/>
      <c r="GF376" s="19"/>
      <c r="GG376" s="19"/>
      <c r="GH376" s="19"/>
      <c r="GI376" s="19"/>
      <c r="GJ376" s="19"/>
      <c r="GK376" s="19"/>
      <c r="GL376" s="19"/>
      <c r="GM376" s="19"/>
      <c r="GN376" s="19"/>
      <c r="GO376" s="19"/>
      <c r="GP376" s="19"/>
      <c r="GQ376" s="19"/>
      <c r="GR376" s="19"/>
      <c r="GS376" s="19"/>
      <c r="GT376" s="19"/>
      <c r="GU376" s="19"/>
      <c r="GV376" s="19"/>
      <c r="GW376" s="19"/>
      <c r="GX376" s="19"/>
      <c r="GY376" s="19"/>
      <c r="GZ376" s="19"/>
      <c r="HA376" s="19"/>
      <c r="HB376" s="19"/>
    </row>
    <row r="377" spans="1:210"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c r="FJ377" s="19"/>
      <c r="FK377" s="19"/>
      <c r="FL377" s="19"/>
      <c r="FM377" s="19"/>
      <c r="FN377" s="19"/>
      <c r="FO377" s="19"/>
      <c r="FP377" s="19"/>
      <c r="FQ377" s="19"/>
      <c r="FR377" s="19"/>
      <c r="FS377" s="19"/>
      <c r="FT377" s="19"/>
      <c r="FU377" s="19"/>
      <c r="FV377" s="19"/>
      <c r="FW377" s="19"/>
      <c r="FX377" s="19"/>
      <c r="FY377" s="19"/>
      <c r="FZ377" s="19"/>
      <c r="GA377" s="19"/>
      <c r="GB377" s="19"/>
      <c r="GC377" s="19"/>
      <c r="GD377" s="19"/>
      <c r="GE377" s="19"/>
      <c r="GF377" s="19"/>
      <c r="GG377" s="19"/>
      <c r="GH377" s="19"/>
      <c r="GI377" s="19"/>
      <c r="GJ377" s="19"/>
      <c r="GK377" s="19"/>
      <c r="GL377" s="19"/>
      <c r="GM377" s="19"/>
      <c r="GN377" s="19"/>
      <c r="GO377" s="19"/>
      <c r="GP377" s="19"/>
      <c r="GQ377" s="19"/>
      <c r="GR377" s="19"/>
      <c r="GS377" s="19"/>
      <c r="GT377" s="19"/>
      <c r="GU377" s="19"/>
      <c r="GV377" s="19"/>
      <c r="GW377" s="19"/>
      <c r="GX377" s="19"/>
      <c r="GY377" s="19"/>
      <c r="GZ377" s="19"/>
      <c r="HA377" s="19"/>
      <c r="HB377" s="19"/>
    </row>
    <row r="378" spans="1:210"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c r="FJ378" s="19"/>
      <c r="FK378" s="19"/>
      <c r="FL378" s="19"/>
      <c r="FM378" s="19"/>
      <c r="FN378" s="19"/>
      <c r="FO378" s="19"/>
      <c r="FP378" s="19"/>
      <c r="FQ378" s="19"/>
      <c r="FR378" s="19"/>
      <c r="FS378" s="19"/>
      <c r="FT378" s="19"/>
      <c r="FU378" s="19"/>
      <c r="FV378" s="19"/>
      <c r="FW378" s="19"/>
      <c r="FX378" s="19"/>
      <c r="FY378" s="19"/>
      <c r="FZ378" s="19"/>
      <c r="GA378" s="19"/>
      <c r="GB378" s="19"/>
      <c r="GC378" s="19"/>
      <c r="GD378" s="19"/>
      <c r="GE378" s="19"/>
      <c r="GF378" s="19"/>
      <c r="GG378" s="19"/>
      <c r="GH378" s="19"/>
      <c r="GI378" s="19"/>
      <c r="GJ378" s="19"/>
      <c r="GK378" s="19"/>
      <c r="GL378" s="19"/>
      <c r="GM378" s="19"/>
      <c r="GN378" s="19"/>
      <c r="GO378" s="19"/>
      <c r="GP378" s="19"/>
      <c r="GQ378" s="19"/>
      <c r="GR378" s="19"/>
      <c r="GS378" s="19"/>
      <c r="GT378" s="19"/>
      <c r="GU378" s="19"/>
      <c r="GV378" s="19"/>
      <c r="GW378" s="19"/>
      <c r="GX378" s="19"/>
      <c r="GY378" s="19"/>
      <c r="GZ378" s="19"/>
      <c r="HA378" s="19"/>
      <c r="HB378" s="19"/>
    </row>
    <row r="379" spans="1:210"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c r="FJ379" s="19"/>
      <c r="FK379" s="19"/>
      <c r="FL379" s="19"/>
      <c r="FM379" s="19"/>
      <c r="FN379" s="19"/>
      <c r="FO379" s="19"/>
      <c r="FP379" s="19"/>
      <c r="FQ379" s="19"/>
      <c r="FR379" s="19"/>
      <c r="FS379" s="19"/>
      <c r="FT379" s="19"/>
      <c r="FU379" s="19"/>
      <c r="FV379" s="19"/>
      <c r="FW379" s="19"/>
      <c r="FX379" s="19"/>
      <c r="FY379" s="19"/>
      <c r="FZ379" s="19"/>
      <c r="GA379" s="19"/>
      <c r="GB379" s="19"/>
      <c r="GC379" s="19"/>
      <c r="GD379" s="19"/>
      <c r="GE379" s="19"/>
      <c r="GF379" s="19"/>
      <c r="GG379" s="19"/>
      <c r="GH379" s="19"/>
      <c r="GI379" s="19"/>
      <c r="GJ379" s="19"/>
      <c r="GK379" s="19"/>
      <c r="GL379" s="19"/>
      <c r="GM379" s="19"/>
      <c r="GN379" s="19"/>
      <c r="GO379" s="19"/>
      <c r="GP379" s="19"/>
      <c r="GQ379" s="19"/>
      <c r="GR379" s="19"/>
      <c r="GS379" s="19"/>
      <c r="GT379" s="19"/>
      <c r="GU379" s="19"/>
      <c r="GV379" s="19"/>
      <c r="GW379" s="19"/>
      <c r="GX379" s="19"/>
      <c r="GY379" s="19"/>
      <c r="GZ379" s="19"/>
      <c r="HA379" s="19"/>
      <c r="HB379" s="19"/>
    </row>
    <row r="380" spans="1:210"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c r="FJ380" s="19"/>
      <c r="FK380" s="19"/>
      <c r="FL380" s="19"/>
      <c r="FM380" s="19"/>
      <c r="FN380" s="19"/>
      <c r="FO380" s="19"/>
      <c r="FP380" s="19"/>
      <c r="FQ380" s="19"/>
      <c r="FR380" s="19"/>
      <c r="FS380" s="19"/>
      <c r="FT380" s="19"/>
      <c r="FU380" s="19"/>
      <c r="FV380" s="19"/>
      <c r="FW380" s="19"/>
      <c r="FX380" s="19"/>
      <c r="FY380" s="19"/>
      <c r="FZ380" s="19"/>
      <c r="GA380" s="19"/>
      <c r="GB380" s="19"/>
      <c r="GC380" s="19"/>
      <c r="GD380" s="19"/>
      <c r="GE380" s="19"/>
      <c r="GF380" s="19"/>
      <c r="GG380" s="19"/>
      <c r="GH380" s="19"/>
      <c r="GI380" s="19"/>
      <c r="GJ380" s="19"/>
      <c r="GK380" s="19"/>
      <c r="GL380" s="19"/>
      <c r="GM380" s="19"/>
      <c r="GN380" s="19"/>
      <c r="GO380" s="19"/>
      <c r="GP380" s="19"/>
      <c r="GQ380" s="19"/>
      <c r="GR380" s="19"/>
      <c r="GS380" s="19"/>
      <c r="GT380" s="19"/>
      <c r="GU380" s="19"/>
      <c r="GV380" s="19"/>
      <c r="GW380" s="19"/>
      <c r="GX380" s="19"/>
      <c r="GY380" s="19"/>
      <c r="GZ380" s="19"/>
      <c r="HA380" s="19"/>
      <c r="HB380" s="19"/>
    </row>
    <row r="381" spans="1:210"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c r="FJ381" s="19"/>
      <c r="FK381" s="19"/>
      <c r="FL381" s="19"/>
      <c r="FM381" s="19"/>
      <c r="FN381" s="19"/>
      <c r="FO381" s="19"/>
      <c r="FP381" s="19"/>
      <c r="FQ381" s="19"/>
      <c r="FR381" s="19"/>
      <c r="FS381" s="19"/>
      <c r="FT381" s="19"/>
      <c r="FU381" s="19"/>
      <c r="FV381" s="19"/>
      <c r="FW381" s="19"/>
      <c r="FX381" s="19"/>
      <c r="FY381" s="19"/>
      <c r="FZ381" s="19"/>
      <c r="GA381" s="19"/>
      <c r="GB381" s="19"/>
      <c r="GC381" s="19"/>
      <c r="GD381" s="19"/>
      <c r="GE381" s="19"/>
      <c r="GF381" s="19"/>
      <c r="GG381" s="19"/>
      <c r="GH381" s="19"/>
      <c r="GI381" s="19"/>
      <c r="GJ381" s="19"/>
      <c r="GK381" s="19"/>
      <c r="GL381" s="19"/>
      <c r="GM381" s="19"/>
      <c r="GN381" s="19"/>
      <c r="GO381" s="19"/>
      <c r="GP381" s="19"/>
      <c r="GQ381" s="19"/>
      <c r="GR381" s="19"/>
      <c r="GS381" s="19"/>
      <c r="GT381" s="19"/>
      <c r="GU381" s="19"/>
      <c r="GV381" s="19"/>
      <c r="GW381" s="19"/>
      <c r="GX381" s="19"/>
      <c r="GY381" s="19"/>
      <c r="GZ381" s="19"/>
      <c r="HA381" s="19"/>
      <c r="HB381" s="19"/>
    </row>
    <row r="382" spans="1:210"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c r="FJ382" s="19"/>
      <c r="FK382" s="19"/>
      <c r="FL382" s="19"/>
      <c r="FM382" s="19"/>
      <c r="FN382" s="19"/>
      <c r="FO382" s="19"/>
      <c r="FP382" s="19"/>
      <c r="FQ382" s="19"/>
      <c r="FR382" s="19"/>
      <c r="FS382" s="19"/>
      <c r="FT382" s="19"/>
      <c r="FU382" s="19"/>
      <c r="FV382" s="19"/>
      <c r="FW382" s="19"/>
      <c r="FX382" s="19"/>
      <c r="FY382" s="19"/>
      <c r="FZ382" s="19"/>
      <c r="GA382" s="19"/>
      <c r="GB382" s="19"/>
      <c r="GC382" s="19"/>
      <c r="GD382" s="19"/>
      <c r="GE382" s="19"/>
      <c r="GF382" s="19"/>
      <c r="GG382" s="19"/>
      <c r="GH382" s="19"/>
      <c r="GI382" s="19"/>
      <c r="GJ382" s="19"/>
      <c r="GK382" s="19"/>
      <c r="GL382" s="19"/>
      <c r="GM382" s="19"/>
      <c r="GN382" s="19"/>
      <c r="GO382" s="19"/>
      <c r="GP382" s="19"/>
      <c r="GQ382" s="19"/>
      <c r="GR382" s="19"/>
      <c r="GS382" s="19"/>
      <c r="GT382" s="19"/>
      <c r="GU382" s="19"/>
      <c r="GV382" s="19"/>
      <c r="GW382" s="19"/>
      <c r="GX382" s="19"/>
      <c r="GY382" s="19"/>
      <c r="GZ382" s="19"/>
      <c r="HA382" s="19"/>
      <c r="HB382" s="19"/>
    </row>
    <row r="383" spans="1:210"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c r="FJ383" s="19"/>
      <c r="FK383" s="19"/>
      <c r="FL383" s="19"/>
      <c r="FM383" s="19"/>
      <c r="FN383" s="19"/>
      <c r="FO383" s="19"/>
      <c r="FP383" s="19"/>
      <c r="FQ383" s="19"/>
      <c r="FR383" s="19"/>
      <c r="FS383" s="19"/>
      <c r="FT383" s="19"/>
      <c r="FU383" s="19"/>
      <c r="FV383" s="19"/>
      <c r="FW383" s="19"/>
      <c r="FX383" s="19"/>
      <c r="FY383" s="19"/>
      <c r="FZ383" s="19"/>
      <c r="GA383" s="19"/>
      <c r="GB383" s="19"/>
      <c r="GC383" s="19"/>
      <c r="GD383" s="19"/>
      <c r="GE383" s="19"/>
      <c r="GF383" s="19"/>
      <c r="GG383" s="19"/>
      <c r="GH383" s="19"/>
      <c r="GI383" s="19"/>
      <c r="GJ383" s="19"/>
      <c r="GK383" s="19"/>
      <c r="GL383" s="19"/>
      <c r="GM383" s="19"/>
      <c r="GN383" s="19"/>
      <c r="GO383" s="19"/>
      <c r="GP383" s="19"/>
      <c r="GQ383" s="19"/>
      <c r="GR383" s="19"/>
      <c r="GS383" s="19"/>
      <c r="GT383" s="19"/>
      <c r="GU383" s="19"/>
      <c r="GV383" s="19"/>
      <c r="GW383" s="19"/>
      <c r="GX383" s="19"/>
      <c r="GY383" s="19"/>
      <c r="GZ383" s="19"/>
      <c r="HA383" s="19"/>
      <c r="HB383" s="19"/>
    </row>
    <row r="384" spans="1:210"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c r="FZ384" s="19"/>
      <c r="GA384" s="19"/>
      <c r="GB384" s="19"/>
      <c r="GC384" s="19"/>
      <c r="GD384" s="19"/>
      <c r="GE384" s="19"/>
      <c r="GF384" s="19"/>
      <c r="GG384" s="19"/>
      <c r="GH384" s="19"/>
      <c r="GI384" s="19"/>
      <c r="GJ384" s="19"/>
      <c r="GK384" s="19"/>
      <c r="GL384" s="19"/>
      <c r="GM384" s="19"/>
      <c r="GN384" s="19"/>
      <c r="GO384" s="19"/>
      <c r="GP384" s="19"/>
      <c r="GQ384" s="19"/>
      <c r="GR384" s="19"/>
      <c r="GS384" s="19"/>
      <c r="GT384" s="19"/>
      <c r="GU384" s="19"/>
      <c r="GV384" s="19"/>
      <c r="GW384" s="19"/>
      <c r="GX384" s="19"/>
      <c r="GY384" s="19"/>
      <c r="GZ384" s="19"/>
      <c r="HA384" s="19"/>
      <c r="HB384" s="19"/>
    </row>
    <row r="385" spans="1:210"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c r="FJ385" s="19"/>
      <c r="FK385" s="19"/>
      <c r="FL385" s="19"/>
      <c r="FM385" s="19"/>
      <c r="FN385" s="19"/>
      <c r="FO385" s="19"/>
      <c r="FP385" s="19"/>
      <c r="FQ385" s="19"/>
      <c r="FR385" s="19"/>
      <c r="FS385" s="19"/>
      <c r="FT385" s="19"/>
      <c r="FU385" s="19"/>
      <c r="FV385" s="19"/>
      <c r="FW385" s="19"/>
      <c r="FX385" s="19"/>
      <c r="FY385" s="19"/>
      <c r="FZ385" s="19"/>
      <c r="GA385" s="19"/>
      <c r="GB385" s="19"/>
      <c r="GC385" s="19"/>
      <c r="GD385" s="19"/>
      <c r="GE385" s="19"/>
      <c r="GF385" s="19"/>
      <c r="GG385" s="19"/>
      <c r="GH385" s="19"/>
      <c r="GI385" s="19"/>
      <c r="GJ385" s="19"/>
      <c r="GK385" s="19"/>
      <c r="GL385" s="19"/>
      <c r="GM385" s="19"/>
      <c r="GN385" s="19"/>
      <c r="GO385" s="19"/>
      <c r="GP385" s="19"/>
      <c r="GQ385" s="19"/>
      <c r="GR385" s="19"/>
      <c r="GS385" s="19"/>
      <c r="GT385" s="19"/>
      <c r="GU385" s="19"/>
      <c r="GV385" s="19"/>
      <c r="GW385" s="19"/>
      <c r="GX385" s="19"/>
      <c r="GY385" s="19"/>
      <c r="GZ385" s="19"/>
      <c r="HA385" s="19"/>
      <c r="HB385" s="19"/>
    </row>
    <row r="386" spans="1:210"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c r="FJ386" s="19"/>
      <c r="FK386" s="19"/>
      <c r="FL386" s="19"/>
      <c r="FM386" s="19"/>
      <c r="FN386" s="19"/>
      <c r="FO386" s="19"/>
      <c r="FP386" s="19"/>
      <c r="FQ386" s="19"/>
      <c r="FR386" s="19"/>
      <c r="FS386" s="19"/>
      <c r="FT386" s="19"/>
      <c r="FU386" s="19"/>
      <c r="FV386" s="19"/>
      <c r="FW386" s="19"/>
      <c r="FX386" s="19"/>
      <c r="FY386" s="19"/>
      <c r="FZ386" s="19"/>
      <c r="GA386" s="19"/>
      <c r="GB386" s="19"/>
      <c r="GC386" s="19"/>
      <c r="GD386" s="19"/>
      <c r="GE386" s="19"/>
      <c r="GF386" s="19"/>
      <c r="GG386" s="19"/>
      <c r="GH386" s="19"/>
      <c r="GI386" s="19"/>
      <c r="GJ386" s="19"/>
      <c r="GK386" s="19"/>
      <c r="GL386" s="19"/>
      <c r="GM386" s="19"/>
      <c r="GN386" s="19"/>
      <c r="GO386" s="19"/>
      <c r="GP386" s="19"/>
      <c r="GQ386" s="19"/>
      <c r="GR386" s="19"/>
      <c r="GS386" s="19"/>
      <c r="GT386" s="19"/>
      <c r="GU386" s="19"/>
      <c r="GV386" s="19"/>
      <c r="GW386" s="19"/>
      <c r="GX386" s="19"/>
      <c r="GY386" s="19"/>
      <c r="GZ386" s="19"/>
      <c r="HA386" s="19"/>
      <c r="HB386" s="19"/>
    </row>
    <row r="387" spans="1:210"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c r="FJ387" s="19"/>
      <c r="FK387" s="19"/>
      <c r="FL387" s="19"/>
      <c r="FM387" s="19"/>
      <c r="FN387" s="19"/>
      <c r="FO387" s="19"/>
      <c r="FP387" s="19"/>
      <c r="FQ387" s="19"/>
      <c r="FR387" s="19"/>
      <c r="FS387" s="19"/>
      <c r="FT387" s="19"/>
      <c r="FU387" s="19"/>
      <c r="FV387" s="19"/>
      <c r="FW387" s="19"/>
      <c r="FX387" s="19"/>
      <c r="FY387" s="19"/>
      <c r="FZ387" s="19"/>
      <c r="GA387" s="19"/>
      <c r="GB387" s="19"/>
      <c r="GC387" s="19"/>
      <c r="GD387" s="19"/>
      <c r="GE387" s="19"/>
      <c r="GF387" s="19"/>
      <c r="GG387" s="19"/>
      <c r="GH387" s="19"/>
      <c r="GI387" s="19"/>
      <c r="GJ387" s="19"/>
      <c r="GK387" s="19"/>
      <c r="GL387" s="19"/>
      <c r="GM387" s="19"/>
      <c r="GN387" s="19"/>
      <c r="GO387" s="19"/>
      <c r="GP387" s="19"/>
      <c r="GQ387" s="19"/>
      <c r="GR387" s="19"/>
      <c r="GS387" s="19"/>
      <c r="GT387" s="19"/>
      <c r="GU387" s="19"/>
      <c r="GV387" s="19"/>
      <c r="GW387" s="19"/>
      <c r="GX387" s="19"/>
      <c r="GY387" s="19"/>
      <c r="GZ387" s="19"/>
      <c r="HA387" s="19"/>
      <c r="HB387" s="19"/>
    </row>
    <row r="388" spans="1:210"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c r="FJ388" s="19"/>
      <c r="FK388" s="19"/>
      <c r="FL388" s="19"/>
      <c r="FM388" s="19"/>
      <c r="FN388" s="19"/>
      <c r="FO388" s="19"/>
      <c r="FP388" s="19"/>
      <c r="FQ388" s="19"/>
      <c r="FR388" s="19"/>
      <c r="FS388" s="19"/>
      <c r="FT388" s="19"/>
      <c r="FU388" s="19"/>
      <c r="FV388" s="19"/>
      <c r="FW388" s="19"/>
      <c r="FX388" s="19"/>
      <c r="FY388" s="19"/>
      <c r="FZ388" s="19"/>
      <c r="GA388" s="19"/>
      <c r="GB388" s="19"/>
      <c r="GC388" s="19"/>
      <c r="GD388" s="19"/>
      <c r="GE388" s="19"/>
      <c r="GF388" s="19"/>
      <c r="GG388" s="19"/>
      <c r="GH388" s="19"/>
      <c r="GI388" s="19"/>
      <c r="GJ388" s="19"/>
      <c r="GK388" s="19"/>
      <c r="GL388" s="19"/>
      <c r="GM388" s="19"/>
      <c r="GN388" s="19"/>
      <c r="GO388" s="19"/>
      <c r="GP388" s="19"/>
      <c r="GQ388" s="19"/>
      <c r="GR388" s="19"/>
      <c r="GS388" s="19"/>
      <c r="GT388" s="19"/>
      <c r="GU388" s="19"/>
      <c r="GV388" s="19"/>
      <c r="GW388" s="19"/>
      <c r="GX388" s="19"/>
      <c r="GY388" s="19"/>
      <c r="GZ388" s="19"/>
      <c r="HA388" s="19"/>
      <c r="HB388" s="19"/>
    </row>
    <row r="389" spans="1:210"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c r="FJ389" s="19"/>
      <c r="FK389" s="19"/>
      <c r="FL389" s="19"/>
      <c r="FM389" s="19"/>
      <c r="FN389" s="19"/>
      <c r="FO389" s="19"/>
      <c r="FP389" s="19"/>
      <c r="FQ389" s="19"/>
      <c r="FR389" s="19"/>
      <c r="FS389" s="19"/>
      <c r="FT389" s="19"/>
      <c r="FU389" s="19"/>
      <c r="FV389" s="19"/>
      <c r="FW389" s="19"/>
      <c r="FX389" s="19"/>
      <c r="FY389" s="19"/>
      <c r="FZ389" s="19"/>
      <c r="GA389" s="19"/>
      <c r="GB389" s="19"/>
      <c r="GC389" s="19"/>
      <c r="GD389" s="19"/>
      <c r="GE389" s="19"/>
      <c r="GF389" s="19"/>
      <c r="GG389" s="19"/>
      <c r="GH389" s="19"/>
      <c r="GI389" s="19"/>
      <c r="GJ389" s="19"/>
      <c r="GK389" s="19"/>
      <c r="GL389" s="19"/>
      <c r="GM389" s="19"/>
      <c r="GN389" s="19"/>
      <c r="GO389" s="19"/>
      <c r="GP389" s="19"/>
      <c r="GQ389" s="19"/>
      <c r="GR389" s="19"/>
      <c r="GS389" s="19"/>
      <c r="GT389" s="19"/>
      <c r="GU389" s="19"/>
      <c r="GV389" s="19"/>
      <c r="GW389" s="19"/>
      <c r="GX389" s="19"/>
      <c r="GY389" s="19"/>
      <c r="GZ389" s="19"/>
      <c r="HA389" s="19"/>
      <c r="HB389" s="19"/>
    </row>
    <row r="390" spans="1:210"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c r="FJ390" s="19"/>
      <c r="FK390" s="19"/>
      <c r="FL390" s="19"/>
      <c r="FM390" s="19"/>
      <c r="FN390" s="19"/>
      <c r="FO390" s="19"/>
      <c r="FP390" s="19"/>
      <c r="FQ390" s="19"/>
      <c r="FR390" s="19"/>
      <c r="FS390" s="19"/>
      <c r="FT390" s="19"/>
      <c r="FU390" s="19"/>
      <c r="FV390" s="19"/>
      <c r="FW390" s="19"/>
      <c r="FX390" s="19"/>
      <c r="FY390" s="19"/>
      <c r="FZ390" s="19"/>
      <c r="GA390" s="19"/>
      <c r="GB390" s="19"/>
      <c r="GC390" s="19"/>
      <c r="GD390" s="19"/>
      <c r="GE390" s="19"/>
      <c r="GF390" s="19"/>
      <c r="GG390" s="19"/>
      <c r="GH390" s="19"/>
      <c r="GI390" s="19"/>
      <c r="GJ390" s="19"/>
      <c r="GK390" s="19"/>
      <c r="GL390" s="19"/>
      <c r="GM390" s="19"/>
      <c r="GN390" s="19"/>
      <c r="GO390" s="19"/>
      <c r="GP390" s="19"/>
      <c r="GQ390" s="19"/>
      <c r="GR390" s="19"/>
      <c r="GS390" s="19"/>
      <c r="GT390" s="19"/>
      <c r="GU390" s="19"/>
      <c r="GV390" s="19"/>
      <c r="GW390" s="19"/>
      <c r="GX390" s="19"/>
      <c r="GY390" s="19"/>
      <c r="GZ390" s="19"/>
      <c r="HA390" s="19"/>
      <c r="HB390" s="19"/>
    </row>
    <row r="391" spans="1:210"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c r="FJ391" s="19"/>
      <c r="FK391" s="19"/>
      <c r="FL391" s="19"/>
      <c r="FM391" s="19"/>
      <c r="FN391" s="19"/>
      <c r="FO391" s="19"/>
      <c r="FP391" s="19"/>
      <c r="FQ391" s="19"/>
      <c r="FR391" s="19"/>
      <c r="FS391" s="19"/>
      <c r="FT391" s="19"/>
      <c r="FU391" s="19"/>
      <c r="FV391" s="19"/>
      <c r="FW391" s="19"/>
      <c r="FX391" s="19"/>
      <c r="FY391" s="19"/>
      <c r="FZ391" s="19"/>
      <c r="GA391" s="19"/>
      <c r="GB391" s="19"/>
      <c r="GC391" s="19"/>
      <c r="GD391" s="19"/>
      <c r="GE391" s="19"/>
      <c r="GF391" s="19"/>
      <c r="GG391" s="19"/>
      <c r="GH391" s="19"/>
      <c r="GI391" s="19"/>
      <c r="GJ391" s="19"/>
      <c r="GK391" s="19"/>
      <c r="GL391" s="19"/>
      <c r="GM391" s="19"/>
      <c r="GN391" s="19"/>
      <c r="GO391" s="19"/>
      <c r="GP391" s="19"/>
      <c r="GQ391" s="19"/>
      <c r="GR391" s="19"/>
      <c r="GS391" s="19"/>
      <c r="GT391" s="19"/>
      <c r="GU391" s="19"/>
      <c r="GV391" s="19"/>
      <c r="GW391" s="19"/>
      <c r="GX391" s="19"/>
      <c r="GY391" s="19"/>
      <c r="GZ391" s="19"/>
      <c r="HA391" s="19"/>
      <c r="HB391" s="19"/>
    </row>
    <row r="392" spans="1:210"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c r="FJ392" s="19"/>
      <c r="FK392" s="19"/>
      <c r="FL392" s="19"/>
      <c r="FM392" s="19"/>
      <c r="FN392" s="19"/>
      <c r="FO392" s="19"/>
      <c r="FP392" s="19"/>
      <c r="FQ392" s="19"/>
      <c r="FR392" s="19"/>
      <c r="FS392" s="19"/>
      <c r="FT392" s="19"/>
      <c r="FU392" s="19"/>
      <c r="FV392" s="19"/>
      <c r="FW392" s="19"/>
      <c r="FX392" s="19"/>
      <c r="FY392" s="19"/>
      <c r="FZ392" s="19"/>
      <c r="GA392" s="19"/>
      <c r="GB392" s="19"/>
      <c r="GC392" s="19"/>
      <c r="GD392" s="19"/>
      <c r="GE392" s="19"/>
      <c r="GF392" s="19"/>
      <c r="GG392" s="19"/>
      <c r="GH392" s="19"/>
      <c r="GI392" s="19"/>
      <c r="GJ392" s="19"/>
      <c r="GK392" s="19"/>
      <c r="GL392" s="19"/>
      <c r="GM392" s="19"/>
      <c r="GN392" s="19"/>
      <c r="GO392" s="19"/>
      <c r="GP392" s="19"/>
      <c r="GQ392" s="19"/>
      <c r="GR392" s="19"/>
      <c r="GS392" s="19"/>
      <c r="GT392" s="19"/>
      <c r="GU392" s="19"/>
      <c r="GV392" s="19"/>
      <c r="GW392" s="19"/>
      <c r="GX392" s="19"/>
      <c r="GY392" s="19"/>
      <c r="GZ392" s="19"/>
      <c r="HA392" s="19"/>
      <c r="HB392" s="19"/>
    </row>
    <row r="393" spans="1:210"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c r="FJ393" s="19"/>
      <c r="FK393" s="19"/>
      <c r="FL393" s="19"/>
      <c r="FM393" s="19"/>
      <c r="FN393" s="19"/>
      <c r="FO393" s="19"/>
      <c r="FP393" s="19"/>
      <c r="FQ393" s="19"/>
      <c r="FR393" s="19"/>
      <c r="FS393" s="19"/>
      <c r="FT393" s="19"/>
      <c r="FU393" s="19"/>
      <c r="FV393" s="19"/>
      <c r="FW393" s="19"/>
      <c r="FX393" s="19"/>
      <c r="FY393" s="19"/>
      <c r="FZ393" s="19"/>
      <c r="GA393" s="19"/>
      <c r="GB393" s="19"/>
      <c r="GC393" s="19"/>
      <c r="GD393" s="19"/>
      <c r="GE393" s="19"/>
      <c r="GF393" s="19"/>
      <c r="GG393" s="19"/>
      <c r="GH393" s="19"/>
      <c r="GI393" s="19"/>
      <c r="GJ393" s="19"/>
      <c r="GK393" s="19"/>
      <c r="GL393" s="19"/>
      <c r="GM393" s="19"/>
      <c r="GN393" s="19"/>
      <c r="GO393" s="19"/>
      <c r="GP393" s="19"/>
      <c r="GQ393" s="19"/>
      <c r="GR393" s="19"/>
      <c r="GS393" s="19"/>
      <c r="GT393" s="19"/>
      <c r="GU393" s="19"/>
      <c r="GV393" s="19"/>
      <c r="GW393" s="19"/>
      <c r="GX393" s="19"/>
      <c r="GY393" s="19"/>
      <c r="GZ393" s="19"/>
      <c r="HA393" s="19"/>
      <c r="HB393" s="19"/>
    </row>
    <row r="394" spans="1:210"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c r="FJ394" s="19"/>
      <c r="FK394" s="19"/>
      <c r="FL394" s="19"/>
      <c r="FM394" s="19"/>
      <c r="FN394" s="19"/>
      <c r="FO394" s="19"/>
      <c r="FP394" s="19"/>
      <c r="FQ394" s="19"/>
      <c r="FR394" s="19"/>
      <c r="FS394" s="19"/>
      <c r="FT394" s="19"/>
      <c r="FU394" s="19"/>
      <c r="FV394" s="19"/>
      <c r="FW394" s="19"/>
      <c r="FX394" s="19"/>
      <c r="FY394" s="19"/>
      <c r="FZ394" s="19"/>
      <c r="GA394" s="19"/>
      <c r="GB394" s="19"/>
      <c r="GC394" s="19"/>
      <c r="GD394" s="19"/>
      <c r="GE394" s="19"/>
      <c r="GF394" s="19"/>
      <c r="GG394" s="19"/>
      <c r="GH394" s="19"/>
      <c r="GI394" s="19"/>
      <c r="GJ394" s="19"/>
      <c r="GK394" s="19"/>
      <c r="GL394" s="19"/>
      <c r="GM394" s="19"/>
      <c r="GN394" s="19"/>
      <c r="GO394" s="19"/>
      <c r="GP394" s="19"/>
      <c r="GQ394" s="19"/>
      <c r="GR394" s="19"/>
      <c r="GS394" s="19"/>
      <c r="GT394" s="19"/>
      <c r="GU394" s="19"/>
      <c r="GV394" s="19"/>
      <c r="GW394" s="19"/>
      <c r="GX394" s="19"/>
      <c r="GY394" s="19"/>
      <c r="GZ394" s="19"/>
      <c r="HA394" s="19"/>
      <c r="HB394" s="19"/>
    </row>
    <row r="395" spans="1:210"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c r="FJ395" s="19"/>
      <c r="FK395" s="19"/>
      <c r="FL395" s="19"/>
      <c r="FM395" s="19"/>
      <c r="FN395" s="19"/>
      <c r="FO395" s="19"/>
      <c r="FP395" s="19"/>
      <c r="FQ395" s="19"/>
      <c r="FR395" s="19"/>
      <c r="FS395" s="19"/>
      <c r="FT395" s="19"/>
      <c r="FU395" s="19"/>
      <c r="FV395" s="19"/>
      <c r="FW395" s="19"/>
      <c r="FX395" s="19"/>
      <c r="FY395" s="19"/>
      <c r="FZ395" s="19"/>
      <c r="GA395" s="19"/>
      <c r="GB395" s="19"/>
      <c r="GC395" s="19"/>
      <c r="GD395" s="19"/>
      <c r="GE395" s="19"/>
      <c r="GF395" s="19"/>
      <c r="GG395" s="19"/>
      <c r="GH395" s="19"/>
      <c r="GI395" s="19"/>
      <c r="GJ395" s="19"/>
      <c r="GK395" s="19"/>
      <c r="GL395" s="19"/>
      <c r="GM395" s="19"/>
      <c r="GN395" s="19"/>
      <c r="GO395" s="19"/>
      <c r="GP395" s="19"/>
      <c r="GQ395" s="19"/>
      <c r="GR395" s="19"/>
      <c r="GS395" s="19"/>
      <c r="GT395" s="19"/>
      <c r="GU395" s="19"/>
      <c r="GV395" s="19"/>
      <c r="GW395" s="19"/>
      <c r="GX395" s="19"/>
      <c r="GY395" s="19"/>
      <c r="GZ395" s="19"/>
      <c r="HA395" s="19"/>
      <c r="HB395" s="19"/>
    </row>
    <row r="396" spans="1:210"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c r="FJ396" s="19"/>
      <c r="FK396" s="19"/>
      <c r="FL396" s="19"/>
      <c r="FM396" s="19"/>
      <c r="FN396" s="19"/>
      <c r="FO396" s="19"/>
      <c r="FP396" s="19"/>
      <c r="FQ396" s="19"/>
      <c r="FR396" s="19"/>
      <c r="FS396" s="19"/>
      <c r="FT396" s="19"/>
      <c r="FU396" s="19"/>
      <c r="FV396" s="19"/>
      <c r="FW396" s="19"/>
      <c r="FX396" s="19"/>
      <c r="FY396" s="19"/>
      <c r="FZ396" s="19"/>
      <c r="GA396" s="19"/>
      <c r="GB396" s="19"/>
      <c r="GC396" s="19"/>
      <c r="GD396" s="19"/>
      <c r="GE396" s="19"/>
      <c r="GF396" s="19"/>
      <c r="GG396" s="19"/>
      <c r="GH396" s="19"/>
      <c r="GI396" s="19"/>
      <c r="GJ396" s="19"/>
      <c r="GK396" s="19"/>
      <c r="GL396" s="19"/>
      <c r="GM396" s="19"/>
      <c r="GN396" s="19"/>
      <c r="GO396" s="19"/>
      <c r="GP396" s="19"/>
      <c r="GQ396" s="19"/>
      <c r="GR396" s="19"/>
      <c r="GS396" s="19"/>
      <c r="GT396" s="19"/>
      <c r="GU396" s="19"/>
      <c r="GV396" s="19"/>
      <c r="GW396" s="19"/>
      <c r="GX396" s="19"/>
      <c r="GY396" s="19"/>
      <c r="GZ396" s="19"/>
      <c r="HA396" s="19"/>
      <c r="HB396" s="19"/>
    </row>
    <row r="397" spans="1:210"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c r="FJ397" s="19"/>
      <c r="FK397" s="19"/>
      <c r="FL397" s="19"/>
      <c r="FM397" s="19"/>
      <c r="FN397" s="19"/>
      <c r="FO397" s="19"/>
      <c r="FP397" s="19"/>
      <c r="FQ397" s="19"/>
      <c r="FR397" s="19"/>
      <c r="FS397" s="19"/>
      <c r="FT397" s="19"/>
      <c r="FU397" s="19"/>
      <c r="FV397" s="19"/>
      <c r="FW397" s="19"/>
      <c r="FX397" s="19"/>
      <c r="FY397" s="19"/>
      <c r="FZ397" s="19"/>
      <c r="GA397" s="19"/>
      <c r="GB397" s="19"/>
      <c r="GC397" s="19"/>
      <c r="GD397" s="19"/>
      <c r="GE397" s="19"/>
      <c r="GF397" s="19"/>
      <c r="GG397" s="19"/>
      <c r="GH397" s="19"/>
      <c r="GI397" s="19"/>
      <c r="GJ397" s="19"/>
      <c r="GK397" s="19"/>
      <c r="GL397" s="19"/>
      <c r="GM397" s="19"/>
      <c r="GN397" s="19"/>
      <c r="GO397" s="19"/>
      <c r="GP397" s="19"/>
      <c r="GQ397" s="19"/>
      <c r="GR397" s="19"/>
      <c r="GS397" s="19"/>
      <c r="GT397" s="19"/>
      <c r="GU397" s="19"/>
      <c r="GV397" s="19"/>
      <c r="GW397" s="19"/>
      <c r="GX397" s="19"/>
      <c r="GY397" s="19"/>
      <c r="GZ397" s="19"/>
      <c r="HA397" s="19"/>
      <c r="HB397" s="19"/>
    </row>
    <row r="398" spans="1:210"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c r="FJ398" s="19"/>
      <c r="FK398" s="19"/>
      <c r="FL398" s="19"/>
      <c r="FM398" s="19"/>
      <c r="FN398" s="19"/>
      <c r="FO398" s="19"/>
      <c r="FP398" s="19"/>
      <c r="FQ398" s="19"/>
      <c r="FR398" s="19"/>
      <c r="FS398" s="19"/>
      <c r="FT398" s="19"/>
      <c r="FU398" s="19"/>
      <c r="FV398" s="19"/>
      <c r="FW398" s="19"/>
      <c r="FX398" s="19"/>
      <c r="FY398" s="19"/>
      <c r="FZ398" s="19"/>
      <c r="GA398" s="19"/>
      <c r="GB398" s="19"/>
      <c r="GC398" s="19"/>
      <c r="GD398" s="19"/>
      <c r="GE398" s="19"/>
      <c r="GF398" s="19"/>
      <c r="GG398" s="19"/>
      <c r="GH398" s="19"/>
      <c r="GI398" s="19"/>
      <c r="GJ398" s="19"/>
      <c r="GK398" s="19"/>
      <c r="GL398" s="19"/>
      <c r="GM398" s="19"/>
      <c r="GN398" s="19"/>
      <c r="GO398" s="19"/>
      <c r="GP398" s="19"/>
      <c r="GQ398" s="19"/>
      <c r="GR398" s="19"/>
      <c r="GS398" s="19"/>
      <c r="GT398" s="19"/>
      <c r="GU398" s="19"/>
      <c r="GV398" s="19"/>
      <c r="GW398" s="19"/>
      <c r="GX398" s="19"/>
      <c r="GY398" s="19"/>
      <c r="GZ398" s="19"/>
      <c r="HA398" s="19"/>
      <c r="HB398" s="19"/>
    </row>
    <row r="399" spans="1:210"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c r="FJ399" s="19"/>
      <c r="FK399" s="19"/>
      <c r="FL399" s="19"/>
      <c r="FM399" s="19"/>
      <c r="FN399" s="19"/>
      <c r="FO399" s="19"/>
      <c r="FP399" s="19"/>
      <c r="FQ399" s="19"/>
      <c r="FR399" s="19"/>
      <c r="FS399" s="19"/>
      <c r="FT399" s="19"/>
      <c r="FU399" s="19"/>
      <c r="FV399" s="19"/>
      <c r="FW399" s="19"/>
      <c r="FX399" s="19"/>
      <c r="FY399" s="19"/>
      <c r="FZ399" s="19"/>
      <c r="GA399" s="19"/>
      <c r="GB399" s="19"/>
      <c r="GC399" s="19"/>
      <c r="GD399" s="19"/>
      <c r="GE399" s="19"/>
      <c r="GF399" s="19"/>
      <c r="GG399" s="19"/>
      <c r="GH399" s="19"/>
      <c r="GI399" s="19"/>
      <c r="GJ399" s="19"/>
      <c r="GK399" s="19"/>
      <c r="GL399" s="19"/>
      <c r="GM399" s="19"/>
      <c r="GN399" s="19"/>
      <c r="GO399" s="19"/>
      <c r="GP399" s="19"/>
      <c r="GQ399" s="19"/>
      <c r="GR399" s="19"/>
      <c r="GS399" s="19"/>
      <c r="GT399" s="19"/>
      <c r="GU399" s="19"/>
      <c r="GV399" s="19"/>
      <c r="GW399" s="19"/>
      <c r="GX399" s="19"/>
      <c r="GY399" s="19"/>
      <c r="GZ399" s="19"/>
      <c r="HA399" s="19"/>
      <c r="HB399" s="19"/>
    </row>
    <row r="400" spans="1:210"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c r="FJ400" s="19"/>
      <c r="FK400" s="19"/>
      <c r="FL400" s="19"/>
      <c r="FM400" s="19"/>
      <c r="FN400" s="19"/>
      <c r="FO400" s="19"/>
      <c r="FP400" s="19"/>
      <c r="FQ400" s="19"/>
      <c r="FR400" s="19"/>
      <c r="FS400" s="19"/>
      <c r="FT400" s="19"/>
      <c r="FU400" s="19"/>
      <c r="FV400" s="19"/>
      <c r="FW400" s="19"/>
      <c r="FX400" s="19"/>
      <c r="FY400" s="19"/>
      <c r="FZ400" s="19"/>
      <c r="GA400" s="19"/>
      <c r="GB400" s="19"/>
      <c r="GC400" s="19"/>
      <c r="GD400" s="19"/>
      <c r="GE400" s="19"/>
      <c r="GF400" s="19"/>
      <c r="GG400" s="19"/>
      <c r="GH400" s="19"/>
      <c r="GI400" s="19"/>
      <c r="GJ400" s="19"/>
      <c r="GK400" s="19"/>
      <c r="GL400" s="19"/>
      <c r="GM400" s="19"/>
      <c r="GN400" s="19"/>
      <c r="GO400" s="19"/>
      <c r="GP400" s="19"/>
      <c r="GQ400" s="19"/>
      <c r="GR400" s="19"/>
      <c r="GS400" s="19"/>
      <c r="GT400" s="19"/>
      <c r="GU400" s="19"/>
      <c r="GV400" s="19"/>
      <c r="GW400" s="19"/>
      <c r="GX400" s="19"/>
      <c r="GY400" s="19"/>
      <c r="GZ400" s="19"/>
      <c r="HA400" s="19"/>
      <c r="HB400" s="19"/>
    </row>
    <row r="401" spans="1:210"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c r="FJ401" s="19"/>
      <c r="FK401" s="19"/>
      <c r="FL401" s="19"/>
      <c r="FM401" s="19"/>
      <c r="FN401" s="19"/>
      <c r="FO401" s="19"/>
      <c r="FP401" s="19"/>
      <c r="FQ401" s="19"/>
      <c r="FR401" s="19"/>
      <c r="FS401" s="19"/>
      <c r="FT401" s="19"/>
      <c r="FU401" s="19"/>
      <c r="FV401" s="19"/>
      <c r="FW401" s="19"/>
      <c r="FX401" s="19"/>
      <c r="FY401" s="19"/>
      <c r="FZ401" s="19"/>
      <c r="GA401" s="19"/>
      <c r="GB401" s="19"/>
      <c r="GC401" s="19"/>
      <c r="GD401" s="19"/>
      <c r="GE401" s="19"/>
      <c r="GF401" s="19"/>
      <c r="GG401" s="19"/>
      <c r="GH401" s="19"/>
      <c r="GI401" s="19"/>
      <c r="GJ401" s="19"/>
      <c r="GK401" s="19"/>
      <c r="GL401" s="19"/>
      <c r="GM401" s="19"/>
      <c r="GN401" s="19"/>
      <c r="GO401" s="19"/>
      <c r="GP401" s="19"/>
      <c r="GQ401" s="19"/>
      <c r="GR401" s="19"/>
      <c r="GS401" s="19"/>
      <c r="GT401" s="19"/>
      <c r="GU401" s="19"/>
      <c r="GV401" s="19"/>
      <c r="GW401" s="19"/>
      <c r="GX401" s="19"/>
      <c r="GY401" s="19"/>
      <c r="GZ401" s="19"/>
      <c r="HA401" s="19"/>
      <c r="HB401" s="19"/>
    </row>
    <row r="402" spans="1:210"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c r="FJ402" s="19"/>
      <c r="FK402" s="19"/>
      <c r="FL402" s="19"/>
      <c r="FM402" s="19"/>
      <c r="FN402" s="19"/>
      <c r="FO402" s="19"/>
      <c r="FP402" s="19"/>
      <c r="FQ402" s="19"/>
      <c r="FR402" s="19"/>
      <c r="FS402" s="19"/>
      <c r="FT402" s="19"/>
      <c r="FU402" s="19"/>
      <c r="FV402" s="19"/>
      <c r="FW402" s="19"/>
      <c r="FX402" s="19"/>
      <c r="FY402" s="19"/>
      <c r="FZ402" s="19"/>
      <c r="GA402" s="19"/>
      <c r="GB402" s="19"/>
      <c r="GC402" s="19"/>
      <c r="GD402" s="19"/>
      <c r="GE402" s="19"/>
      <c r="GF402" s="19"/>
      <c r="GG402" s="19"/>
      <c r="GH402" s="19"/>
      <c r="GI402" s="19"/>
      <c r="GJ402" s="19"/>
      <c r="GK402" s="19"/>
      <c r="GL402" s="19"/>
      <c r="GM402" s="19"/>
      <c r="GN402" s="19"/>
      <c r="GO402" s="19"/>
      <c r="GP402" s="19"/>
      <c r="GQ402" s="19"/>
      <c r="GR402" s="19"/>
      <c r="GS402" s="19"/>
      <c r="GT402" s="19"/>
      <c r="GU402" s="19"/>
      <c r="GV402" s="19"/>
      <c r="GW402" s="19"/>
      <c r="GX402" s="19"/>
      <c r="GY402" s="19"/>
      <c r="GZ402" s="19"/>
      <c r="HA402" s="19"/>
      <c r="HB402" s="19"/>
    </row>
    <row r="403" spans="1:210"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c r="FJ403" s="19"/>
      <c r="FK403" s="19"/>
      <c r="FL403" s="19"/>
      <c r="FM403" s="19"/>
      <c r="FN403" s="19"/>
      <c r="FO403" s="19"/>
      <c r="FP403" s="19"/>
      <c r="FQ403" s="19"/>
      <c r="FR403" s="19"/>
      <c r="FS403" s="19"/>
      <c r="FT403" s="19"/>
      <c r="FU403" s="19"/>
      <c r="FV403" s="19"/>
      <c r="FW403" s="19"/>
      <c r="FX403" s="19"/>
      <c r="FY403" s="19"/>
      <c r="FZ403" s="19"/>
      <c r="GA403" s="19"/>
      <c r="GB403" s="19"/>
      <c r="GC403" s="19"/>
      <c r="GD403" s="19"/>
      <c r="GE403" s="19"/>
      <c r="GF403" s="19"/>
      <c r="GG403" s="19"/>
      <c r="GH403" s="19"/>
      <c r="GI403" s="19"/>
      <c r="GJ403" s="19"/>
      <c r="GK403" s="19"/>
      <c r="GL403" s="19"/>
      <c r="GM403" s="19"/>
      <c r="GN403" s="19"/>
      <c r="GO403" s="19"/>
      <c r="GP403" s="19"/>
      <c r="GQ403" s="19"/>
      <c r="GR403" s="19"/>
      <c r="GS403" s="19"/>
      <c r="GT403" s="19"/>
      <c r="GU403" s="19"/>
      <c r="GV403" s="19"/>
      <c r="GW403" s="19"/>
      <c r="GX403" s="19"/>
      <c r="GY403" s="19"/>
      <c r="GZ403" s="19"/>
      <c r="HA403" s="19"/>
      <c r="HB403" s="19"/>
    </row>
    <row r="404" spans="1:210"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c r="FJ404" s="19"/>
      <c r="FK404" s="19"/>
      <c r="FL404" s="19"/>
      <c r="FM404" s="19"/>
      <c r="FN404" s="19"/>
      <c r="FO404" s="19"/>
      <c r="FP404" s="19"/>
      <c r="FQ404" s="19"/>
      <c r="FR404" s="19"/>
      <c r="FS404" s="19"/>
      <c r="FT404" s="19"/>
      <c r="FU404" s="19"/>
      <c r="FV404" s="19"/>
      <c r="FW404" s="19"/>
      <c r="FX404" s="19"/>
      <c r="FY404" s="19"/>
      <c r="FZ404" s="19"/>
      <c r="GA404" s="19"/>
      <c r="GB404" s="19"/>
      <c r="GC404" s="19"/>
      <c r="GD404" s="19"/>
      <c r="GE404" s="19"/>
      <c r="GF404" s="19"/>
      <c r="GG404" s="19"/>
      <c r="GH404" s="19"/>
      <c r="GI404" s="19"/>
      <c r="GJ404" s="19"/>
      <c r="GK404" s="19"/>
      <c r="GL404" s="19"/>
      <c r="GM404" s="19"/>
      <c r="GN404" s="19"/>
      <c r="GO404" s="19"/>
      <c r="GP404" s="19"/>
      <c r="GQ404" s="19"/>
      <c r="GR404" s="19"/>
      <c r="GS404" s="19"/>
      <c r="GT404" s="19"/>
      <c r="GU404" s="19"/>
      <c r="GV404" s="19"/>
      <c r="GW404" s="19"/>
      <c r="GX404" s="19"/>
      <c r="GY404" s="19"/>
      <c r="GZ404" s="19"/>
      <c r="HA404" s="19"/>
      <c r="HB404" s="19"/>
    </row>
    <row r="405" spans="1:210"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c r="FJ405" s="19"/>
      <c r="FK405" s="19"/>
      <c r="FL405" s="19"/>
      <c r="FM405" s="19"/>
      <c r="FN405" s="19"/>
      <c r="FO405" s="19"/>
      <c r="FP405" s="19"/>
      <c r="FQ405" s="19"/>
      <c r="FR405" s="19"/>
      <c r="FS405" s="19"/>
      <c r="FT405" s="19"/>
      <c r="FU405" s="19"/>
      <c r="FV405" s="19"/>
      <c r="FW405" s="19"/>
      <c r="FX405" s="19"/>
      <c r="FY405" s="19"/>
      <c r="FZ405" s="19"/>
      <c r="GA405" s="19"/>
      <c r="GB405" s="19"/>
      <c r="GC405" s="19"/>
      <c r="GD405" s="19"/>
      <c r="GE405" s="19"/>
      <c r="GF405" s="19"/>
      <c r="GG405" s="19"/>
      <c r="GH405" s="19"/>
      <c r="GI405" s="19"/>
      <c r="GJ405" s="19"/>
      <c r="GK405" s="19"/>
      <c r="GL405" s="19"/>
      <c r="GM405" s="19"/>
      <c r="GN405" s="19"/>
      <c r="GO405" s="19"/>
      <c r="GP405" s="19"/>
      <c r="GQ405" s="19"/>
      <c r="GR405" s="19"/>
      <c r="GS405" s="19"/>
      <c r="GT405" s="19"/>
      <c r="GU405" s="19"/>
      <c r="GV405" s="19"/>
      <c r="GW405" s="19"/>
      <c r="GX405" s="19"/>
      <c r="GY405" s="19"/>
      <c r="GZ405" s="19"/>
      <c r="HA405" s="19"/>
      <c r="HB405" s="19"/>
    </row>
    <row r="406" spans="1:210"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c r="FJ406" s="19"/>
      <c r="FK406" s="19"/>
      <c r="FL406" s="19"/>
      <c r="FM406" s="19"/>
      <c r="FN406" s="19"/>
      <c r="FO406" s="19"/>
      <c r="FP406" s="19"/>
      <c r="FQ406" s="19"/>
      <c r="FR406" s="19"/>
      <c r="FS406" s="19"/>
      <c r="FT406" s="19"/>
      <c r="FU406" s="19"/>
      <c r="FV406" s="19"/>
      <c r="FW406" s="19"/>
      <c r="FX406" s="19"/>
      <c r="FY406" s="19"/>
      <c r="FZ406" s="19"/>
      <c r="GA406" s="19"/>
      <c r="GB406" s="19"/>
      <c r="GC406" s="19"/>
      <c r="GD406" s="19"/>
      <c r="GE406" s="19"/>
      <c r="GF406" s="19"/>
      <c r="GG406" s="19"/>
      <c r="GH406" s="19"/>
      <c r="GI406" s="19"/>
      <c r="GJ406" s="19"/>
      <c r="GK406" s="19"/>
      <c r="GL406" s="19"/>
      <c r="GM406" s="19"/>
      <c r="GN406" s="19"/>
      <c r="GO406" s="19"/>
      <c r="GP406" s="19"/>
      <c r="GQ406" s="19"/>
      <c r="GR406" s="19"/>
      <c r="GS406" s="19"/>
      <c r="GT406" s="19"/>
      <c r="GU406" s="19"/>
      <c r="GV406" s="19"/>
      <c r="GW406" s="19"/>
      <c r="GX406" s="19"/>
      <c r="GY406" s="19"/>
      <c r="GZ406" s="19"/>
      <c r="HA406" s="19"/>
      <c r="HB406" s="19"/>
    </row>
    <row r="407" spans="1:210"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c r="FJ407" s="19"/>
      <c r="FK407" s="19"/>
      <c r="FL407" s="19"/>
      <c r="FM407" s="19"/>
      <c r="FN407" s="19"/>
      <c r="FO407" s="19"/>
      <c r="FP407" s="19"/>
      <c r="FQ407" s="19"/>
      <c r="FR407" s="19"/>
      <c r="FS407" s="19"/>
      <c r="FT407" s="19"/>
      <c r="FU407" s="19"/>
      <c r="FV407" s="19"/>
      <c r="FW407" s="19"/>
      <c r="FX407" s="19"/>
      <c r="FY407" s="19"/>
      <c r="FZ407" s="19"/>
      <c r="GA407" s="19"/>
      <c r="GB407" s="19"/>
      <c r="GC407" s="19"/>
      <c r="GD407" s="19"/>
      <c r="GE407" s="19"/>
      <c r="GF407" s="19"/>
      <c r="GG407" s="19"/>
      <c r="GH407" s="19"/>
      <c r="GI407" s="19"/>
      <c r="GJ407" s="19"/>
      <c r="GK407" s="19"/>
      <c r="GL407" s="19"/>
      <c r="GM407" s="19"/>
      <c r="GN407" s="19"/>
      <c r="GO407" s="19"/>
      <c r="GP407" s="19"/>
      <c r="GQ407" s="19"/>
      <c r="GR407" s="19"/>
      <c r="GS407" s="19"/>
      <c r="GT407" s="19"/>
      <c r="GU407" s="19"/>
      <c r="GV407" s="19"/>
      <c r="GW407" s="19"/>
      <c r="GX407" s="19"/>
      <c r="GY407" s="19"/>
      <c r="GZ407" s="19"/>
      <c r="HA407" s="19"/>
      <c r="HB407" s="19"/>
    </row>
    <row r="408" spans="1:210"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c r="FJ408" s="19"/>
      <c r="FK408" s="19"/>
      <c r="FL408" s="19"/>
      <c r="FM408" s="19"/>
      <c r="FN408" s="19"/>
      <c r="FO408" s="19"/>
      <c r="FP408" s="19"/>
      <c r="FQ408" s="19"/>
      <c r="FR408" s="19"/>
      <c r="FS408" s="19"/>
      <c r="FT408" s="19"/>
      <c r="FU408" s="19"/>
      <c r="FV408" s="19"/>
      <c r="FW408" s="19"/>
      <c r="FX408" s="19"/>
      <c r="FY408" s="19"/>
      <c r="FZ408" s="19"/>
      <c r="GA408" s="19"/>
      <c r="GB408" s="19"/>
      <c r="GC408" s="19"/>
      <c r="GD408" s="19"/>
      <c r="GE408" s="19"/>
      <c r="GF408" s="19"/>
      <c r="GG408" s="19"/>
      <c r="GH408" s="19"/>
      <c r="GI408" s="19"/>
      <c r="GJ408" s="19"/>
      <c r="GK408" s="19"/>
      <c r="GL408" s="19"/>
      <c r="GM408" s="19"/>
      <c r="GN408" s="19"/>
      <c r="GO408" s="19"/>
      <c r="GP408" s="19"/>
      <c r="GQ408" s="19"/>
      <c r="GR408" s="19"/>
      <c r="GS408" s="19"/>
      <c r="GT408" s="19"/>
      <c r="GU408" s="19"/>
      <c r="GV408" s="19"/>
      <c r="GW408" s="19"/>
      <c r="GX408" s="19"/>
      <c r="GY408" s="19"/>
      <c r="GZ408" s="19"/>
      <c r="HA408" s="19"/>
      <c r="HB408" s="19"/>
    </row>
    <row r="409" spans="1:210"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c r="FJ409" s="19"/>
      <c r="FK409" s="19"/>
      <c r="FL409" s="19"/>
      <c r="FM409" s="19"/>
      <c r="FN409" s="19"/>
      <c r="FO409" s="19"/>
      <c r="FP409" s="19"/>
      <c r="FQ409" s="19"/>
      <c r="FR409" s="19"/>
      <c r="FS409" s="19"/>
      <c r="FT409" s="19"/>
      <c r="FU409" s="19"/>
      <c r="FV409" s="19"/>
      <c r="FW409" s="19"/>
      <c r="FX409" s="19"/>
      <c r="FY409" s="19"/>
      <c r="FZ409" s="19"/>
      <c r="GA409" s="19"/>
      <c r="GB409" s="19"/>
      <c r="GC409" s="19"/>
      <c r="GD409" s="19"/>
      <c r="GE409" s="19"/>
      <c r="GF409" s="19"/>
      <c r="GG409" s="19"/>
      <c r="GH409" s="19"/>
      <c r="GI409" s="19"/>
      <c r="GJ409" s="19"/>
      <c r="GK409" s="19"/>
      <c r="GL409" s="19"/>
      <c r="GM409" s="19"/>
      <c r="GN409" s="19"/>
      <c r="GO409" s="19"/>
      <c r="GP409" s="19"/>
      <c r="GQ409" s="19"/>
      <c r="GR409" s="19"/>
      <c r="GS409" s="19"/>
      <c r="GT409" s="19"/>
      <c r="GU409" s="19"/>
      <c r="GV409" s="19"/>
      <c r="GW409" s="19"/>
      <c r="GX409" s="19"/>
      <c r="GY409" s="19"/>
      <c r="GZ409" s="19"/>
      <c r="HA409" s="19"/>
      <c r="HB409" s="19"/>
    </row>
    <row r="410" spans="1:210"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c r="FJ410" s="19"/>
      <c r="FK410" s="19"/>
      <c r="FL410" s="19"/>
      <c r="FM410" s="19"/>
      <c r="FN410" s="19"/>
      <c r="FO410" s="19"/>
      <c r="FP410" s="19"/>
      <c r="FQ410" s="19"/>
      <c r="FR410" s="19"/>
      <c r="FS410" s="19"/>
      <c r="FT410" s="19"/>
      <c r="FU410" s="19"/>
      <c r="FV410" s="19"/>
      <c r="FW410" s="19"/>
      <c r="FX410" s="19"/>
      <c r="FY410" s="19"/>
      <c r="FZ410" s="19"/>
      <c r="GA410" s="19"/>
      <c r="GB410" s="19"/>
      <c r="GC410" s="19"/>
      <c r="GD410" s="19"/>
      <c r="GE410" s="19"/>
      <c r="GF410" s="19"/>
      <c r="GG410" s="19"/>
      <c r="GH410" s="19"/>
      <c r="GI410" s="19"/>
      <c r="GJ410" s="19"/>
      <c r="GK410" s="19"/>
      <c r="GL410" s="19"/>
      <c r="GM410" s="19"/>
      <c r="GN410" s="19"/>
      <c r="GO410" s="19"/>
      <c r="GP410" s="19"/>
      <c r="GQ410" s="19"/>
      <c r="GR410" s="19"/>
      <c r="GS410" s="19"/>
      <c r="GT410" s="19"/>
      <c r="GU410" s="19"/>
      <c r="GV410" s="19"/>
      <c r="GW410" s="19"/>
      <c r="GX410" s="19"/>
      <c r="GY410" s="19"/>
      <c r="GZ410" s="19"/>
      <c r="HA410" s="19"/>
      <c r="HB410" s="19"/>
    </row>
    <row r="411" spans="1:210"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c r="FJ411" s="19"/>
      <c r="FK411" s="19"/>
      <c r="FL411" s="19"/>
      <c r="FM411" s="19"/>
      <c r="FN411" s="19"/>
      <c r="FO411" s="19"/>
      <c r="FP411" s="19"/>
      <c r="FQ411" s="19"/>
      <c r="FR411" s="19"/>
      <c r="FS411" s="19"/>
      <c r="FT411" s="19"/>
      <c r="FU411" s="19"/>
      <c r="FV411" s="19"/>
      <c r="FW411" s="19"/>
      <c r="FX411" s="19"/>
      <c r="FY411" s="19"/>
      <c r="FZ411" s="19"/>
      <c r="GA411" s="19"/>
      <c r="GB411" s="19"/>
      <c r="GC411" s="19"/>
      <c r="GD411" s="19"/>
      <c r="GE411" s="19"/>
      <c r="GF411" s="19"/>
      <c r="GG411" s="19"/>
      <c r="GH411" s="19"/>
      <c r="GI411" s="19"/>
      <c r="GJ411" s="19"/>
      <c r="GK411" s="19"/>
      <c r="GL411" s="19"/>
      <c r="GM411" s="19"/>
      <c r="GN411" s="19"/>
      <c r="GO411" s="19"/>
      <c r="GP411" s="19"/>
      <c r="GQ411" s="19"/>
      <c r="GR411" s="19"/>
      <c r="GS411" s="19"/>
      <c r="GT411" s="19"/>
      <c r="GU411" s="19"/>
      <c r="GV411" s="19"/>
      <c r="GW411" s="19"/>
      <c r="GX411" s="19"/>
      <c r="GY411" s="19"/>
      <c r="GZ411" s="19"/>
      <c r="HA411" s="19"/>
      <c r="HB411" s="19"/>
    </row>
    <row r="412" spans="1:210"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c r="FJ412" s="19"/>
      <c r="FK412" s="19"/>
      <c r="FL412" s="19"/>
      <c r="FM412" s="19"/>
      <c r="FN412" s="19"/>
      <c r="FO412" s="19"/>
      <c r="FP412" s="19"/>
      <c r="FQ412" s="19"/>
      <c r="FR412" s="19"/>
      <c r="FS412" s="19"/>
      <c r="FT412" s="19"/>
      <c r="FU412" s="19"/>
      <c r="FV412" s="19"/>
      <c r="FW412" s="19"/>
      <c r="FX412" s="19"/>
      <c r="FY412" s="19"/>
      <c r="FZ412" s="19"/>
      <c r="GA412" s="19"/>
      <c r="GB412" s="19"/>
      <c r="GC412" s="19"/>
      <c r="GD412" s="19"/>
      <c r="GE412" s="19"/>
      <c r="GF412" s="19"/>
      <c r="GG412" s="19"/>
      <c r="GH412" s="19"/>
      <c r="GI412" s="19"/>
      <c r="GJ412" s="19"/>
      <c r="GK412" s="19"/>
      <c r="GL412" s="19"/>
      <c r="GM412" s="19"/>
      <c r="GN412" s="19"/>
      <c r="GO412" s="19"/>
      <c r="GP412" s="19"/>
      <c r="GQ412" s="19"/>
      <c r="GR412" s="19"/>
      <c r="GS412" s="19"/>
      <c r="GT412" s="19"/>
      <c r="GU412" s="19"/>
      <c r="GV412" s="19"/>
      <c r="GW412" s="19"/>
      <c r="GX412" s="19"/>
      <c r="GY412" s="19"/>
      <c r="GZ412" s="19"/>
      <c r="HA412" s="19"/>
      <c r="HB412" s="19"/>
    </row>
    <row r="413" spans="1:210"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c r="FJ413" s="19"/>
      <c r="FK413" s="19"/>
      <c r="FL413" s="19"/>
      <c r="FM413" s="19"/>
      <c r="FN413" s="19"/>
      <c r="FO413" s="19"/>
      <c r="FP413" s="19"/>
      <c r="FQ413" s="19"/>
      <c r="FR413" s="19"/>
      <c r="FS413" s="19"/>
      <c r="FT413" s="19"/>
      <c r="FU413" s="19"/>
      <c r="FV413" s="19"/>
      <c r="FW413" s="19"/>
      <c r="FX413" s="19"/>
      <c r="FY413" s="19"/>
      <c r="FZ413" s="19"/>
      <c r="GA413" s="19"/>
      <c r="GB413" s="19"/>
      <c r="GC413" s="19"/>
      <c r="GD413" s="19"/>
      <c r="GE413" s="19"/>
      <c r="GF413" s="19"/>
      <c r="GG413" s="19"/>
      <c r="GH413" s="19"/>
      <c r="GI413" s="19"/>
      <c r="GJ413" s="19"/>
      <c r="GK413" s="19"/>
      <c r="GL413" s="19"/>
      <c r="GM413" s="19"/>
      <c r="GN413" s="19"/>
      <c r="GO413" s="19"/>
      <c r="GP413" s="19"/>
      <c r="GQ413" s="19"/>
      <c r="GR413" s="19"/>
      <c r="GS413" s="19"/>
      <c r="GT413" s="19"/>
      <c r="GU413" s="19"/>
      <c r="GV413" s="19"/>
      <c r="GW413" s="19"/>
      <c r="GX413" s="19"/>
      <c r="GY413" s="19"/>
      <c r="GZ413" s="19"/>
      <c r="HA413" s="19"/>
      <c r="HB413" s="19"/>
    </row>
    <row r="414" spans="1:210"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c r="FJ414" s="19"/>
      <c r="FK414" s="19"/>
      <c r="FL414" s="19"/>
      <c r="FM414" s="19"/>
      <c r="FN414" s="19"/>
      <c r="FO414" s="19"/>
      <c r="FP414" s="19"/>
      <c r="FQ414" s="19"/>
      <c r="FR414" s="19"/>
      <c r="FS414" s="19"/>
      <c r="FT414" s="19"/>
      <c r="FU414" s="19"/>
      <c r="FV414" s="19"/>
      <c r="FW414" s="19"/>
      <c r="FX414" s="19"/>
      <c r="FY414" s="19"/>
      <c r="FZ414" s="19"/>
      <c r="GA414" s="19"/>
      <c r="GB414" s="19"/>
      <c r="GC414" s="19"/>
      <c r="GD414" s="19"/>
      <c r="GE414" s="19"/>
      <c r="GF414" s="19"/>
      <c r="GG414" s="19"/>
      <c r="GH414" s="19"/>
      <c r="GI414" s="19"/>
      <c r="GJ414" s="19"/>
      <c r="GK414" s="19"/>
      <c r="GL414" s="19"/>
      <c r="GM414" s="19"/>
      <c r="GN414" s="19"/>
      <c r="GO414" s="19"/>
      <c r="GP414" s="19"/>
      <c r="GQ414" s="19"/>
      <c r="GR414" s="19"/>
      <c r="GS414" s="19"/>
      <c r="GT414" s="19"/>
      <c r="GU414" s="19"/>
      <c r="GV414" s="19"/>
      <c r="GW414" s="19"/>
      <c r="GX414" s="19"/>
      <c r="GY414" s="19"/>
      <c r="GZ414" s="19"/>
      <c r="HA414" s="19"/>
      <c r="HB414" s="19"/>
    </row>
    <row r="415" spans="1:210"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c r="FJ415" s="19"/>
      <c r="FK415" s="19"/>
      <c r="FL415" s="19"/>
      <c r="FM415" s="19"/>
      <c r="FN415" s="19"/>
      <c r="FO415" s="19"/>
      <c r="FP415" s="19"/>
      <c r="FQ415" s="19"/>
      <c r="FR415" s="19"/>
      <c r="FS415" s="19"/>
      <c r="FT415" s="19"/>
      <c r="FU415" s="19"/>
      <c r="FV415" s="19"/>
      <c r="FW415" s="19"/>
      <c r="FX415" s="19"/>
      <c r="FY415" s="19"/>
      <c r="FZ415" s="19"/>
      <c r="GA415" s="19"/>
      <c r="GB415" s="19"/>
      <c r="GC415" s="19"/>
      <c r="GD415" s="19"/>
      <c r="GE415" s="19"/>
      <c r="GF415" s="19"/>
      <c r="GG415" s="19"/>
      <c r="GH415" s="19"/>
      <c r="GI415" s="19"/>
      <c r="GJ415" s="19"/>
      <c r="GK415" s="19"/>
      <c r="GL415" s="19"/>
      <c r="GM415" s="19"/>
      <c r="GN415" s="19"/>
      <c r="GO415" s="19"/>
      <c r="GP415" s="19"/>
      <c r="GQ415" s="19"/>
      <c r="GR415" s="19"/>
      <c r="GS415" s="19"/>
      <c r="GT415" s="19"/>
      <c r="GU415" s="19"/>
      <c r="GV415" s="19"/>
      <c r="GW415" s="19"/>
      <c r="GX415" s="19"/>
      <c r="GY415" s="19"/>
      <c r="GZ415" s="19"/>
      <c r="HA415" s="19"/>
      <c r="HB415" s="19"/>
    </row>
    <row r="416" spans="1:210"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c r="FJ416" s="19"/>
      <c r="FK416" s="19"/>
      <c r="FL416" s="19"/>
      <c r="FM416" s="19"/>
      <c r="FN416" s="19"/>
      <c r="FO416" s="19"/>
      <c r="FP416" s="19"/>
      <c r="FQ416" s="19"/>
      <c r="FR416" s="19"/>
      <c r="FS416" s="19"/>
      <c r="FT416" s="19"/>
      <c r="FU416" s="19"/>
      <c r="FV416" s="19"/>
      <c r="FW416" s="19"/>
      <c r="FX416" s="19"/>
      <c r="FY416" s="19"/>
      <c r="FZ416" s="19"/>
      <c r="GA416" s="19"/>
      <c r="GB416" s="19"/>
      <c r="GC416" s="19"/>
      <c r="GD416" s="19"/>
      <c r="GE416" s="19"/>
      <c r="GF416" s="19"/>
      <c r="GG416" s="19"/>
      <c r="GH416" s="19"/>
      <c r="GI416" s="19"/>
      <c r="GJ416" s="19"/>
      <c r="GK416" s="19"/>
      <c r="GL416" s="19"/>
      <c r="GM416" s="19"/>
      <c r="GN416" s="19"/>
      <c r="GO416" s="19"/>
      <c r="GP416" s="19"/>
      <c r="GQ416" s="19"/>
      <c r="GR416" s="19"/>
      <c r="GS416" s="19"/>
      <c r="GT416" s="19"/>
      <c r="GU416" s="19"/>
      <c r="GV416" s="19"/>
      <c r="GW416" s="19"/>
      <c r="GX416" s="19"/>
      <c r="GY416" s="19"/>
      <c r="GZ416" s="19"/>
      <c r="HA416" s="19"/>
      <c r="HB416" s="19"/>
    </row>
    <row r="417" spans="1:210"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c r="FJ417" s="19"/>
      <c r="FK417" s="19"/>
      <c r="FL417" s="19"/>
      <c r="FM417" s="19"/>
      <c r="FN417" s="19"/>
      <c r="FO417" s="19"/>
      <c r="FP417" s="19"/>
      <c r="FQ417" s="19"/>
      <c r="FR417" s="19"/>
      <c r="FS417" s="19"/>
      <c r="FT417" s="19"/>
      <c r="FU417" s="19"/>
      <c r="FV417" s="19"/>
      <c r="FW417" s="19"/>
      <c r="FX417" s="19"/>
      <c r="FY417" s="19"/>
      <c r="FZ417" s="19"/>
      <c r="GA417" s="19"/>
      <c r="GB417" s="19"/>
      <c r="GC417" s="19"/>
      <c r="GD417" s="19"/>
      <c r="GE417" s="19"/>
      <c r="GF417" s="19"/>
      <c r="GG417" s="19"/>
      <c r="GH417" s="19"/>
      <c r="GI417" s="19"/>
      <c r="GJ417" s="19"/>
      <c r="GK417" s="19"/>
      <c r="GL417" s="19"/>
      <c r="GM417" s="19"/>
      <c r="GN417" s="19"/>
      <c r="GO417" s="19"/>
      <c r="GP417" s="19"/>
      <c r="GQ417" s="19"/>
      <c r="GR417" s="19"/>
      <c r="GS417" s="19"/>
      <c r="GT417" s="19"/>
      <c r="GU417" s="19"/>
      <c r="GV417" s="19"/>
      <c r="GW417" s="19"/>
      <c r="GX417" s="19"/>
      <c r="GY417" s="19"/>
      <c r="GZ417" s="19"/>
      <c r="HA417" s="19"/>
      <c r="HB417" s="19"/>
    </row>
    <row r="418" spans="1:210"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c r="FJ418" s="19"/>
      <c r="FK418" s="19"/>
      <c r="FL418" s="19"/>
      <c r="FM418" s="19"/>
      <c r="FN418" s="19"/>
      <c r="FO418" s="19"/>
      <c r="FP418" s="19"/>
      <c r="FQ418" s="19"/>
      <c r="FR418" s="19"/>
      <c r="FS418" s="19"/>
      <c r="FT418" s="19"/>
      <c r="FU418" s="19"/>
      <c r="FV418" s="19"/>
      <c r="FW418" s="19"/>
      <c r="FX418" s="19"/>
      <c r="FY418" s="19"/>
      <c r="FZ418" s="19"/>
      <c r="GA418" s="19"/>
      <c r="GB418" s="19"/>
      <c r="GC418" s="19"/>
      <c r="GD418" s="19"/>
      <c r="GE418" s="19"/>
      <c r="GF418" s="19"/>
      <c r="GG418" s="19"/>
      <c r="GH418" s="19"/>
      <c r="GI418" s="19"/>
      <c r="GJ418" s="19"/>
      <c r="GK418" s="19"/>
      <c r="GL418" s="19"/>
      <c r="GM418" s="19"/>
      <c r="GN418" s="19"/>
      <c r="GO418" s="19"/>
      <c r="GP418" s="19"/>
      <c r="GQ418" s="19"/>
      <c r="GR418" s="19"/>
      <c r="GS418" s="19"/>
      <c r="GT418" s="19"/>
      <c r="GU418" s="19"/>
      <c r="GV418" s="19"/>
      <c r="GW418" s="19"/>
      <c r="GX418" s="19"/>
      <c r="GY418" s="19"/>
      <c r="GZ418" s="19"/>
      <c r="HA418" s="19"/>
      <c r="HB418" s="19"/>
    </row>
    <row r="419" spans="1:210"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c r="FJ419" s="19"/>
      <c r="FK419" s="19"/>
      <c r="FL419" s="19"/>
      <c r="FM419" s="19"/>
      <c r="FN419" s="19"/>
      <c r="FO419" s="19"/>
      <c r="FP419" s="19"/>
      <c r="FQ419" s="19"/>
      <c r="FR419" s="19"/>
      <c r="FS419" s="19"/>
      <c r="FT419" s="19"/>
      <c r="FU419" s="19"/>
      <c r="FV419" s="19"/>
      <c r="FW419" s="19"/>
      <c r="FX419" s="19"/>
      <c r="FY419" s="19"/>
      <c r="FZ419" s="19"/>
      <c r="GA419" s="19"/>
      <c r="GB419" s="19"/>
      <c r="GC419" s="19"/>
      <c r="GD419" s="19"/>
      <c r="GE419" s="19"/>
      <c r="GF419" s="19"/>
      <c r="GG419" s="19"/>
      <c r="GH419" s="19"/>
      <c r="GI419" s="19"/>
      <c r="GJ419" s="19"/>
      <c r="GK419" s="19"/>
      <c r="GL419" s="19"/>
      <c r="GM419" s="19"/>
      <c r="GN419" s="19"/>
      <c r="GO419" s="19"/>
      <c r="GP419" s="19"/>
      <c r="GQ419" s="19"/>
      <c r="GR419" s="19"/>
      <c r="GS419" s="19"/>
      <c r="GT419" s="19"/>
      <c r="GU419" s="19"/>
      <c r="GV419" s="19"/>
      <c r="GW419" s="19"/>
      <c r="GX419" s="19"/>
      <c r="GY419" s="19"/>
      <c r="GZ419" s="19"/>
      <c r="HA419" s="19"/>
      <c r="HB419" s="19"/>
    </row>
    <row r="420" spans="1:210"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c r="FJ420" s="19"/>
      <c r="FK420" s="19"/>
      <c r="FL420" s="19"/>
      <c r="FM420" s="19"/>
      <c r="FN420" s="19"/>
      <c r="FO420" s="19"/>
      <c r="FP420" s="19"/>
      <c r="FQ420" s="19"/>
      <c r="FR420" s="19"/>
      <c r="FS420" s="19"/>
      <c r="FT420" s="19"/>
      <c r="FU420" s="19"/>
      <c r="FV420" s="19"/>
      <c r="FW420" s="19"/>
      <c r="FX420" s="19"/>
      <c r="FY420" s="19"/>
      <c r="FZ420" s="19"/>
      <c r="GA420" s="19"/>
      <c r="GB420" s="19"/>
      <c r="GC420" s="19"/>
      <c r="GD420" s="19"/>
      <c r="GE420" s="19"/>
      <c r="GF420" s="19"/>
      <c r="GG420" s="19"/>
      <c r="GH420" s="19"/>
      <c r="GI420" s="19"/>
      <c r="GJ420" s="19"/>
      <c r="GK420" s="19"/>
      <c r="GL420" s="19"/>
      <c r="GM420" s="19"/>
      <c r="GN420" s="19"/>
      <c r="GO420" s="19"/>
      <c r="GP420" s="19"/>
      <c r="GQ420" s="19"/>
      <c r="GR420" s="19"/>
      <c r="GS420" s="19"/>
      <c r="GT420" s="19"/>
      <c r="GU420" s="19"/>
      <c r="GV420" s="19"/>
      <c r="GW420" s="19"/>
      <c r="GX420" s="19"/>
      <c r="GY420" s="19"/>
      <c r="GZ420" s="19"/>
      <c r="HA420" s="19"/>
      <c r="HB420" s="19"/>
    </row>
    <row r="421" spans="1:210"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c r="FJ421" s="19"/>
      <c r="FK421" s="19"/>
      <c r="FL421" s="19"/>
      <c r="FM421" s="19"/>
      <c r="FN421" s="19"/>
      <c r="FO421" s="19"/>
      <c r="FP421" s="19"/>
      <c r="FQ421" s="19"/>
      <c r="FR421" s="19"/>
      <c r="FS421" s="19"/>
      <c r="FT421" s="19"/>
      <c r="FU421" s="19"/>
      <c r="FV421" s="19"/>
      <c r="FW421" s="19"/>
      <c r="FX421" s="19"/>
      <c r="FY421" s="19"/>
      <c r="FZ421" s="19"/>
      <c r="GA421" s="19"/>
      <c r="GB421" s="19"/>
      <c r="GC421" s="19"/>
      <c r="GD421" s="19"/>
      <c r="GE421" s="19"/>
      <c r="GF421" s="19"/>
      <c r="GG421" s="19"/>
      <c r="GH421" s="19"/>
      <c r="GI421" s="19"/>
      <c r="GJ421" s="19"/>
      <c r="GK421" s="19"/>
      <c r="GL421" s="19"/>
      <c r="GM421" s="19"/>
      <c r="GN421" s="19"/>
      <c r="GO421" s="19"/>
      <c r="GP421" s="19"/>
      <c r="GQ421" s="19"/>
      <c r="GR421" s="19"/>
      <c r="GS421" s="19"/>
      <c r="GT421" s="19"/>
      <c r="GU421" s="19"/>
      <c r="GV421" s="19"/>
      <c r="GW421" s="19"/>
      <c r="GX421" s="19"/>
      <c r="GY421" s="19"/>
      <c r="GZ421" s="19"/>
      <c r="HA421" s="19"/>
      <c r="HB421" s="19"/>
    </row>
    <row r="422" spans="1:210"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c r="FJ422" s="19"/>
      <c r="FK422" s="19"/>
      <c r="FL422" s="19"/>
      <c r="FM422" s="19"/>
      <c r="FN422" s="19"/>
      <c r="FO422" s="19"/>
      <c r="FP422" s="19"/>
      <c r="FQ422" s="19"/>
      <c r="FR422" s="19"/>
      <c r="FS422" s="19"/>
      <c r="FT422" s="19"/>
      <c r="FU422" s="19"/>
      <c r="FV422" s="19"/>
      <c r="FW422" s="19"/>
      <c r="FX422" s="19"/>
      <c r="FY422" s="19"/>
      <c r="FZ422" s="19"/>
      <c r="GA422" s="19"/>
      <c r="GB422" s="19"/>
      <c r="GC422" s="19"/>
      <c r="GD422" s="19"/>
      <c r="GE422" s="19"/>
      <c r="GF422" s="19"/>
      <c r="GG422" s="19"/>
      <c r="GH422" s="19"/>
      <c r="GI422" s="19"/>
      <c r="GJ422" s="19"/>
      <c r="GK422" s="19"/>
      <c r="GL422" s="19"/>
      <c r="GM422" s="19"/>
      <c r="GN422" s="19"/>
      <c r="GO422" s="19"/>
      <c r="GP422" s="19"/>
      <c r="GQ422" s="19"/>
      <c r="GR422" s="19"/>
      <c r="GS422" s="19"/>
      <c r="GT422" s="19"/>
      <c r="GU422" s="19"/>
      <c r="GV422" s="19"/>
      <c r="GW422" s="19"/>
      <c r="GX422" s="19"/>
      <c r="GY422" s="19"/>
      <c r="GZ422" s="19"/>
      <c r="HA422" s="19"/>
      <c r="HB422" s="19"/>
    </row>
    <row r="423" spans="1:210"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c r="FJ423" s="19"/>
      <c r="FK423" s="19"/>
      <c r="FL423" s="19"/>
      <c r="FM423" s="19"/>
      <c r="FN423" s="19"/>
      <c r="FO423" s="19"/>
      <c r="FP423" s="19"/>
      <c r="FQ423" s="19"/>
      <c r="FR423" s="19"/>
      <c r="FS423" s="19"/>
      <c r="FT423" s="19"/>
      <c r="FU423" s="19"/>
      <c r="FV423" s="19"/>
      <c r="FW423" s="19"/>
      <c r="FX423" s="19"/>
      <c r="FY423" s="19"/>
      <c r="FZ423" s="19"/>
      <c r="GA423" s="19"/>
      <c r="GB423" s="19"/>
      <c r="GC423" s="19"/>
      <c r="GD423" s="19"/>
      <c r="GE423" s="19"/>
      <c r="GF423" s="19"/>
      <c r="GG423" s="19"/>
      <c r="GH423" s="19"/>
      <c r="GI423" s="19"/>
      <c r="GJ423" s="19"/>
      <c r="GK423" s="19"/>
      <c r="GL423" s="19"/>
      <c r="GM423" s="19"/>
      <c r="GN423" s="19"/>
      <c r="GO423" s="19"/>
      <c r="GP423" s="19"/>
      <c r="GQ423" s="19"/>
      <c r="GR423" s="19"/>
      <c r="GS423" s="19"/>
      <c r="GT423" s="19"/>
      <c r="GU423" s="19"/>
      <c r="GV423" s="19"/>
      <c r="GW423" s="19"/>
      <c r="GX423" s="19"/>
      <c r="GY423" s="19"/>
      <c r="GZ423" s="19"/>
      <c r="HA423" s="19"/>
      <c r="HB423" s="19"/>
    </row>
    <row r="424" spans="1:210"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c r="FJ424" s="19"/>
      <c r="FK424" s="19"/>
      <c r="FL424" s="19"/>
      <c r="FM424" s="19"/>
      <c r="FN424" s="19"/>
      <c r="FO424" s="19"/>
      <c r="FP424" s="19"/>
      <c r="FQ424" s="19"/>
      <c r="FR424" s="19"/>
      <c r="FS424" s="19"/>
      <c r="FT424" s="19"/>
      <c r="FU424" s="19"/>
      <c r="FV424" s="19"/>
      <c r="FW424" s="19"/>
      <c r="FX424" s="19"/>
      <c r="FY424" s="19"/>
      <c r="FZ424" s="19"/>
      <c r="GA424" s="19"/>
      <c r="GB424" s="19"/>
      <c r="GC424" s="19"/>
      <c r="GD424" s="19"/>
      <c r="GE424" s="19"/>
      <c r="GF424" s="19"/>
      <c r="GG424" s="19"/>
      <c r="GH424" s="19"/>
      <c r="GI424" s="19"/>
      <c r="GJ424" s="19"/>
      <c r="GK424" s="19"/>
      <c r="GL424" s="19"/>
      <c r="GM424" s="19"/>
      <c r="GN424" s="19"/>
      <c r="GO424" s="19"/>
      <c r="GP424" s="19"/>
      <c r="GQ424" s="19"/>
      <c r="GR424" s="19"/>
      <c r="GS424" s="19"/>
      <c r="GT424" s="19"/>
      <c r="GU424" s="19"/>
      <c r="GV424" s="19"/>
      <c r="GW424" s="19"/>
      <c r="GX424" s="19"/>
      <c r="GY424" s="19"/>
      <c r="GZ424" s="19"/>
      <c r="HA424" s="19"/>
      <c r="HB424" s="19"/>
    </row>
    <row r="425" spans="1:210"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c r="FJ425" s="19"/>
      <c r="FK425" s="19"/>
      <c r="FL425" s="19"/>
      <c r="FM425" s="19"/>
      <c r="FN425" s="19"/>
      <c r="FO425" s="19"/>
      <c r="FP425" s="19"/>
      <c r="FQ425" s="19"/>
      <c r="FR425" s="19"/>
      <c r="FS425" s="19"/>
      <c r="FT425" s="19"/>
      <c r="FU425" s="19"/>
      <c r="FV425" s="19"/>
      <c r="FW425" s="19"/>
      <c r="FX425" s="19"/>
      <c r="FY425" s="19"/>
      <c r="FZ425" s="19"/>
      <c r="GA425" s="19"/>
      <c r="GB425" s="19"/>
      <c r="GC425" s="19"/>
      <c r="GD425" s="19"/>
      <c r="GE425" s="19"/>
      <c r="GF425" s="19"/>
      <c r="GG425" s="19"/>
      <c r="GH425" s="19"/>
      <c r="GI425" s="19"/>
      <c r="GJ425" s="19"/>
      <c r="GK425" s="19"/>
      <c r="GL425" s="19"/>
      <c r="GM425" s="19"/>
      <c r="GN425" s="19"/>
      <c r="GO425" s="19"/>
      <c r="GP425" s="19"/>
      <c r="GQ425" s="19"/>
      <c r="GR425" s="19"/>
      <c r="GS425" s="19"/>
      <c r="GT425" s="19"/>
      <c r="GU425" s="19"/>
      <c r="GV425" s="19"/>
      <c r="GW425" s="19"/>
      <c r="GX425" s="19"/>
      <c r="GY425" s="19"/>
      <c r="GZ425" s="19"/>
      <c r="HA425" s="19"/>
      <c r="HB425" s="19"/>
    </row>
    <row r="426" spans="1:210"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c r="FZ426" s="19"/>
      <c r="GA426" s="19"/>
      <c r="GB426" s="19"/>
      <c r="GC426" s="19"/>
      <c r="GD426" s="19"/>
      <c r="GE426" s="19"/>
      <c r="GF426" s="19"/>
      <c r="GG426" s="19"/>
      <c r="GH426" s="19"/>
      <c r="GI426" s="19"/>
      <c r="GJ426" s="19"/>
      <c r="GK426" s="19"/>
      <c r="GL426" s="19"/>
      <c r="GM426" s="19"/>
      <c r="GN426" s="19"/>
      <c r="GO426" s="19"/>
      <c r="GP426" s="19"/>
      <c r="GQ426" s="19"/>
      <c r="GR426" s="19"/>
      <c r="GS426" s="19"/>
      <c r="GT426" s="19"/>
      <c r="GU426" s="19"/>
      <c r="GV426" s="19"/>
      <c r="GW426" s="19"/>
      <c r="GX426" s="19"/>
      <c r="GY426" s="19"/>
      <c r="GZ426" s="19"/>
      <c r="HA426" s="19"/>
      <c r="HB426" s="19"/>
    </row>
    <row r="427" spans="1:210"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c r="FJ427" s="19"/>
      <c r="FK427" s="19"/>
      <c r="FL427" s="19"/>
      <c r="FM427" s="19"/>
      <c r="FN427" s="19"/>
      <c r="FO427" s="19"/>
      <c r="FP427" s="19"/>
      <c r="FQ427" s="19"/>
      <c r="FR427" s="19"/>
      <c r="FS427" s="19"/>
      <c r="FT427" s="19"/>
      <c r="FU427" s="19"/>
      <c r="FV427" s="19"/>
      <c r="FW427" s="19"/>
      <c r="FX427" s="19"/>
      <c r="FY427" s="19"/>
      <c r="FZ427" s="19"/>
      <c r="GA427" s="19"/>
      <c r="GB427" s="19"/>
      <c r="GC427" s="19"/>
      <c r="GD427" s="19"/>
      <c r="GE427" s="19"/>
      <c r="GF427" s="19"/>
      <c r="GG427" s="19"/>
      <c r="GH427" s="19"/>
      <c r="GI427" s="19"/>
      <c r="GJ427" s="19"/>
      <c r="GK427" s="19"/>
      <c r="GL427" s="19"/>
      <c r="GM427" s="19"/>
      <c r="GN427" s="19"/>
      <c r="GO427" s="19"/>
      <c r="GP427" s="19"/>
      <c r="GQ427" s="19"/>
      <c r="GR427" s="19"/>
      <c r="GS427" s="19"/>
      <c r="GT427" s="19"/>
      <c r="GU427" s="19"/>
      <c r="GV427" s="19"/>
      <c r="GW427" s="19"/>
      <c r="GX427" s="19"/>
      <c r="GY427" s="19"/>
      <c r="GZ427" s="19"/>
      <c r="HA427" s="19"/>
      <c r="HB427" s="19"/>
    </row>
    <row r="428" spans="1:210"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c r="FZ428" s="19"/>
      <c r="GA428" s="19"/>
      <c r="GB428" s="19"/>
      <c r="GC428" s="19"/>
      <c r="GD428" s="19"/>
      <c r="GE428" s="19"/>
      <c r="GF428" s="19"/>
      <c r="GG428" s="19"/>
      <c r="GH428" s="19"/>
      <c r="GI428" s="19"/>
      <c r="GJ428" s="19"/>
      <c r="GK428" s="19"/>
      <c r="GL428" s="19"/>
      <c r="GM428" s="19"/>
      <c r="GN428" s="19"/>
      <c r="GO428" s="19"/>
      <c r="GP428" s="19"/>
      <c r="GQ428" s="19"/>
      <c r="GR428" s="19"/>
      <c r="GS428" s="19"/>
      <c r="GT428" s="19"/>
      <c r="GU428" s="19"/>
      <c r="GV428" s="19"/>
      <c r="GW428" s="19"/>
      <c r="GX428" s="19"/>
      <c r="GY428" s="19"/>
      <c r="GZ428" s="19"/>
      <c r="HA428" s="19"/>
      <c r="HB428" s="19"/>
    </row>
    <row r="429" spans="1:210"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c r="FJ429" s="19"/>
      <c r="FK429" s="19"/>
      <c r="FL429" s="19"/>
      <c r="FM429" s="19"/>
      <c r="FN429" s="19"/>
      <c r="FO429" s="19"/>
      <c r="FP429" s="19"/>
      <c r="FQ429" s="19"/>
      <c r="FR429" s="19"/>
      <c r="FS429" s="19"/>
      <c r="FT429" s="19"/>
      <c r="FU429" s="19"/>
      <c r="FV429" s="19"/>
      <c r="FW429" s="19"/>
      <c r="FX429" s="19"/>
      <c r="FY429" s="19"/>
      <c r="FZ429" s="19"/>
      <c r="GA429" s="19"/>
      <c r="GB429" s="19"/>
      <c r="GC429" s="19"/>
      <c r="GD429" s="19"/>
      <c r="GE429" s="19"/>
      <c r="GF429" s="19"/>
      <c r="GG429" s="19"/>
      <c r="GH429" s="19"/>
      <c r="GI429" s="19"/>
      <c r="GJ429" s="19"/>
      <c r="GK429" s="19"/>
      <c r="GL429" s="19"/>
      <c r="GM429" s="19"/>
      <c r="GN429" s="19"/>
      <c r="GO429" s="19"/>
      <c r="GP429" s="19"/>
      <c r="GQ429" s="19"/>
      <c r="GR429" s="19"/>
      <c r="GS429" s="19"/>
      <c r="GT429" s="19"/>
      <c r="GU429" s="19"/>
      <c r="GV429" s="19"/>
      <c r="GW429" s="19"/>
      <c r="GX429" s="19"/>
      <c r="GY429" s="19"/>
      <c r="GZ429" s="19"/>
      <c r="HA429" s="19"/>
      <c r="HB429" s="19"/>
    </row>
    <row r="430" spans="1:210"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c r="FJ430" s="19"/>
      <c r="FK430" s="19"/>
      <c r="FL430" s="19"/>
      <c r="FM430" s="19"/>
      <c r="FN430" s="19"/>
      <c r="FO430" s="19"/>
      <c r="FP430" s="19"/>
      <c r="FQ430" s="19"/>
      <c r="FR430" s="19"/>
      <c r="FS430" s="19"/>
      <c r="FT430" s="19"/>
      <c r="FU430" s="19"/>
      <c r="FV430" s="19"/>
      <c r="FW430" s="19"/>
      <c r="FX430" s="19"/>
      <c r="FY430" s="19"/>
      <c r="FZ430" s="19"/>
      <c r="GA430" s="19"/>
      <c r="GB430" s="19"/>
      <c r="GC430" s="19"/>
      <c r="GD430" s="19"/>
      <c r="GE430" s="19"/>
      <c r="GF430" s="19"/>
      <c r="GG430" s="19"/>
      <c r="GH430" s="19"/>
      <c r="GI430" s="19"/>
      <c r="GJ430" s="19"/>
      <c r="GK430" s="19"/>
      <c r="GL430" s="19"/>
      <c r="GM430" s="19"/>
      <c r="GN430" s="19"/>
      <c r="GO430" s="19"/>
      <c r="GP430" s="19"/>
      <c r="GQ430" s="19"/>
      <c r="GR430" s="19"/>
      <c r="GS430" s="19"/>
      <c r="GT430" s="19"/>
      <c r="GU430" s="19"/>
      <c r="GV430" s="19"/>
      <c r="GW430" s="19"/>
      <c r="GX430" s="19"/>
      <c r="GY430" s="19"/>
      <c r="GZ430" s="19"/>
      <c r="HA430" s="19"/>
      <c r="HB430" s="19"/>
    </row>
    <row r="431" spans="1:210"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c r="FZ431" s="19"/>
      <c r="GA431" s="19"/>
      <c r="GB431" s="19"/>
      <c r="GC431" s="19"/>
      <c r="GD431" s="19"/>
      <c r="GE431" s="19"/>
      <c r="GF431" s="19"/>
      <c r="GG431" s="19"/>
      <c r="GH431" s="19"/>
      <c r="GI431" s="19"/>
      <c r="GJ431" s="19"/>
      <c r="GK431" s="19"/>
      <c r="GL431" s="19"/>
      <c r="GM431" s="19"/>
      <c r="GN431" s="19"/>
      <c r="GO431" s="19"/>
      <c r="GP431" s="19"/>
      <c r="GQ431" s="19"/>
      <c r="GR431" s="19"/>
      <c r="GS431" s="19"/>
      <c r="GT431" s="19"/>
      <c r="GU431" s="19"/>
      <c r="GV431" s="19"/>
      <c r="GW431" s="19"/>
      <c r="GX431" s="19"/>
      <c r="GY431" s="19"/>
      <c r="GZ431" s="19"/>
      <c r="HA431" s="19"/>
      <c r="HB431" s="19"/>
    </row>
    <row r="432" spans="1:210"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c r="FZ432" s="19"/>
      <c r="GA432" s="19"/>
      <c r="GB432" s="19"/>
      <c r="GC432" s="19"/>
      <c r="GD432" s="19"/>
      <c r="GE432" s="19"/>
      <c r="GF432" s="19"/>
      <c r="GG432" s="19"/>
      <c r="GH432" s="19"/>
      <c r="GI432" s="19"/>
      <c r="GJ432" s="19"/>
      <c r="GK432" s="19"/>
      <c r="GL432" s="19"/>
      <c r="GM432" s="19"/>
      <c r="GN432" s="19"/>
      <c r="GO432" s="19"/>
      <c r="GP432" s="19"/>
      <c r="GQ432" s="19"/>
      <c r="GR432" s="19"/>
      <c r="GS432" s="19"/>
      <c r="GT432" s="19"/>
      <c r="GU432" s="19"/>
      <c r="GV432" s="19"/>
      <c r="GW432" s="19"/>
      <c r="GX432" s="19"/>
      <c r="GY432" s="19"/>
      <c r="GZ432" s="19"/>
      <c r="HA432" s="19"/>
      <c r="HB432" s="19"/>
    </row>
    <row r="433" spans="1:210"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c r="FZ433" s="19"/>
      <c r="GA433" s="19"/>
      <c r="GB433" s="19"/>
      <c r="GC433" s="19"/>
      <c r="GD433" s="19"/>
      <c r="GE433" s="19"/>
      <c r="GF433" s="19"/>
      <c r="GG433" s="19"/>
      <c r="GH433" s="19"/>
      <c r="GI433" s="19"/>
      <c r="GJ433" s="19"/>
      <c r="GK433" s="19"/>
      <c r="GL433" s="19"/>
      <c r="GM433" s="19"/>
      <c r="GN433" s="19"/>
      <c r="GO433" s="19"/>
      <c r="GP433" s="19"/>
      <c r="GQ433" s="19"/>
      <c r="GR433" s="19"/>
      <c r="GS433" s="19"/>
      <c r="GT433" s="19"/>
      <c r="GU433" s="19"/>
      <c r="GV433" s="19"/>
      <c r="GW433" s="19"/>
      <c r="GX433" s="19"/>
      <c r="GY433" s="19"/>
      <c r="GZ433" s="19"/>
      <c r="HA433" s="19"/>
      <c r="HB433" s="19"/>
    </row>
    <row r="434" spans="1:210"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c r="FJ434" s="19"/>
      <c r="FK434" s="19"/>
      <c r="FL434" s="19"/>
      <c r="FM434" s="19"/>
      <c r="FN434" s="19"/>
      <c r="FO434" s="19"/>
      <c r="FP434" s="19"/>
      <c r="FQ434" s="19"/>
      <c r="FR434" s="19"/>
      <c r="FS434" s="19"/>
      <c r="FT434" s="19"/>
      <c r="FU434" s="19"/>
      <c r="FV434" s="19"/>
      <c r="FW434" s="19"/>
      <c r="FX434" s="19"/>
      <c r="FY434" s="19"/>
      <c r="FZ434" s="19"/>
      <c r="GA434" s="19"/>
      <c r="GB434" s="19"/>
      <c r="GC434" s="19"/>
      <c r="GD434" s="19"/>
      <c r="GE434" s="19"/>
      <c r="GF434" s="19"/>
      <c r="GG434" s="19"/>
      <c r="GH434" s="19"/>
      <c r="GI434" s="19"/>
      <c r="GJ434" s="19"/>
      <c r="GK434" s="19"/>
      <c r="GL434" s="19"/>
      <c r="GM434" s="19"/>
      <c r="GN434" s="19"/>
      <c r="GO434" s="19"/>
      <c r="GP434" s="19"/>
      <c r="GQ434" s="19"/>
      <c r="GR434" s="19"/>
      <c r="GS434" s="19"/>
      <c r="GT434" s="19"/>
      <c r="GU434" s="19"/>
      <c r="GV434" s="19"/>
      <c r="GW434" s="19"/>
      <c r="GX434" s="19"/>
      <c r="GY434" s="19"/>
      <c r="GZ434" s="19"/>
      <c r="HA434" s="19"/>
      <c r="HB434" s="19"/>
    </row>
    <row r="435" spans="1:210"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c r="FJ435" s="19"/>
      <c r="FK435" s="19"/>
      <c r="FL435" s="19"/>
      <c r="FM435" s="19"/>
      <c r="FN435" s="19"/>
      <c r="FO435" s="19"/>
      <c r="FP435" s="19"/>
      <c r="FQ435" s="19"/>
      <c r="FR435" s="19"/>
      <c r="FS435" s="19"/>
      <c r="FT435" s="19"/>
      <c r="FU435" s="19"/>
      <c r="FV435" s="19"/>
      <c r="FW435" s="19"/>
      <c r="FX435" s="19"/>
      <c r="FY435" s="19"/>
      <c r="FZ435" s="19"/>
      <c r="GA435" s="19"/>
      <c r="GB435" s="19"/>
      <c r="GC435" s="19"/>
      <c r="GD435" s="19"/>
      <c r="GE435" s="19"/>
      <c r="GF435" s="19"/>
      <c r="GG435" s="19"/>
      <c r="GH435" s="19"/>
      <c r="GI435" s="19"/>
      <c r="GJ435" s="19"/>
      <c r="GK435" s="19"/>
      <c r="GL435" s="19"/>
      <c r="GM435" s="19"/>
      <c r="GN435" s="19"/>
      <c r="GO435" s="19"/>
      <c r="GP435" s="19"/>
      <c r="GQ435" s="19"/>
      <c r="GR435" s="19"/>
      <c r="GS435" s="19"/>
      <c r="GT435" s="19"/>
      <c r="GU435" s="19"/>
      <c r="GV435" s="19"/>
      <c r="GW435" s="19"/>
      <c r="GX435" s="19"/>
      <c r="GY435" s="19"/>
      <c r="GZ435" s="19"/>
      <c r="HA435" s="19"/>
      <c r="HB435" s="19"/>
    </row>
    <row r="436" spans="1:210"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c r="FZ436" s="19"/>
      <c r="GA436" s="19"/>
      <c r="GB436" s="19"/>
      <c r="GC436" s="19"/>
      <c r="GD436" s="19"/>
      <c r="GE436" s="19"/>
      <c r="GF436" s="19"/>
      <c r="GG436" s="19"/>
      <c r="GH436" s="19"/>
      <c r="GI436" s="19"/>
      <c r="GJ436" s="19"/>
      <c r="GK436" s="19"/>
      <c r="GL436" s="19"/>
      <c r="GM436" s="19"/>
      <c r="GN436" s="19"/>
      <c r="GO436" s="19"/>
      <c r="GP436" s="19"/>
      <c r="GQ436" s="19"/>
      <c r="GR436" s="19"/>
      <c r="GS436" s="19"/>
      <c r="GT436" s="19"/>
      <c r="GU436" s="19"/>
      <c r="GV436" s="19"/>
      <c r="GW436" s="19"/>
      <c r="GX436" s="19"/>
      <c r="GY436" s="19"/>
      <c r="GZ436" s="19"/>
      <c r="HA436" s="19"/>
      <c r="HB436" s="19"/>
    </row>
    <row r="437" spans="1:210"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c r="FJ437" s="19"/>
      <c r="FK437" s="19"/>
      <c r="FL437" s="19"/>
      <c r="FM437" s="19"/>
      <c r="FN437" s="19"/>
      <c r="FO437" s="19"/>
      <c r="FP437" s="19"/>
      <c r="FQ437" s="19"/>
      <c r="FR437" s="19"/>
      <c r="FS437" s="19"/>
      <c r="FT437" s="19"/>
      <c r="FU437" s="19"/>
      <c r="FV437" s="19"/>
      <c r="FW437" s="19"/>
      <c r="FX437" s="19"/>
      <c r="FY437" s="19"/>
      <c r="FZ437" s="19"/>
      <c r="GA437" s="19"/>
      <c r="GB437" s="19"/>
      <c r="GC437" s="19"/>
      <c r="GD437" s="19"/>
      <c r="GE437" s="19"/>
      <c r="GF437" s="19"/>
      <c r="GG437" s="19"/>
      <c r="GH437" s="19"/>
      <c r="GI437" s="19"/>
      <c r="GJ437" s="19"/>
      <c r="GK437" s="19"/>
      <c r="GL437" s="19"/>
      <c r="GM437" s="19"/>
      <c r="GN437" s="19"/>
      <c r="GO437" s="19"/>
      <c r="GP437" s="19"/>
      <c r="GQ437" s="19"/>
      <c r="GR437" s="19"/>
      <c r="GS437" s="19"/>
      <c r="GT437" s="19"/>
      <c r="GU437" s="19"/>
      <c r="GV437" s="19"/>
      <c r="GW437" s="19"/>
      <c r="GX437" s="19"/>
      <c r="GY437" s="19"/>
      <c r="GZ437" s="19"/>
      <c r="HA437" s="19"/>
      <c r="HB437" s="19"/>
    </row>
    <row r="438" spans="1:210"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c r="FJ438" s="19"/>
      <c r="FK438" s="19"/>
      <c r="FL438" s="19"/>
      <c r="FM438" s="19"/>
      <c r="FN438" s="19"/>
      <c r="FO438" s="19"/>
      <c r="FP438" s="19"/>
      <c r="FQ438" s="19"/>
      <c r="FR438" s="19"/>
      <c r="FS438" s="19"/>
      <c r="FT438" s="19"/>
      <c r="FU438" s="19"/>
      <c r="FV438" s="19"/>
      <c r="FW438" s="19"/>
      <c r="FX438" s="19"/>
      <c r="FY438" s="19"/>
      <c r="FZ438" s="19"/>
      <c r="GA438" s="19"/>
      <c r="GB438" s="19"/>
      <c r="GC438" s="19"/>
      <c r="GD438" s="19"/>
      <c r="GE438" s="19"/>
      <c r="GF438" s="19"/>
      <c r="GG438" s="19"/>
      <c r="GH438" s="19"/>
      <c r="GI438" s="19"/>
      <c r="GJ438" s="19"/>
      <c r="GK438" s="19"/>
      <c r="GL438" s="19"/>
      <c r="GM438" s="19"/>
      <c r="GN438" s="19"/>
      <c r="GO438" s="19"/>
      <c r="GP438" s="19"/>
      <c r="GQ438" s="19"/>
      <c r="GR438" s="19"/>
      <c r="GS438" s="19"/>
      <c r="GT438" s="19"/>
      <c r="GU438" s="19"/>
      <c r="GV438" s="19"/>
      <c r="GW438" s="19"/>
      <c r="GX438" s="19"/>
      <c r="GY438" s="19"/>
      <c r="GZ438" s="19"/>
      <c r="HA438" s="19"/>
      <c r="HB438" s="19"/>
    </row>
    <row r="439" spans="1:210"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c r="FJ439" s="19"/>
      <c r="FK439" s="19"/>
      <c r="FL439" s="19"/>
      <c r="FM439" s="19"/>
      <c r="FN439" s="19"/>
      <c r="FO439" s="19"/>
      <c r="FP439" s="19"/>
      <c r="FQ439" s="19"/>
      <c r="FR439" s="19"/>
      <c r="FS439" s="19"/>
      <c r="FT439" s="19"/>
      <c r="FU439" s="19"/>
      <c r="FV439" s="19"/>
      <c r="FW439" s="19"/>
      <c r="FX439" s="19"/>
      <c r="FY439" s="19"/>
      <c r="FZ439" s="19"/>
      <c r="GA439" s="19"/>
      <c r="GB439" s="19"/>
      <c r="GC439" s="19"/>
      <c r="GD439" s="19"/>
      <c r="GE439" s="19"/>
      <c r="GF439" s="19"/>
      <c r="GG439" s="19"/>
      <c r="GH439" s="19"/>
      <c r="GI439" s="19"/>
      <c r="GJ439" s="19"/>
      <c r="GK439" s="19"/>
      <c r="GL439" s="19"/>
      <c r="GM439" s="19"/>
      <c r="GN439" s="19"/>
      <c r="GO439" s="19"/>
      <c r="GP439" s="19"/>
      <c r="GQ439" s="19"/>
      <c r="GR439" s="19"/>
      <c r="GS439" s="19"/>
      <c r="GT439" s="19"/>
      <c r="GU439" s="19"/>
      <c r="GV439" s="19"/>
      <c r="GW439" s="19"/>
      <c r="GX439" s="19"/>
      <c r="GY439" s="19"/>
      <c r="GZ439" s="19"/>
      <c r="HA439" s="19"/>
      <c r="HB439" s="19"/>
    </row>
    <row r="440" spans="1:210"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c r="FJ440" s="19"/>
      <c r="FK440" s="19"/>
      <c r="FL440" s="19"/>
      <c r="FM440" s="19"/>
      <c r="FN440" s="19"/>
      <c r="FO440" s="19"/>
      <c r="FP440" s="19"/>
      <c r="FQ440" s="19"/>
      <c r="FR440" s="19"/>
      <c r="FS440" s="19"/>
      <c r="FT440" s="19"/>
      <c r="FU440" s="19"/>
      <c r="FV440" s="19"/>
      <c r="FW440" s="19"/>
      <c r="FX440" s="19"/>
      <c r="FY440" s="19"/>
      <c r="FZ440" s="19"/>
      <c r="GA440" s="19"/>
      <c r="GB440" s="19"/>
      <c r="GC440" s="19"/>
      <c r="GD440" s="19"/>
      <c r="GE440" s="19"/>
      <c r="GF440" s="19"/>
      <c r="GG440" s="19"/>
      <c r="GH440" s="19"/>
      <c r="GI440" s="19"/>
      <c r="GJ440" s="19"/>
      <c r="GK440" s="19"/>
      <c r="GL440" s="19"/>
      <c r="GM440" s="19"/>
      <c r="GN440" s="19"/>
      <c r="GO440" s="19"/>
      <c r="GP440" s="19"/>
      <c r="GQ440" s="19"/>
      <c r="GR440" s="19"/>
      <c r="GS440" s="19"/>
      <c r="GT440" s="19"/>
      <c r="GU440" s="19"/>
      <c r="GV440" s="19"/>
      <c r="GW440" s="19"/>
      <c r="GX440" s="19"/>
      <c r="GY440" s="19"/>
      <c r="GZ440" s="19"/>
      <c r="HA440" s="19"/>
      <c r="HB440" s="19"/>
    </row>
    <row r="441" spans="1:210"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c r="FZ441" s="19"/>
      <c r="GA441" s="19"/>
      <c r="GB441" s="19"/>
      <c r="GC441" s="19"/>
      <c r="GD441" s="19"/>
      <c r="GE441" s="19"/>
      <c r="GF441" s="19"/>
      <c r="GG441" s="19"/>
      <c r="GH441" s="19"/>
      <c r="GI441" s="19"/>
      <c r="GJ441" s="19"/>
      <c r="GK441" s="19"/>
      <c r="GL441" s="19"/>
      <c r="GM441" s="19"/>
      <c r="GN441" s="19"/>
      <c r="GO441" s="19"/>
      <c r="GP441" s="19"/>
      <c r="GQ441" s="19"/>
      <c r="GR441" s="19"/>
      <c r="GS441" s="19"/>
      <c r="GT441" s="19"/>
      <c r="GU441" s="19"/>
      <c r="GV441" s="19"/>
      <c r="GW441" s="19"/>
      <c r="GX441" s="19"/>
      <c r="GY441" s="19"/>
      <c r="GZ441" s="19"/>
      <c r="HA441" s="19"/>
      <c r="HB441" s="19"/>
    </row>
    <row r="442" spans="1:210"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c r="FZ442" s="19"/>
      <c r="GA442" s="19"/>
      <c r="GB442" s="19"/>
      <c r="GC442" s="19"/>
      <c r="GD442" s="19"/>
      <c r="GE442" s="19"/>
      <c r="GF442" s="19"/>
      <c r="GG442" s="19"/>
      <c r="GH442" s="19"/>
      <c r="GI442" s="19"/>
      <c r="GJ442" s="19"/>
      <c r="GK442" s="19"/>
      <c r="GL442" s="19"/>
      <c r="GM442" s="19"/>
      <c r="GN442" s="19"/>
      <c r="GO442" s="19"/>
      <c r="GP442" s="19"/>
      <c r="GQ442" s="19"/>
      <c r="GR442" s="19"/>
      <c r="GS442" s="19"/>
      <c r="GT442" s="19"/>
      <c r="GU442" s="19"/>
      <c r="GV442" s="19"/>
      <c r="GW442" s="19"/>
      <c r="GX442" s="19"/>
      <c r="GY442" s="19"/>
      <c r="GZ442" s="19"/>
      <c r="HA442" s="19"/>
      <c r="HB442" s="19"/>
    </row>
    <row r="443" spans="1:210"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c r="FJ443" s="19"/>
      <c r="FK443" s="19"/>
      <c r="FL443" s="19"/>
      <c r="FM443" s="19"/>
      <c r="FN443" s="19"/>
      <c r="FO443" s="19"/>
      <c r="FP443" s="19"/>
      <c r="FQ443" s="19"/>
      <c r="FR443" s="19"/>
      <c r="FS443" s="19"/>
      <c r="FT443" s="19"/>
      <c r="FU443" s="19"/>
      <c r="FV443" s="19"/>
      <c r="FW443" s="19"/>
      <c r="FX443" s="19"/>
      <c r="FY443" s="19"/>
      <c r="FZ443" s="19"/>
      <c r="GA443" s="19"/>
      <c r="GB443" s="19"/>
      <c r="GC443" s="19"/>
      <c r="GD443" s="19"/>
      <c r="GE443" s="19"/>
      <c r="GF443" s="19"/>
      <c r="GG443" s="19"/>
      <c r="GH443" s="19"/>
      <c r="GI443" s="19"/>
      <c r="GJ443" s="19"/>
      <c r="GK443" s="19"/>
      <c r="GL443" s="19"/>
      <c r="GM443" s="19"/>
      <c r="GN443" s="19"/>
      <c r="GO443" s="19"/>
      <c r="GP443" s="19"/>
      <c r="GQ443" s="19"/>
      <c r="GR443" s="19"/>
      <c r="GS443" s="19"/>
      <c r="GT443" s="19"/>
      <c r="GU443" s="19"/>
      <c r="GV443" s="19"/>
      <c r="GW443" s="19"/>
      <c r="GX443" s="19"/>
      <c r="GY443" s="19"/>
      <c r="GZ443" s="19"/>
      <c r="HA443" s="19"/>
      <c r="HB443" s="19"/>
    </row>
    <row r="444" spans="1:210"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c r="FZ444" s="19"/>
      <c r="GA444" s="19"/>
      <c r="GB444" s="19"/>
      <c r="GC444" s="19"/>
      <c r="GD444" s="19"/>
      <c r="GE444" s="19"/>
      <c r="GF444" s="19"/>
      <c r="GG444" s="19"/>
      <c r="GH444" s="19"/>
      <c r="GI444" s="19"/>
      <c r="GJ444" s="19"/>
      <c r="GK444" s="19"/>
      <c r="GL444" s="19"/>
      <c r="GM444" s="19"/>
      <c r="GN444" s="19"/>
      <c r="GO444" s="19"/>
      <c r="GP444" s="19"/>
      <c r="GQ444" s="19"/>
      <c r="GR444" s="19"/>
      <c r="GS444" s="19"/>
      <c r="GT444" s="19"/>
      <c r="GU444" s="19"/>
      <c r="GV444" s="19"/>
      <c r="GW444" s="19"/>
      <c r="GX444" s="19"/>
      <c r="GY444" s="19"/>
      <c r="GZ444" s="19"/>
      <c r="HA444" s="19"/>
      <c r="HB444" s="19"/>
    </row>
    <row r="445" spans="1:210"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c r="FZ445" s="19"/>
      <c r="GA445" s="19"/>
      <c r="GB445" s="19"/>
      <c r="GC445" s="19"/>
      <c r="GD445" s="19"/>
      <c r="GE445" s="19"/>
      <c r="GF445" s="19"/>
      <c r="GG445" s="19"/>
      <c r="GH445" s="19"/>
      <c r="GI445" s="19"/>
      <c r="GJ445" s="19"/>
      <c r="GK445" s="19"/>
      <c r="GL445" s="19"/>
      <c r="GM445" s="19"/>
      <c r="GN445" s="19"/>
      <c r="GO445" s="19"/>
      <c r="GP445" s="19"/>
      <c r="GQ445" s="19"/>
      <c r="GR445" s="19"/>
      <c r="GS445" s="19"/>
      <c r="GT445" s="19"/>
      <c r="GU445" s="19"/>
      <c r="GV445" s="19"/>
      <c r="GW445" s="19"/>
      <c r="GX445" s="19"/>
      <c r="GY445" s="19"/>
      <c r="GZ445" s="19"/>
      <c r="HA445" s="19"/>
      <c r="HB445" s="19"/>
    </row>
    <row r="446" spans="1:210"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c r="FZ446" s="19"/>
      <c r="GA446" s="19"/>
      <c r="GB446" s="19"/>
      <c r="GC446" s="19"/>
      <c r="GD446" s="19"/>
      <c r="GE446" s="19"/>
      <c r="GF446" s="19"/>
      <c r="GG446" s="19"/>
      <c r="GH446" s="19"/>
      <c r="GI446" s="19"/>
      <c r="GJ446" s="19"/>
      <c r="GK446" s="19"/>
      <c r="GL446" s="19"/>
      <c r="GM446" s="19"/>
      <c r="GN446" s="19"/>
      <c r="GO446" s="19"/>
      <c r="GP446" s="19"/>
      <c r="GQ446" s="19"/>
      <c r="GR446" s="19"/>
      <c r="GS446" s="19"/>
      <c r="GT446" s="19"/>
      <c r="GU446" s="19"/>
      <c r="GV446" s="19"/>
      <c r="GW446" s="19"/>
      <c r="GX446" s="19"/>
      <c r="GY446" s="19"/>
      <c r="GZ446" s="19"/>
      <c r="HA446" s="19"/>
      <c r="HB446" s="19"/>
    </row>
    <row r="447" spans="1:210"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c r="FZ447" s="19"/>
      <c r="GA447" s="19"/>
      <c r="GB447" s="19"/>
      <c r="GC447" s="19"/>
      <c r="GD447" s="19"/>
      <c r="GE447" s="19"/>
      <c r="GF447" s="19"/>
      <c r="GG447" s="19"/>
      <c r="GH447" s="19"/>
      <c r="GI447" s="19"/>
      <c r="GJ447" s="19"/>
      <c r="GK447" s="19"/>
      <c r="GL447" s="19"/>
      <c r="GM447" s="19"/>
      <c r="GN447" s="19"/>
      <c r="GO447" s="19"/>
      <c r="GP447" s="19"/>
      <c r="GQ447" s="19"/>
      <c r="GR447" s="19"/>
      <c r="GS447" s="19"/>
      <c r="GT447" s="19"/>
      <c r="GU447" s="19"/>
      <c r="GV447" s="19"/>
      <c r="GW447" s="19"/>
      <c r="GX447" s="19"/>
      <c r="GY447" s="19"/>
      <c r="GZ447" s="19"/>
      <c r="HA447" s="19"/>
      <c r="HB447" s="19"/>
    </row>
    <row r="448" spans="1:210"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row>
    <row r="449" spans="1:210"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GG449" s="19"/>
      <c r="GH449" s="19"/>
      <c r="GI449" s="19"/>
      <c r="GJ449" s="19"/>
      <c r="GK449" s="19"/>
      <c r="GL449" s="19"/>
      <c r="GM449" s="19"/>
      <c r="GN449" s="19"/>
      <c r="GO449" s="19"/>
      <c r="GP449" s="19"/>
      <c r="GQ449" s="19"/>
      <c r="GR449" s="19"/>
      <c r="GS449" s="19"/>
      <c r="GT449" s="19"/>
      <c r="GU449" s="19"/>
      <c r="GV449" s="19"/>
      <c r="GW449" s="19"/>
      <c r="GX449" s="19"/>
      <c r="GY449" s="19"/>
      <c r="GZ449" s="19"/>
      <c r="HA449" s="19"/>
      <c r="HB449" s="19"/>
    </row>
    <row r="450" spans="1:210"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c r="FZ450" s="19"/>
      <c r="GA450" s="19"/>
      <c r="GB450" s="19"/>
      <c r="GC450" s="19"/>
      <c r="GD450" s="19"/>
      <c r="GE450" s="19"/>
      <c r="GF450" s="19"/>
      <c r="GG450" s="19"/>
      <c r="GH450" s="19"/>
      <c r="GI450" s="19"/>
      <c r="GJ450" s="19"/>
      <c r="GK450" s="19"/>
      <c r="GL450" s="19"/>
      <c r="GM450" s="19"/>
      <c r="GN450" s="19"/>
      <c r="GO450" s="19"/>
      <c r="GP450" s="19"/>
      <c r="GQ450" s="19"/>
      <c r="GR450" s="19"/>
      <c r="GS450" s="19"/>
      <c r="GT450" s="19"/>
      <c r="GU450" s="19"/>
      <c r="GV450" s="19"/>
      <c r="GW450" s="19"/>
      <c r="GX450" s="19"/>
      <c r="GY450" s="19"/>
      <c r="GZ450" s="19"/>
      <c r="HA450" s="19"/>
      <c r="HB450" s="19"/>
    </row>
    <row r="451" spans="1:210"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c r="FZ451" s="19"/>
      <c r="GA451" s="19"/>
      <c r="GB451" s="19"/>
      <c r="GC451" s="19"/>
      <c r="GD451" s="19"/>
      <c r="GE451" s="19"/>
      <c r="GF451" s="19"/>
      <c r="GG451" s="19"/>
      <c r="GH451" s="19"/>
      <c r="GI451" s="19"/>
      <c r="GJ451" s="19"/>
      <c r="GK451" s="19"/>
      <c r="GL451" s="19"/>
      <c r="GM451" s="19"/>
      <c r="GN451" s="19"/>
      <c r="GO451" s="19"/>
      <c r="GP451" s="19"/>
      <c r="GQ451" s="19"/>
      <c r="GR451" s="19"/>
      <c r="GS451" s="19"/>
      <c r="GT451" s="19"/>
      <c r="GU451" s="19"/>
      <c r="GV451" s="19"/>
      <c r="GW451" s="19"/>
      <c r="GX451" s="19"/>
      <c r="GY451" s="19"/>
      <c r="GZ451" s="19"/>
      <c r="HA451" s="19"/>
      <c r="HB451" s="19"/>
    </row>
    <row r="452" spans="1:210"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c r="FJ452" s="19"/>
      <c r="FK452" s="19"/>
      <c r="FL452" s="19"/>
      <c r="FM452" s="19"/>
      <c r="FN452" s="19"/>
      <c r="FO452" s="19"/>
      <c r="FP452" s="19"/>
      <c r="FQ452" s="19"/>
      <c r="FR452" s="19"/>
      <c r="FS452" s="19"/>
      <c r="FT452" s="19"/>
      <c r="FU452" s="19"/>
      <c r="FV452" s="19"/>
      <c r="FW452" s="19"/>
      <c r="FX452" s="19"/>
      <c r="FY452" s="19"/>
      <c r="FZ452" s="19"/>
      <c r="GA452" s="19"/>
      <c r="GB452" s="19"/>
      <c r="GC452" s="19"/>
      <c r="GD452" s="19"/>
      <c r="GE452" s="19"/>
      <c r="GF452" s="19"/>
      <c r="GG452" s="19"/>
      <c r="GH452" s="19"/>
      <c r="GI452" s="19"/>
      <c r="GJ452" s="19"/>
      <c r="GK452" s="19"/>
      <c r="GL452" s="19"/>
      <c r="GM452" s="19"/>
      <c r="GN452" s="19"/>
      <c r="GO452" s="19"/>
      <c r="GP452" s="19"/>
      <c r="GQ452" s="19"/>
      <c r="GR452" s="19"/>
      <c r="GS452" s="19"/>
      <c r="GT452" s="19"/>
      <c r="GU452" s="19"/>
      <c r="GV452" s="19"/>
      <c r="GW452" s="19"/>
      <c r="GX452" s="19"/>
      <c r="GY452" s="19"/>
      <c r="GZ452" s="19"/>
      <c r="HA452" s="19"/>
      <c r="HB452" s="19"/>
    </row>
    <row r="453" spans="1:210"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c r="FJ453" s="19"/>
      <c r="FK453" s="19"/>
      <c r="FL453" s="19"/>
      <c r="FM453" s="19"/>
      <c r="FN453" s="19"/>
      <c r="FO453" s="19"/>
      <c r="FP453" s="19"/>
      <c r="FQ453" s="19"/>
      <c r="FR453" s="19"/>
      <c r="FS453" s="19"/>
      <c r="FT453" s="19"/>
      <c r="FU453" s="19"/>
      <c r="FV453" s="19"/>
      <c r="FW453" s="19"/>
      <c r="FX453" s="19"/>
      <c r="FY453" s="19"/>
      <c r="FZ453" s="19"/>
      <c r="GA453" s="19"/>
      <c r="GB453" s="19"/>
      <c r="GC453" s="19"/>
      <c r="GD453" s="19"/>
      <c r="GE453" s="19"/>
      <c r="GF453" s="19"/>
      <c r="GG453" s="19"/>
      <c r="GH453" s="19"/>
      <c r="GI453" s="19"/>
      <c r="GJ453" s="19"/>
      <c r="GK453" s="19"/>
      <c r="GL453" s="19"/>
      <c r="GM453" s="19"/>
      <c r="GN453" s="19"/>
      <c r="GO453" s="19"/>
      <c r="GP453" s="19"/>
      <c r="GQ453" s="19"/>
      <c r="GR453" s="19"/>
      <c r="GS453" s="19"/>
      <c r="GT453" s="19"/>
      <c r="GU453" s="19"/>
      <c r="GV453" s="19"/>
      <c r="GW453" s="19"/>
      <c r="GX453" s="19"/>
      <c r="GY453" s="19"/>
      <c r="GZ453" s="19"/>
      <c r="HA453" s="19"/>
      <c r="HB453" s="19"/>
    </row>
    <row r="454" spans="1:210"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c r="FJ454" s="19"/>
      <c r="FK454" s="19"/>
      <c r="FL454" s="19"/>
      <c r="FM454" s="19"/>
      <c r="FN454" s="19"/>
      <c r="FO454" s="19"/>
      <c r="FP454" s="19"/>
      <c r="FQ454" s="19"/>
      <c r="FR454" s="19"/>
      <c r="FS454" s="19"/>
      <c r="FT454" s="19"/>
      <c r="FU454" s="19"/>
      <c r="FV454" s="19"/>
      <c r="FW454" s="19"/>
      <c r="FX454" s="19"/>
      <c r="FY454" s="19"/>
      <c r="FZ454" s="19"/>
      <c r="GA454" s="19"/>
      <c r="GB454" s="19"/>
      <c r="GC454" s="19"/>
      <c r="GD454" s="19"/>
      <c r="GE454" s="19"/>
      <c r="GF454" s="19"/>
      <c r="GG454" s="19"/>
      <c r="GH454" s="19"/>
      <c r="GI454" s="19"/>
      <c r="GJ454" s="19"/>
      <c r="GK454" s="19"/>
      <c r="GL454" s="19"/>
      <c r="GM454" s="19"/>
      <c r="GN454" s="19"/>
      <c r="GO454" s="19"/>
      <c r="GP454" s="19"/>
      <c r="GQ454" s="19"/>
      <c r="GR454" s="19"/>
      <c r="GS454" s="19"/>
      <c r="GT454" s="19"/>
      <c r="GU454" s="19"/>
      <c r="GV454" s="19"/>
      <c r="GW454" s="19"/>
      <c r="GX454" s="19"/>
      <c r="GY454" s="19"/>
      <c r="GZ454" s="19"/>
      <c r="HA454" s="19"/>
      <c r="HB454" s="19"/>
    </row>
    <row r="455" spans="1:210"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c r="FJ455" s="19"/>
      <c r="FK455" s="19"/>
      <c r="FL455" s="19"/>
      <c r="FM455" s="19"/>
      <c r="FN455" s="19"/>
      <c r="FO455" s="19"/>
      <c r="FP455" s="19"/>
      <c r="FQ455" s="19"/>
      <c r="FR455" s="19"/>
      <c r="FS455" s="19"/>
      <c r="FT455" s="19"/>
      <c r="FU455" s="19"/>
      <c r="FV455" s="19"/>
      <c r="FW455" s="19"/>
      <c r="FX455" s="19"/>
      <c r="FY455" s="19"/>
      <c r="FZ455" s="19"/>
      <c r="GA455" s="19"/>
      <c r="GB455" s="19"/>
      <c r="GC455" s="19"/>
      <c r="GD455" s="19"/>
      <c r="GE455" s="19"/>
      <c r="GF455" s="19"/>
      <c r="GG455" s="19"/>
      <c r="GH455" s="19"/>
      <c r="GI455" s="19"/>
      <c r="GJ455" s="19"/>
      <c r="GK455" s="19"/>
      <c r="GL455" s="19"/>
      <c r="GM455" s="19"/>
      <c r="GN455" s="19"/>
      <c r="GO455" s="19"/>
      <c r="GP455" s="19"/>
      <c r="GQ455" s="19"/>
      <c r="GR455" s="19"/>
      <c r="GS455" s="19"/>
      <c r="GT455" s="19"/>
      <c r="GU455" s="19"/>
      <c r="GV455" s="19"/>
      <c r="GW455" s="19"/>
      <c r="GX455" s="19"/>
      <c r="GY455" s="19"/>
      <c r="GZ455" s="19"/>
      <c r="HA455" s="19"/>
      <c r="HB455" s="19"/>
    </row>
    <row r="456" spans="1:210"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c r="FZ456" s="19"/>
      <c r="GA456" s="19"/>
      <c r="GB456" s="19"/>
      <c r="GC456" s="19"/>
      <c r="GD456" s="19"/>
      <c r="GE456" s="19"/>
      <c r="GF456" s="19"/>
      <c r="GG456" s="19"/>
      <c r="GH456" s="19"/>
      <c r="GI456" s="19"/>
      <c r="GJ456" s="19"/>
      <c r="GK456" s="19"/>
      <c r="GL456" s="19"/>
      <c r="GM456" s="19"/>
      <c r="GN456" s="19"/>
      <c r="GO456" s="19"/>
      <c r="GP456" s="19"/>
      <c r="GQ456" s="19"/>
      <c r="GR456" s="19"/>
      <c r="GS456" s="19"/>
      <c r="GT456" s="19"/>
      <c r="GU456" s="19"/>
      <c r="GV456" s="19"/>
      <c r="GW456" s="19"/>
      <c r="GX456" s="19"/>
      <c r="GY456" s="19"/>
      <c r="GZ456" s="19"/>
      <c r="HA456" s="19"/>
      <c r="HB456" s="19"/>
    </row>
    <row r="457" spans="1:210"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c r="FZ457" s="19"/>
      <c r="GA457" s="19"/>
      <c r="GB457" s="19"/>
      <c r="GC457" s="19"/>
      <c r="GD457" s="19"/>
      <c r="GE457" s="19"/>
      <c r="GF457" s="19"/>
      <c r="GG457" s="19"/>
      <c r="GH457" s="19"/>
      <c r="GI457" s="19"/>
      <c r="GJ457" s="19"/>
      <c r="GK457" s="19"/>
      <c r="GL457" s="19"/>
      <c r="GM457" s="19"/>
      <c r="GN457" s="19"/>
      <c r="GO457" s="19"/>
      <c r="GP457" s="19"/>
      <c r="GQ457" s="19"/>
      <c r="GR457" s="19"/>
      <c r="GS457" s="19"/>
      <c r="GT457" s="19"/>
      <c r="GU457" s="19"/>
      <c r="GV457" s="19"/>
      <c r="GW457" s="19"/>
      <c r="GX457" s="19"/>
      <c r="GY457" s="19"/>
      <c r="GZ457" s="19"/>
      <c r="HA457" s="19"/>
      <c r="HB457" s="19"/>
    </row>
    <row r="458" spans="1:210"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c r="FJ458" s="19"/>
      <c r="FK458" s="19"/>
      <c r="FL458" s="19"/>
      <c r="FM458" s="19"/>
      <c r="FN458" s="19"/>
      <c r="FO458" s="19"/>
      <c r="FP458" s="19"/>
      <c r="FQ458" s="19"/>
      <c r="FR458" s="19"/>
      <c r="FS458" s="19"/>
      <c r="FT458" s="19"/>
      <c r="FU458" s="19"/>
      <c r="FV458" s="19"/>
      <c r="FW458" s="19"/>
      <c r="FX458" s="19"/>
      <c r="FY458" s="19"/>
      <c r="FZ458" s="19"/>
      <c r="GA458" s="19"/>
      <c r="GB458" s="19"/>
      <c r="GC458" s="19"/>
      <c r="GD458" s="19"/>
      <c r="GE458" s="19"/>
      <c r="GF458" s="19"/>
      <c r="GG458" s="19"/>
      <c r="GH458" s="19"/>
      <c r="GI458" s="19"/>
      <c r="GJ458" s="19"/>
      <c r="GK458" s="19"/>
      <c r="GL458" s="19"/>
      <c r="GM458" s="19"/>
      <c r="GN458" s="19"/>
      <c r="GO458" s="19"/>
      <c r="GP458" s="19"/>
      <c r="GQ458" s="19"/>
      <c r="GR458" s="19"/>
      <c r="GS458" s="19"/>
      <c r="GT458" s="19"/>
      <c r="GU458" s="19"/>
      <c r="GV458" s="19"/>
      <c r="GW458" s="19"/>
      <c r="GX458" s="19"/>
      <c r="GY458" s="19"/>
      <c r="GZ458" s="19"/>
      <c r="HA458" s="19"/>
      <c r="HB458" s="19"/>
    </row>
    <row r="459" spans="1:210"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c r="FJ459" s="19"/>
      <c r="FK459" s="19"/>
      <c r="FL459" s="19"/>
      <c r="FM459" s="19"/>
      <c r="FN459" s="19"/>
      <c r="FO459" s="19"/>
      <c r="FP459" s="19"/>
      <c r="FQ459" s="19"/>
      <c r="FR459" s="19"/>
      <c r="FS459" s="19"/>
      <c r="FT459" s="19"/>
      <c r="FU459" s="19"/>
      <c r="FV459" s="19"/>
      <c r="FW459" s="19"/>
      <c r="FX459" s="19"/>
      <c r="FY459" s="19"/>
      <c r="FZ459" s="19"/>
      <c r="GA459" s="19"/>
      <c r="GB459" s="19"/>
      <c r="GC459" s="19"/>
      <c r="GD459" s="19"/>
      <c r="GE459" s="19"/>
      <c r="GF459" s="19"/>
      <c r="GG459" s="19"/>
      <c r="GH459" s="19"/>
      <c r="GI459" s="19"/>
      <c r="GJ459" s="19"/>
      <c r="GK459" s="19"/>
      <c r="GL459" s="19"/>
      <c r="GM459" s="19"/>
      <c r="GN459" s="19"/>
      <c r="GO459" s="19"/>
      <c r="GP459" s="19"/>
      <c r="GQ459" s="19"/>
      <c r="GR459" s="19"/>
      <c r="GS459" s="19"/>
      <c r="GT459" s="19"/>
      <c r="GU459" s="19"/>
      <c r="GV459" s="19"/>
      <c r="GW459" s="19"/>
      <c r="GX459" s="19"/>
      <c r="GY459" s="19"/>
      <c r="GZ459" s="19"/>
      <c r="HA459" s="19"/>
      <c r="HB459" s="19"/>
    </row>
    <row r="460" spans="1:210"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c r="FJ460" s="19"/>
      <c r="FK460" s="19"/>
      <c r="FL460" s="19"/>
      <c r="FM460" s="19"/>
      <c r="FN460" s="19"/>
      <c r="FO460" s="19"/>
      <c r="FP460" s="19"/>
      <c r="FQ460" s="19"/>
      <c r="FR460" s="19"/>
      <c r="FS460" s="19"/>
      <c r="FT460" s="19"/>
      <c r="FU460" s="19"/>
      <c r="FV460" s="19"/>
      <c r="FW460" s="19"/>
      <c r="FX460" s="19"/>
      <c r="FY460" s="19"/>
      <c r="FZ460" s="19"/>
      <c r="GA460" s="19"/>
      <c r="GB460" s="19"/>
      <c r="GC460" s="19"/>
      <c r="GD460" s="19"/>
      <c r="GE460" s="19"/>
      <c r="GF460" s="19"/>
      <c r="GG460" s="19"/>
      <c r="GH460" s="19"/>
      <c r="GI460" s="19"/>
      <c r="GJ460" s="19"/>
      <c r="GK460" s="19"/>
      <c r="GL460" s="19"/>
      <c r="GM460" s="19"/>
      <c r="GN460" s="19"/>
      <c r="GO460" s="19"/>
      <c r="GP460" s="19"/>
      <c r="GQ460" s="19"/>
      <c r="GR460" s="19"/>
      <c r="GS460" s="19"/>
      <c r="GT460" s="19"/>
      <c r="GU460" s="19"/>
      <c r="GV460" s="19"/>
      <c r="GW460" s="19"/>
      <c r="GX460" s="19"/>
      <c r="GY460" s="19"/>
      <c r="GZ460" s="19"/>
      <c r="HA460" s="19"/>
      <c r="HB460" s="19"/>
    </row>
    <row r="461" spans="1:210"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c r="FZ461" s="19"/>
      <c r="GA461" s="19"/>
      <c r="GB461" s="19"/>
      <c r="GC461" s="19"/>
      <c r="GD461" s="19"/>
      <c r="GE461" s="19"/>
      <c r="GF461" s="19"/>
      <c r="GG461" s="19"/>
      <c r="GH461" s="19"/>
      <c r="GI461" s="19"/>
      <c r="GJ461" s="19"/>
      <c r="GK461" s="19"/>
      <c r="GL461" s="19"/>
      <c r="GM461" s="19"/>
      <c r="GN461" s="19"/>
      <c r="GO461" s="19"/>
      <c r="GP461" s="19"/>
      <c r="GQ461" s="19"/>
      <c r="GR461" s="19"/>
      <c r="GS461" s="19"/>
      <c r="GT461" s="19"/>
      <c r="GU461" s="19"/>
      <c r="GV461" s="19"/>
      <c r="GW461" s="19"/>
      <c r="GX461" s="19"/>
      <c r="GY461" s="19"/>
      <c r="GZ461" s="19"/>
      <c r="HA461" s="19"/>
      <c r="HB461" s="19"/>
    </row>
    <row r="462" spans="1:210"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c r="FJ462" s="19"/>
      <c r="FK462" s="19"/>
      <c r="FL462" s="19"/>
      <c r="FM462" s="19"/>
      <c r="FN462" s="19"/>
      <c r="FO462" s="19"/>
      <c r="FP462" s="19"/>
      <c r="FQ462" s="19"/>
      <c r="FR462" s="19"/>
      <c r="FS462" s="19"/>
      <c r="FT462" s="19"/>
      <c r="FU462" s="19"/>
      <c r="FV462" s="19"/>
      <c r="FW462" s="19"/>
      <c r="FX462" s="19"/>
      <c r="FY462" s="19"/>
      <c r="FZ462" s="19"/>
      <c r="GA462" s="19"/>
      <c r="GB462" s="19"/>
      <c r="GC462" s="19"/>
      <c r="GD462" s="19"/>
      <c r="GE462" s="19"/>
      <c r="GF462" s="19"/>
      <c r="GG462" s="19"/>
      <c r="GH462" s="19"/>
      <c r="GI462" s="19"/>
      <c r="GJ462" s="19"/>
      <c r="GK462" s="19"/>
      <c r="GL462" s="19"/>
      <c r="GM462" s="19"/>
      <c r="GN462" s="19"/>
      <c r="GO462" s="19"/>
      <c r="GP462" s="19"/>
      <c r="GQ462" s="19"/>
      <c r="GR462" s="19"/>
      <c r="GS462" s="19"/>
      <c r="GT462" s="19"/>
      <c r="GU462" s="19"/>
      <c r="GV462" s="19"/>
      <c r="GW462" s="19"/>
      <c r="GX462" s="19"/>
      <c r="GY462" s="19"/>
      <c r="GZ462" s="19"/>
      <c r="HA462" s="19"/>
      <c r="HB462" s="19"/>
    </row>
    <row r="463" spans="1:210"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c r="FJ463" s="19"/>
      <c r="FK463" s="19"/>
      <c r="FL463" s="19"/>
      <c r="FM463" s="19"/>
      <c r="FN463" s="19"/>
      <c r="FO463" s="19"/>
      <c r="FP463" s="19"/>
      <c r="FQ463" s="19"/>
      <c r="FR463" s="19"/>
      <c r="FS463" s="19"/>
      <c r="FT463" s="19"/>
      <c r="FU463" s="19"/>
      <c r="FV463" s="19"/>
      <c r="FW463" s="19"/>
      <c r="FX463" s="19"/>
      <c r="FY463" s="19"/>
      <c r="FZ463" s="19"/>
      <c r="GA463" s="19"/>
      <c r="GB463" s="19"/>
      <c r="GC463" s="19"/>
      <c r="GD463" s="19"/>
      <c r="GE463" s="19"/>
      <c r="GF463" s="19"/>
      <c r="GG463" s="19"/>
      <c r="GH463" s="19"/>
      <c r="GI463" s="19"/>
      <c r="GJ463" s="19"/>
      <c r="GK463" s="19"/>
      <c r="GL463" s="19"/>
      <c r="GM463" s="19"/>
      <c r="GN463" s="19"/>
      <c r="GO463" s="19"/>
      <c r="GP463" s="19"/>
      <c r="GQ463" s="19"/>
      <c r="GR463" s="19"/>
      <c r="GS463" s="19"/>
      <c r="GT463" s="19"/>
      <c r="GU463" s="19"/>
      <c r="GV463" s="19"/>
      <c r="GW463" s="19"/>
      <c r="GX463" s="19"/>
      <c r="GY463" s="19"/>
      <c r="GZ463" s="19"/>
      <c r="HA463" s="19"/>
      <c r="HB463" s="19"/>
    </row>
    <row r="464" spans="1:210"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c r="FJ464" s="19"/>
      <c r="FK464" s="19"/>
      <c r="FL464" s="19"/>
      <c r="FM464" s="19"/>
      <c r="FN464" s="19"/>
      <c r="FO464" s="19"/>
      <c r="FP464" s="19"/>
      <c r="FQ464" s="19"/>
      <c r="FR464" s="19"/>
      <c r="FS464" s="19"/>
      <c r="FT464" s="19"/>
      <c r="FU464" s="19"/>
      <c r="FV464" s="19"/>
      <c r="FW464" s="19"/>
      <c r="FX464" s="19"/>
      <c r="FY464" s="19"/>
      <c r="FZ464" s="19"/>
      <c r="GA464" s="19"/>
      <c r="GB464" s="19"/>
      <c r="GC464" s="19"/>
      <c r="GD464" s="19"/>
      <c r="GE464" s="19"/>
      <c r="GF464" s="19"/>
      <c r="GG464" s="19"/>
      <c r="GH464" s="19"/>
      <c r="GI464" s="19"/>
      <c r="GJ464" s="19"/>
      <c r="GK464" s="19"/>
      <c r="GL464" s="19"/>
      <c r="GM464" s="19"/>
      <c r="GN464" s="19"/>
      <c r="GO464" s="19"/>
      <c r="GP464" s="19"/>
      <c r="GQ464" s="19"/>
      <c r="GR464" s="19"/>
      <c r="GS464" s="19"/>
      <c r="GT464" s="19"/>
      <c r="GU464" s="19"/>
      <c r="GV464" s="19"/>
      <c r="GW464" s="19"/>
      <c r="GX464" s="19"/>
      <c r="GY464" s="19"/>
      <c r="GZ464" s="19"/>
      <c r="HA464" s="19"/>
      <c r="HB464" s="19"/>
    </row>
    <row r="465" spans="1:210"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c r="FZ465" s="19"/>
      <c r="GA465" s="19"/>
      <c r="GB465" s="19"/>
      <c r="GC465" s="19"/>
      <c r="GD465" s="19"/>
      <c r="GE465" s="19"/>
      <c r="GF465" s="19"/>
      <c r="GG465" s="19"/>
      <c r="GH465" s="19"/>
      <c r="GI465" s="19"/>
      <c r="GJ465" s="19"/>
      <c r="GK465" s="19"/>
      <c r="GL465" s="19"/>
      <c r="GM465" s="19"/>
      <c r="GN465" s="19"/>
      <c r="GO465" s="19"/>
      <c r="GP465" s="19"/>
      <c r="GQ465" s="19"/>
      <c r="GR465" s="19"/>
      <c r="GS465" s="19"/>
      <c r="GT465" s="19"/>
      <c r="GU465" s="19"/>
      <c r="GV465" s="19"/>
      <c r="GW465" s="19"/>
      <c r="GX465" s="19"/>
      <c r="GY465" s="19"/>
      <c r="GZ465" s="19"/>
      <c r="HA465" s="19"/>
      <c r="HB465" s="19"/>
    </row>
    <row r="466" spans="1:210"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c r="FJ466" s="19"/>
      <c r="FK466" s="19"/>
      <c r="FL466" s="19"/>
      <c r="FM466" s="19"/>
      <c r="FN466" s="19"/>
      <c r="FO466" s="19"/>
      <c r="FP466" s="19"/>
      <c r="FQ466" s="19"/>
      <c r="FR466" s="19"/>
      <c r="FS466" s="19"/>
      <c r="FT466" s="19"/>
      <c r="FU466" s="19"/>
      <c r="FV466" s="19"/>
      <c r="FW466" s="19"/>
      <c r="FX466" s="19"/>
      <c r="FY466" s="19"/>
      <c r="FZ466" s="19"/>
      <c r="GA466" s="19"/>
      <c r="GB466" s="19"/>
      <c r="GC466" s="19"/>
      <c r="GD466" s="19"/>
      <c r="GE466" s="19"/>
      <c r="GF466" s="19"/>
      <c r="GG466" s="19"/>
      <c r="GH466" s="19"/>
      <c r="GI466" s="19"/>
      <c r="GJ466" s="19"/>
      <c r="GK466" s="19"/>
      <c r="GL466" s="19"/>
      <c r="GM466" s="19"/>
      <c r="GN466" s="19"/>
      <c r="GO466" s="19"/>
      <c r="GP466" s="19"/>
      <c r="GQ466" s="19"/>
      <c r="GR466" s="19"/>
      <c r="GS466" s="19"/>
      <c r="GT466" s="19"/>
      <c r="GU466" s="19"/>
      <c r="GV466" s="19"/>
      <c r="GW466" s="19"/>
      <c r="GX466" s="19"/>
      <c r="GY466" s="19"/>
      <c r="GZ466" s="19"/>
      <c r="HA466" s="19"/>
      <c r="HB466" s="19"/>
    </row>
    <row r="467" spans="1:210"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c r="FJ467" s="19"/>
      <c r="FK467" s="19"/>
      <c r="FL467" s="19"/>
      <c r="FM467" s="19"/>
      <c r="FN467" s="19"/>
      <c r="FO467" s="19"/>
      <c r="FP467" s="19"/>
      <c r="FQ467" s="19"/>
      <c r="FR467" s="19"/>
      <c r="FS467" s="19"/>
      <c r="FT467" s="19"/>
      <c r="FU467" s="19"/>
      <c r="FV467" s="19"/>
      <c r="FW467" s="19"/>
      <c r="FX467" s="19"/>
      <c r="FY467" s="19"/>
      <c r="FZ467" s="19"/>
      <c r="GA467" s="19"/>
      <c r="GB467" s="19"/>
      <c r="GC467" s="19"/>
      <c r="GD467" s="19"/>
      <c r="GE467" s="19"/>
      <c r="GF467" s="19"/>
      <c r="GG467" s="19"/>
      <c r="GH467" s="19"/>
      <c r="GI467" s="19"/>
      <c r="GJ467" s="19"/>
      <c r="GK467" s="19"/>
      <c r="GL467" s="19"/>
      <c r="GM467" s="19"/>
      <c r="GN467" s="19"/>
      <c r="GO467" s="19"/>
      <c r="GP467" s="19"/>
      <c r="GQ467" s="19"/>
      <c r="GR467" s="19"/>
      <c r="GS467" s="19"/>
      <c r="GT467" s="19"/>
      <c r="GU467" s="19"/>
      <c r="GV467" s="19"/>
      <c r="GW467" s="19"/>
      <c r="GX467" s="19"/>
      <c r="GY467" s="19"/>
      <c r="GZ467" s="19"/>
      <c r="HA467" s="19"/>
      <c r="HB467" s="19"/>
    </row>
    <row r="468" spans="1:210"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c r="FJ468" s="19"/>
      <c r="FK468" s="19"/>
      <c r="FL468" s="19"/>
      <c r="FM468" s="19"/>
      <c r="FN468" s="19"/>
      <c r="FO468" s="19"/>
      <c r="FP468" s="19"/>
      <c r="FQ468" s="19"/>
      <c r="FR468" s="19"/>
      <c r="FS468" s="19"/>
      <c r="FT468" s="19"/>
      <c r="FU468" s="19"/>
      <c r="FV468" s="19"/>
      <c r="FW468" s="19"/>
      <c r="FX468" s="19"/>
      <c r="FY468" s="19"/>
      <c r="FZ468" s="19"/>
      <c r="GA468" s="19"/>
      <c r="GB468" s="19"/>
      <c r="GC468" s="19"/>
      <c r="GD468" s="19"/>
      <c r="GE468" s="19"/>
      <c r="GF468" s="19"/>
      <c r="GG468" s="19"/>
      <c r="GH468" s="19"/>
      <c r="GI468" s="19"/>
      <c r="GJ468" s="19"/>
      <c r="GK468" s="19"/>
      <c r="GL468" s="19"/>
      <c r="GM468" s="19"/>
      <c r="GN468" s="19"/>
      <c r="GO468" s="19"/>
      <c r="GP468" s="19"/>
      <c r="GQ468" s="19"/>
      <c r="GR468" s="19"/>
      <c r="GS468" s="19"/>
      <c r="GT468" s="19"/>
      <c r="GU468" s="19"/>
      <c r="GV468" s="19"/>
      <c r="GW468" s="19"/>
      <c r="GX468" s="19"/>
      <c r="GY468" s="19"/>
      <c r="GZ468" s="19"/>
      <c r="HA468" s="19"/>
      <c r="HB468" s="19"/>
    </row>
    <row r="469" spans="1:210"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19"/>
      <c r="GC469" s="19"/>
      <c r="GD469" s="19"/>
      <c r="GE469" s="19"/>
      <c r="GF469" s="19"/>
      <c r="GG469" s="19"/>
      <c r="GH469" s="19"/>
      <c r="GI469" s="19"/>
      <c r="GJ469" s="19"/>
      <c r="GK469" s="19"/>
      <c r="GL469" s="19"/>
      <c r="GM469" s="19"/>
      <c r="GN469" s="19"/>
      <c r="GO469" s="19"/>
      <c r="GP469" s="19"/>
      <c r="GQ469" s="19"/>
      <c r="GR469" s="19"/>
      <c r="GS469" s="19"/>
      <c r="GT469" s="19"/>
      <c r="GU469" s="19"/>
      <c r="GV469" s="19"/>
      <c r="GW469" s="19"/>
      <c r="GX469" s="19"/>
      <c r="GY469" s="19"/>
      <c r="GZ469" s="19"/>
      <c r="HA469" s="19"/>
      <c r="HB469" s="19"/>
    </row>
    <row r="470" spans="1:210"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c r="FZ470" s="19"/>
      <c r="GA470" s="19"/>
      <c r="GB470" s="19"/>
      <c r="GC470" s="19"/>
      <c r="GD470" s="19"/>
      <c r="GE470" s="19"/>
      <c r="GF470" s="19"/>
      <c r="GG470" s="19"/>
      <c r="GH470" s="19"/>
      <c r="GI470" s="19"/>
      <c r="GJ470" s="19"/>
      <c r="GK470" s="19"/>
      <c r="GL470" s="19"/>
      <c r="GM470" s="19"/>
      <c r="GN470" s="19"/>
      <c r="GO470" s="19"/>
      <c r="GP470" s="19"/>
      <c r="GQ470" s="19"/>
      <c r="GR470" s="19"/>
      <c r="GS470" s="19"/>
      <c r="GT470" s="19"/>
      <c r="GU470" s="19"/>
      <c r="GV470" s="19"/>
      <c r="GW470" s="19"/>
      <c r="GX470" s="19"/>
      <c r="GY470" s="19"/>
      <c r="GZ470" s="19"/>
      <c r="HA470" s="19"/>
      <c r="HB470" s="19"/>
    </row>
    <row r="471" spans="1:210"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c r="FZ471" s="19"/>
      <c r="GA471" s="19"/>
      <c r="GB471" s="19"/>
      <c r="GC471" s="19"/>
      <c r="GD471" s="19"/>
      <c r="GE471" s="19"/>
      <c r="GF471" s="19"/>
      <c r="GG471" s="19"/>
      <c r="GH471" s="19"/>
      <c r="GI471" s="19"/>
      <c r="GJ471" s="19"/>
      <c r="GK471" s="19"/>
      <c r="GL471" s="19"/>
      <c r="GM471" s="19"/>
      <c r="GN471" s="19"/>
      <c r="GO471" s="19"/>
      <c r="GP471" s="19"/>
      <c r="GQ471" s="19"/>
      <c r="GR471" s="19"/>
      <c r="GS471" s="19"/>
      <c r="GT471" s="19"/>
      <c r="GU471" s="19"/>
      <c r="GV471" s="19"/>
      <c r="GW471" s="19"/>
      <c r="GX471" s="19"/>
      <c r="GY471" s="19"/>
      <c r="GZ471" s="19"/>
      <c r="HA471" s="19"/>
      <c r="HB471" s="19"/>
    </row>
    <row r="472" spans="1:210"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c r="FZ472" s="19"/>
      <c r="GA472" s="19"/>
      <c r="GB472" s="19"/>
      <c r="GC472" s="19"/>
      <c r="GD472" s="19"/>
      <c r="GE472" s="19"/>
      <c r="GF472" s="19"/>
      <c r="GG472" s="19"/>
      <c r="GH472" s="19"/>
      <c r="GI472" s="19"/>
      <c r="GJ472" s="19"/>
      <c r="GK472" s="19"/>
      <c r="GL472" s="19"/>
      <c r="GM472" s="19"/>
      <c r="GN472" s="19"/>
      <c r="GO472" s="19"/>
      <c r="GP472" s="19"/>
      <c r="GQ472" s="19"/>
      <c r="GR472" s="19"/>
      <c r="GS472" s="19"/>
      <c r="GT472" s="19"/>
      <c r="GU472" s="19"/>
      <c r="GV472" s="19"/>
      <c r="GW472" s="19"/>
      <c r="GX472" s="19"/>
      <c r="GY472" s="19"/>
      <c r="GZ472" s="19"/>
      <c r="HA472" s="19"/>
      <c r="HB472" s="19"/>
    </row>
    <row r="473" spans="1:210"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c r="GE473" s="19"/>
      <c r="GF473" s="19"/>
      <c r="GG473" s="19"/>
      <c r="GH473" s="19"/>
      <c r="GI473" s="19"/>
      <c r="GJ473" s="19"/>
      <c r="GK473" s="19"/>
      <c r="GL473" s="19"/>
      <c r="GM473" s="19"/>
      <c r="GN473" s="19"/>
      <c r="GO473" s="19"/>
      <c r="GP473" s="19"/>
      <c r="GQ473" s="19"/>
      <c r="GR473" s="19"/>
      <c r="GS473" s="19"/>
      <c r="GT473" s="19"/>
      <c r="GU473" s="19"/>
      <c r="GV473" s="19"/>
      <c r="GW473" s="19"/>
      <c r="GX473" s="19"/>
      <c r="GY473" s="19"/>
      <c r="GZ473" s="19"/>
      <c r="HA473" s="19"/>
      <c r="HB473" s="19"/>
    </row>
    <row r="474" spans="1:210"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c r="GE474" s="19"/>
      <c r="GF474" s="19"/>
      <c r="GG474" s="19"/>
      <c r="GH474" s="19"/>
      <c r="GI474" s="19"/>
      <c r="GJ474" s="19"/>
      <c r="GK474" s="19"/>
      <c r="GL474" s="19"/>
      <c r="GM474" s="19"/>
      <c r="GN474" s="19"/>
      <c r="GO474" s="19"/>
      <c r="GP474" s="19"/>
      <c r="GQ474" s="19"/>
      <c r="GR474" s="19"/>
      <c r="GS474" s="19"/>
      <c r="GT474" s="19"/>
      <c r="GU474" s="19"/>
      <c r="GV474" s="19"/>
      <c r="GW474" s="19"/>
      <c r="GX474" s="19"/>
      <c r="GY474" s="19"/>
      <c r="GZ474" s="19"/>
      <c r="HA474" s="19"/>
      <c r="HB474" s="19"/>
    </row>
    <row r="475" spans="1:210"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c r="FZ475" s="19"/>
      <c r="GA475" s="19"/>
      <c r="GB475" s="19"/>
      <c r="GC475" s="19"/>
      <c r="GD475" s="19"/>
      <c r="GE475" s="19"/>
      <c r="GF475" s="19"/>
      <c r="GG475" s="19"/>
      <c r="GH475" s="19"/>
      <c r="GI475" s="19"/>
      <c r="GJ475" s="19"/>
      <c r="GK475" s="19"/>
      <c r="GL475" s="19"/>
      <c r="GM475" s="19"/>
      <c r="GN475" s="19"/>
      <c r="GO475" s="19"/>
      <c r="GP475" s="19"/>
      <c r="GQ475" s="19"/>
      <c r="GR475" s="19"/>
      <c r="GS475" s="19"/>
      <c r="GT475" s="19"/>
      <c r="GU475" s="19"/>
      <c r="GV475" s="19"/>
      <c r="GW475" s="19"/>
      <c r="GX475" s="19"/>
      <c r="GY475" s="19"/>
      <c r="GZ475" s="19"/>
      <c r="HA475" s="19"/>
      <c r="HB475" s="19"/>
    </row>
    <row r="476" spans="1:210"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c r="FZ476" s="19"/>
      <c r="GA476" s="19"/>
      <c r="GB476" s="19"/>
      <c r="GC476" s="19"/>
      <c r="GD476" s="19"/>
      <c r="GE476" s="19"/>
      <c r="GF476" s="19"/>
      <c r="GG476" s="19"/>
      <c r="GH476" s="19"/>
      <c r="GI476" s="19"/>
      <c r="GJ476" s="19"/>
      <c r="GK476" s="19"/>
      <c r="GL476" s="19"/>
      <c r="GM476" s="19"/>
      <c r="GN476" s="19"/>
      <c r="GO476" s="19"/>
      <c r="GP476" s="19"/>
      <c r="GQ476" s="19"/>
      <c r="GR476" s="19"/>
      <c r="GS476" s="19"/>
      <c r="GT476" s="19"/>
      <c r="GU476" s="19"/>
      <c r="GV476" s="19"/>
      <c r="GW476" s="19"/>
      <c r="GX476" s="19"/>
      <c r="GY476" s="19"/>
      <c r="GZ476" s="19"/>
      <c r="HA476" s="19"/>
      <c r="HB476" s="19"/>
    </row>
    <row r="477" spans="1:210"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c r="GE477" s="19"/>
      <c r="GF477" s="19"/>
      <c r="GG477" s="19"/>
      <c r="GH477" s="19"/>
      <c r="GI477" s="19"/>
      <c r="GJ477" s="19"/>
      <c r="GK477" s="19"/>
      <c r="GL477" s="19"/>
      <c r="GM477" s="19"/>
      <c r="GN477" s="19"/>
      <c r="GO477" s="19"/>
      <c r="GP477" s="19"/>
      <c r="GQ477" s="19"/>
      <c r="GR477" s="19"/>
      <c r="GS477" s="19"/>
      <c r="GT477" s="19"/>
      <c r="GU477" s="19"/>
      <c r="GV477" s="19"/>
      <c r="GW477" s="19"/>
      <c r="GX477" s="19"/>
      <c r="GY477" s="19"/>
      <c r="GZ477" s="19"/>
      <c r="HA477" s="19"/>
      <c r="HB477" s="19"/>
    </row>
    <row r="478" spans="1:210"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c r="FJ478" s="19"/>
      <c r="FK478" s="19"/>
      <c r="FL478" s="19"/>
      <c r="FM478" s="19"/>
      <c r="FN478" s="19"/>
      <c r="FO478" s="19"/>
      <c r="FP478" s="19"/>
      <c r="FQ478" s="19"/>
      <c r="FR478" s="19"/>
      <c r="FS478" s="19"/>
      <c r="FT478" s="19"/>
      <c r="FU478" s="19"/>
      <c r="FV478" s="19"/>
      <c r="FW478" s="19"/>
      <c r="FX478" s="19"/>
      <c r="FY478" s="19"/>
      <c r="FZ478" s="19"/>
      <c r="GA478" s="19"/>
      <c r="GB478" s="19"/>
      <c r="GC478" s="19"/>
      <c r="GD478" s="19"/>
      <c r="GE478" s="19"/>
      <c r="GF478" s="19"/>
      <c r="GG478" s="19"/>
      <c r="GH478" s="19"/>
      <c r="GI478" s="19"/>
      <c r="GJ478" s="19"/>
      <c r="GK478" s="19"/>
      <c r="GL478" s="19"/>
      <c r="GM478" s="19"/>
      <c r="GN478" s="19"/>
      <c r="GO478" s="19"/>
      <c r="GP478" s="19"/>
      <c r="GQ478" s="19"/>
      <c r="GR478" s="19"/>
      <c r="GS478" s="19"/>
      <c r="GT478" s="19"/>
      <c r="GU478" s="19"/>
      <c r="GV478" s="19"/>
      <c r="GW478" s="19"/>
      <c r="GX478" s="19"/>
      <c r="GY478" s="19"/>
      <c r="GZ478" s="19"/>
      <c r="HA478" s="19"/>
      <c r="HB478" s="19"/>
    </row>
    <row r="479" spans="1:210"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c r="FJ479" s="19"/>
      <c r="FK479" s="19"/>
      <c r="FL479" s="19"/>
      <c r="FM479" s="19"/>
      <c r="FN479" s="19"/>
      <c r="FO479" s="19"/>
      <c r="FP479" s="19"/>
      <c r="FQ479" s="19"/>
      <c r="FR479" s="19"/>
      <c r="FS479" s="19"/>
      <c r="FT479" s="19"/>
      <c r="FU479" s="19"/>
      <c r="FV479" s="19"/>
      <c r="FW479" s="19"/>
      <c r="FX479" s="19"/>
      <c r="FY479" s="19"/>
      <c r="FZ479" s="19"/>
      <c r="GA479" s="19"/>
      <c r="GB479" s="19"/>
      <c r="GC479" s="19"/>
      <c r="GD479" s="19"/>
      <c r="GE479" s="19"/>
      <c r="GF479" s="19"/>
      <c r="GG479" s="19"/>
      <c r="GH479" s="19"/>
      <c r="GI479" s="19"/>
      <c r="GJ479" s="19"/>
      <c r="GK479" s="19"/>
      <c r="GL479" s="19"/>
      <c r="GM479" s="19"/>
      <c r="GN479" s="19"/>
      <c r="GO479" s="19"/>
      <c r="GP479" s="19"/>
      <c r="GQ479" s="19"/>
      <c r="GR479" s="19"/>
      <c r="GS479" s="19"/>
      <c r="GT479" s="19"/>
      <c r="GU479" s="19"/>
      <c r="GV479" s="19"/>
      <c r="GW479" s="19"/>
      <c r="GX479" s="19"/>
      <c r="GY479" s="19"/>
      <c r="GZ479" s="19"/>
      <c r="HA479" s="19"/>
      <c r="HB479" s="19"/>
    </row>
    <row r="480" spans="1:210"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c r="FZ480" s="19"/>
      <c r="GA480" s="19"/>
      <c r="GB480" s="19"/>
      <c r="GC480" s="19"/>
      <c r="GD480" s="19"/>
      <c r="GE480" s="19"/>
      <c r="GF480" s="19"/>
      <c r="GG480" s="19"/>
      <c r="GH480" s="19"/>
      <c r="GI480" s="19"/>
      <c r="GJ480" s="19"/>
      <c r="GK480" s="19"/>
      <c r="GL480" s="19"/>
      <c r="GM480" s="19"/>
      <c r="GN480" s="19"/>
      <c r="GO480" s="19"/>
      <c r="GP480" s="19"/>
      <c r="GQ480" s="19"/>
      <c r="GR480" s="19"/>
      <c r="GS480" s="19"/>
      <c r="GT480" s="19"/>
      <c r="GU480" s="19"/>
      <c r="GV480" s="19"/>
      <c r="GW480" s="19"/>
      <c r="GX480" s="19"/>
      <c r="GY480" s="19"/>
      <c r="GZ480" s="19"/>
      <c r="HA480" s="19"/>
      <c r="HB480" s="19"/>
    </row>
    <row r="481" spans="1:210"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c r="FJ481" s="19"/>
      <c r="FK481" s="19"/>
      <c r="FL481" s="19"/>
      <c r="FM481" s="19"/>
      <c r="FN481" s="19"/>
      <c r="FO481" s="19"/>
      <c r="FP481" s="19"/>
      <c r="FQ481" s="19"/>
      <c r="FR481" s="19"/>
      <c r="FS481" s="19"/>
      <c r="FT481" s="19"/>
      <c r="FU481" s="19"/>
      <c r="FV481" s="19"/>
      <c r="FW481" s="19"/>
      <c r="FX481" s="19"/>
      <c r="FY481" s="19"/>
      <c r="FZ481" s="19"/>
      <c r="GA481" s="19"/>
      <c r="GB481" s="19"/>
      <c r="GC481" s="19"/>
      <c r="GD481" s="19"/>
      <c r="GE481" s="19"/>
      <c r="GF481" s="19"/>
      <c r="GG481" s="19"/>
      <c r="GH481" s="19"/>
      <c r="GI481" s="19"/>
      <c r="GJ481" s="19"/>
      <c r="GK481" s="19"/>
      <c r="GL481" s="19"/>
      <c r="GM481" s="19"/>
      <c r="GN481" s="19"/>
      <c r="GO481" s="19"/>
      <c r="GP481" s="19"/>
      <c r="GQ481" s="19"/>
      <c r="GR481" s="19"/>
      <c r="GS481" s="19"/>
      <c r="GT481" s="19"/>
      <c r="GU481" s="19"/>
      <c r="GV481" s="19"/>
      <c r="GW481" s="19"/>
      <c r="GX481" s="19"/>
      <c r="GY481" s="19"/>
      <c r="GZ481" s="19"/>
      <c r="HA481" s="19"/>
      <c r="HB481" s="19"/>
    </row>
    <row r="482" spans="1:210"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c r="FJ482" s="19"/>
      <c r="FK482" s="19"/>
      <c r="FL482" s="19"/>
      <c r="FM482" s="19"/>
      <c r="FN482" s="19"/>
      <c r="FO482" s="19"/>
      <c r="FP482" s="19"/>
      <c r="FQ482" s="19"/>
      <c r="FR482" s="19"/>
      <c r="FS482" s="19"/>
      <c r="FT482" s="19"/>
      <c r="FU482" s="19"/>
      <c r="FV482" s="19"/>
      <c r="FW482" s="19"/>
      <c r="FX482" s="19"/>
      <c r="FY482" s="19"/>
      <c r="FZ482" s="19"/>
      <c r="GA482" s="19"/>
      <c r="GB482" s="19"/>
      <c r="GC482" s="19"/>
      <c r="GD482" s="19"/>
      <c r="GE482" s="19"/>
      <c r="GF482" s="19"/>
      <c r="GG482" s="19"/>
      <c r="GH482" s="19"/>
      <c r="GI482" s="19"/>
      <c r="GJ482" s="19"/>
      <c r="GK482" s="19"/>
      <c r="GL482" s="19"/>
      <c r="GM482" s="19"/>
      <c r="GN482" s="19"/>
      <c r="GO482" s="19"/>
      <c r="GP482" s="19"/>
      <c r="GQ482" s="19"/>
      <c r="GR482" s="19"/>
      <c r="GS482" s="19"/>
      <c r="GT482" s="19"/>
      <c r="GU482" s="19"/>
      <c r="GV482" s="19"/>
      <c r="GW482" s="19"/>
      <c r="GX482" s="19"/>
      <c r="GY482" s="19"/>
      <c r="GZ482" s="19"/>
      <c r="HA482" s="19"/>
      <c r="HB482" s="19"/>
    </row>
    <row r="483" spans="1:210"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c r="FJ483" s="19"/>
      <c r="FK483" s="19"/>
      <c r="FL483" s="19"/>
      <c r="FM483" s="19"/>
      <c r="FN483" s="19"/>
      <c r="FO483" s="19"/>
      <c r="FP483" s="19"/>
      <c r="FQ483" s="19"/>
      <c r="FR483" s="19"/>
      <c r="FS483" s="19"/>
      <c r="FT483" s="19"/>
      <c r="FU483" s="19"/>
      <c r="FV483" s="19"/>
      <c r="FW483" s="19"/>
      <c r="FX483" s="19"/>
      <c r="FY483" s="19"/>
      <c r="FZ483" s="19"/>
      <c r="GA483" s="19"/>
      <c r="GB483" s="19"/>
      <c r="GC483" s="19"/>
      <c r="GD483" s="19"/>
      <c r="GE483" s="19"/>
      <c r="GF483" s="19"/>
      <c r="GG483" s="19"/>
      <c r="GH483" s="19"/>
      <c r="GI483" s="19"/>
      <c r="GJ483" s="19"/>
      <c r="GK483" s="19"/>
      <c r="GL483" s="19"/>
      <c r="GM483" s="19"/>
      <c r="GN483" s="19"/>
      <c r="GO483" s="19"/>
      <c r="GP483" s="19"/>
      <c r="GQ483" s="19"/>
      <c r="GR483" s="19"/>
      <c r="GS483" s="19"/>
      <c r="GT483" s="19"/>
      <c r="GU483" s="19"/>
      <c r="GV483" s="19"/>
      <c r="GW483" s="19"/>
      <c r="GX483" s="19"/>
      <c r="GY483" s="19"/>
      <c r="GZ483" s="19"/>
      <c r="HA483" s="19"/>
      <c r="HB483" s="19"/>
    </row>
    <row r="484" spans="1:210"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c r="FJ484" s="19"/>
      <c r="FK484" s="19"/>
      <c r="FL484" s="19"/>
      <c r="FM484" s="19"/>
      <c r="FN484" s="19"/>
      <c r="FO484" s="19"/>
      <c r="FP484" s="19"/>
      <c r="FQ484" s="19"/>
      <c r="FR484" s="19"/>
      <c r="FS484" s="19"/>
      <c r="FT484" s="19"/>
      <c r="FU484" s="19"/>
      <c r="FV484" s="19"/>
      <c r="FW484" s="19"/>
      <c r="FX484" s="19"/>
      <c r="FY484" s="19"/>
      <c r="FZ484" s="19"/>
      <c r="GA484" s="19"/>
      <c r="GB484" s="19"/>
      <c r="GC484" s="19"/>
      <c r="GD484" s="19"/>
      <c r="GE484" s="19"/>
      <c r="GF484" s="19"/>
      <c r="GG484" s="19"/>
      <c r="GH484" s="19"/>
      <c r="GI484" s="19"/>
      <c r="GJ484" s="19"/>
      <c r="GK484" s="19"/>
      <c r="GL484" s="19"/>
      <c r="GM484" s="19"/>
      <c r="GN484" s="19"/>
      <c r="GO484" s="19"/>
      <c r="GP484" s="19"/>
      <c r="GQ484" s="19"/>
      <c r="GR484" s="19"/>
      <c r="GS484" s="19"/>
      <c r="GT484" s="19"/>
      <c r="GU484" s="19"/>
      <c r="GV484" s="19"/>
      <c r="GW484" s="19"/>
      <c r="GX484" s="19"/>
      <c r="GY484" s="19"/>
      <c r="GZ484" s="19"/>
      <c r="HA484" s="19"/>
      <c r="HB484" s="19"/>
    </row>
    <row r="485" spans="1:210"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c r="FJ485" s="19"/>
      <c r="FK485" s="19"/>
      <c r="FL485" s="19"/>
      <c r="FM485" s="19"/>
      <c r="FN485" s="19"/>
      <c r="FO485" s="19"/>
      <c r="FP485" s="19"/>
      <c r="FQ485" s="19"/>
      <c r="FR485" s="19"/>
      <c r="FS485" s="19"/>
      <c r="FT485" s="19"/>
      <c r="FU485" s="19"/>
      <c r="FV485" s="19"/>
      <c r="FW485" s="19"/>
      <c r="FX485" s="19"/>
      <c r="FY485" s="19"/>
      <c r="FZ485" s="19"/>
      <c r="GA485" s="19"/>
      <c r="GB485" s="19"/>
      <c r="GC485" s="19"/>
      <c r="GD485" s="19"/>
      <c r="GE485" s="19"/>
      <c r="GF485" s="19"/>
      <c r="GG485" s="19"/>
      <c r="GH485" s="19"/>
      <c r="GI485" s="19"/>
      <c r="GJ485" s="19"/>
      <c r="GK485" s="19"/>
      <c r="GL485" s="19"/>
      <c r="GM485" s="19"/>
      <c r="GN485" s="19"/>
      <c r="GO485" s="19"/>
      <c r="GP485" s="19"/>
      <c r="GQ485" s="19"/>
      <c r="GR485" s="19"/>
      <c r="GS485" s="19"/>
      <c r="GT485" s="19"/>
      <c r="GU485" s="19"/>
      <c r="GV485" s="19"/>
      <c r="GW485" s="19"/>
      <c r="GX485" s="19"/>
      <c r="GY485" s="19"/>
      <c r="GZ485" s="19"/>
      <c r="HA485" s="19"/>
      <c r="HB485" s="19"/>
    </row>
    <row r="486" spans="1:210"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c r="FJ486" s="19"/>
      <c r="FK486" s="19"/>
      <c r="FL486" s="19"/>
      <c r="FM486" s="19"/>
      <c r="FN486" s="19"/>
      <c r="FO486" s="19"/>
      <c r="FP486" s="19"/>
      <c r="FQ486" s="19"/>
      <c r="FR486" s="19"/>
      <c r="FS486" s="19"/>
      <c r="FT486" s="19"/>
      <c r="FU486" s="19"/>
      <c r="FV486" s="19"/>
      <c r="FW486" s="19"/>
      <c r="FX486" s="19"/>
      <c r="FY486" s="19"/>
      <c r="FZ486" s="19"/>
      <c r="GA486" s="19"/>
      <c r="GB486" s="19"/>
      <c r="GC486" s="19"/>
      <c r="GD486" s="19"/>
      <c r="GE486" s="19"/>
      <c r="GF486" s="19"/>
      <c r="GG486" s="19"/>
      <c r="GH486" s="19"/>
      <c r="GI486" s="19"/>
      <c r="GJ486" s="19"/>
      <c r="GK486" s="19"/>
      <c r="GL486" s="19"/>
      <c r="GM486" s="19"/>
      <c r="GN486" s="19"/>
      <c r="GO486" s="19"/>
      <c r="GP486" s="19"/>
      <c r="GQ486" s="19"/>
      <c r="GR486" s="19"/>
      <c r="GS486" s="19"/>
      <c r="GT486" s="19"/>
      <c r="GU486" s="19"/>
      <c r="GV486" s="19"/>
      <c r="GW486" s="19"/>
      <c r="GX486" s="19"/>
      <c r="GY486" s="19"/>
      <c r="GZ486" s="19"/>
      <c r="HA486" s="19"/>
      <c r="HB486" s="19"/>
    </row>
    <row r="487" spans="1:210"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c r="FJ487" s="19"/>
      <c r="FK487" s="19"/>
      <c r="FL487" s="19"/>
      <c r="FM487" s="19"/>
      <c r="FN487" s="19"/>
      <c r="FO487" s="19"/>
      <c r="FP487" s="19"/>
      <c r="FQ487" s="19"/>
      <c r="FR487" s="19"/>
      <c r="FS487" s="19"/>
      <c r="FT487" s="19"/>
      <c r="FU487" s="19"/>
      <c r="FV487" s="19"/>
      <c r="FW487" s="19"/>
      <c r="FX487" s="19"/>
      <c r="FY487" s="19"/>
      <c r="FZ487" s="19"/>
      <c r="GA487" s="19"/>
      <c r="GB487" s="19"/>
      <c r="GC487" s="19"/>
      <c r="GD487" s="19"/>
      <c r="GE487" s="19"/>
      <c r="GF487" s="19"/>
      <c r="GG487" s="19"/>
      <c r="GH487" s="19"/>
      <c r="GI487" s="19"/>
      <c r="GJ487" s="19"/>
      <c r="GK487" s="19"/>
      <c r="GL487" s="19"/>
      <c r="GM487" s="19"/>
      <c r="GN487" s="19"/>
      <c r="GO487" s="19"/>
      <c r="GP487" s="19"/>
      <c r="GQ487" s="19"/>
      <c r="GR487" s="19"/>
      <c r="GS487" s="19"/>
      <c r="GT487" s="19"/>
      <c r="GU487" s="19"/>
      <c r="GV487" s="19"/>
      <c r="GW487" s="19"/>
      <c r="GX487" s="19"/>
      <c r="GY487" s="19"/>
      <c r="GZ487" s="19"/>
      <c r="HA487" s="19"/>
      <c r="HB487" s="19"/>
    </row>
    <row r="488" spans="1:210"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c r="FJ488" s="19"/>
      <c r="FK488" s="19"/>
      <c r="FL488" s="19"/>
      <c r="FM488" s="19"/>
      <c r="FN488" s="19"/>
      <c r="FO488" s="19"/>
      <c r="FP488" s="19"/>
      <c r="FQ488" s="19"/>
      <c r="FR488" s="19"/>
      <c r="FS488" s="19"/>
      <c r="FT488" s="19"/>
      <c r="FU488" s="19"/>
      <c r="FV488" s="19"/>
      <c r="FW488" s="19"/>
      <c r="FX488" s="19"/>
      <c r="FY488" s="19"/>
      <c r="FZ488" s="19"/>
      <c r="GA488" s="19"/>
      <c r="GB488" s="19"/>
      <c r="GC488" s="19"/>
      <c r="GD488" s="19"/>
      <c r="GE488" s="19"/>
      <c r="GF488" s="19"/>
      <c r="GG488" s="19"/>
      <c r="GH488" s="19"/>
      <c r="GI488" s="19"/>
      <c r="GJ488" s="19"/>
      <c r="GK488" s="19"/>
      <c r="GL488" s="19"/>
      <c r="GM488" s="19"/>
      <c r="GN488" s="19"/>
      <c r="GO488" s="19"/>
      <c r="GP488" s="19"/>
      <c r="GQ488" s="19"/>
      <c r="GR488" s="19"/>
      <c r="GS488" s="19"/>
      <c r="GT488" s="19"/>
      <c r="GU488" s="19"/>
      <c r="GV488" s="19"/>
      <c r="GW488" s="19"/>
      <c r="GX488" s="19"/>
      <c r="GY488" s="19"/>
      <c r="GZ488" s="19"/>
      <c r="HA488" s="19"/>
      <c r="HB488" s="19"/>
    </row>
    <row r="489" spans="1:210"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c r="FJ489" s="19"/>
      <c r="FK489" s="19"/>
      <c r="FL489" s="19"/>
      <c r="FM489" s="19"/>
      <c r="FN489" s="19"/>
      <c r="FO489" s="19"/>
      <c r="FP489" s="19"/>
      <c r="FQ489" s="19"/>
      <c r="FR489" s="19"/>
      <c r="FS489" s="19"/>
      <c r="FT489" s="19"/>
      <c r="FU489" s="19"/>
      <c r="FV489" s="19"/>
      <c r="FW489" s="19"/>
      <c r="FX489" s="19"/>
      <c r="FY489" s="19"/>
      <c r="FZ489" s="19"/>
      <c r="GA489" s="19"/>
      <c r="GB489" s="19"/>
      <c r="GC489" s="19"/>
      <c r="GD489" s="19"/>
      <c r="GE489" s="19"/>
      <c r="GF489" s="19"/>
      <c r="GG489" s="19"/>
      <c r="GH489" s="19"/>
      <c r="GI489" s="19"/>
      <c r="GJ489" s="19"/>
      <c r="GK489" s="19"/>
      <c r="GL489" s="19"/>
      <c r="GM489" s="19"/>
      <c r="GN489" s="19"/>
      <c r="GO489" s="19"/>
      <c r="GP489" s="19"/>
      <c r="GQ489" s="19"/>
      <c r="GR489" s="19"/>
      <c r="GS489" s="19"/>
      <c r="GT489" s="19"/>
      <c r="GU489" s="19"/>
      <c r="GV489" s="19"/>
      <c r="GW489" s="19"/>
      <c r="GX489" s="19"/>
      <c r="GY489" s="19"/>
      <c r="GZ489" s="19"/>
      <c r="HA489" s="19"/>
      <c r="HB489" s="19"/>
    </row>
    <row r="490" spans="1:210"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c r="FJ490" s="19"/>
      <c r="FK490" s="19"/>
      <c r="FL490" s="19"/>
      <c r="FM490" s="19"/>
      <c r="FN490" s="19"/>
      <c r="FO490" s="19"/>
      <c r="FP490" s="19"/>
      <c r="FQ490" s="19"/>
      <c r="FR490" s="19"/>
      <c r="FS490" s="19"/>
      <c r="FT490" s="19"/>
      <c r="FU490" s="19"/>
      <c r="FV490" s="19"/>
      <c r="FW490" s="19"/>
      <c r="FX490" s="19"/>
      <c r="FY490" s="19"/>
      <c r="FZ490" s="19"/>
      <c r="GA490" s="19"/>
      <c r="GB490" s="19"/>
      <c r="GC490" s="19"/>
      <c r="GD490" s="19"/>
      <c r="GE490" s="19"/>
      <c r="GF490" s="19"/>
      <c r="GG490" s="19"/>
      <c r="GH490" s="19"/>
      <c r="GI490" s="19"/>
      <c r="GJ490" s="19"/>
      <c r="GK490" s="19"/>
      <c r="GL490" s="19"/>
      <c r="GM490" s="19"/>
      <c r="GN490" s="19"/>
      <c r="GO490" s="19"/>
      <c r="GP490" s="19"/>
      <c r="GQ490" s="19"/>
      <c r="GR490" s="19"/>
      <c r="GS490" s="19"/>
      <c r="GT490" s="19"/>
      <c r="GU490" s="19"/>
      <c r="GV490" s="19"/>
      <c r="GW490" s="19"/>
      <c r="GX490" s="19"/>
      <c r="GY490" s="19"/>
      <c r="GZ490" s="19"/>
      <c r="HA490" s="19"/>
      <c r="HB490" s="19"/>
    </row>
    <row r="491" spans="1:210"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c r="FJ491" s="19"/>
      <c r="FK491" s="19"/>
      <c r="FL491" s="19"/>
      <c r="FM491" s="19"/>
      <c r="FN491" s="19"/>
      <c r="FO491" s="19"/>
      <c r="FP491" s="19"/>
      <c r="FQ491" s="19"/>
      <c r="FR491" s="19"/>
      <c r="FS491" s="19"/>
      <c r="FT491" s="19"/>
      <c r="FU491" s="19"/>
      <c r="FV491" s="19"/>
      <c r="FW491" s="19"/>
      <c r="FX491" s="19"/>
      <c r="FY491" s="19"/>
      <c r="FZ491" s="19"/>
      <c r="GA491" s="19"/>
      <c r="GB491" s="19"/>
      <c r="GC491" s="19"/>
      <c r="GD491" s="19"/>
      <c r="GE491" s="19"/>
      <c r="GF491" s="19"/>
      <c r="GG491" s="19"/>
      <c r="GH491" s="19"/>
      <c r="GI491" s="19"/>
      <c r="GJ491" s="19"/>
      <c r="GK491" s="19"/>
      <c r="GL491" s="19"/>
      <c r="GM491" s="19"/>
      <c r="GN491" s="19"/>
      <c r="GO491" s="19"/>
      <c r="GP491" s="19"/>
      <c r="GQ491" s="19"/>
      <c r="GR491" s="19"/>
      <c r="GS491" s="19"/>
      <c r="GT491" s="19"/>
      <c r="GU491" s="19"/>
      <c r="GV491" s="19"/>
      <c r="GW491" s="19"/>
      <c r="GX491" s="19"/>
      <c r="GY491" s="19"/>
      <c r="GZ491" s="19"/>
      <c r="HA491" s="19"/>
      <c r="HB491" s="19"/>
    </row>
    <row r="492" spans="1:210"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c r="FJ492" s="19"/>
      <c r="FK492" s="19"/>
      <c r="FL492" s="19"/>
      <c r="FM492" s="19"/>
      <c r="FN492" s="19"/>
      <c r="FO492" s="19"/>
      <c r="FP492" s="19"/>
      <c r="FQ492" s="19"/>
      <c r="FR492" s="19"/>
      <c r="FS492" s="19"/>
      <c r="FT492" s="19"/>
      <c r="FU492" s="19"/>
      <c r="FV492" s="19"/>
      <c r="FW492" s="19"/>
      <c r="FX492" s="19"/>
      <c r="FY492" s="19"/>
      <c r="FZ492" s="19"/>
      <c r="GA492" s="19"/>
      <c r="GB492" s="19"/>
      <c r="GC492" s="19"/>
      <c r="GD492" s="19"/>
      <c r="GE492" s="19"/>
      <c r="GF492" s="19"/>
      <c r="GG492" s="19"/>
      <c r="GH492" s="19"/>
      <c r="GI492" s="19"/>
      <c r="GJ492" s="19"/>
      <c r="GK492" s="19"/>
      <c r="GL492" s="19"/>
      <c r="GM492" s="19"/>
      <c r="GN492" s="19"/>
      <c r="GO492" s="19"/>
      <c r="GP492" s="19"/>
      <c r="GQ492" s="19"/>
      <c r="GR492" s="19"/>
      <c r="GS492" s="19"/>
      <c r="GT492" s="19"/>
      <c r="GU492" s="19"/>
      <c r="GV492" s="19"/>
      <c r="GW492" s="19"/>
      <c r="GX492" s="19"/>
      <c r="GY492" s="19"/>
      <c r="GZ492" s="19"/>
      <c r="HA492" s="19"/>
      <c r="HB492" s="19"/>
    </row>
    <row r="493" spans="1:210"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c r="FJ493" s="19"/>
      <c r="FK493" s="19"/>
      <c r="FL493" s="19"/>
      <c r="FM493" s="19"/>
      <c r="FN493" s="19"/>
      <c r="FO493" s="19"/>
      <c r="FP493" s="19"/>
      <c r="FQ493" s="19"/>
      <c r="FR493" s="19"/>
      <c r="FS493" s="19"/>
      <c r="FT493" s="19"/>
      <c r="FU493" s="19"/>
      <c r="FV493" s="19"/>
      <c r="FW493" s="19"/>
      <c r="FX493" s="19"/>
      <c r="FY493" s="19"/>
      <c r="FZ493" s="19"/>
      <c r="GA493" s="19"/>
      <c r="GB493" s="19"/>
      <c r="GC493" s="19"/>
      <c r="GD493" s="19"/>
      <c r="GE493" s="19"/>
      <c r="GF493" s="19"/>
      <c r="GG493" s="19"/>
      <c r="GH493" s="19"/>
      <c r="GI493" s="19"/>
      <c r="GJ493" s="19"/>
      <c r="GK493" s="19"/>
      <c r="GL493" s="19"/>
      <c r="GM493" s="19"/>
      <c r="GN493" s="19"/>
      <c r="GO493" s="19"/>
      <c r="GP493" s="19"/>
      <c r="GQ493" s="19"/>
      <c r="GR493" s="19"/>
      <c r="GS493" s="19"/>
      <c r="GT493" s="19"/>
      <c r="GU493" s="19"/>
      <c r="GV493" s="19"/>
      <c r="GW493" s="19"/>
      <c r="GX493" s="19"/>
      <c r="GY493" s="19"/>
      <c r="GZ493" s="19"/>
      <c r="HA493" s="19"/>
      <c r="HB493" s="19"/>
    </row>
    <row r="494" spans="1:210"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c r="FJ494" s="19"/>
      <c r="FK494" s="19"/>
      <c r="FL494" s="19"/>
      <c r="FM494" s="19"/>
      <c r="FN494" s="19"/>
      <c r="FO494" s="19"/>
      <c r="FP494" s="19"/>
      <c r="FQ494" s="19"/>
      <c r="FR494" s="19"/>
      <c r="FS494" s="19"/>
      <c r="FT494" s="19"/>
      <c r="FU494" s="19"/>
      <c r="FV494" s="19"/>
      <c r="FW494" s="19"/>
      <c r="FX494" s="19"/>
      <c r="FY494" s="19"/>
      <c r="FZ494" s="19"/>
      <c r="GA494" s="19"/>
      <c r="GB494" s="19"/>
      <c r="GC494" s="19"/>
      <c r="GD494" s="19"/>
      <c r="GE494" s="19"/>
      <c r="GF494" s="19"/>
      <c r="GG494" s="19"/>
      <c r="GH494" s="19"/>
      <c r="GI494" s="19"/>
      <c r="GJ494" s="19"/>
      <c r="GK494" s="19"/>
      <c r="GL494" s="19"/>
      <c r="GM494" s="19"/>
      <c r="GN494" s="19"/>
      <c r="GO494" s="19"/>
      <c r="GP494" s="19"/>
      <c r="GQ494" s="19"/>
      <c r="GR494" s="19"/>
      <c r="GS494" s="19"/>
      <c r="GT494" s="19"/>
      <c r="GU494" s="19"/>
      <c r="GV494" s="19"/>
      <c r="GW494" s="19"/>
      <c r="GX494" s="19"/>
      <c r="GY494" s="19"/>
      <c r="GZ494" s="19"/>
      <c r="HA494" s="19"/>
      <c r="HB494" s="19"/>
    </row>
    <row r="495" spans="1:210"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c r="FJ495" s="19"/>
      <c r="FK495" s="19"/>
      <c r="FL495" s="19"/>
      <c r="FM495" s="19"/>
      <c r="FN495" s="19"/>
      <c r="FO495" s="19"/>
      <c r="FP495" s="19"/>
      <c r="FQ495" s="19"/>
      <c r="FR495" s="19"/>
      <c r="FS495" s="19"/>
      <c r="FT495" s="19"/>
      <c r="FU495" s="19"/>
      <c r="FV495" s="19"/>
      <c r="FW495" s="19"/>
      <c r="FX495" s="19"/>
      <c r="FY495" s="19"/>
      <c r="FZ495" s="19"/>
      <c r="GA495" s="19"/>
      <c r="GB495" s="19"/>
      <c r="GC495" s="19"/>
      <c r="GD495" s="19"/>
      <c r="GE495" s="19"/>
      <c r="GF495" s="19"/>
      <c r="GG495" s="19"/>
      <c r="GH495" s="19"/>
      <c r="GI495" s="19"/>
      <c r="GJ495" s="19"/>
      <c r="GK495" s="19"/>
      <c r="GL495" s="19"/>
      <c r="GM495" s="19"/>
      <c r="GN495" s="19"/>
      <c r="GO495" s="19"/>
      <c r="GP495" s="19"/>
      <c r="GQ495" s="19"/>
      <c r="GR495" s="19"/>
      <c r="GS495" s="19"/>
      <c r="GT495" s="19"/>
      <c r="GU495" s="19"/>
      <c r="GV495" s="19"/>
      <c r="GW495" s="19"/>
      <c r="GX495" s="19"/>
      <c r="GY495" s="19"/>
      <c r="GZ495" s="19"/>
      <c r="HA495" s="19"/>
      <c r="HB495" s="19"/>
    </row>
    <row r="496" spans="1:210"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c r="FJ496" s="19"/>
      <c r="FK496" s="19"/>
      <c r="FL496" s="19"/>
      <c r="FM496" s="19"/>
      <c r="FN496" s="19"/>
      <c r="FO496" s="19"/>
      <c r="FP496" s="19"/>
      <c r="FQ496" s="19"/>
      <c r="FR496" s="19"/>
      <c r="FS496" s="19"/>
      <c r="FT496" s="19"/>
      <c r="FU496" s="19"/>
      <c r="FV496" s="19"/>
      <c r="FW496" s="19"/>
      <c r="FX496" s="19"/>
      <c r="FY496" s="19"/>
      <c r="FZ496" s="19"/>
      <c r="GA496" s="19"/>
      <c r="GB496" s="19"/>
      <c r="GC496" s="19"/>
      <c r="GD496" s="19"/>
      <c r="GE496" s="19"/>
      <c r="GF496" s="19"/>
      <c r="GG496" s="19"/>
      <c r="GH496" s="19"/>
      <c r="GI496" s="19"/>
      <c r="GJ496" s="19"/>
      <c r="GK496" s="19"/>
      <c r="GL496" s="19"/>
      <c r="GM496" s="19"/>
      <c r="GN496" s="19"/>
      <c r="GO496" s="19"/>
      <c r="GP496" s="19"/>
      <c r="GQ496" s="19"/>
      <c r="GR496" s="19"/>
      <c r="GS496" s="19"/>
      <c r="GT496" s="19"/>
      <c r="GU496" s="19"/>
      <c r="GV496" s="19"/>
      <c r="GW496" s="19"/>
      <c r="GX496" s="19"/>
      <c r="GY496" s="19"/>
      <c r="GZ496" s="19"/>
      <c r="HA496" s="19"/>
      <c r="HB496" s="19"/>
    </row>
    <row r="497" spans="1:210"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c r="FZ497" s="19"/>
      <c r="GA497" s="19"/>
      <c r="GB497" s="19"/>
      <c r="GC497" s="19"/>
      <c r="GD497" s="19"/>
      <c r="GE497" s="19"/>
      <c r="GF497" s="19"/>
      <c r="GG497" s="19"/>
      <c r="GH497" s="19"/>
      <c r="GI497" s="19"/>
      <c r="GJ497" s="19"/>
      <c r="GK497" s="19"/>
      <c r="GL497" s="19"/>
      <c r="GM497" s="19"/>
      <c r="GN497" s="19"/>
      <c r="GO497" s="19"/>
      <c r="GP497" s="19"/>
      <c r="GQ497" s="19"/>
      <c r="GR497" s="19"/>
      <c r="GS497" s="19"/>
      <c r="GT497" s="19"/>
      <c r="GU497" s="19"/>
      <c r="GV497" s="19"/>
      <c r="GW497" s="19"/>
      <c r="GX497" s="19"/>
      <c r="GY497" s="19"/>
      <c r="GZ497" s="19"/>
      <c r="HA497" s="19"/>
      <c r="HB497" s="19"/>
    </row>
    <row r="498" spans="1:210"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c r="FZ498" s="19"/>
      <c r="GA498" s="19"/>
      <c r="GB498" s="19"/>
      <c r="GC498" s="19"/>
      <c r="GD498" s="19"/>
      <c r="GE498" s="19"/>
      <c r="GF498" s="19"/>
      <c r="GG498" s="19"/>
      <c r="GH498" s="19"/>
      <c r="GI498" s="19"/>
      <c r="GJ498" s="19"/>
      <c r="GK498" s="19"/>
      <c r="GL498" s="19"/>
      <c r="GM498" s="19"/>
      <c r="GN498" s="19"/>
      <c r="GO498" s="19"/>
      <c r="GP498" s="19"/>
      <c r="GQ498" s="19"/>
      <c r="GR498" s="19"/>
      <c r="GS498" s="19"/>
      <c r="GT498" s="19"/>
      <c r="GU498" s="19"/>
      <c r="GV498" s="19"/>
      <c r="GW498" s="19"/>
      <c r="GX498" s="19"/>
      <c r="GY498" s="19"/>
      <c r="GZ498" s="19"/>
      <c r="HA498" s="19"/>
      <c r="HB498" s="19"/>
    </row>
    <row r="499" spans="1:210"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c r="FZ499" s="19"/>
      <c r="GA499" s="19"/>
      <c r="GB499" s="19"/>
      <c r="GC499" s="19"/>
      <c r="GD499" s="19"/>
      <c r="GE499" s="19"/>
      <c r="GF499" s="19"/>
      <c r="GG499" s="19"/>
      <c r="GH499" s="19"/>
      <c r="GI499" s="19"/>
      <c r="GJ499" s="19"/>
      <c r="GK499" s="19"/>
      <c r="GL499" s="19"/>
      <c r="GM499" s="19"/>
      <c r="GN499" s="19"/>
      <c r="GO499" s="19"/>
      <c r="GP499" s="19"/>
      <c r="GQ499" s="19"/>
      <c r="GR499" s="19"/>
      <c r="GS499" s="19"/>
      <c r="GT499" s="19"/>
      <c r="GU499" s="19"/>
      <c r="GV499" s="19"/>
      <c r="GW499" s="19"/>
      <c r="GX499" s="19"/>
      <c r="GY499" s="19"/>
      <c r="GZ499" s="19"/>
      <c r="HA499" s="19"/>
      <c r="HB499" s="19"/>
    </row>
    <row r="500" spans="1:210"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c r="FZ500" s="19"/>
      <c r="GA500" s="19"/>
      <c r="GB500" s="19"/>
      <c r="GC500" s="19"/>
      <c r="GD500" s="19"/>
      <c r="GE500" s="19"/>
      <c r="GF500" s="19"/>
      <c r="GG500" s="19"/>
      <c r="GH500" s="19"/>
      <c r="GI500" s="19"/>
      <c r="GJ500" s="19"/>
      <c r="GK500" s="19"/>
      <c r="GL500" s="19"/>
      <c r="GM500" s="19"/>
      <c r="GN500" s="19"/>
      <c r="GO500" s="19"/>
      <c r="GP500" s="19"/>
      <c r="GQ500" s="19"/>
      <c r="GR500" s="19"/>
      <c r="GS500" s="19"/>
      <c r="GT500" s="19"/>
      <c r="GU500" s="19"/>
      <c r="GV500" s="19"/>
      <c r="GW500" s="19"/>
      <c r="GX500" s="19"/>
      <c r="GY500" s="19"/>
      <c r="GZ500" s="19"/>
      <c r="HA500" s="19"/>
      <c r="HB500" s="19"/>
    </row>
    <row r="501" spans="1:210"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c r="FZ501" s="19"/>
      <c r="GA501" s="19"/>
      <c r="GB501" s="19"/>
      <c r="GC501" s="19"/>
      <c r="GD501" s="19"/>
      <c r="GE501" s="19"/>
      <c r="GF501" s="19"/>
      <c r="GG501" s="19"/>
      <c r="GH501" s="19"/>
      <c r="GI501" s="19"/>
      <c r="GJ501" s="19"/>
      <c r="GK501" s="19"/>
      <c r="GL501" s="19"/>
      <c r="GM501" s="19"/>
      <c r="GN501" s="19"/>
      <c r="GO501" s="19"/>
      <c r="GP501" s="19"/>
      <c r="GQ501" s="19"/>
      <c r="GR501" s="19"/>
      <c r="GS501" s="19"/>
      <c r="GT501" s="19"/>
      <c r="GU501" s="19"/>
      <c r="GV501" s="19"/>
      <c r="GW501" s="19"/>
      <c r="GX501" s="19"/>
      <c r="GY501" s="19"/>
      <c r="GZ501" s="19"/>
      <c r="HA501" s="19"/>
      <c r="HB501" s="19"/>
    </row>
    <row r="502" spans="1:210"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c r="FZ502" s="19"/>
      <c r="GA502" s="19"/>
      <c r="GB502" s="19"/>
      <c r="GC502" s="19"/>
      <c r="GD502" s="19"/>
      <c r="GE502" s="19"/>
      <c r="GF502" s="19"/>
      <c r="GG502" s="19"/>
      <c r="GH502" s="19"/>
      <c r="GI502" s="19"/>
      <c r="GJ502" s="19"/>
      <c r="GK502" s="19"/>
      <c r="GL502" s="19"/>
      <c r="GM502" s="19"/>
      <c r="GN502" s="19"/>
      <c r="GO502" s="19"/>
      <c r="GP502" s="19"/>
      <c r="GQ502" s="19"/>
      <c r="GR502" s="19"/>
      <c r="GS502" s="19"/>
      <c r="GT502" s="19"/>
      <c r="GU502" s="19"/>
      <c r="GV502" s="19"/>
      <c r="GW502" s="19"/>
      <c r="GX502" s="19"/>
      <c r="GY502" s="19"/>
      <c r="GZ502" s="19"/>
      <c r="HA502" s="19"/>
      <c r="HB502" s="19"/>
    </row>
    <row r="503" spans="1:210"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c r="FZ503" s="19"/>
      <c r="GA503" s="19"/>
      <c r="GB503" s="19"/>
      <c r="GC503" s="19"/>
      <c r="GD503" s="19"/>
      <c r="GE503" s="19"/>
      <c r="GF503" s="19"/>
      <c r="GG503" s="19"/>
      <c r="GH503" s="19"/>
      <c r="GI503" s="19"/>
      <c r="GJ503" s="19"/>
      <c r="GK503" s="19"/>
      <c r="GL503" s="19"/>
      <c r="GM503" s="19"/>
      <c r="GN503" s="19"/>
      <c r="GO503" s="19"/>
      <c r="GP503" s="19"/>
      <c r="GQ503" s="19"/>
      <c r="GR503" s="19"/>
      <c r="GS503" s="19"/>
      <c r="GT503" s="19"/>
      <c r="GU503" s="19"/>
      <c r="GV503" s="19"/>
      <c r="GW503" s="19"/>
      <c r="GX503" s="19"/>
      <c r="GY503" s="19"/>
      <c r="GZ503" s="19"/>
      <c r="HA503" s="19"/>
      <c r="HB503" s="19"/>
    </row>
    <row r="504" spans="1:210"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c r="FZ504" s="19"/>
      <c r="GA504" s="19"/>
      <c r="GB504" s="19"/>
      <c r="GC504" s="19"/>
      <c r="GD504" s="19"/>
      <c r="GE504" s="19"/>
      <c r="GF504" s="19"/>
      <c r="GG504" s="19"/>
      <c r="GH504" s="19"/>
      <c r="GI504" s="19"/>
      <c r="GJ504" s="19"/>
      <c r="GK504" s="19"/>
      <c r="GL504" s="19"/>
      <c r="GM504" s="19"/>
      <c r="GN504" s="19"/>
      <c r="GO504" s="19"/>
      <c r="GP504" s="19"/>
      <c r="GQ504" s="19"/>
      <c r="GR504" s="19"/>
      <c r="GS504" s="19"/>
      <c r="GT504" s="19"/>
      <c r="GU504" s="19"/>
      <c r="GV504" s="19"/>
      <c r="GW504" s="19"/>
      <c r="GX504" s="19"/>
      <c r="GY504" s="19"/>
      <c r="GZ504" s="19"/>
      <c r="HA504" s="19"/>
      <c r="HB504" s="19"/>
    </row>
    <row r="505" spans="1:210"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c r="FD505" s="19"/>
      <c r="FE505" s="19"/>
      <c r="FF505" s="19"/>
      <c r="FG505" s="19"/>
      <c r="FH505" s="19"/>
      <c r="FI505" s="19"/>
      <c r="FJ505" s="19"/>
      <c r="FK505" s="19"/>
      <c r="FL505" s="19"/>
      <c r="FM505" s="19"/>
      <c r="FN505" s="19"/>
      <c r="FO505" s="19"/>
      <c r="FP505" s="19"/>
      <c r="FQ505" s="19"/>
      <c r="FR505" s="19"/>
      <c r="FS505" s="19"/>
      <c r="FT505" s="19"/>
      <c r="FU505" s="19"/>
      <c r="FV505" s="19"/>
      <c r="FW505" s="19"/>
      <c r="FX505" s="19"/>
      <c r="FY505" s="19"/>
      <c r="FZ505" s="19"/>
      <c r="GA505" s="19"/>
      <c r="GB505" s="19"/>
      <c r="GC505" s="19"/>
      <c r="GD505" s="19"/>
      <c r="GE505" s="19"/>
      <c r="GF505" s="19"/>
      <c r="GG505" s="19"/>
      <c r="GH505" s="19"/>
      <c r="GI505" s="19"/>
      <c r="GJ505" s="19"/>
      <c r="GK505" s="19"/>
      <c r="GL505" s="19"/>
      <c r="GM505" s="19"/>
      <c r="GN505" s="19"/>
      <c r="GO505" s="19"/>
      <c r="GP505" s="19"/>
      <c r="GQ505" s="19"/>
      <c r="GR505" s="19"/>
      <c r="GS505" s="19"/>
      <c r="GT505" s="19"/>
      <c r="GU505" s="19"/>
      <c r="GV505" s="19"/>
      <c r="GW505" s="19"/>
      <c r="GX505" s="19"/>
      <c r="GY505" s="19"/>
      <c r="GZ505" s="19"/>
      <c r="HA505" s="19"/>
      <c r="HB505" s="19"/>
    </row>
    <row r="506" spans="1:210"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c r="FD506" s="19"/>
      <c r="FE506" s="19"/>
      <c r="FF506" s="19"/>
      <c r="FG506" s="19"/>
      <c r="FH506" s="19"/>
      <c r="FI506" s="19"/>
      <c r="FJ506" s="19"/>
      <c r="FK506" s="19"/>
      <c r="FL506" s="19"/>
      <c r="FM506" s="19"/>
      <c r="FN506" s="19"/>
      <c r="FO506" s="19"/>
      <c r="FP506" s="19"/>
      <c r="FQ506" s="19"/>
      <c r="FR506" s="19"/>
      <c r="FS506" s="19"/>
      <c r="FT506" s="19"/>
      <c r="FU506" s="19"/>
      <c r="FV506" s="19"/>
      <c r="FW506" s="19"/>
      <c r="FX506" s="19"/>
      <c r="FY506" s="19"/>
      <c r="FZ506" s="19"/>
      <c r="GA506" s="19"/>
      <c r="GB506" s="19"/>
      <c r="GC506" s="19"/>
      <c r="GD506" s="19"/>
      <c r="GE506" s="19"/>
      <c r="GF506" s="19"/>
      <c r="GG506" s="19"/>
      <c r="GH506" s="19"/>
      <c r="GI506" s="19"/>
      <c r="GJ506" s="19"/>
      <c r="GK506" s="19"/>
      <c r="GL506" s="19"/>
      <c r="GM506" s="19"/>
      <c r="GN506" s="19"/>
      <c r="GO506" s="19"/>
      <c r="GP506" s="19"/>
      <c r="GQ506" s="19"/>
      <c r="GR506" s="19"/>
      <c r="GS506" s="19"/>
      <c r="GT506" s="19"/>
      <c r="GU506" s="19"/>
      <c r="GV506" s="19"/>
      <c r="GW506" s="19"/>
      <c r="GX506" s="19"/>
      <c r="GY506" s="19"/>
      <c r="GZ506" s="19"/>
      <c r="HA506" s="19"/>
      <c r="HB506" s="19"/>
    </row>
    <row r="507" spans="1:210"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c r="FD507" s="19"/>
      <c r="FE507" s="19"/>
      <c r="FF507" s="19"/>
      <c r="FG507" s="19"/>
      <c r="FH507" s="19"/>
      <c r="FI507" s="19"/>
      <c r="FJ507" s="19"/>
      <c r="FK507" s="19"/>
      <c r="FL507" s="19"/>
      <c r="FM507" s="19"/>
      <c r="FN507" s="19"/>
      <c r="FO507" s="19"/>
      <c r="FP507" s="19"/>
      <c r="FQ507" s="19"/>
      <c r="FR507" s="19"/>
      <c r="FS507" s="19"/>
      <c r="FT507" s="19"/>
      <c r="FU507" s="19"/>
      <c r="FV507" s="19"/>
      <c r="FW507" s="19"/>
      <c r="FX507" s="19"/>
      <c r="FY507" s="19"/>
      <c r="FZ507" s="19"/>
      <c r="GA507" s="19"/>
      <c r="GB507" s="19"/>
      <c r="GC507" s="19"/>
      <c r="GD507" s="19"/>
      <c r="GE507" s="19"/>
      <c r="GF507" s="19"/>
      <c r="GG507" s="19"/>
      <c r="GH507" s="19"/>
      <c r="GI507" s="19"/>
      <c r="GJ507" s="19"/>
      <c r="GK507" s="19"/>
      <c r="GL507" s="19"/>
      <c r="GM507" s="19"/>
      <c r="GN507" s="19"/>
      <c r="GO507" s="19"/>
      <c r="GP507" s="19"/>
      <c r="GQ507" s="19"/>
      <c r="GR507" s="19"/>
      <c r="GS507" s="19"/>
      <c r="GT507" s="19"/>
      <c r="GU507" s="19"/>
      <c r="GV507" s="19"/>
      <c r="GW507" s="19"/>
      <c r="GX507" s="19"/>
      <c r="GY507" s="19"/>
      <c r="GZ507" s="19"/>
      <c r="HA507" s="19"/>
      <c r="HB507" s="19"/>
    </row>
    <row r="508" spans="1:210"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c r="FD508" s="19"/>
      <c r="FE508" s="19"/>
      <c r="FF508" s="19"/>
      <c r="FG508" s="19"/>
      <c r="FH508" s="19"/>
      <c r="FI508" s="19"/>
      <c r="FJ508" s="19"/>
      <c r="FK508" s="19"/>
      <c r="FL508" s="19"/>
      <c r="FM508" s="19"/>
      <c r="FN508" s="19"/>
      <c r="FO508" s="19"/>
      <c r="FP508" s="19"/>
      <c r="FQ508" s="19"/>
      <c r="FR508" s="19"/>
      <c r="FS508" s="19"/>
      <c r="FT508" s="19"/>
      <c r="FU508" s="19"/>
      <c r="FV508" s="19"/>
      <c r="FW508" s="19"/>
      <c r="FX508" s="19"/>
      <c r="FY508" s="19"/>
      <c r="FZ508" s="19"/>
      <c r="GA508" s="19"/>
      <c r="GB508" s="19"/>
      <c r="GC508" s="19"/>
      <c r="GD508" s="19"/>
      <c r="GE508" s="19"/>
      <c r="GF508" s="19"/>
      <c r="GG508" s="19"/>
      <c r="GH508" s="19"/>
      <c r="GI508" s="19"/>
      <c r="GJ508" s="19"/>
      <c r="GK508" s="19"/>
      <c r="GL508" s="19"/>
      <c r="GM508" s="19"/>
      <c r="GN508" s="19"/>
      <c r="GO508" s="19"/>
      <c r="GP508" s="19"/>
      <c r="GQ508" s="19"/>
      <c r="GR508" s="19"/>
      <c r="GS508" s="19"/>
      <c r="GT508" s="19"/>
      <c r="GU508" s="19"/>
      <c r="GV508" s="19"/>
      <c r="GW508" s="19"/>
      <c r="GX508" s="19"/>
      <c r="GY508" s="19"/>
      <c r="GZ508" s="19"/>
      <c r="HA508" s="19"/>
      <c r="HB508" s="19"/>
    </row>
    <row r="509" spans="1:210"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c r="FD509" s="19"/>
      <c r="FE509" s="19"/>
      <c r="FF509" s="19"/>
      <c r="FG509" s="19"/>
      <c r="FH509" s="19"/>
      <c r="FI509" s="19"/>
      <c r="FJ509" s="19"/>
      <c r="FK509" s="19"/>
      <c r="FL509" s="19"/>
      <c r="FM509" s="19"/>
      <c r="FN509" s="19"/>
      <c r="FO509" s="19"/>
      <c r="FP509" s="19"/>
      <c r="FQ509" s="19"/>
      <c r="FR509" s="19"/>
      <c r="FS509" s="19"/>
      <c r="FT509" s="19"/>
      <c r="FU509" s="19"/>
      <c r="FV509" s="19"/>
      <c r="FW509" s="19"/>
      <c r="FX509" s="19"/>
      <c r="FY509" s="19"/>
      <c r="FZ509" s="19"/>
      <c r="GA509" s="19"/>
      <c r="GB509" s="19"/>
      <c r="GC509" s="19"/>
      <c r="GD509" s="19"/>
      <c r="GE509" s="19"/>
      <c r="GF509" s="19"/>
      <c r="GG509" s="19"/>
      <c r="GH509" s="19"/>
      <c r="GI509" s="19"/>
      <c r="GJ509" s="19"/>
      <c r="GK509" s="19"/>
      <c r="GL509" s="19"/>
      <c r="GM509" s="19"/>
      <c r="GN509" s="19"/>
      <c r="GO509" s="19"/>
      <c r="GP509" s="19"/>
      <c r="GQ509" s="19"/>
      <c r="GR509" s="19"/>
      <c r="GS509" s="19"/>
      <c r="GT509" s="19"/>
      <c r="GU509" s="19"/>
      <c r="GV509" s="19"/>
      <c r="GW509" s="19"/>
      <c r="GX509" s="19"/>
      <c r="GY509" s="19"/>
      <c r="GZ509" s="19"/>
      <c r="HA509" s="19"/>
      <c r="HB509" s="19"/>
    </row>
    <row r="510" spans="1:210"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c r="FD510" s="19"/>
      <c r="FE510" s="19"/>
      <c r="FF510" s="19"/>
      <c r="FG510" s="19"/>
      <c r="FH510" s="19"/>
      <c r="FI510" s="19"/>
      <c r="FJ510" s="19"/>
      <c r="FK510" s="19"/>
      <c r="FL510" s="19"/>
      <c r="FM510" s="19"/>
      <c r="FN510" s="19"/>
      <c r="FO510" s="19"/>
      <c r="FP510" s="19"/>
      <c r="FQ510" s="19"/>
      <c r="FR510" s="19"/>
      <c r="FS510" s="19"/>
      <c r="FT510" s="19"/>
      <c r="FU510" s="19"/>
      <c r="FV510" s="19"/>
      <c r="FW510" s="19"/>
      <c r="FX510" s="19"/>
      <c r="FY510" s="19"/>
      <c r="FZ510" s="19"/>
      <c r="GA510" s="19"/>
      <c r="GB510" s="19"/>
      <c r="GC510" s="19"/>
      <c r="GD510" s="19"/>
      <c r="GE510" s="19"/>
      <c r="GF510" s="19"/>
      <c r="GG510" s="19"/>
      <c r="GH510" s="19"/>
      <c r="GI510" s="19"/>
      <c r="GJ510" s="19"/>
      <c r="GK510" s="19"/>
      <c r="GL510" s="19"/>
      <c r="GM510" s="19"/>
      <c r="GN510" s="19"/>
      <c r="GO510" s="19"/>
      <c r="GP510" s="19"/>
      <c r="GQ510" s="19"/>
      <c r="GR510" s="19"/>
      <c r="GS510" s="19"/>
      <c r="GT510" s="19"/>
      <c r="GU510" s="19"/>
      <c r="GV510" s="19"/>
      <c r="GW510" s="19"/>
      <c r="GX510" s="19"/>
      <c r="GY510" s="19"/>
      <c r="GZ510" s="19"/>
      <c r="HA510" s="19"/>
      <c r="HB510" s="19"/>
    </row>
    <row r="511" spans="1:210"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c r="FD511" s="19"/>
      <c r="FE511" s="19"/>
      <c r="FF511" s="19"/>
      <c r="FG511" s="19"/>
      <c r="FH511" s="19"/>
      <c r="FI511" s="19"/>
      <c r="FJ511" s="19"/>
      <c r="FK511" s="19"/>
      <c r="FL511" s="19"/>
      <c r="FM511" s="19"/>
      <c r="FN511" s="19"/>
      <c r="FO511" s="19"/>
      <c r="FP511" s="19"/>
      <c r="FQ511" s="19"/>
      <c r="FR511" s="19"/>
      <c r="FS511" s="19"/>
      <c r="FT511" s="19"/>
      <c r="FU511" s="19"/>
      <c r="FV511" s="19"/>
      <c r="FW511" s="19"/>
      <c r="FX511" s="19"/>
      <c r="FY511" s="19"/>
      <c r="FZ511" s="19"/>
      <c r="GA511" s="19"/>
      <c r="GB511" s="19"/>
      <c r="GC511" s="19"/>
      <c r="GD511" s="19"/>
      <c r="GE511" s="19"/>
      <c r="GF511" s="19"/>
      <c r="GG511" s="19"/>
      <c r="GH511" s="19"/>
      <c r="GI511" s="19"/>
      <c r="GJ511" s="19"/>
      <c r="GK511" s="19"/>
      <c r="GL511" s="19"/>
      <c r="GM511" s="19"/>
      <c r="GN511" s="19"/>
      <c r="GO511" s="19"/>
      <c r="GP511" s="19"/>
      <c r="GQ511" s="19"/>
      <c r="GR511" s="19"/>
      <c r="GS511" s="19"/>
      <c r="GT511" s="19"/>
      <c r="GU511" s="19"/>
      <c r="GV511" s="19"/>
      <c r="GW511" s="19"/>
      <c r="GX511" s="19"/>
      <c r="GY511" s="19"/>
      <c r="GZ511" s="19"/>
      <c r="HA511" s="19"/>
      <c r="HB511" s="19"/>
    </row>
    <row r="512" spans="1:210"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c r="FD512" s="19"/>
      <c r="FE512" s="19"/>
      <c r="FF512" s="19"/>
      <c r="FG512" s="19"/>
      <c r="FH512" s="19"/>
      <c r="FI512" s="19"/>
      <c r="FJ512" s="19"/>
      <c r="FK512" s="19"/>
      <c r="FL512" s="19"/>
      <c r="FM512" s="19"/>
      <c r="FN512" s="19"/>
      <c r="FO512" s="19"/>
      <c r="FP512" s="19"/>
      <c r="FQ512" s="19"/>
      <c r="FR512" s="19"/>
      <c r="FS512" s="19"/>
      <c r="FT512" s="19"/>
      <c r="FU512" s="19"/>
      <c r="FV512" s="19"/>
      <c r="FW512" s="19"/>
      <c r="FX512" s="19"/>
      <c r="FY512" s="19"/>
      <c r="FZ512" s="19"/>
      <c r="GA512" s="19"/>
      <c r="GB512" s="19"/>
      <c r="GC512" s="19"/>
      <c r="GD512" s="19"/>
      <c r="GE512" s="19"/>
      <c r="GF512" s="19"/>
      <c r="GG512" s="19"/>
      <c r="GH512" s="19"/>
      <c r="GI512" s="19"/>
      <c r="GJ512" s="19"/>
      <c r="GK512" s="19"/>
      <c r="GL512" s="19"/>
      <c r="GM512" s="19"/>
      <c r="GN512" s="19"/>
      <c r="GO512" s="19"/>
      <c r="GP512" s="19"/>
      <c r="GQ512" s="19"/>
      <c r="GR512" s="19"/>
      <c r="GS512" s="19"/>
      <c r="GT512" s="19"/>
      <c r="GU512" s="19"/>
      <c r="GV512" s="19"/>
      <c r="GW512" s="19"/>
      <c r="GX512" s="19"/>
      <c r="GY512" s="19"/>
      <c r="GZ512" s="19"/>
      <c r="HA512" s="19"/>
      <c r="HB512" s="19"/>
    </row>
    <row r="513" spans="1:210"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c r="FD513" s="19"/>
      <c r="FE513" s="19"/>
      <c r="FF513" s="19"/>
      <c r="FG513" s="19"/>
      <c r="FH513" s="19"/>
      <c r="FI513" s="19"/>
      <c r="FJ513" s="19"/>
      <c r="FK513" s="19"/>
      <c r="FL513" s="19"/>
      <c r="FM513" s="19"/>
      <c r="FN513" s="19"/>
      <c r="FO513" s="19"/>
      <c r="FP513" s="19"/>
      <c r="FQ513" s="19"/>
      <c r="FR513" s="19"/>
      <c r="FS513" s="19"/>
      <c r="FT513" s="19"/>
      <c r="FU513" s="19"/>
      <c r="FV513" s="19"/>
      <c r="FW513" s="19"/>
      <c r="FX513" s="19"/>
      <c r="FY513" s="19"/>
      <c r="FZ513" s="19"/>
      <c r="GA513" s="19"/>
      <c r="GB513" s="19"/>
      <c r="GC513" s="19"/>
      <c r="GD513" s="19"/>
      <c r="GE513" s="19"/>
      <c r="GF513" s="19"/>
      <c r="GG513" s="19"/>
      <c r="GH513" s="19"/>
      <c r="GI513" s="19"/>
      <c r="GJ513" s="19"/>
      <c r="GK513" s="19"/>
      <c r="GL513" s="19"/>
      <c r="GM513" s="19"/>
      <c r="GN513" s="19"/>
      <c r="GO513" s="19"/>
      <c r="GP513" s="19"/>
      <c r="GQ513" s="19"/>
      <c r="GR513" s="19"/>
      <c r="GS513" s="19"/>
      <c r="GT513" s="19"/>
      <c r="GU513" s="19"/>
      <c r="GV513" s="19"/>
      <c r="GW513" s="19"/>
      <c r="GX513" s="19"/>
      <c r="GY513" s="19"/>
      <c r="GZ513" s="19"/>
      <c r="HA513" s="19"/>
      <c r="HB513" s="19"/>
    </row>
    <row r="514" spans="1:210"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c r="FD514" s="19"/>
      <c r="FE514" s="19"/>
      <c r="FF514" s="19"/>
      <c r="FG514" s="19"/>
      <c r="FH514" s="19"/>
      <c r="FI514" s="19"/>
      <c r="FJ514" s="19"/>
      <c r="FK514" s="19"/>
      <c r="FL514" s="19"/>
      <c r="FM514" s="19"/>
      <c r="FN514" s="19"/>
      <c r="FO514" s="19"/>
      <c r="FP514" s="19"/>
      <c r="FQ514" s="19"/>
      <c r="FR514" s="19"/>
      <c r="FS514" s="19"/>
      <c r="FT514" s="19"/>
      <c r="FU514" s="19"/>
      <c r="FV514" s="19"/>
      <c r="FW514" s="19"/>
      <c r="FX514" s="19"/>
      <c r="FY514" s="19"/>
      <c r="FZ514" s="19"/>
      <c r="GA514" s="19"/>
      <c r="GB514" s="19"/>
      <c r="GC514" s="19"/>
      <c r="GD514" s="19"/>
      <c r="GE514" s="19"/>
      <c r="GF514" s="19"/>
      <c r="GG514" s="19"/>
      <c r="GH514" s="19"/>
      <c r="GI514" s="19"/>
      <c r="GJ514" s="19"/>
      <c r="GK514" s="19"/>
      <c r="GL514" s="19"/>
      <c r="GM514" s="19"/>
      <c r="GN514" s="19"/>
      <c r="GO514" s="19"/>
      <c r="GP514" s="19"/>
      <c r="GQ514" s="19"/>
      <c r="GR514" s="19"/>
      <c r="GS514" s="19"/>
      <c r="GT514" s="19"/>
      <c r="GU514" s="19"/>
      <c r="GV514" s="19"/>
      <c r="GW514" s="19"/>
      <c r="GX514" s="19"/>
      <c r="GY514" s="19"/>
      <c r="GZ514" s="19"/>
      <c r="HA514" s="19"/>
      <c r="HB514" s="19"/>
    </row>
    <row r="515" spans="1:210"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c r="FD515" s="19"/>
      <c r="FE515" s="19"/>
      <c r="FF515" s="19"/>
      <c r="FG515" s="19"/>
      <c r="FH515" s="19"/>
      <c r="FI515" s="19"/>
      <c r="FJ515" s="19"/>
      <c r="FK515" s="19"/>
      <c r="FL515" s="19"/>
      <c r="FM515" s="19"/>
      <c r="FN515" s="19"/>
      <c r="FO515" s="19"/>
      <c r="FP515" s="19"/>
      <c r="FQ515" s="19"/>
      <c r="FR515" s="19"/>
      <c r="FS515" s="19"/>
      <c r="FT515" s="19"/>
      <c r="FU515" s="19"/>
      <c r="FV515" s="19"/>
      <c r="FW515" s="19"/>
      <c r="FX515" s="19"/>
      <c r="FY515" s="19"/>
      <c r="FZ515" s="19"/>
      <c r="GA515" s="19"/>
      <c r="GB515" s="19"/>
      <c r="GC515" s="19"/>
      <c r="GD515" s="19"/>
      <c r="GE515" s="19"/>
      <c r="GF515" s="19"/>
      <c r="GG515" s="19"/>
      <c r="GH515" s="19"/>
      <c r="GI515" s="19"/>
      <c r="GJ515" s="19"/>
      <c r="GK515" s="19"/>
      <c r="GL515" s="19"/>
      <c r="GM515" s="19"/>
      <c r="GN515" s="19"/>
      <c r="GO515" s="19"/>
      <c r="GP515" s="19"/>
      <c r="GQ515" s="19"/>
      <c r="GR515" s="19"/>
      <c r="GS515" s="19"/>
      <c r="GT515" s="19"/>
      <c r="GU515" s="19"/>
      <c r="GV515" s="19"/>
      <c r="GW515" s="19"/>
      <c r="GX515" s="19"/>
      <c r="GY515" s="19"/>
      <c r="GZ515" s="19"/>
      <c r="HA515" s="19"/>
      <c r="HB515" s="19"/>
    </row>
    <row r="516" spans="1:210"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c r="FD516" s="19"/>
      <c r="FE516" s="19"/>
      <c r="FF516" s="19"/>
      <c r="FG516" s="19"/>
      <c r="FH516" s="19"/>
      <c r="FI516" s="19"/>
      <c r="FJ516" s="19"/>
      <c r="FK516" s="19"/>
      <c r="FL516" s="19"/>
      <c r="FM516" s="19"/>
      <c r="FN516" s="19"/>
      <c r="FO516" s="19"/>
      <c r="FP516" s="19"/>
      <c r="FQ516" s="19"/>
      <c r="FR516" s="19"/>
      <c r="FS516" s="19"/>
      <c r="FT516" s="19"/>
      <c r="FU516" s="19"/>
      <c r="FV516" s="19"/>
      <c r="FW516" s="19"/>
      <c r="FX516" s="19"/>
      <c r="FY516" s="19"/>
      <c r="FZ516" s="19"/>
      <c r="GA516" s="19"/>
      <c r="GB516" s="19"/>
      <c r="GC516" s="19"/>
      <c r="GD516" s="19"/>
      <c r="GE516" s="19"/>
      <c r="GF516" s="19"/>
      <c r="GG516" s="19"/>
      <c r="GH516" s="19"/>
      <c r="GI516" s="19"/>
      <c r="GJ516" s="19"/>
      <c r="GK516" s="19"/>
      <c r="GL516" s="19"/>
      <c r="GM516" s="19"/>
      <c r="GN516" s="19"/>
      <c r="GO516" s="19"/>
      <c r="GP516" s="19"/>
      <c r="GQ516" s="19"/>
      <c r="GR516" s="19"/>
      <c r="GS516" s="19"/>
      <c r="GT516" s="19"/>
      <c r="GU516" s="19"/>
      <c r="GV516" s="19"/>
      <c r="GW516" s="19"/>
      <c r="GX516" s="19"/>
      <c r="GY516" s="19"/>
      <c r="GZ516" s="19"/>
      <c r="HA516" s="19"/>
      <c r="HB516" s="19"/>
    </row>
    <row r="517" spans="1:210"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c r="FD517" s="19"/>
      <c r="FE517" s="19"/>
      <c r="FF517" s="19"/>
      <c r="FG517" s="19"/>
      <c r="FH517" s="19"/>
      <c r="FI517" s="19"/>
      <c r="FJ517" s="19"/>
      <c r="FK517" s="19"/>
      <c r="FL517" s="19"/>
      <c r="FM517" s="19"/>
      <c r="FN517" s="19"/>
      <c r="FO517" s="19"/>
      <c r="FP517" s="19"/>
      <c r="FQ517" s="19"/>
      <c r="FR517" s="19"/>
      <c r="FS517" s="19"/>
      <c r="FT517" s="19"/>
      <c r="FU517" s="19"/>
      <c r="FV517" s="19"/>
      <c r="FW517" s="19"/>
      <c r="FX517" s="19"/>
      <c r="FY517" s="19"/>
      <c r="FZ517" s="19"/>
      <c r="GA517" s="19"/>
      <c r="GB517" s="19"/>
      <c r="GC517" s="19"/>
      <c r="GD517" s="19"/>
      <c r="GE517" s="19"/>
      <c r="GF517" s="19"/>
      <c r="GG517" s="19"/>
      <c r="GH517" s="19"/>
      <c r="GI517" s="19"/>
      <c r="GJ517" s="19"/>
      <c r="GK517" s="19"/>
      <c r="GL517" s="19"/>
      <c r="GM517" s="19"/>
      <c r="GN517" s="19"/>
      <c r="GO517" s="19"/>
      <c r="GP517" s="19"/>
      <c r="GQ517" s="19"/>
      <c r="GR517" s="19"/>
      <c r="GS517" s="19"/>
      <c r="GT517" s="19"/>
      <c r="GU517" s="19"/>
      <c r="GV517" s="19"/>
      <c r="GW517" s="19"/>
      <c r="GX517" s="19"/>
      <c r="GY517" s="19"/>
      <c r="GZ517" s="19"/>
      <c r="HA517" s="19"/>
      <c r="HB517" s="19"/>
    </row>
    <row r="518" spans="1:210"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c r="FD518" s="19"/>
      <c r="FE518" s="19"/>
      <c r="FF518" s="19"/>
      <c r="FG518" s="19"/>
      <c r="FH518" s="19"/>
      <c r="FI518" s="19"/>
      <c r="FJ518" s="19"/>
      <c r="FK518" s="19"/>
      <c r="FL518" s="19"/>
      <c r="FM518" s="19"/>
      <c r="FN518" s="19"/>
      <c r="FO518" s="19"/>
      <c r="FP518" s="19"/>
      <c r="FQ518" s="19"/>
      <c r="FR518" s="19"/>
      <c r="FS518" s="19"/>
      <c r="FT518" s="19"/>
      <c r="FU518" s="19"/>
      <c r="FV518" s="19"/>
      <c r="FW518" s="19"/>
      <c r="FX518" s="19"/>
      <c r="FY518" s="19"/>
      <c r="FZ518" s="19"/>
      <c r="GA518" s="19"/>
      <c r="GB518" s="19"/>
      <c r="GC518" s="19"/>
      <c r="GD518" s="19"/>
      <c r="GE518" s="19"/>
      <c r="GF518" s="19"/>
      <c r="GG518" s="19"/>
      <c r="GH518" s="19"/>
      <c r="GI518" s="19"/>
      <c r="GJ518" s="19"/>
      <c r="GK518" s="19"/>
      <c r="GL518" s="19"/>
      <c r="GM518" s="19"/>
      <c r="GN518" s="19"/>
      <c r="GO518" s="19"/>
      <c r="GP518" s="19"/>
      <c r="GQ518" s="19"/>
      <c r="GR518" s="19"/>
      <c r="GS518" s="19"/>
      <c r="GT518" s="19"/>
      <c r="GU518" s="19"/>
      <c r="GV518" s="19"/>
      <c r="GW518" s="19"/>
      <c r="GX518" s="19"/>
      <c r="GY518" s="19"/>
      <c r="GZ518" s="19"/>
      <c r="HA518" s="19"/>
      <c r="HB518" s="19"/>
    </row>
    <row r="519" spans="1:210"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c r="ER519" s="19"/>
      <c r="ES519" s="19"/>
      <c r="ET519" s="19"/>
      <c r="EU519" s="19"/>
      <c r="EV519" s="19"/>
      <c r="EW519" s="19"/>
      <c r="EX519" s="19"/>
      <c r="EY519" s="19"/>
      <c r="EZ519" s="19"/>
      <c r="FA519" s="19"/>
      <c r="FB519" s="19"/>
      <c r="FC519" s="19"/>
      <c r="FD519" s="19"/>
      <c r="FE519" s="19"/>
      <c r="FF519" s="19"/>
      <c r="FG519" s="19"/>
      <c r="FH519" s="19"/>
      <c r="FI519" s="19"/>
      <c r="FJ519" s="19"/>
      <c r="FK519" s="19"/>
      <c r="FL519" s="19"/>
      <c r="FM519" s="19"/>
      <c r="FN519" s="19"/>
      <c r="FO519" s="19"/>
      <c r="FP519" s="19"/>
      <c r="FQ519" s="19"/>
      <c r="FR519" s="19"/>
      <c r="FS519" s="19"/>
      <c r="FT519" s="19"/>
      <c r="FU519" s="19"/>
      <c r="FV519" s="19"/>
      <c r="FW519" s="19"/>
      <c r="FX519" s="19"/>
      <c r="FY519" s="19"/>
      <c r="FZ519" s="19"/>
      <c r="GA519" s="19"/>
      <c r="GB519" s="19"/>
      <c r="GC519" s="19"/>
      <c r="GD519" s="19"/>
      <c r="GE519" s="19"/>
      <c r="GF519" s="19"/>
      <c r="GG519" s="19"/>
      <c r="GH519" s="19"/>
      <c r="GI519" s="19"/>
      <c r="GJ519" s="19"/>
      <c r="GK519" s="19"/>
      <c r="GL519" s="19"/>
      <c r="GM519" s="19"/>
      <c r="GN519" s="19"/>
      <c r="GO519" s="19"/>
      <c r="GP519" s="19"/>
      <c r="GQ519" s="19"/>
      <c r="GR519" s="19"/>
      <c r="GS519" s="19"/>
      <c r="GT519" s="19"/>
      <c r="GU519" s="19"/>
      <c r="GV519" s="19"/>
      <c r="GW519" s="19"/>
      <c r="GX519" s="19"/>
      <c r="GY519" s="19"/>
      <c r="GZ519" s="19"/>
      <c r="HA519" s="19"/>
      <c r="HB519" s="19"/>
    </row>
    <row r="520" spans="1:210"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c r="ER520" s="19"/>
      <c r="ES520" s="19"/>
      <c r="ET520" s="19"/>
      <c r="EU520" s="19"/>
      <c r="EV520" s="19"/>
      <c r="EW520" s="19"/>
      <c r="EX520" s="19"/>
      <c r="EY520" s="19"/>
      <c r="EZ520" s="19"/>
      <c r="FA520" s="19"/>
      <c r="FB520" s="19"/>
      <c r="FC520" s="19"/>
      <c r="FD520" s="19"/>
      <c r="FE520" s="19"/>
      <c r="FF520" s="19"/>
      <c r="FG520" s="19"/>
      <c r="FH520" s="19"/>
      <c r="FI520" s="19"/>
      <c r="FJ520" s="19"/>
      <c r="FK520" s="19"/>
      <c r="FL520" s="19"/>
      <c r="FM520" s="19"/>
      <c r="FN520" s="19"/>
      <c r="FO520" s="19"/>
      <c r="FP520" s="19"/>
      <c r="FQ520" s="19"/>
      <c r="FR520" s="19"/>
      <c r="FS520" s="19"/>
      <c r="FT520" s="19"/>
      <c r="FU520" s="19"/>
      <c r="FV520" s="19"/>
      <c r="FW520" s="19"/>
      <c r="FX520" s="19"/>
      <c r="FY520" s="19"/>
      <c r="FZ520" s="19"/>
      <c r="GA520" s="19"/>
      <c r="GB520" s="19"/>
      <c r="GC520" s="19"/>
      <c r="GD520" s="19"/>
      <c r="GE520" s="19"/>
      <c r="GF520" s="19"/>
      <c r="GG520" s="19"/>
      <c r="GH520" s="19"/>
      <c r="GI520" s="19"/>
      <c r="GJ520" s="19"/>
      <c r="GK520" s="19"/>
      <c r="GL520" s="19"/>
      <c r="GM520" s="19"/>
      <c r="GN520" s="19"/>
      <c r="GO520" s="19"/>
      <c r="GP520" s="19"/>
      <c r="GQ520" s="19"/>
      <c r="GR520" s="19"/>
      <c r="GS520" s="19"/>
      <c r="GT520" s="19"/>
      <c r="GU520" s="19"/>
      <c r="GV520" s="19"/>
      <c r="GW520" s="19"/>
      <c r="GX520" s="19"/>
      <c r="GY520" s="19"/>
      <c r="GZ520" s="19"/>
      <c r="HA520" s="19"/>
      <c r="HB520" s="19"/>
    </row>
    <row r="521" spans="1:210"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c r="ER521" s="19"/>
      <c r="ES521" s="19"/>
      <c r="ET521" s="19"/>
      <c r="EU521" s="19"/>
      <c r="EV521" s="19"/>
      <c r="EW521" s="19"/>
      <c r="EX521" s="19"/>
      <c r="EY521" s="19"/>
      <c r="EZ521" s="19"/>
      <c r="FA521" s="19"/>
      <c r="FB521" s="19"/>
      <c r="FC521" s="19"/>
      <c r="FD521" s="19"/>
      <c r="FE521" s="19"/>
      <c r="FF521" s="19"/>
      <c r="FG521" s="19"/>
      <c r="FH521" s="19"/>
      <c r="FI521" s="19"/>
      <c r="FJ521" s="19"/>
      <c r="FK521" s="19"/>
      <c r="FL521" s="19"/>
      <c r="FM521" s="19"/>
      <c r="FN521" s="19"/>
      <c r="FO521" s="19"/>
      <c r="FP521" s="19"/>
      <c r="FQ521" s="19"/>
      <c r="FR521" s="19"/>
      <c r="FS521" s="19"/>
      <c r="FT521" s="19"/>
      <c r="FU521" s="19"/>
      <c r="FV521" s="19"/>
      <c r="FW521" s="19"/>
      <c r="FX521" s="19"/>
      <c r="FY521" s="19"/>
      <c r="FZ521" s="19"/>
      <c r="GA521" s="19"/>
      <c r="GB521" s="19"/>
      <c r="GC521" s="19"/>
      <c r="GD521" s="19"/>
      <c r="GE521" s="19"/>
      <c r="GF521" s="19"/>
      <c r="GG521" s="19"/>
      <c r="GH521" s="19"/>
      <c r="GI521" s="19"/>
      <c r="GJ521" s="19"/>
      <c r="GK521" s="19"/>
      <c r="GL521" s="19"/>
      <c r="GM521" s="19"/>
      <c r="GN521" s="19"/>
      <c r="GO521" s="19"/>
      <c r="GP521" s="19"/>
      <c r="GQ521" s="19"/>
      <c r="GR521" s="19"/>
      <c r="GS521" s="19"/>
      <c r="GT521" s="19"/>
      <c r="GU521" s="19"/>
      <c r="GV521" s="19"/>
      <c r="GW521" s="19"/>
      <c r="GX521" s="19"/>
      <c r="GY521" s="19"/>
      <c r="GZ521" s="19"/>
      <c r="HA521" s="19"/>
      <c r="HB521" s="19"/>
    </row>
    <row r="522" spans="1:210"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c r="FD522" s="19"/>
      <c r="FE522" s="19"/>
      <c r="FF522" s="19"/>
      <c r="FG522" s="19"/>
      <c r="FH522" s="19"/>
      <c r="FI522" s="19"/>
      <c r="FJ522" s="19"/>
      <c r="FK522" s="19"/>
      <c r="FL522" s="19"/>
      <c r="FM522" s="19"/>
      <c r="FN522" s="19"/>
      <c r="FO522" s="19"/>
      <c r="FP522" s="19"/>
      <c r="FQ522" s="19"/>
      <c r="FR522" s="19"/>
      <c r="FS522" s="19"/>
      <c r="FT522" s="19"/>
      <c r="FU522" s="19"/>
      <c r="FV522" s="19"/>
      <c r="FW522" s="19"/>
      <c r="FX522" s="19"/>
      <c r="FY522" s="19"/>
      <c r="FZ522" s="19"/>
      <c r="GA522" s="19"/>
      <c r="GB522" s="19"/>
      <c r="GC522" s="19"/>
      <c r="GD522" s="19"/>
      <c r="GE522" s="19"/>
      <c r="GF522" s="19"/>
      <c r="GG522" s="19"/>
      <c r="GH522" s="19"/>
      <c r="GI522" s="19"/>
      <c r="GJ522" s="19"/>
      <c r="GK522" s="19"/>
      <c r="GL522" s="19"/>
      <c r="GM522" s="19"/>
      <c r="GN522" s="19"/>
      <c r="GO522" s="19"/>
      <c r="GP522" s="19"/>
      <c r="GQ522" s="19"/>
      <c r="GR522" s="19"/>
      <c r="GS522" s="19"/>
      <c r="GT522" s="19"/>
      <c r="GU522" s="19"/>
      <c r="GV522" s="19"/>
      <c r="GW522" s="19"/>
      <c r="GX522" s="19"/>
      <c r="GY522" s="19"/>
      <c r="GZ522" s="19"/>
      <c r="HA522" s="19"/>
      <c r="HB522" s="19"/>
    </row>
    <row r="523" spans="1:210"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c r="FD523" s="19"/>
      <c r="FE523" s="19"/>
      <c r="FF523" s="19"/>
      <c r="FG523" s="19"/>
      <c r="FH523" s="19"/>
      <c r="FI523" s="19"/>
      <c r="FJ523" s="19"/>
      <c r="FK523" s="19"/>
      <c r="FL523" s="19"/>
      <c r="FM523" s="19"/>
      <c r="FN523" s="19"/>
      <c r="FO523" s="19"/>
      <c r="FP523" s="19"/>
      <c r="FQ523" s="19"/>
      <c r="FR523" s="19"/>
      <c r="FS523" s="19"/>
      <c r="FT523" s="19"/>
      <c r="FU523" s="19"/>
      <c r="FV523" s="19"/>
      <c r="FW523" s="19"/>
      <c r="FX523" s="19"/>
      <c r="FY523" s="19"/>
      <c r="FZ523" s="19"/>
      <c r="GA523" s="19"/>
      <c r="GB523" s="19"/>
      <c r="GC523" s="19"/>
      <c r="GD523" s="19"/>
      <c r="GE523" s="19"/>
      <c r="GF523" s="19"/>
      <c r="GG523" s="19"/>
      <c r="GH523" s="19"/>
      <c r="GI523" s="19"/>
      <c r="GJ523" s="19"/>
      <c r="GK523" s="19"/>
      <c r="GL523" s="19"/>
      <c r="GM523" s="19"/>
      <c r="GN523" s="19"/>
      <c r="GO523" s="19"/>
      <c r="GP523" s="19"/>
      <c r="GQ523" s="19"/>
      <c r="GR523" s="19"/>
      <c r="GS523" s="19"/>
      <c r="GT523" s="19"/>
      <c r="GU523" s="19"/>
      <c r="GV523" s="19"/>
      <c r="GW523" s="19"/>
      <c r="GX523" s="19"/>
      <c r="GY523" s="19"/>
      <c r="GZ523" s="19"/>
      <c r="HA523" s="19"/>
      <c r="HB523" s="19"/>
    </row>
    <row r="524" spans="1:210"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c r="FD524" s="19"/>
      <c r="FE524" s="19"/>
      <c r="FF524" s="19"/>
      <c r="FG524" s="19"/>
      <c r="FH524" s="19"/>
      <c r="FI524" s="19"/>
      <c r="FJ524" s="19"/>
      <c r="FK524" s="19"/>
      <c r="FL524" s="19"/>
      <c r="FM524" s="19"/>
      <c r="FN524" s="19"/>
      <c r="FO524" s="19"/>
      <c r="FP524" s="19"/>
      <c r="FQ524" s="19"/>
      <c r="FR524" s="19"/>
      <c r="FS524" s="19"/>
      <c r="FT524" s="19"/>
      <c r="FU524" s="19"/>
      <c r="FV524" s="19"/>
      <c r="FW524" s="19"/>
      <c r="FX524" s="19"/>
      <c r="FY524" s="19"/>
      <c r="FZ524" s="19"/>
      <c r="GA524" s="19"/>
      <c r="GB524" s="19"/>
      <c r="GC524" s="19"/>
      <c r="GD524" s="19"/>
      <c r="GE524" s="19"/>
      <c r="GF524" s="19"/>
      <c r="GG524" s="19"/>
      <c r="GH524" s="19"/>
      <c r="GI524" s="19"/>
      <c r="GJ524" s="19"/>
      <c r="GK524" s="19"/>
      <c r="GL524" s="19"/>
      <c r="GM524" s="19"/>
      <c r="GN524" s="19"/>
      <c r="GO524" s="19"/>
      <c r="GP524" s="19"/>
      <c r="GQ524" s="19"/>
      <c r="GR524" s="19"/>
      <c r="GS524" s="19"/>
      <c r="GT524" s="19"/>
      <c r="GU524" s="19"/>
      <c r="GV524" s="19"/>
      <c r="GW524" s="19"/>
      <c r="GX524" s="19"/>
      <c r="GY524" s="19"/>
      <c r="GZ524" s="19"/>
      <c r="HA524" s="19"/>
      <c r="HB524" s="19"/>
    </row>
    <row r="525" spans="1:210"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c r="FD525" s="19"/>
      <c r="FE525" s="19"/>
      <c r="FF525" s="19"/>
      <c r="FG525" s="19"/>
      <c r="FH525" s="19"/>
      <c r="FI525" s="19"/>
      <c r="FJ525" s="19"/>
      <c r="FK525" s="19"/>
      <c r="FL525" s="19"/>
      <c r="FM525" s="19"/>
      <c r="FN525" s="19"/>
      <c r="FO525" s="19"/>
      <c r="FP525" s="19"/>
      <c r="FQ525" s="19"/>
      <c r="FR525" s="19"/>
      <c r="FS525" s="19"/>
      <c r="FT525" s="19"/>
      <c r="FU525" s="19"/>
      <c r="FV525" s="19"/>
      <c r="FW525" s="19"/>
      <c r="FX525" s="19"/>
      <c r="FY525" s="19"/>
      <c r="FZ525" s="19"/>
      <c r="GA525" s="19"/>
      <c r="GB525" s="19"/>
      <c r="GC525" s="19"/>
      <c r="GD525" s="19"/>
      <c r="GE525" s="19"/>
      <c r="GF525" s="19"/>
      <c r="GG525" s="19"/>
      <c r="GH525" s="19"/>
      <c r="GI525" s="19"/>
      <c r="GJ525" s="19"/>
      <c r="GK525" s="19"/>
      <c r="GL525" s="19"/>
      <c r="GM525" s="19"/>
      <c r="GN525" s="19"/>
      <c r="GO525" s="19"/>
      <c r="GP525" s="19"/>
      <c r="GQ525" s="19"/>
      <c r="GR525" s="19"/>
      <c r="GS525" s="19"/>
      <c r="GT525" s="19"/>
      <c r="GU525" s="19"/>
      <c r="GV525" s="19"/>
      <c r="GW525" s="19"/>
      <c r="GX525" s="19"/>
      <c r="GY525" s="19"/>
      <c r="GZ525" s="19"/>
      <c r="HA525" s="19"/>
      <c r="HB525" s="19"/>
    </row>
    <row r="526" spans="1:210"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c r="FD526" s="19"/>
      <c r="FE526" s="19"/>
      <c r="FF526" s="19"/>
      <c r="FG526" s="19"/>
      <c r="FH526" s="19"/>
      <c r="FI526" s="19"/>
      <c r="FJ526" s="19"/>
      <c r="FK526" s="19"/>
      <c r="FL526" s="19"/>
      <c r="FM526" s="19"/>
      <c r="FN526" s="19"/>
      <c r="FO526" s="19"/>
      <c r="FP526" s="19"/>
      <c r="FQ526" s="19"/>
      <c r="FR526" s="19"/>
      <c r="FS526" s="19"/>
      <c r="FT526" s="19"/>
      <c r="FU526" s="19"/>
      <c r="FV526" s="19"/>
      <c r="FW526" s="19"/>
      <c r="FX526" s="19"/>
      <c r="FY526" s="19"/>
      <c r="FZ526" s="19"/>
      <c r="GA526" s="19"/>
      <c r="GB526" s="19"/>
      <c r="GC526" s="19"/>
      <c r="GD526" s="19"/>
      <c r="GE526" s="19"/>
      <c r="GF526" s="19"/>
      <c r="GG526" s="19"/>
      <c r="GH526" s="19"/>
      <c r="GI526" s="19"/>
      <c r="GJ526" s="19"/>
      <c r="GK526" s="19"/>
      <c r="GL526" s="19"/>
      <c r="GM526" s="19"/>
      <c r="GN526" s="19"/>
      <c r="GO526" s="19"/>
      <c r="GP526" s="19"/>
      <c r="GQ526" s="19"/>
      <c r="GR526" s="19"/>
      <c r="GS526" s="19"/>
      <c r="GT526" s="19"/>
      <c r="GU526" s="19"/>
      <c r="GV526" s="19"/>
      <c r="GW526" s="19"/>
      <c r="GX526" s="19"/>
      <c r="GY526" s="19"/>
      <c r="GZ526" s="19"/>
      <c r="HA526" s="19"/>
      <c r="HB526" s="19"/>
    </row>
    <row r="527" spans="1:210"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c r="FD527" s="19"/>
      <c r="FE527" s="19"/>
      <c r="FF527" s="19"/>
      <c r="FG527" s="19"/>
      <c r="FH527" s="19"/>
      <c r="FI527" s="19"/>
      <c r="FJ527" s="19"/>
      <c r="FK527" s="19"/>
      <c r="FL527" s="19"/>
      <c r="FM527" s="19"/>
      <c r="FN527" s="19"/>
      <c r="FO527" s="19"/>
      <c r="FP527" s="19"/>
      <c r="FQ527" s="19"/>
      <c r="FR527" s="19"/>
      <c r="FS527" s="19"/>
      <c r="FT527" s="19"/>
      <c r="FU527" s="19"/>
      <c r="FV527" s="19"/>
      <c r="FW527" s="19"/>
      <c r="FX527" s="19"/>
      <c r="FY527" s="19"/>
      <c r="FZ527" s="19"/>
      <c r="GA527" s="19"/>
      <c r="GB527" s="19"/>
      <c r="GC527" s="19"/>
      <c r="GD527" s="19"/>
      <c r="GE527" s="19"/>
      <c r="GF527" s="19"/>
      <c r="GG527" s="19"/>
      <c r="GH527" s="19"/>
      <c r="GI527" s="19"/>
      <c r="GJ527" s="19"/>
      <c r="GK527" s="19"/>
      <c r="GL527" s="19"/>
      <c r="GM527" s="19"/>
      <c r="GN527" s="19"/>
      <c r="GO527" s="19"/>
      <c r="GP527" s="19"/>
      <c r="GQ527" s="19"/>
      <c r="GR527" s="19"/>
      <c r="GS527" s="19"/>
      <c r="GT527" s="19"/>
      <c r="GU527" s="19"/>
      <c r="GV527" s="19"/>
      <c r="GW527" s="19"/>
      <c r="GX527" s="19"/>
      <c r="GY527" s="19"/>
      <c r="GZ527" s="19"/>
      <c r="HA527" s="19"/>
      <c r="HB527" s="19"/>
    </row>
    <row r="528" spans="1:210"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c r="ER528" s="19"/>
      <c r="ES528" s="19"/>
      <c r="ET528" s="19"/>
      <c r="EU528" s="19"/>
      <c r="EV528" s="19"/>
      <c r="EW528" s="19"/>
      <c r="EX528" s="19"/>
      <c r="EY528" s="19"/>
      <c r="EZ528" s="19"/>
      <c r="FA528" s="19"/>
      <c r="FB528" s="19"/>
      <c r="FC528" s="19"/>
      <c r="FD528" s="19"/>
      <c r="FE528" s="19"/>
      <c r="FF528" s="19"/>
      <c r="FG528" s="19"/>
      <c r="FH528" s="19"/>
      <c r="FI528" s="19"/>
      <c r="FJ528" s="19"/>
      <c r="FK528" s="19"/>
      <c r="FL528" s="19"/>
      <c r="FM528" s="19"/>
      <c r="FN528" s="19"/>
      <c r="FO528" s="19"/>
      <c r="FP528" s="19"/>
      <c r="FQ528" s="19"/>
      <c r="FR528" s="19"/>
      <c r="FS528" s="19"/>
      <c r="FT528" s="19"/>
      <c r="FU528" s="19"/>
      <c r="FV528" s="19"/>
      <c r="FW528" s="19"/>
      <c r="FX528" s="19"/>
      <c r="FY528" s="19"/>
      <c r="FZ528" s="19"/>
      <c r="GA528" s="19"/>
      <c r="GB528" s="19"/>
      <c r="GC528" s="19"/>
      <c r="GD528" s="19"/>
      <c r="GE528" s="19"/>
      <c r="GF528" s="19"/>
      <c r="GG528" s="19"/>
      <c r="GH528" s="19"/>
      <c r="GI528" s="19"/>
      <c r="GJ528" s="19"/>
      <c r="GK528" s="19"/>
      <c r="GL528" s="19"/>
      <c r="GM528" s="19"/>
      <c r="GN528" s="19"/>
      <c r="GO528" s="19"/>
      <c r="GP528" s="19"/>
      <c r="GQ528" s="19"/>
      <c r="GR528" s="19"/>
      <c r="GS528" s="19"/>
      <c r="GT528" s="19"/>
      <c r="GU528" s="19"/>
      <c r="GV528" s="19"/>
      <c r="GW528" s="19"/>
      <c r="GX528" s="19"/>
      <c r="GY528" s="19"/>
      <c r="GZ528" s="19"/>
      <c r="HA528" s="19"/>
      <c r="HB528" s="19"/>
    </row>
    <row r="529" spans="1:210"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c r="ER529" s="19"/>
      <c r="ES529" s="19"/>
      <c r="ET529" s="19"/>
      <c r="EU529" s="19"/>
      <c r="EV529" s="19"/>
      <c r="EW529" s="19"/>
      <c r="EX529" s="19"/>
      <c r="EY529" s="19"/>
      <c r="EZ529" s="19"/>
      <c r="FA529" s="19"/>
      <c r="FB529" s="19"/>
      <c r="FC529" s="19"/>
      <c r="FD529" s="19"/>
      <c r="FE529" s="19"/>
      <c r="FF529" s="19"/>
      <c r="FG529" s="19"/>
      <c r="FH529" s="19"/>
      <c r="FI529" s="19"/>
      <c r="FJ529" s="19"/>
      <c r="FK529" s="19"/>
      <c r="FL529" s="19"/>
      <c r="FM529" s="19"/>
      <c r="FN529" s="19"/>
      <c r="FO529" s="19"/>
      <c r="FP529" s="19"/>
      <c r="FQ529" s="19"/>
      <c r="FR529" s="19"/>
      <c r="FS529" s="19"/>
      <c r="FT529" s="19"/>
      <c r="FU529" s="19"/>
      <c r="FV529" s="19"/>
      <c r="FW529" s="19"/>
      <c r="FX529" s="19"/>
      <c r="FY529" s="19"/>
      <c r="FZ529" s="19"/>
      <c r="GA529" s="19"/>
      <c r="GB529" s="19"/>
      <c r="GC529" s="19"/>
      <c r="GD529" s="19"/>
      <c r="GE529" s="19"/>
      <c r="GF529" s="19"/>
      <c r="GG529" s="19"/>
      <c r="GH529" s="19"/>
      <c r="GI529" s="19"/>
      <c r="GJ529" s="19"/>
      <c r="GK529" s="19"/>
      <c r="GL529" s="19"/>
      <c r="GM529" s="19"/>
      <c r="GN529" s="19"/>
      <c r="GO529" s="19"/>
      <c r="GP529" s="19"/>
      <c r="GQ529" s="19"/>
      <c r="GR529" s="19"/>
      <c r="GS529" s="19"/>
      <c r="GT529" s="19"/>
      <c r="GU529" s="19"/>
      <c r="GV529" s="19"/>
      <c r="GW529" s="19"/>
      <c r="GX529" s="19"/>
      <c r="GY529" s="19"/>
      <c r="GZ529" s="19"/>
      <c r="HA529" s="19"/>
      <c r="HB529" s="19"/>
    </row>
    <row r="530" spans="1:210"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c r="ER530" s="19"/>
      <c r="ES530" s="19"/>
      <c r="ET530" s="19"/>
      <c r="EU530" s="19"/>
      <c r="EV530" s="19"/>
      <c r="EW530" s="19"/>
      <c r="EX530" s="19"/>
      <c r="EY530" s="19"/>
      <c r="EZ530" s="19"/>
      <c r="FA530" s="19"/>
      <c r="FB530" s="19"/>
      <c r="FC530" s="19"/>
      <c r="FD530" s="19"/>
      <c r="FE530" s="19"/>
      <c r="FF530" s="19"/>
      <c r="FG530" s="19"/>
      <c r="FH530" s="19"/>
      <c r="FI530" s="19"/>
      <c r="FJ530" s="19"/>
      <c r="FK530" s="19"/>
      <c r="FL530" s="19"/>
      <c r="FM530" s="19"/>
      <c r="FN530" s="19"/>
      <c r="FO530" s="19"/>
      <c r="FP530" s="19"/>
      <c r="FQ530" s="19"/>
      <c r="FR530" s="19"/>
      <c r="FS530" s="19"/>
      <c r="FT530" s="19"/>
      <c r="FU530" s="19"/>
      <c r="FV530" s="19"/>
      <c r="FW530" s="19"/>
      <c r="FX530" s="19"/>
      <c r="FY530" s="19"/>
      <c r="FZ530" s="19"/>
      <c r="GA530" s="19"/>
      <c r="GB530" s="19"/>
      <c r="GC530" s="19"/>
      <c r="GD530" s="19"/>
      <c r="GE530" s="19"/>
      <c r="GF530" s="19"/>
      <c r="GG530" s="19"/>
      <c r="GH530" s="19"/>
      <c r="GI530" s="19"/>
      <c r="GJ530" s="19"/>
      <c r="GK530" s="19"/>
      <c r="GL530" s="19"/>
      <c r="GM530" s="19"/>
      <c r="GN530" s="19"/>
      <c r="GO530" s="19"/>
      <c r="GP530" s="19"/>
      <c r="GQ530" s="19"/>
      <c r="GR530" s="19"/>
      <c r="GS530" s="19"/>
      <c r="GT530" s="19"/>
      <c r="GU530" s="19"/>
      <c r="GV530" s="19"/>
      <c r="GW530" s="19"/>
      <c r="GX530" s="19"/>
      <c r="GY530" s="19"/>
      <c r="GZ530" s="19"/>
      <c r="HA530" s="19"/>
      <c r="HB530" s="19"/>
    </row>
    <row r="531" spans="1:210"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c r="ER531" s="19"/>
      <c r="ES531" s="19"/>
      <c r="ET531" s="19"/>
      <c r="EU531" s="19"/>
      <c r="EV531" s="19"/>
      <c r="EW531" s="19"/>
      <c r="EX531" s="19"/>
      <c r="EY531" s="19"/>
      <c r="EZ531" s="19"/>
      <c r="FA531" s="19"/>
      <c r="FB531" s="19"/>
      <c r="FC531" s="19"/>
      <c r="FD531" s="19"/>
      <c r="FE531" s="19"/>
      <c r="FF531" s="19"/>
      <c r="FG531" s="19"/>
      <c r="FH531" s="19"/>
      <c r="FI531" s="19"/>
      <c r="FJ531" s="19"/>
      <c r="FK531" s="19"/>
      <c r="FL531" s="19"/>
      <c r="FM531" s="19"/>
      <c r="FN531" s="19"/>
      <c r="FO531" s="19"/>
      <c r="FP531" s="19"/>
      <c r="FQ531" s="19"/>
      <c r="FR531" s="19"/>
      <c r="FS531" s="19"/>
      <c r="FT531" s="19"/>
      <c r="FU531" s="19"/>
      <c r="FV531" s="19"/>
      <c r="FW531" s="19"/>
      <c r="FX531" s="19"/>
      <c r="FY531" s="19"/>
      <c r="FZ531" s="19"/>
      <c r="GA531" s="19"/>
      <c r="GB531" s="19"/>
      <c r="GC531" s="19"/>
      <c r="GD531" s="19"/>
      <c r="GE531" s="19"/>
      <c r="GF531" s="19"/>
      <c r="GG531" s="19"/>
      <c r="GH531" s="19"/>
      <c r="GI531" s="19"/>
      <c r="GJ531" s="19"/>
      <c r="GK531" s="19"/>
      <c r="GL531" s="19"/>
      <c r="GM531" s="19"/>
      <c r="GN531" s="19"/>
      <c r="GO531" s="19"/>
      <c r="GP531" s="19"/>
      <c r="GQ531" s="19"/>
      <c r="GR531" s="19"/>
      <c r="GS531" s="19"/>
      <c r="GT531" s="19"/>
      <c r="GU531" s="19"/>
      <c r="GV531" s="19"/>
      <c r="GW531" s="19"/>
      <c r="GX531" s="19"/>
      <c r="GY531" s="19"/>
      <c r="GZ531" s="19"/>
      <c r="HA531" s="19"/>
      <c r="HB531" s="19"/>
    </row>
    <row r="532" spans="1:210"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c r="ER532" s="19"/>
      <c r="ES532" s="19"/>
      <c r="ET532" s="19"/>
      <c r="EU532" s="19"/>
      <c r="EV532" s="19"/>
      <c r="EW532" s="19"/>
      <c r="EX532" s="19"/>
      <c r="EY532" s="19"/>
      <c r="EZ532" s="19"/>
      <c r="FA532" s="19"/>
      <c r="FB532" s="19"/>
      <c r="FC532" s="19"/>
      <c r="FD532" s="19"/>
      <c r="FE532" s="19"/>
      <c r="FF532" s="19"/>
      <c r="FG532" s="19"/>
      <c r="FH532" s="19"/>
      <c r="FI532" s="19"/>
      <c r="FJ532" s="19"/>
      <c r="FK532" s="19"/>
      <c r="FL532" s="19"/>
      <c r="FM532" s="19"/>
      <c r="FN532" s="19"/>
      <c r="FO532" s="19"/>
      <c r="FP532" s="19"/>
      <c r="FQ532" s="19"/>
      <c r="FR532" s="19"/>
      <c r="FS532" s="19"/>
      <c r="FT532" s="19"/>
      <c r="FU532" s="19"/>
      <c r="FV532" s="19"/>
      <c r="FW532" s="19"/>
      <c r="FX532" s="19"/>
      <c r="FY532" s="19"/>
      <c r="FZ532" s="19"/>
      <c r="GA532" s="19"/>
      <c r="GB532" s="19"/>
      <c r="GC532" s="19"/>
      <c r="GD532" s="19"/>
      <c r="GE532" s="19"/>
      <c r="GF532" s="19"/>
      <c r="GG532" s="19"/>
      <c r="GH532" s="19"/>
      <c r="GI532" s="19"/>
      <c r="GJ532" s="19"/>
      <c r="GK532" s="19"/>
      <c r="GL532" s="19"/>
      <c r="GM532" s="19"/>
      <c r="GN532" s="19"/>
      <c r="GO532" s="19"/>
      <c r="GP532" s="19"/>
      <c r="GQ532" s="19"/>
      <c r="GR532" s="19"/>
      <c r="GS532" s="19"/>
      <c r="GT532" s="19"/>
      <c r="GU532" s="19"/>
      <c r="GV532" s="19"/>
      <c r="GW532" s="19"/>
      <c r="GX532" s="19"/>
      <c r="GY532" s="19"/>
      <c r="GZ532" s="19"/>
      <c r="HA532" s="19"/>
      <c r="HB532" s="19"/>
    </row>
    <row r="533" spans="1:210"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c r="ER533" s="19"/>
      <c r="ES533" s="19"/>
      <c r="ET533" s="19"/>
      <c r="EU533" s="19"/>
      <c r="EV533" s="19"/>
      <c r="EW533" s="19"/>
      <c r="EX533" s="19"/>
      <c r="EY533" s="19"/>
      <c r="EZ533" s="19"/>
      <c r="FA533" s="19"/>
      <c r="FB533" s="19"/>
      <c r="FC533" s="19"/>
      <c r="FD533" s="19"/>
      <c r="FE533" s="19"/>
      <c r="FF533" s="19"/>
      <c r="FG533" s="19"/>
      <c r="FH533" s="19"/>
      <c r="FI533" s="19"/>
      <c r="FJ533" s="19"/>
      <c r="FK533" s="19"/>
      <c r="FL533" s="19"/>
      <c r="FM533" s="19"/>
      <c r="FN533" s="19"/>
      <c r="FO533" s="19"/>
      <c r="FP533" s="19"/>
      <c r="FQ533" s="19"/>
      <c r="FR533" s="19"/>
      <c r="FS533" s="19"/>
      <c r="FT533" s="19"/>
      <c r="FU533" s="19"/>
      <c r="FV533" s="19"/>
      <c r="FW533" s="19"/>
      <c r="FX533" s="19"/>
      <c r="FY533" s="19"/>
      <c r="FZ533" s="19"/>
      <c r="GA533" s="19"/>
      <c r="GB533" s="19"/>
      <c r="GC533" s="19"/>
      <c r="GD533" s="19"/>
      <c r="GE533" s="19"/>
      <c r="GF533" s="19"/>
      <c r="GG533" s="19"/>
      <c r="GH533" s="19"/>
      <c r="GI533" s="19"/>
      <c r="GJ533" s="19"/>
      <c r="GK533" s="19"/>
      <c r="GL533" s="19"/>
      <c r="GM533" s="19"/>
      <c r="GN533" s="19"/>
      <c r="GO533" s="19"/>
      <c r="GP533" s="19"/>
      <c r="GQ533" s="19"/>
      <c r="GR533" s="19"/>
      <c r="GS533" s="19"/>
      <c r="GT533" s="19"/>
      <c r="GU533" s="19"/>
      <c r="GV533" s="19"/>
      <c r="GW533" s="19"/>
      <c r="GX533" s="19"/>
      <c r="GY533" s="19"/>
      <c r="GZ533" s="19"/>
      <c r="HA533" s="19"/>
      <c r="HB533" s="19"/>
    </row>
    <row r="534" spans="1:210"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c r="FD534" s="19"/>
      <c r="FE534" s="19"/>
      <c r="FF534" s="19"/>
      <c r="FG534" s="19"/>
      <c r="FH534" s="19"/>
      <c r="FI534" s="19"/>
      <c r="FJ534" s="19"/>
      <c r="FK534" s="19"/>
      <c r="FL534" s="19"/>
      <c r="FM534" s="19"/>
      <c r="FN534" s="19"/>
      <c r="FO534" s="19"/>
      <c r="FP534" s="19"/>
      <c r="FQ534" s="19"/>
      <c r="FR534" s="19"/>
      <c r="FS534" s="19"/>
      <c r="FT534" s="19"/>
      <c r="FU534" s="19"/>
      <c r="FV534" s="19"/>
      <c r="FW534" s="19"/>
      <c r="FX534" s="19"/>
      <c r="FY534" s="19"/>
      <c r="FZ534" s="19"/>
      <c r="GA534" s="19"/>
      <c r="GB534" s="19"/>
      <c r="GC534" s="19"/>
      <c r="GD534" s="19"/>
      <c r="GE534" s="19"/>
      <c r="GF534" s="19"/>
      <c r="GG534" s="19"/>
      <c r="GH534" s="19"/>
      <c r="GI534" s="19"/>
      <c r="GJ534" s="19"/>
      <c r="GK534" s="19"/>
      <c r="GL534" s="19"/>
      <c r="GM534" s="19"/>
      <c r="GN534" s="19"/>
      <c r="GO534" s="19"/>
      <c r="GP534" s="19"/>
      <c r="GQ534" s="19"/>
      <c r="GR534" s="19"/>
      <c r="GS534" s="19"/>
      <c r="GT534" s="19"/>
      <c r="GU534" s="19"/>
      <c r="GV534" s="19"/>
      <c r="GW534" s="19"/>
      <c r="GX534" s="19"/>
      <c r="GY534" s="19"/>
      <c r="GZ534" s="19"/>
      <c r="HA534" s="19"/>
      <c r="HB534" s="19"/>
    </row>
    <row r="535" spans="1:210"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c r="FD535" s="19"/>
      <c r="FE535" s="19"/>
      <c r="FF535" s="19"/>
      <c r="FG535" s="19"/>
      <c r="FH535" s="19"/>
      <c r="FI535" s="19"/>
      <c r="FJ535" s="19"/>
      <c r="FK535" s="19"/>
      <c r="FL535" s="19"/>
      <c r="FM535" s="19"/>
      <c r="FN535" s="19"/>
      <c r="FO535" s="19"/>
      <c r="FP535" s="19"/>
      <c r="FQ535" s="19"/>
      <c r="FR535" s="19"/>
      <c r="FS535" s="19"/>
      <c r="FT535" s="19"/>
      <c r="FU535" s="19"/>
      <c r="FV535" s="19"/>
      <c r="FW535" s="19"/>
      <c r="FX535" s="19"/>
      <c r="FY535" s="19"/>
      <c r="FZ535" s="19"/>
      <c r="GA535" s="19"/>
      <c r="GB535" s="19"/>
      <c r="GC535" s="19"/>
      <c r="GD535" s="19"/>
      <c r="GE535" s="19"/>
      <c r="GF535" s="19"/>
      <c r="GG535" s="19"/>
      <c r="GH535" s="19"/>
      <c r="GI535" s="19"/>
      <c r="GJ535" s="19"/>
      <c r="GK535" s="19"/>
      <c r="GL535" s="19"/>
      <c r="GM535" s="19"/>
      <c r="GN535" s="19"/>
      <c r="GO535" s="19"/>
      <c r="GP535" s="19"/>
      <c r="GQ535" s="19"/>
      <c r="GR535" s="19"/>
      <c r="GS535" s="19"/>
      <c r="GT535" s="19"/>
      <c r="GU535" s="19"/>
      <c r="GV535" s="19"/>
      <c r="GW535" s="19"/>
      <c r="GX535" s="19"/>
      <c r="GY535" s="19"/>
      <c r="GZ535" s="19"/>
      <c r="HA535" s="19"/>
      <c r="HB535" s="19"/>
    </row>
    <row r="536" spans="1:210"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c r="FD536" s="19"/>
      <c r="FE536" s="19"/>
      <c r="FF536" s="19"/>
      <c r="FG536" s="19"/>
      <c r="FH536" s="19"/>
      <c r="FI536" s="19"/>
      <c r="FJ536" s="19"/>
      <c r="FK536" s="19"/>
      <c r="FL536" s="19"/>
      <c r="FM536" s="19"/>
      <c r="FN536" s="19"/>
      <c r="FO536" s="19"/>
      <c r="FP536" s="19"/>
      <c r="FQ536" s="19"/>
      <c r="FR536" s="19"/>
      <c r="FS536" s="19"/>
      <c r="FT536" s="19"/>
      <c r="FU536" s="19"/>
      <c r="FV536" s="19"/>
      <c r="FW536" s="19"/>
      <c r="FX536" s="19"/>
      <c r="FY536" s="19"/>
      <c r="FZ536" s="19"/>
      <c r="GA536" s="19"/>
      <c r="GB536" s="19"/>
      <c r="GC536" s="19"/>
      <c r="GD536" s="19"/>
      <c r="GE536" s="19"/>
      <c r="GF536" s="19"/>
      <c r="GG536" s="19"/>
      <c r="GH536" s="19"/>
      <c r="GI536" s="19"/>
      <c r="GJ536" s="19"/>
      <c r="GK536" s="19"/>
      <c r="GL536" s="19"/>
      <c r="GM536" s="19"/>
      <c r="GN536" s="19"/>
      <c r="GO536" s="19"/>
      <c r="GP536" s="19"/>
      <c r="GQ536" s="19"/>
      <c r="GR536" s="19"/>
      <c r="GS536" s="19"/>
      <c r="GT536" s="19"/>
      <c r="GU536" s="19"/>
      <c r="GV536" s="19"/>
      <c r="GW536" s="19"/>
      <c r="GX536" s="19"/>
      <c r="GY536" s="19"/>
      <c r="GZ536" s="19"/>
      <c r="HA536" s="19"/>
      <c r="HB536" s="19"/>
    </row>
    <row r="537" spans="1:210"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c r="FD537" s="19"/>
      <c r="FE537" s="19"/>
      <c r="FF537" s="19"/>
      <c r="FG537" s="19"/>
      <c r="FH537" s="19"/>
      <c r="FI537" s="19"/>
      <c r="FJ537" s="19"/>
      <c r="FK537" s="19"/>
      <c r="FL537" s="19"/>
      <c r="FM537" s="19"/>
      <c r="FN537" s="19"/>
      <c r="FO537" s="19"/>
      <c r="FP537" s="19"/>
      <c r="FQ537" s="19"/>
      <c r="FR537" s="19"/>
      <c r="FS537" s="19"/>
      <c r="FT537" s="19"/>
      <c r="FU537" s="19"/>
      <c r="FV537" s="19"/>
      <c r="FW537" s="19"/>
      <c r="FX537" s="19"/>
      <c r="FY537" s="19"/>
      <c r="FZ537" s="19"/>
      <c r="GA537" s="19"/>
      <c r="GB537" s="19"/>
      <c r="GC537" s="19"/>
      <c r="GD537" s="19"/>
      <c r="GE537" s="19"/>
      <c r="GF537" s="19"/>
      <c r="GG537" s="19"/>
      <c r="GH537" s="19"/>
      <c r="GI537" s="19"/>
      <c r="GJ537" s="19"/>
      <c r="GK537" s="19"/>
      <c r="GL537" s="19"/>
      <c r="GM537" s="19"/>
      <c r="GN537" s="19"/>
      <c r="GO537" s="19"/>
      <c r="GP537" s="19"/>
      <c r="GQ537" s="19"/>
      <c r="GR537" s="19"/>
      <c r="GS537" s="19"/>
      <c r="GT537" s="19"/>
      <c r="GU537" s="19"/>
      <c r="GV537" s="19"/>
      <c r="GW537" s="19"/>
      <c r="GX537" s="19"/>
      <c r="GY537" s="19"/>
      <c r="GZ537" s="19"/>
      <c r="HA537" s="19"/>
      <c r="HB537" s="19"/>
    </row>
    <row r="538" spans="1:210"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c r="FD538" s="19"/>
      <c r="FE538" s="19"/>
      <c r="FF538" s="19"/>
      <c r="FG538" s="19"/>
      <c r="FH538" s="19"/>
      <c r="FI538" s="19"/>
      <c r="FJ538" s="19"/>
      <c r="FK538" s="19"/>
      <c r="FL538" s="19"/>
      <c r="FM538" s="19"/>
      <c r="FN538" s="19"/>
      <c r="FO538" s="19"/>
      <c r="FP538" s="19"/>
      <c r="FQ538" s="19"/>
      <c r="FR538" s="19"/>
      <c r="FS538" s="19"/>
      <c r="FT538" s="19"/>
      <c r="FU538" s="19"/>
      <c r="FV538" s="19"/>
      <c r="FW538" s="19"/>
      <c r="FX538" s="19"/>
      <c r="FY538" s="19"/>
      <c r="FZ538" s="19"/>
      <c r="GA538" s="19"/>
      <c r="GB538" s="19"/>
      <c r="GC538" s="19"/>
      <c r="GD538" s="19"/>
      <c r="GE538" s="19"/>
      <c r="GF538" s="19"/>
      <c r="GG538" s="19"/>
      <c r="GH538" s="19"/>
      <c r="GI538" s="19"/>
      <c r="GJ538" s="19"/>
      <c r="GK538" s="19"/>
      <c r="GL538" s="19"/>
      <c r="GM538" s="19"/>
      <c r="GN538" s="19"/>
      <c r="GO538" s="19"/>
      <c r="GP538" s="19"/>
      <c r="GQ538" s="19"/>
      <c r="GR538" s="19"/>
      <c r="GS538" s="19"/>
      <c r="GT538" s="19"/>
      <c r="GU538" s="19"/>
      <c r="GV538" s="19"/>
      <c r="GW538" s="19"/>
      <c r="GX538" s="19"/>
      <c r="GY538" s="19"/>
      <c r="GZ538" s="19"/>
      <c r="HA538" s="19"/>
      <c r="HB538" s="19"/>
    </row>
    <row r="539" spans="1:210"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c r="ER539" s="19"/>
      <c r="ES539" s="19"/>
      <c r="ET539" s="19"/>
      <c r="EU539" s="19"/>
      <c r="EV539" s="19"/>
      <c r="EW539" s="19"/>
      <c r="EX539" s="19"/>
      <c r="EY539" s="19"/>
      <c r="EZ539" s="19"/>
      <c r="FA539" s="19"/>
      <c r="FB539" s="19"/>
      <c r="FC539" s="19"/>
      <c r="FD539" s="19"/>
      <c r="FE539" s="19"/>
      <c r="FF539" s="19"/>
      <c r="FG539" s="19"/>
      <c r="FH539" s="19"/>
      <c r="FI539" s="19"/>
      <c r="FJ539" s="19"/>
      <c r="FK539" s="19"/>
      <c r="FL539" s="19"/>
      <c r="FM539" s="19"/>
      <c r="FN539" s="19"/>
      <c r="FO539" s="19"/>
      <c r="FP539" s="19"/>
      <c r="FQ539" s="19"/>
      <c r="FR539" s="19"/>
      <c r="FS539" s="19"/>
      <c r="FT539" s="19"/>
      <c r="FU539" s="19"/>
      <c r="FV539" s="19"/>
      <c r="FW539" s="19"/>
      <c r="FX539" s="19"/>
      <c r="FY539" s="19"/>
      <c r="FZ539" s="19"/>
      <c r="GA539" s="19"/>
      <c r="GB539" s="19"/>
      <c r="GC539" s="19"/>
      <c r="GD539" s="19"/>
      <c r="GE539" s="19"/>
      <c r="GF539" s="19"/>
      <c r="GG539" s="19"/>
      <c r="GH539" s="19"/>
      <c r="GI539" s="19"/>
      <c r="GJ539" s="19"/>
      <c r="GK539" s="19"/>
      <c r="GL539" s="19"/>
      <c r="GM539" s="19"/>
      <c r="GN539" s="19"/>
      <c r="GO539" s="19"/>
      <c r="GP539" s="19"/>
      <c r="GQ539" s="19"/>
      <c r="GR539" s="19"/>
      <c r="GS539" s="19"/>
      <c r="GT539" s="19"/>
      <c r="GU539" s="19"/>
      <c r="GV539" s="19"/>
      <c r="GW539" s="19"/>
      <c r="GX539" s="19"/>
      <c r="GY539" s="19"/>
      <c r="GZ539" s="19"/>
      <c r="HA539" s="19"/>
      <c r="HB539" s="19"/>
    </row>
    <row r="540" spans="1:210"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c r="ER540" s="19"/>
      <c r="ES540" s="19"/>
      <c r="ET540" s="19"/>
      <c r="EU540" s="19"/>
      <c r="EV540" s="19"/>
      <c r="EW540" s="19"/>
      <c r="EX540" s="19"/>
      <c r="EY540" s="19"/>
      <c r="EZ540" s="19"/>
      <c r="FA540" s="19"/>
      <c r="FB540" s="19"/>
      <c r="FC540" s="19"/>
      <c r="FD540" s="19"/>
      <c r="FE540" s="19"/>
      <c r="FF540" s="19"/>
      <c r="FG540" s="19"/>
      <c r="FH540" s="19"/>
      <c r="FI540" s="19"/>
      <c r="FJ540" s="19"/>
      <c r="FK540" s="19"/>
      <c r="FL540" s="19"/>
      <c r="FM540" s="19"/>
      <c r="FN540" s="19"/>
      <c r="FO540" s="19"/>
      <c r="FP540" s="19"/>
      <c r="FQ540" s="19"/>
      <c r="FR540" s="19"/>
      <c r="FS540" s="19"/>
      <c r="FT540" s="19"/>
      <c r="FU540" s="19"/>
      <c r="FV540" s="19"/>
      <c r="FW540" s="19"/>
      <c r="FX540" s="19"/>
      <c r="FY540" s="19"/>
      <c r="FZ540" s="19"/>
      <c r="GA540" s="19"/>
      <c r="GB540" s="19"/>
      <c r="GC540" s="19"/>
      <c r="GD540" s="19"/>
      <c r="GE540" s="19"/>
      <c r="GF540" s="19"/>
      <c r="GG540" s="19"/>
      <c r="GH540" s="19"/>
      <c r="GI540" s="19"/>
      <c r="GJ540" s="19"/>
      <c r="GK540" s="19"/>
      <c r="GL540" s="19"/>
      <c r="GM540" s="19"/>
      <c r="GN540" s="19"/>
      <c r="GO540" s="19"/>
      <c r="GP540" s="19"/>
      <c r="GQ540" s="19"/>
      <c r="GR540" s="19"/>
      <c r="GS540" s="19"/>
      <c r="GT540" s="19"/>
      <c r="GU540" s="19"/>
      <c r="GV540" s="19"/>
      <c r="GW540" s="19"/>
      <c r="GX540" s="19"/>
      <c r="GY540" s="19"/>
      <c r="GZ540" s="19"/>
      <c r="HA540" s="19"/>
      <c r="HB540" s="19"/>
    </row>
    <row r="541" spans="1:210"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c r="ER541" s="19"/>
      <c r="ES541" s="19"/>
      <c r="ET541" s="19"/>
      <c r="EU541" s="19"/>
      <c r="EV541" s="19"/>
      <c r="EW541" s="19"/>
      <c r="EX541" s="19"/>
      <c r="EY541" s="19"/>
      <c r="EZ541" s="19"/>
      <c r="FA541" s="19"/>
      <c r="FB541" s="19"/>
      <c r="FC541" s="19"/>
      <c r="FD541" s="19"/>
      <c r="FE541" s="19"/>
      <c r="FF541" s="19"/>
      <c r="FG541" s="19"/>
      <c r="FH541" s="19"/>
      <c r="FI541" s="19"/>
      <c r="FJ541" s="19"/>
      <c r="FK541" s="19"/>
      <c r="FL541" s="19"/>
      <c r="FM541" s="19"/>
      <c r="FN541" s="19"/>
      <c r="FO541" s="19"/>
      <c r="FP541" s="19"/>
      <c r="FQ541" s="19"/>
      <c r="FR541" s="19"/>
      <c r="FS541" s="19"/>
      <c r="FT541" s="19"/>
      <c r="FU541" s="19"/>
      <c r="FV541" s="19"/>
      <c r="FW541" s="19"/>
      <c r="FX541" s="19"/>
      <c r="FY541" s="19"/>
      <c r="FZ541" s="19"/>
      <c r="GA541" s="19"/>
      <c r="GB541" s="19"/>
      <c r="GC541" s="19"/>
      <c r="GD541" s="19"/>
      <c r="GE541" s="19"/>
      <c r="GF541" s="19"/>
      <c r="GG541" s="19"/>
      <c r="GH541" s="19"/>
      <c r="GI541" s="19"/>
      <c r="GJ541" s="19"/>
      <c r="GK541" s="19"/>
      <c r="GL541" s="19"/>
      <c r="GM541" s="19"/>
      <c r="GN541" s="19"/>
      <c r="GO541" s="19"/>
      <c r="GP541" s="19"/>
      <c r="GQ541" s="19"/>
      <c r="GR541" s="19"/>
      <c r="GS541" s="19"/>
      <c r="GT541" s="19"/>
      <c r="GU541" s="19"/>
      <c r="GV541" s="19"/>
      <c r="GW541" s="19"/>
      <c r="GX541" s="19"/>
      <c r="GY541" s="19"/>
      <c r="GZ541" s="19"/>
      <c r="HA541" s="19"/>
      <c r="HB541" s="19"/>
    </row>
    <row r="542" spans="1:210"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19"/>
      <c r="EV542" s="19"/>
      <c r="EW542" s="19"/>
      <c r="EX542" s="19"/>
      <c r="EY542" s="19"/>
      <c r="EZ542" s="19"/>
      <c r="FA542" s="19"/>
      <c r="FB542" s="19"/>
      <c r="FC542" s="19"/>
      <c r="FD542" s="19"/>
      <c r="FE542" s="19"/>
      <c r="FF542" s="19"/>
      <c r="FG542" s="19"/>
      <c r="FH542" s="19"/>
      <c r="FI542" s="19"/>
      <c r="FJ542" s="19"/>
      <c r="FK542" s="19"/>
      <c r="FL542" s="19"/>
      <c r="FM542" s="19"/>
      <c r="FN542" s="19"/>
      <c r="FO542" s="19"/>
      <c r="FP542" s="19"/>
      <c r="FQ542" s="19"/>
      <c r="FR542" s="19"/>
      <c r="FS542" s="19"/>
      <c r="FT542" s="19"/>
      <c r="FU542" s="19"/>
      <c r="FV542" s="19"/>
      <c r="FW542" s="19"/>
      <c r="FX542" s="19"/>
      <c r="FY542" s="19"/>
      <c r="FZ542" s="19"/>
      <c r="GA542" s="19"/>
      <c r="GB542" s="19"/>
      <c r="GC542" s="19"/>
      <c r="GD542" s="19"/>
      <c r="GE542" s="19"/>
      <c r="GF542" s="19"/>
      <c r="GG542" s="19"/>
      <c r="GH542" s="19"/>
      <c r="GI542" s="19"/>
      <c r="GJ542" s="19"/>
      <c r="GK542" s="19"/>
      <c r="GL542" s="19"/>
      <c r="GM542" s="19"/>
      <c r="GN542" s="19"/>
      <c r="GO542" s="19"/>
      <c r="GP542" s="19"/>
      <c r="GQ542" s="19"/>
      <c r="GR542" s="19"/>
      <c r="GS542" s="19"/>
      <c r="GT542" s="19"/>
      <c r="GU542" s="19"/>
      <c r="GV542" s="19"/>
      <c r="GW542" s="19"/>
      <c r="GX542" s="19"/>
      <c r="GY542" s="19"/>
      <c r="GZ542" s="19"/>
      <c r="HA542" s="19"/>
      <c r="HB542" s="19"/>
    </row>
    <row r="543" spans="1:210"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c r="FD543" s="19"/>
      <c r="FE543" s="19"/>
      <c r="FF543" s="19"/>
      <c r="FG543" s="19"/>
      <c r="FH543" s="19"/>
      <c r="FI543" s="19"/>
      <c r="FJ543" s="19"/>
      <c r="FK543" s="19"/>
      <c r="FL543" s="19"/>
      <c r="FM543" s="19"/>
      <c r="FN543" s="19"/>
      <c r="FO543" s="19"/>
      <c r="FP543" s="19"/>
      <c r="FQ543" s="19"/>
      <c r="FR543" s="19"/>
      <c r="FS543" s="19"/>
      <c r="FT543" s="19"/>
      <c r="FU543" s="19"/>
      <c r="FV543" s="19"/>
      <c r="FW543" s="19"/>
      <c r="FX543" s="19"/>
      <c r="FY543" s="19"/>
      <c r="FZ543" s="19"/>
      <c r="GA543" s="19"/>
      <c r="GB543" s="19"/>
      <c r="GC543" s="19"/>
      <c r="GD543" s="19"/>
      <c r="GE543" s="19"/>
      <c r="GF543" s="19"/>
      <c r="GG543" s="19"/>
      <c r="GH543" s="19"/>
      <c r="GI543" s="19"/>
      <c r="GJ543" s="19"/>
      <c r="GK543" s="19"/>
      <c r="GL543" s="19"/>
      <c r="GM543" s="19"/>
      <c r="GN543" s="19"/>
      <c r="GO543" s="19"/>
      <c r="GP543" s="19"/>
      <c r="GQ543" s="19"/>
      <c r="GR543" s="19"/>
      <c r="GS543" s="19"/>
      <c r="GT543" s="19"/>
      <c r="GU543" s="19"/>
      <c r="GV543" s="19"/>
      <c r="GW543" s="19"/>
      <c r="GX543" s="19"/>
      <c r="GY543" s="19"/>
      <c r="GZ543" s="19"/>
      <c r="HA543" s="19"/>
      <c r="HB543" s="19"/>
    </row>
    <row r="544" spans="1:210"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c r="ER544" s="19"/>
      <c r="ES544" s="19"/>
      <c r="ET544" s="19"/>
      <c r="EU544" s="19"/>
      <c r="EV544" s="19"/>
      <c r="EW544" s="19"/>
      <c r="EX544" s="19"/>
      <c r="EY544" s="19"/>
      <c r="EZ544" s="19"/>
      <c r="FA544" s="19"/>
      <c r="FB544" s="19"/>
      <c r="FC544" s="19"/>
      <c r="FD544" s="19"/>
      <c r="FE544" s="19"/>
      <c r="FF544" s="19"/>
      <c r="FG544" s="19"/>
      <c r="FH544" s="19"/>
      <c r="FI544" s="19"/>
      <c r="FJ544" s="19"/>
      <c r="FK544" s="19"/>
      <c r="FL544" s="19"/>
      <c r="FM544" s="19"/>
      <c r="FN544" s="19"/>
      <c r="FO544" s="19"/>
      <c r="FP544" s="19"/>
      <c r="FQ544" s="19"/>
      <c r="FR544" s="19"/>
      <c r="FS544" s="19"/>
      <c r="FT544" s="19"/>
      <c r="FU544" s="19"/>
      <c r="FV544" s="19"/>
      <c r="FW544" s="19"/>
      <c r="FX544" s="19"/>
      <c r="FY544" s="19"/>
      <c r="FZ544" s="19"/>
      <c r="GA544" s="19"/>
      <c r="GB544" s="19"/>
      <c r="GC544" s="19"/>
      <c r="GD544" s="19"/>
      <c r="GE544" s="19"/>
      <c r="GF544" s="19"/>
      <c r="GG544" s="19"/>
      <c r="GH544" s="19"/>
      <c r="GI544" s="19"/>
      <c r="GJ544" s="19"/>
      <c r="GK544" s="19"/>
      <c r="GL544" s="19"/>
      <c r="GM544" s="19"/>
      <c r="GN544" s="19"/>
      <c r="GO544" s="19"/>
      <c r="GP544" s="19"/>
      <c r="GQ544" s="19"/>
      <c r="GR544" s="19"/>
      <c r="GS544" s="19"/>
      <c r="GT544" s="19"/>
      <c r="GU544" s="19"/>
      <c r="GV544" s="19"/>
      <c r="GW544" s="19"/>
      <c r="GX544" s="19"/>
      <c r="GY544" s="19"/>
      <c r="GZ544" s="19"/>
      <c r="HA544" s="19"/>
      <c r="HB544" s="19"/>
    </row>
    <row r="545" spans="1:210"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c r="ER545" s="19"/>
      <c r="ES545" s="19"/>
      <c r="ET545" s="19"/>
      <c r="EU545" s="19"/>
      <c r="EV545" s="19"/>
      <c r="EW545" s="19"/>
      <c r="EX545" s="19"/>
      <c r="EY545" s="19"/>
      <c r="EZ545" s="19"/>
      <c r="FA545" s="19"/>
      <c r="FB545" s="19"/>
      <c r="FC545" s="19"/>
      <c r="FD545" s="19"/>
      <c r="FE545" s="19"/>
      <c r="FF545" s="19"/>
      <c r="FG545" s="19"/>
      <c r="FH545" s="19"/>
      <c r="FI545" s="19"/>
      <c r="FJ545" s="19"/>
      <c r="FK545" s="19"/>
      <c r="FL545" s="19"/>
      <c r="FM545" s="19"/>
      <c r="FN545" s="19"/>
      <c r="FO545" s="19"/>
      <c r="FP545" s="19"/>
      <c r="FQ545" s="19"/>
      <c r="FR545" s="19"/>
      <c r="FS545" s="19"/>
      <c r="FT545" s="19"/>
      <c r="FU545" s="19"/>
      <c r="FV545" s="19"/>
      <c r="FW545" s="19"/>
      <c r="FX545" s="19"/>
      <c r="FY545" s="19"/>
      <c r="FZ545" s="19"/>
      <c r="GA545" s="19"/>
      <c r="GB545" s="19"/>
      <c r="GC545" s="19"/>
      <c r="GD545" s="19"/>
      <c r="GE545" s="19"/>
      <c r="GF545" s="19"/>
      <c r="GG545" s="19"/>
      <c r="GH545" s="19"/>
      <c r="GI545" s="19"/>
      <c r="GJ545" s="19"/>
      <c r="GK545" s="19"/>
      <c r="GL545" s="19"/>
      <c r="GM545" s="19"/>
      <c r="GN545" s="19"/>
      <c r="GO545" s="19"/>
      <c r="GP545" s="19"/>
      <c r="GQ545" s="19"/>
      <c r="GR545" s="19"/>
      <c r="GS545" s="19"/>
      <c r="GT545" s="19"/>
      <c r="GU545" s="19"/>
      <c r="GV545" s="19"/>
      <c r="GW545" s="19"/>
      <c r="GX545" s="19"/>
      <c r="GY545" s="19"/>
      <c r="GZ545" s="19"/>
      <c r="HA545" s="19"/>
      <c r="HB545" s="19"/>
    </row>
    <row r="546" spans="1:210"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c r="FD546" s="19"/>
      <c r="FE546" s="19"/>
      <c r="FF546" s="19"/>
      <c r="FG546" s="19"/>
      <c r="FH546" s="19"/>
      <c r="FI546" s="19"/>
      <c r="FJ546" s="19"/>
      <c r="FK546" s="19"/>
      <c r="FL546" s="19"/>
      <c r="FM546" s="19"/>
      <c r="FN546" s="19"/>
      <c r="FO546" s="19"/>
      <c r="FP546" s="19"/>
      <c r="FQ546" s="19"/>
      <c r="FR546" s="19"/>
      <c r="FS546" s="19"/>
      <c r="FT546" s="19"/>
      <c r="FU546" s="19"/>
      <c r="FV546" s="19"/>
      <c r="FW546" s="19"/>
      <c r="FX546" s="19"/>
      <c r="FY546" s="19"/>
      <c r="FZ546" s="19"/>
      <c r="GA546" s="19"/>
      <c r="GB546" s="19"/>
      <c r="GC546" s="19"/>
      <c r="GD546" s="19"/>
      <c r="GE546" s="19"/>
      <c r="GF546" s="19"/>
      <c r="GG546" s="19"/>
      <c r="GH546" s="19"/>
      <c r="GI546" s="19"/>
      <c r="GJ546" s="19"/>
      <c r="GK546" s="19"/>
      <c r="GL546" s="19"/>
      <c r="GM546" s="19"/>
      <c r="GN546" s="19"/>
      <c r="GO546" s="19"/>
      <c r="GP546" s="19"/>
      <c r="GQ546" s="19"/>
      <c r="GR546" s="19"/>
      <c r="GS546" s="19"/>
      <c r="GT546" s="19"/>
      <c r="GU546" s="19"/>
      <c r="GV546" s="19"/>
      <c r="GW546" s="19"/>
      <c r="GX546" s="19"/>
      <c r="GY546" s="19"/>
      <c r="GZ546" s="19"/>
      <c r="HA546" s="19"/>
      <c r="HB546" s="19"/>
    </row>
    <row r="547" spans="1:210"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c r="FD547" s="19"/>
      <c r="FE547" s="19"/>
      <c r="FF547" s="19"/>
      <c r="FG547" s="19"/>
      <c r="FH547" s="19"/>
      <c r="FI547" s="19"/>
      <c r="FJ547" s="19"/>
      <c r="FK547" s="19"/>
      <c r="FL547" s="19"/>
      <c r="FM547" s="19"/>
      <c r="FN547" s="19"/>
      <c r="FO547" s="19"/>
      <c r="FP547" s="19"/>
      <c r="FQ547" s="19"/>
      <c r="FR547" s="19"/>
      <c r="FS547" s="19"/>
      <c r="FT547" s="19"/>
      <c r="FU547" s="19"/>
      <c r="FV547" s="19"/>
      <c r="FW547" s="19"/>
      <c r="FX547" s="19"/>
      <c r="FY547" s="19"/>
      <c r="FZ547" s="19"/>
      <c r="GA547" s="19"/>
      <c r="GB547" s="19"/>
      <c r="GC547" s="19"/>
      <c r="GD547" s="19"/>
      <c r="GE547" s="19"/>
      <c r="GF547" s="19"/>
      <c r="GG547" s="19"/>
      <c r="GH547" s="19"/>
      <c r="GI547" s="19"/>
      <c r="GJ547" s="19"/>
      <c r="GK547" s="19"/>
      <c r="GL547" s="19"/>
      <c r="GM547" s="19"/>
      <c r="GN547" s="19"/>
      <c r="GO547" s="19"/>
      <c r="GP547" s="19"/>
      <c r="GQ547" s="19"/>
      <c r="GR547" s="19"/>
      <c r="GS547" s="19"/>
      <c r="GT547" s="19"/>
      <c r="GU547" s="19"/>
      <c r="GV547" s="19"/>
      <c r="GW547" s="19"/>
      <c r="GX547" s="19"/>
      <c r="GY547" s="19"/>
      <c r="GZ547" s="19"/>
      <c r="HA547" s="19"/>
      <c r="HB547" s="19"/>
    </row>
    <row r="548" spans="1:210"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c r="ER548" s="19"/>
      <c r="ES548" s="19"/>
      <c r="ET548" s="19"/>
      <c r="EU548" s="19"/>
      <c r="EV548" s="19"/>
      <c r="EW548" s="19"/>
      <c r="EX548" s="19"/>
      <c r="EY548" s="19"/>
      <c r="EZ548" s="19"/>
      <c r="FA548" s="19"/>
      <c r="FB548" s="19"/>
      <c r="FC548" s="19"/>
      <c r="FD548" s="19"/>
      <c r="FE548" s="19"/>
      <c r="FF548" s="19"/>
      <c r="FG548" s="19"/>
      <c r="FH548" s="19"/>
      <c r="FI548" s="19"/>
      <c r="FJ548" s="19"/>
      <c r="FK548" s="19"/>
      <c r="FL548" s="19"/>
      <c r="FM548" s="19"/>
      <c r="FN548" s="19"/>
      <c r="FO548" s="19"/>
      <c r="FP548" s="19"/>
      <c r="FQ548" s="19"/>
      <c r="FR548" s="19"/>
      <c r="FS548" s="19"/>
      <c r="FT548" s="19"/>
      <c r="FU548" s="19"/>
      <c r="FV548" s="19"/>
      <c r="FW548" s="19"/>
      <c r="FX548" s="19"/>
      <c r="FY548" s="19"/>
      <c r="FZ548" s="19"/>
      <c r="GA548" s="19"/>
      <c r="GB548" s="19"/>
      <c r="GC548" s="19"/>
      <c r="GD548" s="19"/>
      <c r="GE548" s="19"/>
      <c r="GF548" s="19"/>
      <c r="GG548" s="19"/>
      <c r="GH548" s="19"/>
      <c r="GI548" s="19"/>
      <c r="GJ548" s="19"/>
      <c r="GK548" s="19"/>
      <c r="GL548" s="19"/>
      <c r="GM548" s="19"/>
      <c r="GN548" s="19"/>
      <c r="GO548" s="19"/>
      <c r="GP548" s="19"/>
      <c r="GQ548" s="19"/>
      <c r="GR548" s="19"/>
      <c r="GS548" s="19"/>
      <c r="GT548" s="19"/>
      <c r="GU548" s="19"/>
      <c r="GV548" s="19"/>
      <c r="GW548" s="19"/>
      <c r="GX548" s="19"/>
      <c r="GY548" s="19"/>
      <c r="GZ548" s="19"/>
      <c r="HA548" s="19"/>
      <c r="HB548" s="19"/>
    </row>
    <row r="549" spans="1:210"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c r="ER549" s="19"/>
      <c r="ES549" s="19"/>
      <c r="ET549" s="19"/>
      <c r="EU549" s="19"/>
      <c r="EV549" s="19"/>
      <c r="EW549" s="19"/>
      <c r="EX549" s="19"/>
      <c r="EY549" s="19"/>
      <c r="EZ549" s="19"/>
      <c r="FA549" s="19"/>
      <c r="FB549" s="19"/>
      <c r="FC549" s="19"/>
      <c r="FD549" s="19"/>
      <c r="FE549" s="19"/>
      <c r="FF549" s="19"/>
      <c r="FG549" s="19"/>
      <c r="FH549" s="19"/>
      <c r="FI549" s="19"/>
      <c r="FJ549" s="19"/>
      <c r="FK549" s="19"/>
      <c r="FL549" s="19"/>
      <c r="FM549" s="19"/>
      <c r="FN549" s="19"/>
      <c r="FO549" s="19"/>
      <c r="FP549" s="19"/>
      <c r="FQ549" s="19"/>
      <c r="FR549" s="19"/>
      <c r="FS549" s="19"/>
      <c r="FT549" s="19"/>
      <c r="FU549" s="19"/>
      <c r="FV549" s="19"/>
      <c r="FW549" s="19"/>
      <c r="FX549" s="19"/>
      <c r="FY549" s="19"/>
      <c r="FZ549" s="19"/>
      <c r="GA549" s="19"/>
      <c r="GB549" s="19"/>
      <c r="GC549" s="19"/>
      <c r="GD549" s="19"/>
      <c r="GE549" s="19"/>
      <c r="GF549" s="19"/>
      <c r="GG549" s="19"/>
      <c r="GH549" s="19"/>
      <c r="GI549" s="19"/>
      <c r="GJ549" s="19"/>
      <c r="GK549" s="19"/>
      <c r="GL549" s="19"/>
      <c r="GM549" s="19"/>
      <c r="GN549" s="19"/>
      <c r="GO549" s="19"/>
      <c r="GP549" s="19"/>
      <c r="GQ549" s="19"/>
      <c r="GR549" s="19"/>
      <c r="GS549" s="19"/>
      <c r="GT549" s="19"/>
      <c r="GU549" s="19"/>
      <c r="GV549" s="19"/>
      <c r="GW549" s="19"/>
      <c r="GX549" s="19"/>
      <c r="GY549" s="19"/>
      <c r="GZ549" s="19"/>
      <c r="HA549" s="19"/>
      <c r="HB549" s="19"/>
    </row>
    <row r="550" spans="1:210"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19"/>
      <c r="EV550" s="19"/>
      <c r="EW550" s="19"/>
      <c r="EX550" s="19"/>
      <c r="EY550" s="19"/>
      <c r="EZ550" s="19"/>
      <c r="FA550" s="19"/>
      <c r="FB550" s="19"/>
      <c r="FC550" s="19"/>
      <c r="FD550" s="19"/>
      <c r="FE550" s="19"/>
      <c r="FF550" s="19"/>
      <c r="FG550" s="19"/>
      <c r="FH550" s="19"/>
      <c r="FI550" s="19"/>
      <c r="FJ550" s="19"/>
      <c r="FK550" s="19"/>
      <c r="FL550" s="19"/>
      <c r="FM550" s="19"/>
      <c r="FN550" s="19"/>
      <c r="FO550" s="19"/>
      <c r="FP550" s="19"/>
      <c r="FQ550" s="19"/>
      <c r="FR550" s="19"/>
      <c r="FS550" s="19"/>
      <c r="FT550" s="19"/>
      <c r="FU550" s="19"/>
      <c r="FV550" s="19"/>
      <c r="FW550" s="19"/>
      <c r="FX550" s="19"/>
      <c r="FY550" s="19"/>
      <c r="FZ550" s="19"/>
      <c r="GA550" s="19"/>
      <c r="GB550" s="19"/>
      <c r="GC550" s="19"/>
      <c r="GD550" s="19"/>
      <c r="GE550" s="19"/>
      <c r="GF550" s="19"/>
      <c r="GG550" s="19"/>
      <c r="GH550" s="19"/>
      <c r="GI550" s="19"/>
      <c r="GJ550" s="19"/>
      <c r="GK550" s="19"/>
      <c r="GL550" s="19"/>
      <c r="GM550" s="19"/>
      <c r="GN550" s="19"/>
      <c r="GO550" s="19"/>
      <c r="GP550" s="19"/>
      <c r="GQ550" s="19"/>
      <c r="GR550" s="19"/>
      <c r="GS550" s="19"/>
      <c r="GT550" s="19"/>
      <c r="GU550" s="19"/>
      <c r="GV550" s="19"/>
      <c r="GW550" s="19"/>
      <c r="GX550" s="19"/>
      <c r="GY550" s="19"/>
      <c r="GZ550" s="19"/>
      <c r="HA550" s="19"/>
      <c r="HB550" s="19"/>
    </row>
    <row r="551" spans="1:210"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c r="ER551" s="19"/>
      <c r="ES551" s="19"/>
      <c r="ET551" s="19"/>
      <c r="EU551" s="19"/>
      <c r="EV551" s="19"/>
      <c r="EW551" s="19"/>
      <c r="EX551" s="19"/>
      <c r="EY551" s="19"/>
      <c r="EZ551" s="19"/>
      <c r="FA551" s="19"/>
      <c r="FB551" s="19"/>
      <c r="FC551" s="19"/>
      <c r="FD551" s="19"/>
      <c r="FE551" s="19"/>
      <c r="FF551" s="19"/>
      <c r="FG551" s="19"/>
      <c r="FH551" s="19"/>
      <c r="FI551" s="19"/>
      <c r="FJ551" s="19"/>
      <c r="FK551" s="19"/>
      <c r="FL551" s="19"/>
      <c r="FM551" s="19"/>
      <c r="FN551" s="19"/>
      <c r="FO551" s="19"/>
      <c r="FP551" s="19"/>
      <c r="FQ551" s="19"/>
      <c r="FR551" s="19"/>
      <c r="FS551" s="19"/>
      <c r="FT551" s="19"/>
      <c r="FU551" s="19"/>
      <c r="FV551" s="19"/>
      <c r="FW551" s="19"/>
      <c r="FX551" s="19"/>
      <c r="FY551" s="19"/>
      <c r="FZ551" s="19"/>
      <c r="GA551" s="19"/>
      <c r="GB551" s="19"/>
      <c r="GC551" s="19"/>
      <c r="GD551" s="19"/>
      <c r="GE551" s="19"/>
      <c r="GF551" s="19"/>
      <c r="GG551" s="19"/>
      <c r="GH551" s="19"/>
      <c r="GI551" s="19"/>
      <c r="GJ551" s="19"/>
      <c r="GK551" s="19"/>
      <c r="GL551" s="19"/>
      <c r="GM551" s="19"/>
      <c r="GN551" s="19"/>
      <c r="GO551" s="19"/>
      <c r="GP551" s="19"/>
      <c r="GQ551" s="19"/>
      <c r="GR551" s="19"/>
      <c r="GS551" s="19"/>
      <c r="GT551" s="19"/>
      <c r="GU551" s="19"/>
      <c r="GV551" s="19"/>
      <c r="GW551" s="19"/>
      <c r="GX551" s="19"/>
      <c r="GY551" s="19"/>
      <c r="GZ551" s="19"/>
      <c r="HA551" s="19"/>
      <c r="HB551" s="19"/>
    </row>
    <row r="552" spans="1:210"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c r="ER552" s="19"/>
      <c r="ES552" s="19"/>
      <c r="ET552" s="19"/>
      <c r="EU552" s="19"/>
      <c r="EV552" s="19"/>
      <c r="EW552" s="19"/>
      <c r="EX552" s="19"/>
      <c r="EY552" s="19"/>
      <c r="EZ552" s="19"/>
      <c r="FA552" s="19"/>
      <c r="FB552" s="19"/>
      <c r="FC552" s="19"/>
      <c r="FD552" s="19"/>
      <c r="FE552" s="19"/>
      <c r="FF552" s="19"/>
      <c r="FG552" s="19"/>
      <c r="FH552" s="19"/>
      <c r="FI552" s="19"/>
      <c r="FJ552" s="19"/>
      <c r="FK552" s="19"/>
      <c r="FL552" s="19"/>
      <c r="FM552" s="19"/>
      <c r="FN552" s="19"/>
      <c r="FO552" s="19"/>
      <c r="FP552" s="19"/>
      <c r="FQ552" s="19"/>
      <c r="FR552" s="19"/>
      <c r="FS552" s="19"/>
      <c r="FT552" s="19"/>
      <c r="FU552" s="19"/>
      <c r="FV552" s="19"/>
      <c r="FW552" s="19"/>
      <c r="FX552" s="19"/>
      <c r="FY552" s="19"/>
      <c r="FZ552" s="19"/>
      <c r="GA552" s="19"/>
      <c r="GB552" s="19"/>
      <c r="GC552" s="19"/>
      <c r="GD552" s="19"/>
      <c r="GE552" s="19"/>
      <c r="GF552" s="19"/>
      <c r="GG552" s="19"/>
      <c r="GH552" s="19"/>
      <c r="GI552" s="19"/>
      <c r="GJ552" s="19"/>
      <c r="GK552" s="19"/>
      <c r="GL552" s="19"/>
      <c r="GM552" s="19"/>
      <c r="GN552" s="19"/>
      <c r="GO552" s="19"/>
      <c r="GP552" s="19"/>
      <c r="GQ552" s="19"/>
      <c r="GR552" s="19"/>
      <c r="GS552" s="19"/>
      <c r="GT552" s="19"/>
      <c r="GU552" s="19"/>
      <c r="GV552" s="19"/>
      <c r="GW552" s="19"/>
      <c r="GX552" s="19"/>
      <c r="GY552" s="19"/>
      <c r="GZ552" s="19"/>
      <c r="HA552" s="19"/>
      <c r="HB552" s="19"/>
    </row>
    <row r="553" spans="1:210"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c r="ER553" s="19"/>
      <c r="ES553" s="19"/>
      <c r="ET553" s="19"/>
      <c r="EU553" s="19"/>
      <c r="EV553" s="19"/>
      <c r="EW553" s="19"/>
      <c r="EX553" s="19"/>
      <c r="EY553" s="19"/>
      <c r="EZ553" s="19"/>
      <c r="FA553" s="19"/>
      <c r="FB553" s="19"/>
      <c r="FC553" s="19"/>
      <c r="FD553" s="19"/>
      <c r="FE553" s="19"/>
      <c r="FF553" s="19"/>
      <c r="FG553" s="19"/>
      <c r="FH553" s="19"/>
      <c r="FI553" s="19"/>
      <c r="FJ553" s="19"/>
      <c r="FK553" s="19"/>
      <c r="FL553" s="19"/>
      <c r="FM553" s="19"/>
      <c r="FN553" s="19"/>
      <c r="FO553" s="19"/>
      <c r="FP553" s="19"/>
      <c r="FQ553" s="19"/>
      <c r="FR553" s="19"/>
      <c r="FS553" s="19"/>
      <c r="FT553" s="19"/>
      <c r="FU553" s="19"/>
      <c r="FV553" s="19"/>
      <c r="FW553" s="19"/>
      <c r="FX553" s="19"/>
      <c r="FY553" s="19"/>
      <c r="FZ553" s="19"/>
      <c r="GA553" s="19"/>
      <c r="GB553" s="19"/>
      <c r="GC553" s="19"/>
      <c r="GD553" s="19"/>
      <c r="GE553" s="19"/>
      <c r="GF553" s="19"/>
      <c r="GG553" s="19"/>
      <c r="GH553" s="19"/>
      <c r="GI553" s="19"/>
      <c r="GJ553" s="19"/>
      <c r="GK553" s="19"/>
      <c r="GL553" s="19"/>
      <c r="GM553" s="19"/>
      <c r="GN553" s="19"/>
      <c r="GO553" s="19"/>
      <c r="GP553" s="19"/>
      <c r="GQ553" s="19"/>
      <c r="GR553" s="19"/>
      <c r="GS553" s="19"/>
      <c r="GT553" s="19"/>
      <c r="GU553" s="19"/>
      <c r="GV553" s="19"/>
      <c r="GW553" s="19"/>
      <c r="GX553" s="19"/>
      <c r="GY553" s="19"/>
      <c r="GZ553" s="19"/>
      <c r="HA553" s="19"/>
      <c r="HB553" s="19"/>
    </row>
    <row r="554" spans="1:210"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c r="ER554" s="19"/>
      <c r="ES554" s="19"/>
      <c r="ET554" s="19"/>
      <c r="EU554" s="19"/>
      <c r="EV554" s="19"/>
      <c r="EW554" s="19"/>
      <c r="EX554" s="19"/>
      <c r="EY554" s="19"/>
      <c r="EZ554" s="19"/>
      <c r="FA554" s="19"/>
      <c r="FB554" s="19"/>
      <c r="FC554" s="19"/>
      <c r="FD554" s="19"/>
      <c r="FE554" s="19"/>
      <c r="FF554" s="19"/>
      <c r="FG554" s="19"/>
      <c r="FH554" s="19"/>
      <c r="FI554" s="19"/>
      <c r="FJ554" s="19"/>
      <c r="FK554" s="19"/>
      <c r="FL554" s="19"/>
      <c r="FM554" s="19"/>
      <c r="FN554" s="19"/>
      <c r="FO554" s="19"/>
      <c r="FP554" s="19"/>
      <c r="FQ554" s="19"/>
      <c r="FR554" s="19"/>
      <c r="FS554" s="19"/>
      <c r="FT554" s="19"/>
      <c r="FU554" s="19"/>
      <c r="FV554" s="19"/>
      <c r="FW554" s="19"/>
      <c r="FX554" s="19"/>
      <c r="FY554" s="19"/>
      <c r="FZ554" s="19"/>
      <c r="GA554" s="19"/>
      <c r="GB554" s="19"/>
      <c r="GC554" s="19"/>
      <c r="GD554" s="19"/>
      <c r="GE554" s="19"/>
      <c r="GF554" s="19"/>
      <c r="GG554" s="19"/>
      <c r="GH554" s="19"/>
      <c r="GI554" s="19"/>
      <c r="GJ554" s="19"/>
      <c r="GK554" s="19"/>
      <c r="GL554" s="19"/>
      <c r="GM554" s="19"/>
      <c r="GN554" s="19"/>
      <c r="GO554" s="19"/>
      <c r="GP554" s="19"/>
      <c r="GQ554" s="19"/>
      <c r="GR554" s="19"/>
      <c r="GS554" s="19"/>
      <c r="GT554" s="19"/>
      <c r="GU554" s="19"/>
      <c r="GV554" s="19"/>
      <c r="GW554" s="19"/>
      <c r="GX554" s="19"/>
      <c r="GY554" s="19"/>
      <c r="GZ554" s="19"/>
      <c r="HA554" s="19"/>
      <c r="HB554" s="19"/>
    </row>
    <row r="555" spans="1:210"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c r="ER555" s="19"/>
      <c r="ES555" s="19"/>
      <c r="ET555" s="19"/>
      <c r="EU555" s="19"/>
      <c r="EV555" s="19"/>
      <c r="EW555" s="19"/>
      <c r="EX555" s="19"/>
      <c r="EY555" s="19"/>
      <c r="EZ555" s="19"/>
      <c r="FA555" s="19"/>
      <c r="FB555" s="19"/>
      <c r="FC555" s="19"/>
      <c r="FD555" s="19"/>
      <c r="FE555" s="19"/>
      <c r="FF555" s="19"/>
      <c r="FG555" s="19"/>
      <c r="FH555" s="19"/>
      <c r="FI555" s="19"/>
      <c r="FJ555" s="19"/>
      <c r="FK555" s="19"/>
      <c r="FL555" s="19"/>
      <c r="FM555" s="19"/>
      <c r="FN555" s="19"/>
      <c r="FO555" s="19"/>
      <c r="FP555" s="19"/>
      <c r="FQ555" s="19"/>
      <c r="FR555" s="19"/>
      <c r="FS555" s="19"/>
      <c r="FT555" s="19"/>
      <c r="FU555" s="19"/>
      <c r="FV555" s="19"/>
      <c r="FW555" s="19"/>
      <c r="FX555" s="19"/>
      <c r="FY555" s="19"/>
      <c r="FZ555" s="19"/>
      <c r="GA555" s="19"/>
      <c r="GB555" s="19"/>
      <c r="GC555" s="19"/>
      <c r="GD555" s="19"/>
      <c r="GE555" s="19"/>
      <c r="GF555" s="19"/>
      <c r="GG555" s="19"/>
      <c r="GH555" s="19"/>
      <c r="GI555" s="19"/>
      <c r="GJ555" s="19"/>
      <c r="GK555" s="19"/>
      <c r="GL555" s="19"/>
      <c r="GM555" s="19"/>
      <c r="GN555" s="19"/>
      <c r="GO555" s="19"/>
      <c r="GP555" s="19"/>
      <c r="GQ555" s="19"/>
      <c r="GR555" s="19"/>
      <c r="GS555" s="19"/>
      <c r="GT555" s="19"/>
      <c r="GU555" s="19"/>
      <c r="GV555" s="19"/>
      <c r="GW555" s="19"/>
      <c r="GX555" s="19"/>
      <c r="GY555" s="19"/>
      <c r="GZ555" s="19"/>
      <c r="HA555" s="19"/>
      <c r="HB555" s="19"/>
    </row>
    <row r="556" spans="1:210"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c r="ER556" s="19"/>
      <c r="ES556" s="19"/>
      <c r="ET556" s="19"/>
      <c r="EU556" s="19"/>
      <c r="EV556" s="19"/>
      <c r="EW556" s="19"/>
      <c r="EX556" s="19"/>
      <c r="EY556" s="19"/>
      <c r="EZ556" s="19"/>
      <c r="FA556" s="19"/>
      <c r="FB556" s="19"/>
      <c r="FC556" s="19"/>
      <c r="FD556" s="19"/>
      <c r="FE556" s="19"/>
      <c r="FF556" s="19"/>
      <c r="FG556" s="19"/>
      <c r="FH556" s="19"/>
      <c r="FI556" s="19"/>
      <c r="FJ556" s="19"/>
      <c r="FK556" s="19"/>
      <c r="FL556" s="19"/>
      <c r="FM556" s="19"/>
      <c r="FN556" s="19"/>
      <c r="FO556" s="19"/>
      <c r="FP556" s="19"/>
      <c r="FQ556" s="19"/>
      <c r="FR556" s="19"/>
      <c r="FS556" s="19"/>
      <c r="FT556" s="19"/>
      <c r="FU556" s="19"/>
      <c r="FV556" s="19"/>
      <c r="FW556" s="19"/>
      <c r="FX556" s="19"/>
      <c r="FY556" s="19"/>
      <c r="FZ556" s="19"/>
      <c r="GA556" s="19"/>
      <c r="GB556" s="19"/>
      <c r="GC556" s="19"/>
      <c r="GD556" s="19"/>
      <c r="GE556" s="19"/>
      <c r="GF556" s="19"/>
      <c r="GG556" s="19"/>
      <c r="GH556" s="19"/>
      <c r="GI556" s="19"/>
      <c r="GJ556" s="19"/>
      <c r="GK556" s="19"/>
      <c r="GL556" s="19"/>
      <c r="GM556" s="19"/>
      <c r="GN556" s="19"/>
      <c r="GO556" s="19"/>
      <c r="GP556" s="19"/>
      <c r="GQ556" s="19"/>
      <c r="GR556" s="19"/>
      <c r="GS556" s="19"/>
      <c r="GT556" s="19"/>
      <c r="GU556" s="19"/>
      <c r="GV556" s="19"/>
      <c r="GW556" s="19"/>
      <c r="GX556" s="19"/>
      <c r="GY556" s="19"/>
      <c r="GZ556" s="19"/>
      <c r="HA556" s="19"/>
      <c r="HB556" s="19"/>
    </row>
    <row r="557" spans="1:210"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c r="ER557" s="19"/>
      <c r="ES557" s="19"/>
      <c r="ET557" s="19"/>
      <c r="EU557" s="19"/>
      <c r="EV557" s="19"/>
      <c r="EW557" s="19"/>
      <c r="EX557" s="19"/>
      <c r="EY557" s="19"/>
      <c r="EZ557" s="19"/>
      <c r="FA557" s="19"/>
      <c r="FB557" s="19"/>
      <c r="FC557" s="19"/>
      <c r="FD557" s="19"/>
      <c r="FE557" s="19"/>
      <c r="FF557" s="19"/>
      <c r="FG557" s="19"/>
      <c r="FH557" s="19"/>
      <c r="FI557" s="19"/>
      <c r="FJ557" s="19"/>
      <c r="FK557" s="19"/>
      <c r="FL557" s="19"/>
      <c r="FM557" s="19"/>
      <c r="FN557" s="19"/>
      <c r="FO557" s="19"/>
      <c r="FP557" s="19"/>
      <c r="FQ557" s="19"/>
      <c r="FR557" s="19"/>
      <c r="FS557" s="19"/>
      <c r="FT557" s="19"/>
      <c r="FU557" s="19"/>
      <c r="FV557" s="19"/>
      <c r="FW557" s="19"/>
      <c r="FX557" s="19"/>
      <c r="FY557" s="19"/>
      <c r="FZ557" s="19"/>
      <c r="GA557" s="19"/>
      <c r="GB557" s="19"/>
      <c r="GC557" s="19"/>
      <c r="GD557" s="19"/>
      <c r="GE557" s="19"/>
      <c r="GF557" s="19"/>
      <c r="GG557" s="19"/>
      <c r="GH557" s="19"/>
      <c r="GI557" s="19"/>
      <c r="GJ557" s="19"/>
      <c r="GK557" s="19"/>
      <c r="GL557" s="19"/>
      <c r="GM557" s="19"/>
      <c r="GN557" s="19"/>
      <c r="GO557" s="19"/>
      <c r="GP557" s="19"/>
      <c r="GQ557" s="19"/>
      <c r="GR557" s="19"/>
      <c r="GS557" s="19"/>
      <c r="GT557" s="19"/>
      <c r="GU557" s="19"/>
      <c r="GV557" s="19"/>
      <c r="GW557" s="19"/>
      <c r="GX557" s="19"/>
      <c r="GY557" s="19"/>
      <c r="GZ557" s="19"/>
      <c r="HA557" s="19"/>
      <c r="HB557" s="19"/>
    </row>
    <row r="558" spans="1:210"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19"/>
      <c r="EV558" s="19"/>
      <c r="EW558" s="19"/>
      <c r="EX558" s="19"/>
      <c r="EY558" s="19"/>
      <c r="EZ558" s="19"/>
      <c r="FA558" s="19"/>
      <c r="FB558" s="19"/>
      <c r="FC558" s="19"/>
      <c r="FD558" s="19"/>
      <c r="FE558" s="19"/>
      <c r="FF558" s="19"/>
      <c r="FG558" s="19"/>
      <c r="FH558" s="19"/>
      <c r="FI558" s="19"/>
      <c r="FJ558" s="19"/>
      <c r="FK558" s="19"/>
      <c r="FL558" s="19"/>
      <c r="FM558" s="19"/>
      <c r="FN558" s="19"/>
      <c r="FO558" s="19"/>
      <c r="FP558" s="19"/>
      <c r="FQ558" s="19"/>
      <c r="FR558" s="19"/>
      <c r="FS558" s="19"/>
      <c r="FT558" s="19"/>
      <c r="FU558" s="19"/>
      <c r="FV558" s="19"/>
      <c r="FW558" s="19"/>
      <c r="FX558" s="19"/>
      <c r="FY558" s="19"/>
      <c r="FZ558" s="19"/>
      <c r="GA558" s="19"/>
      <c r="GB558" s="19"/>
      <c r="GC558" s="19"/>
      <c r="GD558" s="19"/>
      <c r="GE558" s="19"/>
      <c r="GF558" s="19"/>
      <c r="GG558" s="19"/>
      <c r="GH558" s="19"/>
      <c r="GI558" s="19"/>
      <c r="GJ558" s="19"/>
      <c r="GK558" s="19"/>
      <c r="GL558" s="19"/>
      <c r="GM558" s="19"/>
      <c r="GN558" s="19"/>
      <c r="GO558" s="19"/>
      <c r="GP558" s="19"/>
      <c r="GQ558" s="19"/>
      <c r="GR558" s="19"/>
      <c r="GS558" s="19"/>
      <c r="GT558" s="19"/>
      <c r="GU558" s="19"/>
      <c r="GV558" s="19"/>
      <c r="GW558" s="19"/>
      <c r="GX558" s="19"/>
      <c r="GY558" s="19"/>
      <c r="GZ558" s="19"/>
      <c r="HA558" s="19"/>
      <c r="HB558" s="19"/>
    </row>
    <row r="559" spans="1:210"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c r="ER559" s="19"/>
      <c r="ES559" s="19"/>
      <c r="ET559" s="19"/>
      <c r="EU559" s="19"/>
      <c r="EV559" s="19"/>
      <c r="EW559" s="19"/>
      <c r="EX559" s="19"/>
      <c r="EY559" s="19"/>
      <c r="EZ559" s="19"/>
      <c r="FA559" s="19"/>
      <c r="FB559" s="19"/>
      <c r="FC559" s="19"/>
      <c r="FD559" s="19"/>
      <c r="FE559" s="19"/>
      <c r="FF559" s="19"/>
      <c r="FG559" s="19"/>
      <c r="FH559" s="19"/>
      <c r="FI559" s="19"/>
      <c r="FJ559" s="19"/>
      <c r="FK559" s="19"/>
      <c r="FL559" s="19"/>
      <c r="FM559" s="19"/>
      <c r="FN559" s="19"/>
      <c r="FO559" s="19"/>
      <c r="FP559" s="19"/>
      <c r="FQ559" s="19"/>
      <c r="FR559" s="19"/>
      <c r="FS559" s="19"/>
      <c r="FT559" s="19"/>
      <c r="FU559" s="19"/>
      <c r="FV559" s="19"/>
      <c r="FW559" s="19"/>
      <c r="FX559" s="19"/>
      <c r="FY559" s="19"/>
      <c r="FZ559" s="19"/>
      <c r="GA559" s="19"/>
      <c r="GB559" s="19"/>
      <c r="GC559" s="19"/>
      <c r="GD559" s="19"/>
      <c r="GE559" s="19"/>
      <c r="GF559" s="19"/>
      <c r="GG559" s="19"/>
      <c r="GH559" s="19"/>
      <c r="GI559" s="19"/>
      <c r="GJ559" s="19"/>
      <c r="GK559" s="19"/>
      <c r="GL559" s="19"/>
      <c r="GM559" s="19"/>
      <c r="GN559" s="19"/>
      <c r="GO559" s="19"/>
      <c r="GP559" s="19"/>
      <c r="GQ559" s="19"/>
      <c r="GR559" s="19"/>
      <c r="GS559" s="19"/>
      <c r="GT559" s="19"/>
      <c r="GU559" s="19"/>
      <c r="GV559" s="19"/>
      <c r="GW559" s="19"/>
      <c r="GX559" s="19"/>
      <c r="GY559" s="19"/>
      <c r="GZ559" s="19"/>
      <c r="HA559" s="19"/>
      <c r="HB559" s="19"/>
    </row>
    <row r="560" spans="1:210"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c r="ER560" s="19"/>
      <c r="ES560" s="19"/>
      <c r="ET560" s="19"/>
      <c r="EU560" s="19"/>
      <c r="EV560" s="19"/>
      <c r="EW560" s="19"/>
      <c r="EX560" s="19"/>
      <c r="EY560" s="19"/>
      <c r="EZ560" s="19"/>
      <c r="FA560" s="19"/>
      <c r="FB560" s="19"/>
      <c r="FC560" s="19"/>
      <c r="FD560" s="19"/>
      <c r="FE560" s="19"/>
      <c r="FF560" s="19"/>
      <c r="FG560" s="19"/>
      <c r="FH560" s="19"/>
      <c r="FI560" s="19"/>
      <c r="FJ560" s="19"/>
      <c r="FK560" s="19"/>
      <c r="FL560" s="19"/>
      <c r="FM560" s="19"/>
      <c r="FN560" s="19"/>
      <c r="FO560" s="19"/>
      <c r="FP560" s="19"/>
      <c r="FQ560" s="19"/>
      <c r="FR560" s="19"/>
      <c r="FS560" s="19"/>
      <c r="FT560" s="19"/>
      <c r="FU560" s="19"/>
      <c r="FV560" s="19"/>
      <c r="FW560" s="19"/>
      <c r="FX560" s="19"/>
      <c r="FY560" s="19"/>
      <c r="FZ560" s="19"/>
      <c r="GA560" s="19"/>
      <c r="GB560" s="19"/>
      <c r="GC560" s="19"/>
      <c r="GD560" s="19"/>
      <c r="GE560" s="19"/>
      <c r="GF560" s="19"/>
      <c r="GG560" s="19"/>
      <c r="GH560" s="19"/>
      <c r="GI560" s="19"/>
      <c r="GJ560" s="19"/>
      <c r="GK560" s="19"/>
      <c r="GL560" s="19"/>
      <c r="GM560" s="19"/>
      <c r="GN560" s="19"/>
      <c r="GO560" s="19"/>
      <c r="GP560" s="19"/>
      <c r="GQ560" s="19"/>
      <c r="GR560" s="19"/>
      <c r="GS560" s="19"/>
      <c r="GT560" s="19"/>
      <c r="GU560" s="19"/>
      <c r="GV560" s="19"/>
      <c r="GW560" s="19"/>
      <c r="GX560" s="19"/>
      <c r="GY560" s="19"/>
      <c r="GZ560" s="19"/>
      <c r="HA560" s="19"/>
      <c r="HB560" s="19"/>
    </row>
    <row r="561" spans="1:210"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c r="ER561" s="19"/>
      <c r="ES561" s="19"/>
      <c r="ET561" s="19"/>
      <c r="EU561" s="19"/>
      <c r="EV561" s="19"/>
      <c r="EW561" s="19"/>
      <c r="EX561" s="19"/>
      <c r="EY561" s="19"/>
      <c r="EZ561" s="19"/>
      <c r="FA561" s="19"/>
      <c r="FB561" s="19"/>
      <c r="FC561" s="19"/>
      <c r="FD561" s="19"/>
      <c r="FE561" s="19"/>
      <c r="FF561" s="19"/>
      <c r="FG561" s="19"/>
      <c r="FH561" s="19"/>
      <c r="FI561" s="19"/>
      <c r="FJ561" s="19"/>
      <c r="FK561" s="19"/>
      <c r="FL561" s="19"/>
      <c r="FM561" s="19"/>
      <c r="FN561" s="19"/>
      <c r="FO561" s="19"/>
      <c r="FP561" s="19"/>
      <c r="FQ561" s="19"/>
      <c r="FR561" s="19"/>
      <c r="FS561" s="19"/>
      <c r="FT561" s="19"/>
      <c r="FU561" s="19"/>
      <c r="FV561" s="19"/>
      <c r="FW561" s="19"/>
      <c r="FX561" s="19"/>
      <c r="FY561" s="19"/>
      <c r="FZ561" s="19"/>
      <c r="GA561" s="19"/>
      <c r="GB561" s="19"/>
      <c r="GC561" s="19"/>
      <c r="GD561" s="19"/>
      <c r="GE561" s="19"/>
      <c r="GF561" s="19"/>
      <c r="GG561" s="19"/>
      <c r="GH561" s="19"/>
      <c r="GI561" s="19"/>
      <c r="GJ561" s="19"/>
      <c r="GK561" s="19"/>
      <c r="GL561" s="19"/>
      <c r="GM561" s="19"/>
      <c r="GN561" s="19"/>
      <c r="GO561" s="19"/>
      <c r="GP561" s="19"/>
      <c r="GQ561" s="19"/>
      <c r="GR561" s="19"/>
      <c r="GS561" s="19"/>
      <c r="GT561" s="19"/>
      <c r="GU561" s="19"/>
      <c r="GV561" s="19"/>
      <c r="GW561" s="19"/>
      <c r="GX561" s="19"/>
      <c r="GY561" s="19"/>
      <c r="GZ561" s="19"/>
      <c r="HA561" s="19"/>
      <c r="HB561" s="19"/>
    </row>
    <row r="562" spans="1:210"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c r="ER562" s="19"/>
      <c r="ES562" s="19"/>
      <c r="ET562" s="19"/>
      <c r="EU562" s="19"/>
      <c r="EV562" s="19"/>
      <c r="EW562" s="19"/>
      <c r="EX562" s="19"/>
      <c r="EY562" s="19"/>
      <c r="EZ562" s="19"/>
      <c r="FA562" s="19"/>
      <c r="FB562" s="19"/>
      <c r="FC562" s="19"/>
      <c r="FD562" s="19"/>
      <c r="FE562" s="19"/>
      <c r="FF562" s="19"/>
      <c r="FG562" s="19"/>
      <c r="FH562" s="19"/>
      <c r="FI562" s="19"/>
      <c r="FJ562" s="19"/>
      <c r="FK562" s="19"/>
      <c r="FL562" s="19"/>
      <c r="FM562" s="19"/>
      <c r="FN562" s="19"/>
      <c r="FO562" s="19"/>
      <c r="FP562" s="19"/>
      <c r="FQ562" s="19"/>
      <c r="FR562" s="19"/>
      <c r="FS562" s="19"/>
      <c r="FT562" s="19"/>
      <c r="FU562" s="19"/>
      <c r="FV562" s="19"/>
      <c r="FW562" s="19"/>
      <c r="FX562" s="19"/>
      <c r="FY562" s="19"/>
      <c r="FZ562" s="19"/>
      <c r="GA562" s="19"/>
      <c r="GB562" s="19"/>
      <c r="GC562" s="19"/>
      <c r="GD562" s="19"/>
      <c r="GE562" s="19"/>
      <c r="GF562" s="19"/>
      <c r="GG562" s="19"/>
      <c r="GH562" s="19"/>
      <c r="GI562" s="19"/>
      <c r="GJ562" s="19"/>
      <c r="GK562" s="19"/>
      <c r="GL562" s="19"/>
      <c r="GM562" s="19"/>
      <c r="GN562" s="19"/>
      <c r="GO562" s="19"/>
      <c r="GP562" s="19"/>
      <c r="GQ562" s="19"/>
      <c r="GR562" s="19"/>
      <c r="GS562" s="19"/>
      <c r="GT562" s="19"/>
      <c r="GU562" s="19"/>
      <c r="GV562" s="19"/>
      <c r="GW562" s="19"/>
      <c r="GX562" s="19"/>
      <c r="GY562" s="19"/>
      <c r="GZ562" s="19"/>
      <c r="HA562" s="19"/>
      <c r="HB562" s="19"/>
    </row>
    <row r="563" spans="1:210"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c r="ER563" s="19"/>
      <c r="ES563" s="19"/>
      <c r="ET563" s="19"/>
      <c r="EU563" s="19"/>
      <c r="EV563" s="19"/>
      <c r="EW563" s="19"/>
      <c r="EX563" s="19"/>
      <c r="EY563" s="19"/>
      <c r="EZ563" s="19"/>
      <c r="FA563" s="19"/>
      <c r="FB563" s="19"/>
      <c r="FC563" s="19"/>
      <c r="FD563" s="19"/>
      <c r="FE563" s="19"/>
      <c r="FF563" s="19"/>
      <c r="FG563" s="19"/>
      <c r="FH563" s="19"/>
      <c r="FI563" s="19"/>
      <c r="FJ563" s="19"/>
      <c r="FK563" s="19"/>
      <c r="FL563" s="19"/>
      <c r="FM563" s="19"/>
      <c r="FN563" s="19"/>
      <c r="FO563" s="19"/>
      <c r="FP563" s="19"/>
      <c r="FQ563" s="19"/>
      <c r="FR563" s="19"/>
      <c r="FS563" s="19"/>
      <c r="FT563" s="19"/>
      <c r="FU563" s="19"/>
      <c r="FV563" s="19"/>
      <c r="FW563" s="19"/>
      <c r="FX563" s="19"/>
      <c r="FY563" s="19"/>
      <c r="FZ563" s="19"/>
      <c r="GA563" s="19"/>
      <c r="GB563" s="19"/>
      <c r="GC563" s="19"/>
      <c r="GD563" s="19"/>
      <c r="GE563" s="19"/>
      <c r="GF563" s="19"/>
      <c r="GG563" s="19"/>
      <c r="GH563" s="19"/>
      <c r="GI563" s="19"/>
      <c r="GJ563" s="19"/>
      <c r="GK563" s="19"/>
      <c r="GL563" s="19"/>
      <c r="GM563" s="19"/>
      <c r="GN563" s="19"/>
      <c r="GO563" s="19"/>
      <c r="GP563" s="19"/>
      <c r="GQ563" s="19"/>
      <c r="GR563" s="19"/>
      <c r="GS563" s="19"/>
      <c r="GT563" s="19"/>
      <c r="GU563" s="19"/>
      <c r="GV563" s="19"/>
      <c r="GW563" s="19"/>
      <c r="GX563" s="19"/>
      <c r="GY563" s="19"/>
      <c r="GZ563" s="19"/>
      <c r="HA563" s="19"/>
      <c r="HB563" s="19"/>
    </row>
    <row r="564" spans="1:210"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c r="ER564" s="19"/>
      <c r="ES564" s="19"/>
      <c r="ET564" s="19"/>
      <c r="EU564" s="19"/>
      <c r="EV564" s="19"/>
      <c r="EW564" s="19"/>
      <c r="EX564" s="19"/>
      <c r="EY564" s="19"/>
      <c r="EZ564" s="19"/>
      <c r="FA564" s="19"/>
      <c r="FB564" s="19"/>
      <c r="FC564" s="19"/>
      <c r="FD564" s="19"/>
      <c r="FE564" s="19"/>
      <c r="FF564" s="19"/>
      <c r="FG564" s="19"/>
      <c r="FH564" s="19"/>
      <c r="FI564" s="19"/>
      <c r="FJ564" s="19"/>
      <c r="FK564" s="19"/>
      <c r="FL564" s="19"/>
      <c r="FM564" s="19"/>
      <c r="FN564" s="19"/>
      <c r="FO564" s="19"/>
      <c r="FP564" s="19"/>
      <c r="FQ564" s="19"/>
      <c r="FR564" s="19"/>
      <c r="FS564" s="19"/>
      <c r="FT564" s="19"/>
      <c r="FU564" s="19"/>
      <c r="FV564" s="19"/>
      <c r="FW564" s="19"/>
      <c r="FX564" s="19"/>
      <c r="FY564" s="19"/>
      <c r="FZ564" s="19"/>
      <c r="GA564" s="19"/>
      <c r="GB564" s="19"/>
      <c r="GC564" s="19"/>
      <c r="GD564" s="19"/>
      <c r="GE564" s="19"/>
      <c r="GF564" s="19"/>
      <c r="GG564" s="19"/>
      <c r="GH564" s="19"/>
      <c r="GI564" s="19"/>
      <c r="GJ564" s="19"/>
      <c r="GK564" s="19"/>
      <c r="GL564" s="19"/>
      <c r="GM564" s="19"/>
      <c r="GN564" s="19"/>
      <c r="GO564" s="19"/>
      <c r="GP564" s="19"/>
      <c r="GQ564" s="19"/>
      <c r="GR564" s="19"/>
      <c r="GS564" s="19"/>
      <c r="GT564" s="19"/>
      <c r="GU564" s="19"/>
      <c r="GV564" s="19"/>
      <c r="GW564" s="19"/>
      <c r="GX564" s="19"/>
      <c r="GY564" s="19"/>
      <c r="GZ564" s="19"/>
      <c r="HA564" s="19"/>
      <c r="HB564" s="19"/>
    </row>
    <row r="565" spans="1:210"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c r="ER565" s="19"/>
      <c r="ES565" s="19"/>
      <c r="ET565" s="19"/>
      <c r="EU565" s="19"/>
      <c r="EV565" s="19"/>
      <c r="EW565" s="19"/>
      <c r="EX565" s="19"/>
      <c r="EY565" s="19"/>
      <c r="EZ565" s="19"/>
      <c r="FA565" s="19"/>
      <c r="FB565" s="19"/>
      <c r="FC565" s="19"/>
      <c r="FD565" s="19"/>
      <c r="FE565" s="19"/>
      <c r="FF565" s="19"/>
      <c r="FG565" s="19"/>
      <c r="FH565" s="19"/>
      <c r="FI565" s="19"/>
      <c r="FJ565" s="19"/>
      <c r="FK565" s="19"/>
      <c r="FL565" s="19"/>
      <c r="FM565" s="19"/>
      <c r="FN565" s="19"/>
      <c r="FO565" s="19"/>
      <c r="FP565" s="19"/>
      <c r="FQ565" s="19"/>
      <c r="FR565" s="19"/>
      <c r="FS565" s="19"/>
      <c r="FT565" s="19"/>
      <c r="FU565" s="19"/>
      <c r="FV565" s="19"/>
      <c r="FW565" s="19"/>
      <c r="FX565" s="19"/>
      <c r="FY565" s="19"/>
      <c r="FZ565" s="19"/>
      <c r="GA565" s="19"/>
      <c r="GB565" s="19"/>
      <c r="GC565" s="19"/>
      <c r="GD565" s="19"/>
      <c r="GE565" s="19"/>
      <c r="GF565" s="19"/>
      <c r="GG565" s="19"/>
      <c r="GH565" s="19"/>
      <c r="GI565" s="19"/>
      <c r="GJ565" s="19"/>
      <c r="GK565" s="19"/>
      <c r="GL565" s="19"/>
      <c r="GM565" s="19"/>
      <c r="GN565" s="19"/>
      <c r="GO565" s="19"/>
      <c r="GP565" s="19"/>
      <c r="GQ565" s="19"/>
      <c r="GR565" s="19"/>
      <c r="GS565" s="19"/>
      <c r="GT565" s="19"/>
      <c r="GU565" s="19"/>
      <c r="GV565" s="19"/>
      <c r="GW565" s="19"/>
      <c r="GX565" s="19"/>
      <c r="GY565" s="19"/>
      <c r="GZ565" s="19"/>
      <c r="HA565" s="19"/>
      <c r="HB565" s="19"/>
    </row>
  </sheetData>
  <sheetProtection algorithmName="SHA-512" hashValue="z2SiqfMobrQHFAChLy7qc1h5XV7ojp9p3iCTwLg5o+9wWFfMfHyaLVTxsQSyyvL61n9rd4vPk1FjS1FTjdoT6A==" saltValue="V+pcxyLBQiKdj65jTem28Q==" spinCount="100000" sheet="1" selectLockedCells="1"/>
  <mergeCells count="2">
    <mergeCell ref="A5:C5"/>
    <mergeCell ref="A15:C15"/>
  </mergeCells>
  <conditionalFormatting sqref="A183:Z183">
    <cfRule type="expression" dxfId="6" priority="10">
      <formula>IF($E$3=$M$27, 0,1)</formula>
    </cfRule>
  </conditionalFormatting>
  <conditionalFormatting sqref="A184:Z357">
    <cfRule type="expression" dxfId="5" priority="11">
      <formula>IF($E$3=$M$27, 0,1)</formula>
    </cfRule>
  </conditionalFormatting>
  <conditionalFormatting sqref="Z5:Z182">
    <cfRule type="expression" dxfId="2" priority="8">
      <formula>IF($E$3=$M$27, 0,1)</formula>
    </cfRule>
  </conditionalFormatting>
  <conditionalFormatting sqref="AA1:AA357">
    <cfRule type="expression" dxfId="1" priority="9">
      <formula>IF($E$3=$M$27, 0,1)</formula>
    </cfRule>
  </conditionalFormatting>
  <dataValidations count="4">
    <dataValidation type="list" allowBlank="1" showInputMessage="1" showErrorMessage="1" sqref="E9" xr:uid="{D129E6FB-5E36-4932-A100-D0E00A56C085}">
      <formula1>$H$9:$K$9</formula1>
    </dataValidation>
    <dataValidation type="list" allowBlank="1" showInputMessage="1" showErrorMessage="1" sqref="E6" xr:uid="{BEBF96D7-8361-4044-B8F0-10F2BF6C8FA5}">
      <formula1>$H$6:$K$6</formula1>
    </dataValidation>
    <dataValidation type="list" allowBlank="1" showInputMessage="1" showErrorMessage="1" sqref="E7" xr:uid="{E6936608-1C76-4FFF-800F-5D7A65155C5C}">
      <formula1>$H$7:$K$7</formula1>
    </dataValidation>
    <dataValidation type="list" allowBlank="1" showInputMessage="1" showErrorMessage="1" sqref="E8" xr:uid="{E19D0037-DB5E-4E25-9B09-BE292E72F348}">
      <formula1>$H$8:$K$8</formula1>
    </dataValidation>
  </dataValidations>
  <pageMargins left="0.7" right="0.7" top="0.75" bottom="0.75" header="0.3" footer="0.3"/>
  <pageSetup orientation="portrait" r:id="rId1"/>
  <drawing r:id="rId2"/>
  <legacy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expression" priority="791" id="{BB168630-C389-40E3-B729-8EA36E716D26}">
            <xm:f>IF('BQ2575X Design Calculator'!$E$3='BQ2575X Design Calculator'!$H$3, 0,1)</xm:f>
            <x14:dxf>
              <font>
                <color theme="0"/>
              </font>
              <fill>
                <patternFill>
                  <fgColor theme="0"/>
                </patternFill>
              </fill>
            </x14:dxf>
          </x14:cfRule>
          <xm:sqref>G5:Y5 G6:S14 Y6:Y14 H15:S15 T15:Y22 I16:S17 H18:S19 Q20:S22 I20:P180 A20:A182 Q23:Y182 G181:P182</xm:sqref>
        </x14:conditionalFormatting>
        <x14:conditionalFormatting xmlns:xm="http://schemas.microsoft.com/office/excel/2006/main">
          <x14:cfRule type="expression" priority="804" id="{AD0FEB41-303C-4A2F-B6DF-73174E9D2750}">
            <xm:f>IF('BQ2575X Design Calculator'!$E$3='BQ2575X Design Calculator'!$H$3, 0,1)</xm:f>
            <x14:dxf>
              <font>
                <color theme="0" tint="-0.34998626667073579"/>
              </font>
            </x14:dxf>
          </x14:cfRule>
          <xm:sqref>Z1:Z4</xm:sqref>
        </x14:conditionalFormatting>
        <x14:conditionalFormatting xmlns:xm="http://schemas.microsoft.com/office/excel/2006/main">
          <x14:cfRule type="expression" priority="808" id="{4703E06C-4B2E-485B-A36C-C54FA3BF3FDE}">
            <xm:f>IF('BQ2575X Design Calculator'!$E$3='BQ2575X Design Calculator'!$H$3, 0,1)</xm:f>
            <x14:dxf>
              <font>
                <color theme="1" tint="0.14996795556505021"/>
              </font>
              <fill>
                <patternFill>
                  <bgColor theme="1" tint="0.14996795556505021"/>
                </patternFill>
              </fill>
              <border>
                <left/>
                <right/>
                <top/>
                <bottom/>
              </border>
            </x14:dxf>
          </x14:cfRule>
          <xm:sqref>AB1:BG13 BE1:HB357 BD6:BJ8 AB6:AY14 BD6:BD19 AZ11:BB14 BC14:BK21 AB15:BB18 AY19:BB22 AC19:AX191 AB19:AB357 BC22:BJ22 AY23:BG28 AY29:BQ29 BD30:BW31 AY30:BC38 BD32:BQ38 AY39:BP43 AY44:BK190 AY191:BG191 AC192:BG357 A358:HB565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6327-B55E-40DE-832A-509BC5B06618}">
  <sheetPr codeName="Sheet3"/>
  <dimension ref="B2:T1348"/>
  <sheetViews>
    <sheetView workbookViewId="0">
      <selection activeCell="L15" sqref="L15"/>
    </sheetView>
  </sheetViews>
  <sheetFormatPr baseColWidth="10" defaultColWidth="9.1640625" defaultRowHeight="15" x14ac:dyDescent="0.2"/>
  <cols>
    <col min="1" max="3" width="9.1640625" style="20"/>
    <col min="4" max="4" width="12.5" style="75" customWidth="1"/>
    <col min="5" max="7" width="9.1640625" style="20"/>
    <col min="8" max="8" width="13.33203125" style="20" customWidth="1"/>
    <col min="9" max="11" width="9.1640625" style="20"/>
    <col min="12" max="12" width="12.5" style="75" customWidth="1"/>
    <col min="13" max="16384" width="9.1640625" style="20"/>
  </cols>
  <sheetData>
    <row r="2" spans="2:20" x14ac:dyDescent="0.2">
      <c r="B2" s="236" t="s">
        <v>45</v>
      </c>
      <c r="C2" s="236"/>
      <c r="D2" s="237"/>
      <c r="F2" s="236" t="s">
        <v>46</v>
      </c>
      <c r="G2" s="236"/>
      <c r="H2" s="236"/>
      <c r="J2" s="236" t="s">
        <v>47</v>
      </c>
      <c r="K2" s="236"/>
      <c r="L2" s="237"/>
      <c r="N2" s="20" t="s">
        <v>48</v>
      </c>
      <c r="P2" s="20" t="s">
        <v>49</v>
      </c>
    </row>
    <row r="3" spans="2:20" x14ac:dyDescent="0.2">
      <c r="B3" s="20" t="s">
        <v>50</v>
      </c>
      <c r="D3" s="75" t="s">
        <v>51</v>
      </c>
      <c r="F3" s="20" t="s">
        <v>50</v>
      </c>
      <c r="G3" s="20" t="s">
        <v>52</v>
      </c>
      <c r="H3" s="20" t="s">
        <v>51</v>
      </c>
      <c r="J3" s="20" t="s">
        <v>50</v>
      </c>
      <c r="K3" s="20" t="s">
        <v>52</v>
      </c>
      <c r="L3" s="75" t="s">
        <v>51</v>
      </c>
      <c r="N3" s="76" t="s">
        <v>53</v>
      </c>
    </row>
    <row r="4" spans="2:20" x14ac:dyDescent="0.2">
      <c r="B4" s="77">
        <v>1</v>
      </c>
      <c r="D4" s="75">
        <v>1</v>
      </c>
      <c r="F4" s="77">
        <v>1</v>
      </c>
      <c r="G4" s="20">
        <v>0</v>
      </c>
      <c r="H4" s="75">
        <f t="shared" ref="H4:H67" si="0">F4*10^(G4/96)</f>
        <v>1</v>
      </c>
      <c r="J4" s="77">
        <v>1</v>
      </c>
      <c r="K4" s="20">
        <v>0</v>
      </c>
      <c r="L4" s="78">
        <f>J4*10^(K4/192)</f>
        <v>1</v>
      </c>
      <c r="N4" s="76">
        <v>2.2000000000000002</v>
      </c>
    </row>
    <row r="5" spans="2:20" x14ac:dyDescent="0.2">
      <c r="B5" s="77">
        <v>1</v>
      </c>
      <c r="D5" s="75">
        <v>1.1000000000000001</v>
      </c>
      <c r="F5" s="77">
        <v>1</v>
      </c>
      <c r="G5" s="20">
        <v>1</v>
      </c>
      <c r="H5" s="75">
        <f t="shared" si="0"/>
        <v>1.0242752213815922</v>
      </c>
      <c r="J5" s="77">
        <v>1</v>
      </c>
      <c r="K5" s="20">
        <f>K4+1</f>
        <v>1</v>
      </c>
      <c r="L5" s="78">
        <f t="shared" ref="L5:L68" si="1">J5*10^(K5/192)</f>
        <v>1.0120648306218294</v>
      </c>
      <c r="N5" s="76">
        <v>3.3</v>
      </c>
    </row>
    <row r="6" spans="2:20" x14ac:dyDescent="0.2">
      <c r="B6" s="77">
        <v>1</v>
      </c>
      <c r="D6" s="75">
        <v>1.2</v>
      </c>
      <c r="F6" s="77">
        <v>1</v>
      </c>
      <c r="G6" s="20">
        <v>2</v>
      </c>
      <c r="H6" s="75">
        <f t="shared" si="0"/>
        <v>1.0491397291363098</v>
      </c>
      <c r="J6" s="77">
        <v>1</v>
      </c>
      <c r="K6" s="20">
        <f t="shared" ref="K6:K69" si="2">K5+1</f>
        <v>2</v>
      </c>
      <c r="L6" s="78">
        <f t="shared" si="1"/>
        <v>1.0242752213815922</v>
      </c>
      <c r="N6" s="76">
        <v>4.7</v>
      </c>
    </row>
    <row r="7" spans="2:20" x14ac:dyDescent="0.2">
      <c r="B7" s="77">
        <v>1</v>
      </c>
      <c r="D7" s="75">
        <v>1.3</v>
      </c>
      <c r="F7" s="77">
        <v>1</v>
      </c>
      <c r="G7" s="20">
        <v>3</v>
      </c>
      <c r="H7" s="75">
        <f t="shared" si="0"/>
        <v>1.0746078283213174</v>
      </c>
      <c r="J7" s="77">
        <v>1</v>
      </c>
      <c r="K7" s="20">
        <f t="shared" si="2"/>
        <v>3</v>
      </c>
      <c r="L7" s="78">
        <f t="shared" si="1"/>
        <v>1.0366329284376981</v>
      </c>
      <c r="N7" s="76">
        <v>5.6</v>
      </c>
    </row>
    <row r="8" spans="2:20" x14ac:dyDescent="0.2">
      <c r="B8" s="77">
        <v>1</v>
      </c>
      <c r="D8" s="75">
        <v>1.5</v>
      </c>
      <c r="F8" s="77">
        <v>1</v>
      </c>
      <c r="G8" s="20">
        <v>4</v>
      </c>
      <c r="H8" s="75">
        <f t="shared" si="0"/>
        <v>1.1006941712522096</v>
      </c>
      <c r="J8" s="77">
        <v>1</v>
      </c>
      <c r="K8" s="20">
        <f t="shared" si="2"/>
        <v>4</v>
      </c>
      <c r="L8" s="78">
        <f t="shared" si="1"/>
        <v>1.0491397291363098</v>
      </c>
      <c r="N8" s="76">
        <v>6.8</v>
      </c>
    </row>
    <row r="9" spans="2:20" x14ac:dyDescent="0.2">
      <c r="B9" s="77">
        <v>1</v>
      </c>
      <c r="D9" s="75">
        <v>1.6</v>
      </c>
      <c r="F9" s="77">
        <v>1</v>
      </c>
      <c r="G9" s="20">
        <v>5</v>
      </c>
      <c r="H9" s="75">
        <f t="shared" si="0"/>
        <v>1.1274137659327852</v>
      </c>
      <c r="J9" s="77">
        <v>1</v>
      </c>
      <c r="K9" s="20">
        <f t="shared" si="2"/>
        <v>5</v>
      </c>
      <c r="L9" s="78">
        <f t="shared" si="1"/>
        <v>1.0617974222669715</v>
      </c>
      <c r="N9" s="76">
        <v>8.1999999999999993</v>
      </c>
    </row>
    <row r="10" spans="2:20" x14ac:dyDescent="0.2">
      <c r="B10" s="77">
        <v>1</v>
      </c>
      <c r="D10" s="75">
        <v>1.8</v>
      </c>
      <c r="F10" s="77">
        <v>1</v>
      </c>
      <c r="G10" s="20">
        <v>6</v>
      </c>
      <c r="H10" s="75">
        <f t="shared" si="0"/>
        <v>1.1547819846894583</v>
      </c>
      <c r="J10" s="77">
        <v>1</v>
      </c>
      <c r="K10" s="20">
        <f t="shared" si="2"/>
        <v>6</v>
      </c>
      <c r="L10" s="78">
        <f t="shared" si="1"/>
        <v>1.0746078283213174</v>
      </c>
      <c r="N10" s="76">
        <v>10</v>
      </c>
      <c r="R10" s="20">
        <v>1.1000000000000001</v>
      </c>
      <c r="T10" s="20">
        <f>IF(MIN(ABS(L4:L1347-R10))&lt;0, $R$10+MIN(ABS(L4:L1347-R10)), $R$10-MIN(ABS(L4:L1347-$R$10)))</f>
        <v>1.0746078283213174</v>
      </c>
    </row>
    <row r="11" spans="2:20" x14ac:dyDescent="0.2">
      <c r="B11" s="77">
        <v>1</v>
      </c>
      <c r="D11" s="75">
        <v>2</v>
      </c>
      <c r="F11" s="77">
        <v>1</v>
      </c>
      <c r="G11" s="20">
        <v>7</v>
      </c>
      <c r="H11" s="75">
        <f t="shared" si="0"/>
        <v>1.1828145730152693</v>
      </c>
      <c r="J11" s="77">
        <v>1</v>
      </c>
      <c r="K11" s="20">
        <f t="shared" si="2"/>
        <v>7</v>
      </c>
      <c r="L11" s="78">
        <f t="shared" si="1"/>
        <v>1.0875727897549061</v>
      </c>
      <c r="N11" s="76">
        <v>15</v>
      </c>
      <c r="Q11" s="20">
        <f>VLOOKUP(1.1,stdres_5pct[Resistance],1,TRUE)</f>
        <v>1.1000000000000001</v>
      </c>
    </row>
    <row r="12" spans="2:20" x14ac:dyDescent="0.2">
      <c r="B12" s="77">
        <v>1</v>
      </c>
      <c r="D12" s="75">
        <v>2.2000000000000002</v>
      </c>
      <c r="F12" s="77">
        <v>1</v>
      </c>
      <c r="G12" s="20">
        <v>8</v>
      </c>
      <c r="H12" s="75">
        <f t="shared" si="0"/>
        <v>1.2115276586285886</v>
      </c>
      <c r="J12" s="77">
        <v>1</v>
      </c>
      <c r="K12" s="20">
        <f t="shared" si="2"/>
        <v>8</v>
      </c>
      <c r="L12" s="78">
        <f t="shared" si="1"/>
        <v>1.1006941712522096</v>
      </c>
      <c r="Q12" s="20">
        <f>stdres_0p1pct[[#This Row],[Resistance]]</f>
        <v>1.1006941712522096</v>
      </c>
    </row>
    <row r="13" spans="2:20" x14ac:dyDescent="0.2">
      <c r="B13" s="77">
        <v>1</v>
      </c>
      <c r="D13" s="75">
        <v>2.4</v>
      </c>
      <c r="F13" s="77">
        <v>1</v>
      </c>
      <c r="G13" s="20">
        <v>9</v>
      </c>
      <c r="H13" s="75">
        <f t="shared" si="0"/>
        <v>1.2409377607517196</v>
      </c>
      <c r="J13" s="77">
        <v>1</v>
      </c>
      <c r="K13" s="20">
        <f t="shared" si="2"/>
        <v>9</v>
      </c>
      <c r="L13" s="78">
        <f t="shared" si="1"/>
        <v>1.1139738599948024</v>
      </c>
      <c r="Q13" s="20" t="e">
        <f>MATCH(MIN(ABS(L4:L1347-R10)),ABS(L4:L1347-R10),0)</f>
        <v>#N/A</v>
      </c>
    </row>
    <row r="14" spans="2:20" x14ac:dyDescent="0.2">
      <c r="B14" s="77">
        <v>1</v>
      </c>
      <c r="D14" s="75">
        <v>2.7</v>
      </c>
      <c r="F14" s="77">
        <v>1</v>
      </c>
      <c r="G14" s="20">
        <v>10</v>
      </c>
      <c r="H14" s="75">
        <f t="shared" si="0"/>
        <v>1.2710617996147449</v>
      </c>
      <c r="J14" s="77">
        <v>1</v>
      </c>
      <c r="K14" s="20">
        <f t="shared" si="2"/>
        <v>10</v>
      </c>
      <c r="L14" s="78">
        <f t="shared" si="1"/>
        <v>1.1274137659327852</v>
      </c>
    </row>
    <row r="15" spans="2:20" x14ac:dyDescent="0.2">
      <c r="B15" s="77">
        <v>1</v>
      </c>
      <c r="D15" s="75">
        <v>3</v>
      </c>
      <c r="F15" s="77">
        <v>1</v>
      </c>
      <c r="G15" s="20">
        <v>11</v>
      </c>
      <c r="H15" s="75">
        <f t="shared" si="0"/>
        <v>1.3019171061900778</v>
      </c>
      <c r="J15" s="77">
        <v>1</v>
      </c>
      <c r="K15" s="20">
        <f t="shared" si="2"/>
        <v>11</v>
      </c>
      <c r="L15" s="78">
        <f>J15*10^(K15/192)</f>
        <v>1.141015822059483</v>
      </c>
    </row>
    <row r="16" spans="2:20" x14ac:dyDescent="0.2">
      <c r="B16" s="77">
        <v>1</v>
      </c>
      <c r="D16" s="75">
        <v>3.3</v>
      </c>
      <c r="F16" s="77">
        <v>1</v>
      </c>
      <c r="G16" s="20">
        <v>12</v>
      </c>
      <c r="H16" s="75">
        <f t="shared" si="0"/>
        <v>1.333521432163324</v>
      </c>
      <c r="J16" s="77">
        <v>1</v>
      </c>
      <c r="K16" s="20">
        <f t="shared" si="2"/>
        <v>12</v>
      </c>
      <c r="L16" s="78">
        <f t="shared" si="1"/>
        <v>1.1547819846894583</v>
      </c>
    </row>
    <row r="17" spans="2:14" x14ac:dyDescent="0.2">
      <c r="B17" s="77">
        <v>1</v>
      </c>
      <c r="D17" s="75">
        <v>3.6</v>
      </c>
      <c r="F17" s="77">
        <v>1</v>
      </c>
      <c r="G17" s="20">
        <v>13</v>
      </c>
      <c r="H17" s="75">
        <f t="shared" si="0"/>
        <v>1.3658929601461867</v>
      </c>
      <c r="J17" s="77">
        <v>1</v>
      </c>
      <c r="K17" s="20">
        <f t="shared" si="2"/>
        <v>13</v>
      </c>
      <c r="L17" s="78">
        <f t="shared" si="1"/>
        <v>1.1687142337398766</v>
      </c>
    </row>
    <row r="18" spans="2:14" x14ac:dyDescent="0.2">
      <c r="B18" s="77">
        <v>1</v>
      </c>
      <c r="D18" s="75">
        <v>3.9</v>
      </c>
      <c r="F18" s="77">
        <v>1</v>
      </c>
      <c r="G18" s="20">
        <v>14</v>
      </c>
      <c r="H18" s="75">
        <f t="shared" si="0"/>
        <v>1.3990503141372939</v>
      </c>
      <c r="J18" s="77">
        <v>1</v>
      </c>
      <c r="K18" s="20">
        <f t="shared" si="2"/>
        <v>14</v>
      </c>
      <c r="L18" s="78">
        <f t="shared" si="1"/>
        <v>1.1828145730152693</v>
      </c>
    </row>
    <row r="19" spans="2:14" x14ac:dyDescent="0.2">
      <c r="B19" s="77">
        <v>1</v>
      </c>
      <c r="D19" s="75">
        <v>4.3</v>
      </c>
      <c r="F19" s="77">
        <v>1</v>
      </c>
      <c r="G19" s="20">
        <v>15</v>
      </c>
      <c r="H19" s="75">
        <f t="shared" si="0"/>
        <v>1.4330125702369629</v>
      </c>
      <c r="J19" s="77">
        <v>1</v>
      </c>
      <c r="K19" s="20">
        <f t="shared" si="2"/>
        <v>15</v>
      </c>
      <c r="L19" s="78">
        <f t="shared" si="1"/>
        <v>1.1970850304957299</v>
      </c>
    </row>
    <row r="20" spans="2:14" x14ac:dyDescent="0.2">
      <c r="B20" s="77">
        <v>1</v>
      </c>
      <c r="D20" s="75">
        <v>4.7</v>
      </c>
      <c r="F20" s="77">
        <v>1</v>
      </c>
      <c r="G20" s="20">
        <v>16</v>
      </c>
      <c r="H20" s="75">
        <f t="shared" si="0"/>
        <v>1.4677992676220697</v>
      </c>
      <c r="J20" s="77">
        <v>1</v>
      </c>
      <c r="K20" s="20">
        <f t="shared" si="2"/>
        <v>16</v>
      </c>
      <c r="L20" s="78">
        <f t="shared" si="1"/>
        <v>1.2115276586285886</v>
      </c>
    </row>
    <row r="21" spans="2:14" x14ac:dyDescent="0.2">
      <c r="B21" s="77">
        <v>1</v>
      </c>
      <c r="D21" s="75">
        <v>5.0999999999999996</v>
      </c>
      <c r="F21" s="77">
        <v>1</v>
      </c>
      <c r="G21" s="20">
        <v>17</v>
      </c>
      <c r="H21" s="75">
        <f t="shared" si="0"/>
        <v>1.5034304197873343</v>
      </c>
      <c r="J21" s="77">
        <v>1</v>
      </c>
      <c r="K21" s="20">
        <f t="shared" si="2"/>
        <v>17</v>
      </c>
      <c r="L21" s="78">
        <f t="shared" si="1"/>
        <v>1.226144534623604</v>
      </c>
    </row>
    <row r="22" spans="2:14" x14ac:dyDescent="0.2">
      <c r="B22" s="77">
        <v>1</v>
      </c>
      <c r="D22" s="75">
        <v>5.6</v>
      </c>
      <c r="F22" s="77">
        <v>1</v>
      </c>
      <c r="G22" s="20">
        <v>18</v>
      </c>
      <c r="H22" s="75">
        <f t="shared" si="0"/>
        <v>1.5399265260594921</v>
      </c>
      <c r="J22" s="77">
        <v>1</v>
      </c>
      <c r="K22" s="20">
        <f t="shared" si="2"/>
        <v>18</v>
      </c>
      <c r="L22" s="78">
        <f t="shared" si="1"/>
        <v>1.2409377607517196</v>
      </c>
    </row>
    <row r="23" spans="2:14" x14ac:dyDescent="0.2">
      <c r="B23" s="77">
        <v>1</v>
      </c>
      <c r="D23" s="75">
        <v>6.2</v>
      </c>
      <c r="F23" s="77">
        <v>1</v>
      </c>
      <c r="G23" s="20">
        <v>19</v>
      </c>
      <c r="H23" s="75">
        <f t="shared" si="0"/>
        <v>1.5773085833909726</v>
      </c>
      <c r="J23" s="77">
        <v>1</v>
      </c>
      <c r="K23" s="20">
        <f t="shared" si="2"/>
        <v>19</v>
      </c>
      <c r="L23" s="78">
        <f t="shared" si="1"/>
        <v>1.2559094646474214</v>
      </c>
    </row>
    <row r="24" spans="2:14" x14ac:dyDescent="0.2">
      <c r="B24" s="77">
        <v>1</v>
      </c>
      <c r="D24" s="75">
        <v>6.8</v>
      </c>
      <c r="F24" s="77">
        <v>1</v>
      </c>
      <c r="G24" s="20">
        <v>20</v>
      </c>
      <c r="H24" s="75">
        <f t="shared" si="0"/>
        <v>1.6155980984398741</v>
      </c>
      <c r="J24" s="77">
        <v>1</v>
      </c>
      <c r="K24" s="20">
        <f t="shared" si="2"/>
        <v>20</v>
      </c>
      <c r="L24" s="78">
        <f t="shared" si="1"/>
        <v>1.2710617996147449</v>
      </c>
    </row>
    <row r="25" spans="2:14" x14ac:dyDescent="0.2">
      <c r="B25" s="77">
        <v>1</v>
      </c>
      <c r="D25" s="75">
        <v>7.5</v>
      </c>
      <c r="F25" s="77">
        <v>1</v>
      </c>
      <c r="G25" s="20">
        <v>21</v>
      </c>
      <c r="H25" s="75">
        <f t="shared" si="0"/>
        <v>1.6548170999431815</v>
      </c>
      <c r="J25" s="77">
        <v>1</v>
      </c>
      <c r="K25" s="20">
        <f t="shared" si="2"/>
        <v>21</v>
      </c>
      <c r="L25" s="78">
        <f t="shared" si="1"/>
        <v>1.2863969449369745</v>
      </c>
    </row>
    <row r="26" spans="2:14" x14ac:dyDescent="0.2">
      <c r="B26" s="77">
        <v>1</v>
      </c>
      <c r="D26" s="75">
        <v>8.1999999999999993</v>
      </c>
      <c r="F26" s="77">
        <v>1</v>
      </c>
      <c r="G26" s="20">
        <v>22</v>
      </c>
      <c r="H26" s="75">
        <f t="shared" si="0"/>
        <v>1.6949881513903466</v>
      </c>
      <c r="J26" s="77">
        <v>1</v>
      </c>
      <c r="K26" s="20">
        <f t="shared" si="2"/>
        <v>22</v>
      </c>
      <c r="L26" s="78">
        <f t="shared" si="1"/>
        <v>1.3019171061900778</v>
      </c>
    </row>
    <row r="27" spans="2:14" x14ac:dyDescent="0.2">
      <c r="B27" s="77">
        <v>1</v>
      </c>
      <c r="D27" s="75">
        <v>9.1</v>
      </c>
      <c r="F27" s="77">
        <v>1</v>
      </c>
      <c r="G27" s="20">
        <v>23</v>
      </c>
      <c r="H27" s="75">
        <f t="shared" si="0"/>
        <v>1.7361343640045233</v>
      </c>
      <c r="J27" s="77">
        <v>1</v>
      </c>
      <c r="K27" s="20">
        <f t="shared" si="2"/>
        <v>23</v>
      </c>
      <c r="L27" s="78">
        <f t="shared" si="1"/>
        <v>1.3176245155599235</v>
      </c>
    </row>
    <row r="28" spans="2:14" x14ac:dyDescent="0.2">
      <c r="B28" s="77">
        <v>1</v>
      </c>
      <c r="D28" s="75">
        <f>D4*10</f>
        <v>10</v>
      </c>
      <c r="F28" s="77">
        <v>1</v>
      </c>
      <c r="G28" s="20">
        <v>24</v>
      </c>
      <c r="H28" s="75">
        <f t="shared" si="0"/>
        <v>1.778279410038923</v>
      </c>
      <c r="J28" s="77">
        <v>1</v>
      </c>
      <c r="K28" s="20">
        <f t="shared" si="2"/>
        <v>24</v>
      </c>
      <c r="L28" s="78">
        <f t="shared" si="1"/>
        <v>1.333521432163324</v>
      </c>
    </row>
    <row r="29" spans="2:14" x14ac:dyDescent="0.2">
      <c r="B29" s="77">
        <f>B4*10</f>
        <v>10</v>
      </c>
      <c r="D29" s="75">
        <f>D5*10</f>
        <v>11</v>
      </c>
      <c r="F29" s="77">
        <v>1</v>
      </c>
      <c r="G29" s="20">
        <v>25</v>
      </c>
      <c r="H29" s="75">
        <f t="shared" si="0"/>
        <v>1.8214475363959453</v>
      </c>
      <c r="J29" s="77">
        <v>1</v>
      </c>
      <c r="K29" s="20">
        <f t="shared" si="2"/>
        <v>25</v>
      </c>
      <c r="L29" s="78">
        <f t="shared" si="1"/>
        <v>1.3496101423729541</v>
      </c>
    </row>
    <row r="30" spans="2:14" x14ac:dyDescent="0.2">
      <c r="B30" s="77">
        <f t="shared" ref="B30:B52" si="3">B5*10</f>
        <v>10</v>
      </c>
      <c r="D30" s="75">
        <f t="shared" ref="D30:D93" si="4">D6*10</f>
        <v>12</v>
      </c>
      <c r="F30" s="77">
        <v>1</v>
      </c>
      <c r="G30" s="20">
        <v>26</v>
      </c>
      <c r="H30" s="75">
        <f t="shared" si="0"/>
        <v>1.8656635785769122</v>
      </c>
      <c r="I30" s="79"/>
      <c r="J30" s="77">
        <v>1</v>
      </c>
      <c r="K30" s="20">
        <f t="shared" si="2"/>
        <v>26</v>
      </c>
      <c r="L30" s="78">
        <f t="shared" si="1"/>
        <v>1.3658929601461867</v>
      </c>
    </row>
    <row r="31" spans="2:14" x14ac:dyDescent="0.2">
      <c r="B31" s="77">
        <f t="shared" si="3"/>
        <v>10</v>
      </c>
      <c r="D31" s="75">
        <f t="shared" si="4"/>
        <v>13</v>
      </c>
      <c r="F31" s="77">
        <v>1</v>
      </c>
      <c r="G31" s="20">
        <v>27</v>
      </c>
      <c r="H31" s="75">
        <f t="shared" si="0"/>
        <v>1.9109529749704406</v>
      </c>
      <c r="J31" s="77">
        <v>1</v>
      </c>
      <c r="K31" s="20">
        <f t="shared" si="2"/>
        <v>27</v>
      </c>
      <c r="L31" s="78">
        <f t="shared" si="1"/>
        <v>1.3823722273578998</v>
      </c>
      <c r="M31" s="79"/>
      <c r="N31" s="79"/>
    </row>
    <row r="32" spans="2:14" x14ac:dyDescent="0.2">
      <c r="B32" s="77">
        <f t="shared" si="3"/>
        <v>10</v>
      </c>
      <c r="D32" s="75">
        <f t="shared" si="4"/>
        <v>15</v>
      </c>
      <c r="F32" s="77">
        <v>1</v>
      </c>
      <c r="G32" s="20">
        <v>28</v>
      </c>
      <c r="H32" s="75">
        <f t="shared" si="0"/>
        <v>1.9573417814876604</v>
      </c>
      <c r="J32" s="77">
        <v>1</v>
      </c>
      <c r="K32" s="20">
        <f t="shared" si="2"/>
        <v>28</v>
      </c>
      <c r="L32" s="78">
        <f t="shared" si="1"/>
        <v>1.3990503141372939</v>
      </c>
    </row>
    <row r="33" spans="2:12" x14ac:dyDescent="0.2">
      <c r="B33" s="77">
        <f t="shared" si="3"/>
        <v>10</v>
      </c>
      <c r="D33" s="75">
        <f t="shared" si="4"/>
        <v>16</v>
      </c>
      <c r="F33" s="77">
        <v>1</v>
      </c>
      <c r="G33" s="20">
        <v>29</v>
      </c>
      <c r="H33" s="75">
        <f t="shared" si="0"/>
        <v>2.0048566865527135</v>
      </c>
      <c r="J33" s="77">
        <v>1</v>
      </c>
      <c r="K33" s="20">
        <f t="shared" si="2"/>
        <v>29</v>
      </c>
      <c r="L33" s="78">
        <f t="shared" si="1"/>
        <v>1.4159296192087774</v>
      </c>
    </row>
    <row r="34" spans="2:12" x14ac:dyDescent="0.2">
      <c r="B34" s="77">
        <f t="shared" si="3"/>
        <v>10</v>
      </c>
      <c r="D34" s="75">
        <f t="shared" si="4"/>
        <v>18</v>
      </c>
      <c r="F34" s="77">
        <v>1</v>
      </c>
      <c r="G34" s="20">
        <v>30</v>
      </c>
      <c r="H34" s="75">
        <f t="shared" si="0"/>
        <v>2.0535250264571463</v>
      </c>
      <c r="J34" s="77">
        <v>1</v>
      </c>
      <c r="K34" s="20">
        <f t="shared" si="2"/>
        <v>30</v>
      </c>
      <c r="L34" s="78">
        <f t="shared" si="1"/>
        <v>1.4330125702369629</v>
      </c>
    </row>
    <row r="35" spans="2:12" x14ac:dyDescent="0.2">
      <c r="B35" s="77">
        <f t="shared" si="3"/>
        <v>10</v>
      </c>
      <c r="D35" s="75">
        <f t="shared" si="4"/>
        <v>20</v>
      </c>
      <c r="F35" s="77">
        <v>1</v>
      </c>
      <c r="G35" s="20">
        <v>31</v>
      </c>
      <c r="H35" s="75">
        <f t="shared" si="0"/>
        <v>2.1033748010870337</v>
      </c>
      <c r="J35" s="77">
        <v>1</v>
      </c>
      <c r="K35" s="20">
        <f t="shared" si="2"/>
        <v>31</v>
      </c>
      <c r="L35" s="78">
        <f t="shared" si="1"/>
        <v>1.4503016241758242</v>
      </c>
    </row>
    <row r="36" spans="2:12" x14ac:dyDescent="0.2">
      <c r="B36" s="77">
        <f t="shared" si="3"/>
        <v>10</v>
      </c>
      <c r="D36" s="75">
        <f t="shared" si="4"/>
        <v>22</v>
      </c>
      <c r="F36" s="77">
        <v>1</v>
      </c>
      <c r="G36" s="20">
        <v>32</v>
      </c>
      <c r="H36" s="75">
        <f t="shared" si="0"/>
        <v>2.1544346900318838</v>
      </c>
      <c r="J36" s="77">
        <v>1</v>
      </c>
      <c r="K36" s="20">
        <f t="shared" si="2"/>
        <v>32</v>
      </c>
      <c r="L36" s="78">
        <f t="shared" si="1"/>
        <v>1.4677992676220697</v>
      </c>
    </row>
    <row r="37" spans="2:12" x14ac:dyDescent="0.2">
      <c r="B37" s="77">
        <f t="shared" si="3"/>
        <v>10</v>
      </c>
      <c r="D37" s="75">
        <f t="shared" si="4"/>
        <v>24</v>
      </c>
      <c r="F37" s="77">
        <v>1</v>
      </c>
      <c r="G37" s="20">
        <v>33</v>
      </c>
      <c r="H37" s="75">
        <f t="shared" si="0"/>
        <v>2.20673406908459</v>
      </c>
      <c r="J37" s="77">
        <v>1</v>
      </c>
      <c r="K37" s="20">
        <f t="shared" si="2"/>
        <v>33</v>
      </c>
      <c r="L37" s="78">
        <f t="shared" si="1"/>
        <v>1.485508017172775</v>
      </c>
    </row>
    <row r="38" spans="2:12" x14ac:dyDescent="0.2">
      <c r="B38" s="77">
        <f t="shared" si="3"/>
        <v>10</v>
      </c>
      <c r="D38" s="75">
        <f t="shared" si="4"/>
        <v>27</v>
      </c>
      <c r="F38" s="77">
        <v>1</v>
      </c>
      <c r="G38" s="20">
        <v>34</v>
      </c>
      <c r="H38" s="75">
        <f t="shared" si="0"/>
        <v>2.2603030271419202</v>
      </c>
      <c r="J38" s="77">
        <v>1</v>
      </c>
      <c r="K38" s="20">
        <f t="shared" si="2"/>
        <v>34</v>
      </c>
      <c r="L38" s="78">
        <f t="shared" si="1"/>
        <v>1.5034304197873343</v>
      </c>
    </row>
    <row r="39" spans="2:12" x14ac:dyDescent="0.2">
      <c r="B39" s="77">
        <f t="shared" si="3"/>
        <v>10</v>
      </c>
      <c r="D39" s="75">
        <f t="shared" si="4"/>
        <v>30</v>
      </c>
      <c r="F39" s="77">
        <v>1</v>
      </c>
      <c r="G39" s="20">
        <v>35</v>
      </c>
      <c r="H39" s="75">
        <f t="shared" si="0"/>
        <v>2.3151723835152733</v>
      </c>
      <c r="J39" s="77">
        <v>1</v>
      </c>
      <c r="K39" s="20">
        <f t="shared" si="2"/>
        <v>35</v>
      </c>
      <c r="L39" s="78">
        <f t="shared" si="1"/>
        <v>1.5215690531537744</v>
      </c>
    </row>
    <row r="40" spans="2:12" x14ac:dyDescent="0.2">
      <c r="B40" s="77">
        <f t="shared" si="3"/>
        <v>10</v>
      </c>
      <c r="D40" s="75">
        <f t="shared" si="4"/>
        <v>33</v>
      </c>
      <c r="F40" s="77">
        <v>1</v>
      </c>
      <c r="G40" s="20">
        <v>36</v>
      </c>
      <c r="H40" s="75">
        <f t="shared" si="0"/>
        <v>2.3713737056616555</v>
      </c>
      <c r="J40" s="77">
        <v>1</v>
      </c>
      <c r="K40" s="20">
        <f t="shared" si="2"/>
        <v>36</v>
      </c>
      <c r="L40" s="78">
        <f t="shared" si="1"/>
        <v>1.5399265260594921</v>
      </c>
    </row>
    <row r="41" spans="2:12" x14ac:dyDescent="0.2">
      <c r="B41" s="77">
        <f t="shared" si="3"/>
        <v>10</v>
      </c>
      <c r="D41" s="75">
        <f t="shared" si="4"/>
        <v>36</v>
      </c>
      <c r="F41" s="77">
        <v>1</v>
      </c>
      <c r="G41" s="20">
        <v>37</v>
      </c>
      <c r="H41" s="75">
        <f t="shared" si="0"/>
        <v>2.4289393273450792</v>
      </c>
      <c r="J41" s="77">
        <v>1</v>
      </c>
      <c r="K41" s="20">
        <f t="shared" si="2"/>
        <v>37</v>
      </c>
      <c r="L41" s="78">
        <f t="shared" si="1"/>
        <v>1.5585054787664621</v>
      </c>
    </row>
    <row r="42" spans="2:12" x14ac:dyDescent="0.2">
      <c r="B42" s="77">
        <f t="shared" si="3"/>
        <v>10</v>
      </c>
      <c r="D42" s="75">
        <f t="shared" si="4"/>
        <v>39</v>
      </c>
      <c r="F42" s="77">
        <v>1</v>
      </c>
      <c r="G42" s="20">
        <v>38</v>
      </c>
      <c r="H42" s="75">
        <f t="shared" si="0"/>
        <v>2.4879023672388363</v>
      </c>
      <c r="J42" s="77">
        <v>1</v>
      </c>
      <c r="K42" s="20">
        <f t="shared" si="2"/>
        <v>38</v>
      </c>
      <c r="L42" s="78">
        <f t="shared" si="1"/>
        <v>1.5773085833909726</v>
      </c>
    </row>
    <row r="43" spans="2:12" x14ac:dyDescent="0.2">
      <c r="B43" s="77">
        <f t="shared" si="3"/>
        <v>10</v>
      </c>
      <c r="D43" s="75">
        <f t="shared" si="4"/>
        <v>43</v>
      </c>
      <c r="F43" s="77">
        <v>1</v>
      </c>
      <c r="G43" s="20">
        <v>39</v>
      </c>
      <c r="H43" s="75">
        <f t="shared" si="0"/>
        <v>2.548296747979347</v>
      </c>
      <c r="J43" s="77">
        <v>1</v>
      </c>
      <c r="K43" s="20">
        <f t="shared" si="2"/>
        <v>39</v>
      </c>
      <c r="L43" s="78">
        <f t="shared" si="1"/>
        <v>1.5963385442879423</v>
      </c>
    </row>
    <row r="44" spans="2:12" x14ac:dyDescent="0.2">
      <c r="B44" s="77">
        <f t="shared" si="3"/>
        <v>10</v>
      </c>
      <c r="D44" s="75">
        <f t="shared" si="4"/>
        <v>47</v>
      </c>
      <c r="F44" s="77">
        <v>1</v>
      </c>
      <c r="G44" s="20">
        <v>40</v>
      </c>
      <c r="H44" s="75">
        <f t="shared" si="0"/>
        <v>2.6101572156825372</v>
      </c>
      <c r="J44" s="77">
        <v>1</v>
      </c>
      <c r="K44" s="20">
        <f t="shared" si="2"/>
        <v>40</v>
      </c>
      <c r="L44" s="78">
        <f t="shared" si="1"/>
        <v>1.6155980984398741</v>
      </c>
    </row>
    <row r="45" spans="2:12" x14ac:dyDescent="0.2">
      <c r="B45" s="77">
        <f t="shared" si="3"/>
        <v>10</v>
      </c>
      <c r="D45" s="75">
        <f t="shared" si="4"/>
        <v>51</v>
      </c>
      <c r="F45" s="77">
        <v>1</v>
      </c>
      <c r="G45" s="20">
        <v>41</v>
      </c>
      <c r="H45" s="75">
        <f t="shared" si="0"/>
        <v>2.6735193599339908</v>
      </c>
      <c r="J45" s="77">
        <v>1</v>
      </c>
      <c r="K45" s="20">
        <f t="shared" si="2"/>
        <v>41</v>
      </c>
      <c r="L45" s="78">
        <f t="shared" si="1"/>
        <v>1.6350900158505008</v>
      </c>
    </row>
    <row r="46" spans="2:12" x14ac:dyDescent="0.2">
      <c r="B46" s="77">
        <f t="shared" si="3"/>
        <v>10</v>
      </c>
      <c r="D46" s="75">
        <f t="shared" si="4"/>
        <v>56</v>
      </c>
      <c r="F46" s="77">
        <v>1</v>
      </c>
      <c r="G46" s="20">
        <v>42</v>
      </c>
      <c r="H46" s="75">
        <f t="shared" si="0"/>
        <v>2.7384196342643614</v>
      </c>
      <c r="J46" s="77">
        <v>1</v>
      </c>
      <c r="K46" s="20">
        <f t="shared" si="2"/>
        <v>42</v>
      </c>
      <c r="L46" s="78">
        <f t="shared" si="1"/>
        <v>1.6548170999431815</v>
      </c>
    </row>
    <row r="47" spans="2:12" x14ac:dyDescent="0.2">
      <c r="B47" s="77">
        <f t="shared" si="3"/>
        <v>10</v>
      </c>
      <c r="D47" s="75">
        <f t="shared" si="4"/>
        <v>62</v>
      </c>
      <c r="F47" s="77">
        <v>1</v>
      </c>
      <c r="G47" s="20">
        <v>43</v>
      </c>
      <c r="H47" s="75">
        <f t="shared" si="0"/>
        <v>2.8048953771218281</v>
      </c>
      <c r="J47" s="77">
        <v>1</v>
      </c>
      <c r="K47" s="20">
        <f t="shared" si="2"/>
        <v>43</v>
      </c>
      <c r="L47" s="78">
        <f t="shared" si="1"/>
        <v>1.6747821879641032</v>
      </c>
    </row>
    <row r="48" spans="2:12" x14ac:dyDescent="0.2">
      <c r="B48" s="77">
        <f t="shared" si="3"/>
        <v>10</v>
      </c>
      <c r="D48" s="75">
        <f t="shared" si="4"/>
        <v>68</v>
      </c>
      <c r="F48" s="77">
        <v>1</v>
      </c>
      <c r="G48" s="20">
        <v>44</v>
      </c>
      <c r="H48" s="75">
        <f t="shared" si="0"/>
        <v>2.8729848333536645</v>
      </c>
      <c r="J48" s="77">
        <v>1</v>
      </c>
      <c r="K48" s="20">
        <f t="shared" si="2"/>
        <v>44</v>
      </c>
      <c r="L48" s="78">
        <f t="shared" si="1"/>
        <v>1.6949881513903466</v>
      </c>
    </row>
    <row r="49" spans="2:12" x14ac:dyDescent="0.2">
      <c r="B49" s="77">
        <f t="shared" si="3"/>
        <v>10</v>
      </c>
      <c r="D49" s="75">
        <f t="shared" si="4"/>
        <v>75</v>
      </c>
      <c r="F49" s="77">
        <v>1</v>
      </c>
      <c r="G49" s="20">
        <v>45</v>
      </c>
      <c r="H49" s="75">
        <f t="shared" si="0"/>
        <v>2.9427271762092824</v>
      </c>
      <c r="J49" s="77">
        <v>1</v>
      </c>
      <c r="K49" s="20">
        <f t="shared" si="2"/>
        <v>45</v>
      </c>
      <c r="L49" s="78">
        <f t="shared" si="1"/>
        <v>1.7154378963428791</v>
      </c>
    </row>
    <row r="50" spans="2:12" x14ac:dyDescent="0.2">
      <c r="B50" s="77">
        <f t="shared" si="3"/>
        <v>10</v>
      </c>
      <c r="D50" s="75">
        <f t="shared" si="4"/>
        <v>82</v>
      </c>
      <c r="F50" s="77">
        <v>1</v>
      </c>
      <c r="G50" s="20">
        <v>46</v>
      </c>
      <c r="H50" s="75">
        <f t="shared" si="0"/>
        <v>3.0141625298773906</v>
      </c>
      <c r="J50" s="77">
        <v>1</v>
      </c>
      <c r="K50" s="20">
        <f t="shared" si="2"/>
        <v>46</v>
      </c>
      <c r="L50" s="78">
        <f t="shared" si="1"/>
        <v>1.7361343640045233</v>
      </c>
    </row>
    <row r="51" spans="2:12" x14ac:dyDescent="0.2">
      <c r="B51" s="77">
        <f t="shared" si="3"/>
        <v>10</v>
      </c>
      <c r="D51" s="75">
        <f t="shared" si="4"/>
        <v>91</v>
      </c>
      <c r="F51" s="77">
        <v>1</v>
      </c>
      <c r="G51" s="20">
        <v>47</v>
      </c>
      <c r="H51" s="75">
        <f t="shared" si="0"/>
        <v>3.087331992570264</v>
      </c>
      <c r="J51" s="77">
        <v>1</v>
      </c>
      <c r="K51" s="20">
        <f t="shared" si="2"/>
        <v>47</v>
      </c>
      <c r="L51" s="78">
        <f t="shared" si="1"/>
        <v>1.7570805310429753</v>
      </c>
    </row>
    <row r="52" spans="2:12" x14ac:dyDescent="0.2">
      <c r="B52" s="77">
        <f t="shared" si="3"/>
        <v>10</v>
      </c>
      <c r="D52" s="75">
        <f t="shared" si="4"/>
        <v>100</v>
      </c>
      <c r="F52" s="77">
        <v>1</v>
      </c>
      <c r="G52" s="20">
        <v>48</v>
      </c>
      <c r="H52" s="75">
        <f t="shared" si="0"/>
        <v>3.1622776601683795</v>
      </c>
      <c r="J52" s="77">
        <v>1</v>
      </c>
      <c r="K52" s="20">
        <f t="shared" si="2"/>
        <v>48</v>
      </c>
      <c r="L52" s="78">
        <f t="shared" si="1"/>
        <v>1.778279410038923</v>
      </c>
    </row>
    <row r="53" spans="2:12" x14ac:dyDescent="0.2">
      <c r="B53" s="77">
        <f>B29*10</f>
        <v>100</v>
      </c>
      <c r="D53" s="75">
        <f t="shared" si="4"/>
        <v>110</v>
      </c>
      <c r="F53" s="77">
        <v>1</v>
      </c>
      <c r="G53" s="20">
        <v>49</v>
      </c>
      <c r="H53" s="75">
        <f t="shared" si="0"/>
        <v>3.2390426504390306</v>
      </c>
      <c r="J53" s="77">
        <v>1</v>
      </c>
      <c r="K53" s="20">
        <f t="shared" si="2"/>
        <v>49</v>
      </c>
      <c r="L53" s="78">
        <f t="shared" si="1"/>
        <v>1.7997340499193293</v>
      </c>
    </row>
    <row r="54" spans="2:12" x14ac:dyDescent="0.2">
      <c r="B54" s="77">
        <f t="shared" ref="B54:B117" si="5">B30*10</f>
        <v>100</v>
      </c>
      <c r="D54" s="75">
        <f t="shared" si="4"/>
        <v>120</v>
      </c>
      <c r="F54" s="77">
        <v>1</v>
      </c>
      <c r="G54" s="20">
        <v>50</v>
      </c>
      <c r="H54" s="75">
        <f t="shared" si="0"/>
        <v>3.3176711278428579</v>
      </c>
      <c r="J54" s="77">
        <v>1</v>
      </c>
      <c r="K54" s="20">
        <f t="shared" si="2"/>
        <v>50</v>
      </c>
      <c r="L54" s="78">
        <f t="shared" si="1"/>
        <v>1.8214475363959453</v>
      </c>
    </row>
    <row r="55" spans="2:12" x14ac:dyDescent="0.2">
      <c r="B55" s="77">
        <f t="shared" si="5"/>
        <v>100</v>
      </c>
      <c r="D55" s="75">
        <f t="shared" si="4"/>
        <v>130</v>
      </c>
      <c r="F55" s="77">
        <v>1</v>
      </c>
      <c r="G55" s="20">
        <v>51</v>
      </c>
      <c r="H55" s="75">
        <f t="shared" si="0"/>
        <v>3.3982083289425593</v>
      </c>
      <c r="J55" s="77">
        <v>1</v>
      </c>
      <c r="K55" s="20">
        <f t="shared" si="2"/>
        <v>51</v>
      </c>
      <c r="L55" s="78">
        <f t="shared" si="1"/>
        <v>1.8434229924091106</v>
      </c>
    </row>
    <row r="56" spans="2:12" x14ac:dyDescent="0.2">
      <c r="B56" s="77">
        <f t="shared" si="5"/>
        <v>100</v>
      </c>
      <c r="D56" s="75">
        <f t="shared" si="4"/>
        <v>150</v>
      </c>
      <c r="F56" s="77">
        <v>1</v>
      </c>
      <c r="G56" s="20">
        <v>52</v>
      </c>
      <c r="H56" s="75">
        <f t="shared" si="0"/>
        <v>3.4807005884284106</v>
      </c>
      <c r="J56" s="77">
        <v>1</v>
      </c>
      <c r="K56" s="20">
        <f t="shared" si="2"/>
        <v>52</v>
      </c>
      <c r="L56" s="78">
        <f t="shared" si="1"/>
        <v>1.8656635785769122</v>
      </c>
    </row>
    <row r="57" spans="2:12" x14ac:dyDescent="0.2">
      <c r="B57" s="77">
        <f t="shared" si="5"/>
        <v>100</v>
      </c>
      <c r="D57" s="75">
        <f t="shared" si="4"/>
        <v>160</v>
      </c>
      <c r="F57" s="77">
        <v>1</v>
      </c>
      <c r="G57" s="20">
        <v>53</v>
      </c>
      <c r="H57" s="75">
        <f t="shared" si="0"/>
        <v>3.5651953657755495</v>
      </c>
      <c r="J57" s="77">
        <v>1</v>
      </c>
      <c r="K57" s="20">
        <f t="shared" si="2"/>
        <v>53</v>
      </c>
      <c r="L57" s="78">
        <f t="shared" si="1"/>
        <v>1.888172493649759</v>
      </c>
    </row>
    <row r="58" spans="2:12" x14ac:dyDescent="0.2">
      <c r="B58" s="77">
        <f t="shared" si="5"/>
        <v>100</v>
      </c>
      <c r="D58" s="75">
        <f t="shared" si="4"/>
        <v>180</v>
      </c>
      <c r="F58" s="77">
        <v>1</v>
      </c>
      <c r="G58" s="20">
        <v>54</v>
      </c>
      <c r="H58" s="75">
        <f t="shared" si="0"/>
        <v>3.6517412725483775</v>
      </c>
      <c r="J58" s="77">
        <v>1</v>
      </c>
      <c r="K58" s="20">
        <f t="shared" si="2"/>
        <v>54</v>
      </c>
      <c r="L58" s="78">
        <f t="shared" si="1"/>
        <v>1.9109529749704406</v>
      </c>
    </row>
    <row r="59" spans="2:12" x14ac:dyDescent="0.2">
      <c r="B59" s="77">
        <f t="shared" si="5"/>
        <v>100</v>
      </c>
      <c r="D59" s="75">
        <f t="shared" si="4"/>
        <v>200</v>
      </c>
      <c r="F59" s="77">
        <v>1</v>
      </c>
      <c r="G59" s="20">
        <v>55</v>
      </c>
      <c r="H59" s="75">
        <f t="shared" si="0"/>
        <v>3.7403881003677859</v>
      </c>
      <c r="J59" s="77">
        <v>1</v>
      </c>
      <c r="K59" s="20">
        <f t="shared" si="2"/>
        <v>55</v>
      </c>
      <c r="L59" s="78">
        <f t="shared" si="1"/>
        <v>1.9340082989397398</v>
      </c>
    </row>
    <row r="60" spans="2:12" x14ac:dyDescent="0.2">
      <c r="B60" s="77">
        <f t="shared" si="5"/>
        <v>100</v>
      </c>
      <c r="D60" s="75">
        <f t="shared" si="4"/>
        <v>220</v>
      </c>
      <c r="F60" s="77">
        <v>1</v>
      </c>
      <c r="G60" s="20">
        <v>56</v>
      </c>
      <c r="H60" s="75">
        <f t="shared" si="0"/>
        <v>3.8311868495572883</v>
      </c>
      <c r="J60" s="77">
        <v>1</v>
      </c>
      <c r="K60" s="20">
        <f t="shared" si="2"/>
        <v>56</v>
      </c>
      <c r="L60" s="78">
        <f t="shared" si="1"/>
        <v>1.9573417814876604</v>
      </c>
    </row>
    <row r="61" spans="2:12" x14ac:dyDescent="0.2">
      <c r="B61" s="77">
        <f t="shared" si="5"/>
        <v>100</v>
      </c>
      <c r="D61" s="75">
        <f t="shared" si="4"/>
        <v>240</v>
      </c>
      <c r="F61" s="77">
        <v>1</v>
      </c>
      <c r="G61" s="20">
        <v>57</v>
      </c>
      <c r="H61" s="75">
        <f t="shared" si="0"/>
        <v>3.9241897584845362</v>
      </c>
      <c r="J61" s="77">
        <v>1</v>
      </c>
      <c r="K61" s="20">
        <f t="shared" si="2"/>
        <v>57</v>
      </c>
      <c r="L61" s="78">
        <f t="shared" si="1"/>
        <v>1.9809567785503388</v>
      </c>
    </row>
    <row r="62" spans="2:12" x14ac:dyDescent="0.2">
      <c r="B62" s="77">
        <f t="shared" si="5"/>
        <v>100</v>
      </c>
      <c r="D62" s="75">
        <f t="shared" si="4"/>
        <v>270</v>
      </c>
      <c r="F62" s="77">
        <v>1</v>
      </c>
      <c r="G62" s="20">
        <v>58</v>
      </c>
      <c r="H62" s="75">
        <f t="shared" si="0"/>
        <v>4.0194503336151257</v>
      </c>
      <c r="J62" s="77">
        <v>1</v>
      </c>
      <c r="K62" s="20">
        <f t="shared" si="2"/>
        <v>58</v>
      </c>
      <c r="L62" s="78">
        <f t="shared" si="1"/>
        <v>2.0048566865527135</v>
      </c>
    </row>
    <row r="63" spans="2:12" x14ac:dyDescent="0.2">
      <c r="B63" s="77">
        <f t="shared" si="5"/>
        <v>100</v>
      </c>
      <c r="D63" s="75">
        <f t="shared" si="4"/>
        <v>300</v>
      </c>
      <c r="F63" s="77">
        <v>1</v>
      </c>
      <c r="G63" s="20">
        <v>59</v>
      </c>
      <c r="H63" s="75">
        <f t="shared" si="0"/>
        <v>4.1170233802959482</v>
      </c>
      <c r="J63" s="77">
        <v>1</v>
      </c>
      <c r="K63" s="20">
        <f t="shared" si="2"/>
        <v>59</v>
      </c>
      <c r="L63" s="78">
        <f t="shared" si="1"/>
        <v>2.0290449428970145</v>
      </c>
    </row>
    <row r="64" spans="2:12" x14ac:dyDescent="0.2">
      <c r="B64" s="77">
        <f t="shared" si="5"/>
        <v>100</v>
      </c>
      <c r="D64" s="75">
        <f t="shared" si="4"/>
        <v>330</v>
      </c>
      <c r="F64" s="77">
        <v>1</v>
      </c>
      <c r="G64" s="20">
        <v>60</v>
      </c>
      <c r="H64" s="75">
        <f t="shared" si="0"/>
        <v>4.2169650342858231</v>
      </c>
      <c r="J64" s="77">
        <v>1</v>
      </c>
      <c r="K64" s="20">
        <f t="shared" si="2"/>
        <v>60</v>
      </c>
      <c r="L64" s="78">
        <f t="shared" si="1"/>
        <v>2.0535250264571463</v>
      </c>
    </row>
    <row r="65" spans="2:12" x14ac:dyDescent="0.2">
      <c r="B65" s="77">
        <f t="shared" si="5"/>
        <v>100</v>
      </c>
      <c r="D65" s="75">
        <f t="shared" si="4"/>
        <v>360</v>
      </c>
      <c r="F65" s="77">
        <v>1</v>
      </c>
      <c r="G65" s="20">
        <v>61</v>
      </c>
      <c r="H65" s="75">
        <f t="shared" si="0"/>
        <v>4.3193327940515447</v>
      </c>
      <c r="J65" s="77">
        <v>1</v>
      </c>
      <c r="K65" s="20">
        <f t="shared" si="2"/>
        <v>61</v>
      </c>
      <c r="L65" s="78">
        <f t="shared" si="1"/>
        <v>2.0783004580790392</v>
      </c>
    </row>
    <row r="66" spans="2:12" x14ac:dyDescent="0.2">
      <c r="B66" s="77">
        <f t="shared" si="5"/>
        <v>100</v>
      </c>
      <c r="D66" s="75">
        <f t="shared" si="4"/>
        <v>390</v>
      </c>
      <c r="F66" s="77">
        <v>1</v>
      </c>
      <c r="G66" s="20">
        <v>62</v>
      </c>
      <c r="H66" s="75">
        <f t="shared" si="0"/>
        <v>4.4241855538479182</v>
      </c>
      <c r="J66" s="77">
        <v>1</v>
      </c>
      <c r="K66" s="20">
        <f t="shared" si="2"/>
        <v>62</v>
      </c>
      <c r="L66" s="78">
        <f t="shared" si="1"/>
        <v>2.1033748010870337</v>
      </c>
    </row>
    <row r="67" spans="2:12" x14ac:dyDescent="0.2">
      <c r="B67" s="77">
        <f t="shared" si="5"/>
        <v>100</v>
      </c>
      <c r="D67" s="75">
        <f t="shared" si="4"/>
        <v>430</v>
      </c>
      <c r="F67" s="77">
        <v>1</v>
      </c>
      <c r="G67" s="20">
        <v>63</v>
      </c>
      <c r="H67" s="75">
        <f t="shared" si="0"/>
        <v>4.5315836376008187</v>
      </c>
      <c r="J67" s="77">
        <v>1</v>
      </c>
      <c r="K67" s="20">
        <f t="shared" si="2"/>
        <v>63</v>
      </c>
      <c r="L67" s="78">
        <f t="shared" si="1"/>
        <v>2.1287516617963727</v>
      </c>
    </row>
    <row r="68" spans="2:12" x14ac:dyDescent="0.2">
      <c r="B68" s="77">
        <f t="shared" si="5"/>
        <v>100</v>
      </c>
      <c r="D68" s="75">
        <f t="shared" si="4"/>
        <v>470</v>
      </c>
      <c r="F68" s="77">
        <v>1</v>
      </c>
      <c r="G68" s="20">
        <v>64</v>
      </c>
      <c r="H68" s="75">
        <f t="shared" ref="H68:H131" si="6">F68*10^(G68/96)</f>
        <v>4.6415888336127793</v>
      </c>
      <c r="J68" s="77">
        <v>1</v>
      </c>
      <c r="K68" s="20">
        <f t="shared" si="2"/>
        <v>64</v>
      </c>
      <c r="L68" s="78">
        <f t="shared" si="1"/>
        <v>2.1544346900318838</v>
      </c>
    </row>
    <row r="69" spans="2:12" x14ac:dyDescent="0.2">
      <c r="B69" s="77">
        <f t="shared" si="5"/>
        <v>100</v>
      </c>
      <c r="D69" s="75">
        <f t="shared" si="4"/>
        <v>510</v>
      </c>
      <c r="F69" s="77">
        <v>1</v>
      </c>
      <c r="G69" s="20">
        <v>65</v>
      </c>
      <c r="H69" s="75">
        <f t="shared" si="6"/>
        <v>4.754264430111057</v>
      </c>
      <c r="J69" s="77">
        <v>1</v>
      </c>
      <c r="K69" s="20">
        <f t="shared" si="2"/>
        <v>65</v>
      </c>
      <c r="L69" s="78">
        <f t="shared" ref="L69:L132" si="7">J69*10^(K69/192)</f>
        <v>2.1804275796529122</v>
      </c>
    </row>
    <row r="70" spans="2:12" x14ac:dyDescent="0.2">
      <c r="B70" s="77">
        <f t="shared" si="5"/>
        <v>100</v>
      </c>
      <c r="D70" s="75">
        <f t="shared" si="4"/>
        <v>560</v>
      </c>
      <c r="F70" s="77">
        <v>1</v>
      </c>
      <c r="G70" s="20">
        <v>66</v>
      </c>
      <c r="H70" s="75">
        <f t="shared" si="6"/>
        <v>4.8696752516586317</v>
      </c>
      <c r="J70" s="77">
        <v>1</v>
      </c>
      <c r="K70" s="20">
        <f t="shared" ref="K70:K133" si="8">K69+1</f>
        <v>66</v>
      </c>
      <c r="L70" s="78">
        <f t="shared" si="7"/>
        <v>2.20673406908459</v>
      </c>
    </row>
    <row r="71" spans="2:12" x14ac:dyDescent="0.2">
      <c r="B71" s="77">
        <f t="shared" si="5"/>
        <v>100</v>
      </c>
      <c r="D71" s="75">
        <f t="shared" si="4"/>
        <v>620</v>
      </c>
      <c r="F71" s="77">
        <v>1</v>
      </c>
      <c r="G71" s="20">
        <v>67</v>
      </c>
      <c r="H71" s="75">
        <f t="shared" si="6"/>
        <v>4.9878876964491061</v>
      </c>
      <c r="J71" s="77">
        <v>1</v>
      </c>
      <c r="K71" s="20">
        <f t="shared" si="8"/>
        <v>67</v>
      </c>
      <c r="L71" s="78">
        <f t="shared" si="7"/>
        <v>2.2333579418555161</v>
      </c>
    </row>
    <row r="72" spans="2:12" x14ac:dyDescent="0.2">
      <c r="B72" s="77">
        <f t="shared" si="5"/>
        <v>100</v>
      </c>
      <c r="D72" s="75">
        <f t="shared" si="4"/>
        <v>680</v>
      </c>
      <c r="F72" s="77">
        <v>1</v>
      </c>
      <c r="G72" s="20">
        <v>68</v>
      </c>
      <c r="H72" s="75">
        <f t="shared" si="6"/>
        <v>5.1089697745069289</v>
      </c>
      <c r="J72" s="77">
        <v>1</v>
      </c>
      <c r="K72" s="20">
        <f t="shared" si="8"/>
        <v>68</v>
      </c>
      <c r="L72" s="78">
        <f t="shared" si="7"/>
        <v>2.2603030271419202</v>
      </c>
    </row>
    <row r="73" spans="2:12" x14ac:dyDescent="0.2">
      <c r="B73" s="77">
        <f t="shared" si="5"/>
        <v>100</v>
      </c>
      <c r="D73" s="75">
        <f t="shared" si="4"/>
        <v>750</v>
      </c>
      <c r="F73" s="77">
        <v>1</v>
      </c>
      <c r="G73" s="20">
        <v>69</v>
      </c>
      <c r="H73" s="75">
        <f t="shared" si="6"/>
        <v>5.2329911468149479</v>
      </c>
      <c r="J73" s="77">
        <v>1</v>
      </c>
      <c r="K73" s="20">
        <f t="shared" si="8"/>
        <v>69</v>
      </c>
      <c r="L73" s="78">
        <f t="shared" si="7"/>
        <v>2.2875732003183962</v>
      </c>
    </row>
    <row r="74" spans="2:12" x14ac:dyDescent="0.2">
      <c r="B74" s="77">
        <f t="shared" si="5"/>
        <v>100</v>
      </c>
      <c r="D74" s="75">
        <f t="shared" si="4"/>
        <v>820</v>
      </c>
      <c r="F74" s="77">
        <v>1</v>
      </c>
      <c r="G74" s="20">
        <v>70</v>
      </c>
      <c r="H74" s="75">
        <f t="shared" si="6"/>
        <v>5.3600231653917918</v>
      </c>
      <c r="J74" s="77">
        <v>1</v>
      </c>
      <c r="K74" s="20">
        <f t="shared" si="8"/>
        <v>70</v>
      </c>
      <c r="L74" s="78">
        <f t="shared" si="7"/>
        <v>2.3151723835152733</v>
      </c>
    </row>
    <row r="75" spans="2:12" x14ac:dyDescent="0.2">
      <c r="B75" s="77">
        <f t="shared" si="5"/>
        <v>100</v>
      </c>
      <c r="D75" s="75">
        <f t="shared" si="4"/>
        <v>910</v>
      </c>
      <c r="F75" s="77">
        <v>1</v>
      </c>
      <c r="G75" s="20">
        <v>71</v>
      </c>
      <c r="H75" s="75">
        <f t="shared" si="6"/>
        <v>5.4901389143421415</v>
      </c>
      <c r="J75" s="77">
        <v>1</v>
      </c>
      <c r="K75" s="20">
        <f t="shared" si="8"/>
        <v>71</v>
      </c>
      <c r="L75" s="78">
        <f t="shared" si="7"/>
        <v>2.3431045461827225</v>
      </c>
    </row>
    <row r="76" spans="2:12" x14ac:dyDescent="0.2">
      <c r="B76" s="77">
        <f t="shared" si="5"/>
        <v>100</v>
      </c>
      <c r="D76" s="75">
        <f t="shared" si="4"/>
        <v>1000</v>
      </c>
      <c r="F76" s="77">
        <v>1</v>
      </c>
      <c r="G76" s="20">
        <v>72</v>
      </c>
      <c r="H76" s="75">
        <f t="shared" si="6"/>
        <v>5.6234132519034921</v>
      </c>
      <c r="J76" s="77">
        <v>1</v>
      </c>
      <c r="K76" s="20">
        <f t="shared" si="8"/>
        <v>72</v>
      </c>
      <c r="L76" s="78">
        <f t="shared" si="7"/>
        <v>2.3713737056616555</v>
      </c>
    </row>
    <row r="77" spans="2:12" x14ac:dyDescent="0.2">
      <c r="B77" s="77">
        <f t="shared" si="5"/>
        <v>1000</v>
      </c>
      <c r="D77" s="75">
        <f t="shared" si="4"/>
        <v>1100</v>
      </c>
      <c r="F77" s="77">
        <v>1</v>
      </c>
      <c r="G77" s="20">
        <v>73</v>
      </c>
      <c r="H77" s="75">
        <f t="shared" si="6"/>
        <v>5.7599228535136282</v>
      </c>
      <c r="J77" s="77">
        <v>1</v>
      </c>
      <c r="K77" s="20">
        <f t="shared" si="8"/>
        <v>73</v>
      </c>
      <c r="L77" s="78">
        <f t="shared" si="7"/>
        <v>2.3999839277615234</v>
      </c>
    </row>
    <row r="78" spans="2:12" x14ac:dyDescent="0.2">
      <c r="B78" s="77">
        <f t="shared" si="5"/>
        <v>1000</v>
      </c>
      <c r="D78" s="75">
        <f t="shared" si="4"/>
        <v>1200</v>
      </c>
      <c r="F78" s="77">
        <v>1</v>
      </c>
      <c r="G78" s="20">
        <v>74</v>
      </c>
      <c r="H78" s="75">
        <f t="shared" si="6"/>
        <v>5.8997462559235654</v>
      </c>
      <c r="J78" s="77">
        <v>1</v>
      </c>
      <c r="K78" s="20">
        <f t="shared" si="8"/>
        <v>74</v>
      </c>
      <c r="L78" s="78">
        <f t="shared" si="7"/>
        <v>2.4289393273450792</v>
      </c>
    </row>
    <row r="79" spans="2:12" x14ac:dyDescent="0.2">
      <c r="B79" s="77">
        <f t="shared" si="5"/>
        <v>1000</v>
      </c>
      <c r="D79" s="75">
        <f t="shared" si="4"/>
        <v>1300</v>
      </c>
      <c r="F79" s="77">
        <v>1</v>
      </c>
      <c r="G79" s="20">
        <v>75</v>
      </c>
      <c r="H79" s="75">
        <f t="shared" si="6"/>
        <v>6.0429639023813291</v>
      </c>
      <c r="J79" s="77">
        <v>1</v>
      </c>
      <c r="K79" s="20">
        <f t="shared" si="8"/>
        <v>75</v>
      </c>
      <c r="L79" s="78">
        <f t="shared" si="7"/>
        <v>2.4582440689201976</v>
      </c>
    </row>
    <row r="80" spans="2:12" x14ac:dyDescent="0.2">
      <c r="B80" s="77">
        <f t="shared" si="5"/>
        <v>1000</v>
      </c>
      <c r="D80" s="75">
        <f t="shared" si="4"/>
        <v>1500</v>
      </c>
      <c r="F80" s="77">
        <v>1</v>
      </c>
      <c r="G80" s="20">
        <v>76</v>
      </c>
      <c r="H80" s="75">
        <f t="shared" si="6"/>
        <v>6.1896581889126061</v>
      </c>
      <c r="J80" s="77">
        <v>1</v>
      </c>
      <c r="K80" s="20">
        <f t="shared" si="8"/>
        <v>76</v>
      </c>
      <c r="L80" s="78">
        <f t="shared" si="7"/>
        <v>2.4879023672388363</v>
      </c>
    </row>
    <row r="81" spans="2:12" x14ac:dyDescent="0.2">
      <c r="B81" s="77">
        <f t="shared" si="5"/>
        <v>1000</v>
      </c>
      <c r="D81" s="75">
        <f t="shared" si="4"/>
        <v>1600</v>
      </c>
      <c r="F81" s="77">
        <v>1</v>
      </c>
      <c r="G81" s="20">
        <v>77</v>
      </c>
      <c r="H81" s="75">
        <f t="shared" si="6"/>
        <v>6.3399135117248457</v>
      </c>
      <c r="J81" s="77">
        <v>1</v>
      </c>
      <c r="K81" s="20">
        <f t="shared" si="8"/>
        <v>77</v>
      </c>
      <c r="L81" s="78">
        <f t="shared" si="7"/>
        <v>2.5179184879032217</v>
      </c>
    </row>
    <row r="82" spans="2:12" x14ac:dyDescent="0.2">
      <c r="B82" s="77">
        <f t="shared" si="5"/>
        <v>1000</v>
      </c>
      <c r="D82" s="75">
        <f t="shared" si="4"/>
        <v>1800</v>
      </c>
      <c r="F82" s="77">
        <v>1</v>
      </c>
      <c r="G82" s="20">
        <v>78</v>
      </c>
      <c r="H82" s="75">
        <f t="shared" si="6"/>
        <v>6.4938163157621149</v>
      </c>
      <c r="J82" s="77">
        <v>1</v>
      </c>
      <c r="K82" s="20">
        <f t="shared" si="8"/>
        <v>78</v>
      </c>
      <c r="L82" s="78">
        <f t="shared" si="7"/>
        <v>2.548296747979347</v>
      </c>
    </row>
    <row r="83" spans="2:12" x14ac:dyDescent="0.2">
      <c r="B83" s="77">
        <f t="shared" si="5"/>
        <v>1000</v>
      </c>
      <c r="D83" s="75">
        <f t="shared" si="4"/>
        <v>2000</v>
      </c>
      <c r="F83" s="77">
        <v>1</v>
      </c>
      <c r="G83" s="20">
        <v>79</v>
      </c>
      <c r="H83" s="75">
        <f t="shared" si="6"/>
        <v>6.6514551444386338</v>
      </c>
      <c r="J83" s="77">
        <v>1</v>
      </c>
      <c r="K83" s="20">
        <f t="shared" si="8"/>
        <v>79</v>
      </c>
      <c r="L83" s="78">
        <f t="shared" si="7"/>
        <v>2.5790415166178762</v>
      </c>
    </row>
    <row r="84" spans="2:12" x14ac:dyDescent="0.2">
      <c r="B84" s="77">
        <f t="shared" si="5"/>
        <v>1000</v>
      </c>
      <c r="D84" s="75">
        <f t="shared" si="4"/>
        <v>2200</v>
      </c>
      <c r="F84" s="77">
        <v>1</v>
      </c>
      <c r="G84" s="20">
        <v>80</v>
      </c>
      <c r="H84" s="75">
        <f t="shared" si="6"/>
        <v>6.812920690579614</v>
      </c>
      <c r="J84" s="77">
        <v>1</v>
      </c>
      <c r="K84" s="20">
        <f t="shared" si="8"/>
        <v>80</v>
      </c>
      <c r="L84" s="78">
        <f t="shared" si="7"/>
        <v>2.6101572156825372</v>
      </c>
    </row>
    <row r="85" spans="2:12" x14ac:dyDescent="0.2">
      <c r="B85" s="77">
        <f t="shared" si="5"/>
        <v>1000</v>
      </c>
      <c r="D85" s="75">
        <f t="shared" si="4"/>
        <v>2400</v>
      </c>
      <c r="F85" s="77">
        <v>1</v>
      </c>
      <c r="G85" s="20">
        <v>81</v>
      </c>
      <c r="H85" s="75">
        <f t="shared" si="6"/>
        <v>6.9783058485986649</v>
      </c>
      <c r="J85" s="77">
        <v>1</v>
      </c>
      <c r="K85" s="20">
        <f t="shared" si="8"/>
        <v>81</v>
      </c>
      <c r="L85" s="78">
        <f t="shared" si="7"/>
        <v>2.6416483203860928</v>
      </c>
    </row>
    <row r="86" spans="2:12" x14ac:dyDescent="0.2">
      <c r="B86" s="77">
        <f t="shared" si="5"/>
        <v>1000</v>
      </c>
      <c r="D86" s="75">
        <f t="shared" si="4"/>
        <v>2700</v>
      </c>
      <c r="F86" s="77">
        <v>1</v>
      </c>
      <c r="G86" s="20">
        <v>82</v>
      </c>
      <c r="H86" s="75">
        <f t="shared" si="6"/>
        <v>7.147705767941857</v>
      </c>
      <c r="J86" s="77">
        <v>1</v>
      </c>
      <c r="K86" s="20">
        <f t="shared" si="8"/>
        <v>82</v>
      </c>
      <c r="L86" s="78">
        <f t="shared" si="7"/>
        <v>2.6735193599339908</v>
      </c>
    </row>
    <row r="87" spans="2:12" x14ac:dyDescent="0.2">
      <c r="B87" s="77">
        <f t="shared" si="5"/>
        <v>1000</v>
      </c>
      <c r="D87" s="75">
        <f t="shared" si="4"/>
        <v>3000</v>
      </c>
      <c r="F87" s="77">
        <v>1</v>
      </c>
      <c r="G87" s="20">
        <v>83</v>
      </c>
      <c r="H87" s="75">
        <f t="shared" si="6"/>
        <v>7.3212179078291308</v>
      </c>
      <c r="J87" s="77">
        <v>1</v>
      </c>
      <c r="K87" s="20">
        <f t="shared" si="8"/>
        <v>83</v>
      </c>
      <c r="L87" s="78">
        <f t="shared" si="7"/>
        <v>2.7057749181757766</v>
      </c>
    </row>
    <row r="88" spans="2:12" x14ac:dyDescent="0.2">
      <c r="B88" s="77">
        <f t="shared" si="5"/>
        <v>1000</v>
      </c>
      <c r="D88" s="75">
        <f t="shared" si="4"/>
        <v>3300</v>
      </c>
      <c r="F88" s="77">
        <v>1</v>
      </c>
      <c r="G88" s="20">
        <v>84</v>
      </c>
      <c r="H88" s="75">
        <f t="shared" si="6"/>
        <v>7.4989420933245592</v>
      </c>
      <c r="J88" s="77">
        <v>1</v>
      </c>
      <c r="K88" s="20">
        <f t="shared" si="8"/>
        <v>84</v>
      </c>
      <c r="L88" s="78">
        <f t="shared" si="7"/>
        <v>2.7384196342643614</v>
      </c>
    </row>
    <row r="89" spans="2:12" x14ac:dyDescent="0.2">
      <c r="B89" s="77">
        <f t="shared" si="5"/>
        <v>1000</v>
      </c>
      <c r="D89" s="75">
        <f t="shared" si="4"/>
        <v>3600</v>
      </c>
      <c r="F89" s="77">
        <v>1</v>
      </c>
      <c r="G89" s="20">
        <v>85</v>
      </c>
      <c r="H89" s="75">
        <f t="shared" si="6"/>
        <v>7.6809805727677549</v>
      </c>
      <c r="J89" s="77">
        <v>1</v>
      </c>
      <c r="K89" s="20">
        <f t="shared" si="8"/>
        <v>85</v>
      </c>
      <c r="L89" s="78">
        <f t="shared" si="7"/>
        <v>2.7714582033232533</v>
      </c>
    </row>
    <row r="90" spans="2:12" x14ac:dyDescent="0.2">
      <c r="B90" s="77">
        <f t="shared" si="5"/>
        <v>1000</v>
      </c>
      <c r="D90" s="75">
        <f t="shared" si="4"/>
        <v>3900</v>
      </c>
      <c r="F90" s="77">
        <v>1</v>
      </c>
      <c r="G90" s="20">
        <v>86</v>
      </c>
      <c r="H90" s="75">
        <f t="shared" si="6"/>
        <v>7.8674380765994032</v>
      </c>
      <c r="J90" s="77">
        <v>1</v>
      </c>
      <c r="K90" s="20">
        <f t="shared" si="8"/>
        <v>86</v>
      </c>
      <c r="L90" s="78">
        <f t="shared" si="7"/>
        <v>2.8048953771218281</v>
      </c>
    </row>
    <row r="91" spans="2:12" x14ac:dyDescent="0.2">
      <c r="B91" s="77">
        <f t="shared" si="5"/>
        <v>1000</v>
      </c>
      <c r="D91" s="75">
        <f t="shared" si="4"/>
        <v>4300</v>
      </c>
      <c r="F91" s="77">
        <v>1</v>
      </c>
      <c r="G91" s="20">
        <v>87</v>
      </c>
      <c r="H91" s="75">
        <f t="shared" si="6"/>
        <v>8.0584218776148191</v>
      </c>
      <c r="J91" s="77">
        <v>1</v>
      </c>
      <c r="K91" s="20">
        <f t="shared" si="8"/>
        <v>87</v>
      </c>
      <c r="L91" s="78">
        <f t="shared" si="7"/>
        <v>2.8387359647587549</v>
      </c>
    </row>
    <row r="92" spans="2:12" x14ac:dyDescent="0.2">
      <c r="B92" s="77">
        <f t="shared" si="5"/>
        <v>1000</v>
      </c>
      <c r="D92" s="75">
        <f t="shared" si="4"/>
        <v>4700</v>
      </c>
      <c r="F92" s="77">
        <v>1</v>
      </c>
      <c r="G92" s="20">
        <v>88</v>
      </c>
      <c r="H92" s="75">
        <f t="shared" si="6"/>
        <v>8.2540418526801833</v>
      </c>
      <c r="J92" s="77">
        <v>1</v>
      </c>
      <c r="K92" s="20">
        <f t="shared" si="8"/>
        <v>88</v>
      </c>
      <c r="L92" s="78">
        <f t="shared" si="7"/>
        <v>2.8729848333536645</v>
      </c>
    </row>
    <row r="93" spans="2:12" x14ac:dyDescent="0.2">
      <c r="B93" s="77">
        <f t="shared" si="5"/>
        <v>1000</v>
      </c>
      <c r="D93" s="75">
        <f t="shared" si="4"/>
        <v>5100</v>
      </c>
      <c r="F93" s="77">
        <v>1</v>
      </c>
      <c r="G93" s="20">
        <v>89</v>
      </c>
      <c r="H93" s="75">
        <f t="shared" si="6"/>
        <v>8.4544105459469243</v>
      </c>
      <c r="J93" s="77">
        <v>1</v>
      </c>
      <c r="K93" s="20">
        <f t="shared" si="8"/>
        <v>89</v>
      </c>
      <c r="L93" s="78">
        <f t="shared" si="7"/>
        <v>2.9076469087471617</v>
      </c>
    </row>
    <row r="94" spans="2:12" x14ac:dyDescent="0.2">
      <c r="B94" s="77">
        <f t="shared" si="5"/>
        <v>1000</v>
      </c>
      <c r="D94" s="75">
        <f t="shared" ref="D94:D157" si="9">D70*10</f>
        <v>5600</v>
      </c>
      <c r="F94" s="77">
        <v>1</v>
      </c>
      <c r="G94" s="20">
        <v>90</v>
      </c>
      <c r="H94" s="75">
        <f t="shared" si="6"/>
        <v>8.6596432336006561</v>
      </c>
      <c r="J94" s="77">
        <v>1</v>
      </c>
      <c r="K94" s="20">
        <f t="shared" si="8"/>
        <v>90</v>
      </c>
      <c r="L94" s="78">
        <f t="shared" si="7"/>
        <v>2.9427271762092824</v>
      </c>
    </row>
    <row r="95" spans="2:12" x14ac:dyDescent="0.2">
      <c r="B95" s="77">
        <f t="shared" si="5"/>
        <v>1000</v>
      </c>
      <c r="D95" s="75">
        <f t="shared" si="9"/>
        <v>6200</v>
      </c>
      <c r="F95" s="77">
        <v>1</v>
      </c>
      <c r="G95" s="20">
        <v>91</v>
      </c>
      <c r="H95" s="75">
        <f t="shared" si="6"/>
        <v>8.8698579901819183</v>
      </c>
      <c r="J95" s="77">
        <v>1</v>
      </c>
      <c r="K95" s="20">
        <f t="shared" si="8"/>
        <v>91</v>
      </c>
      <c r="L95" s="78">
        <f t="shared" si="7"/>
        <v>2.9782306811565014</v>
      </c>
    </row>
    <row r="96" spans="2:12" x14ac:dyDescent="0.2">
      <c r="B96" s="77">
        <f t="shared" si="5"/>
        <v>1000</v>
      </c>
      <c r="D96" s="75">
        <f t="shared" si="9"/>
        <v>6800</v>
      </c>
      <c r="F96" s="77">
        <v>1</v>
      </c>
      <c r="G96" s="20">
        <v>92</v>
      </c>
      <c r="H96" s="75">
        <f t="shared" si="6"/>
        <v>9.08517575651687</v>
      </c>
      <c r="J96" s="77">
        <v>1</v>
      </c>
      <c r="K96" s="20">
        <f t="shared" si="8"/>
        <v>92</v>
      </c>
      <c r="L96" s="78">
        <f t="shared" si="7"/>
        <v>3.0141625298773906</v>
      </c>
    </row>
    <row r="97" spans="2:12" x14ac:dyDescent="0.2">
      <c r="B97" s="77">
        <f t="shared" si="5"/>
        <v>1000</v>
      </c>
      <c r="D97" s="75">
        <f t="shared" si="9"/>
        <v>7500</v>
      </c>
      <c r="F97" s="77">
        <v>1</v>
      </c>
      <c r="G97" s="20">
        <v>93</v>
      </c>
      <c r="H97" s="75">
        <f t="shared" si="6"/>
        <v>9.3057204092969901</v>
      </c>
      <c r="J97" s="77">
        <v>1</v>
      </c>
      <c r="K97" s="20">
        <f t="shared" si="8"/>
        <v>93</v>
      </c>
      <c r="L97" s="78">
        <f t="shared" si="7"/>
        <v>3.0505278902670256</v>
      </c>
    </row>
    <row r="98" spans="2:12" x14ac:dyDescent="0.2">
      <c r="B98" s="77">
        <f t="shared" si="5"/>
        <v>1000</v>
      </c>
      <c r="D98" s="75">
        <f t="shared" si="9"/>
        <v>8200</v>
      </c>
      <c r="F98" s="77">
        <v>1</v>
      </c>
      <c r="G98" s="20">
        <v>94</v>
      </c>
      <c r="H98" s="75">
        <f t="shared" si="6"/>
        <v>9.5316188323478777</v>
      </c>
      <c r="J98" s="77">
        <v>1</v>
      </c>
      <c r="K98" s="20">
        <f t="shared" si="8"/>
        <v>94</v>
      </c>
      <c r="L98" s="78">
        <f t="shared" si="7"/>
        <v>3.087331992570264</v>
      </c>
    </row>
    <row r="99" spans="2:12" x14ac:dyDescent="0.2">
      <c r="B99" s="77">
        <f t="shared" si="5"/>
        <v>1000</v>
      </c>
      <c r="D99" s="75">
        <f t="shared" si="9"/>
        <v>9100</v>
      </c>
      <c r="F99" s="77">
        <v>1</v>
      </c>
      <c r="G99" s="20">
        <v>95</v>
      </c>
      <c r="H99" s="75">
        <f t="shared" si="6"/>
        <v>9.7630009896280789</v>
      </c>
      <c r="J99" s="77">
        <v>1</v>
      </c>
      <c r="K99" s="20">
        <f t="shared" si="8"/>
        <v>95</v>
      </c>
      <c r="L99" s="78">
        <f t="shared" si="7"/>
        <v>3.1245801301339799</v>
      </c>
    </row>
    <row r="100" spans="2:12" x14ac:dyDescent="0.2">
      <c r="B100" s="77">
        <f t="shared" si="5"/>
        <v>1000</v>
      </c>
      <c r="D100" s="75">
        <f t="shared" si="9"/>
        <v>10000</v>
      </c>
      <c r="F100" s="77">
        <v>1</v>
      </c>
      <c r="G100" s="20">
        <v>96</v>
      </c>
      <c r="H100" s="75">
        <f t="shared" si="6"/>
        <v>10</v>
      </c>
      <c r="J100" s="77">
        <v>1</v>
      </c>
      <c r="K100" s="20">
        <f t="shared" si="8"/>
        <v>96</v>
      </c>
      <c r="L100" s="78">
        <f t="shared" si="7"/>
        <v>3.1622776601683795</v>
      </c>
    </row>
    <row r="101" spans="2:12" x14ac:dyDescent="0.2">
      <c r="B101" s="77">
        <f t="shared" si="5"/>
        <v>10000</v>
      </c>
      <c r="D101" s="75">
        <f t="shared" si="9"/>
        <v>11000</v>
      </c>
      <c r="F101" s="77">
        <v>10</v>
      </c>
      <c r="G101" s="20">
        <v>1</v>
      </c>
      <c r="H101" s="75">
        <f t="shared" si="6"/>
        <v>10.242752213815923</v>
      </c>
      <c r="J101" s="77">
        <v>1</v>
      </c>
      <c r="K101" s="20">
        <f t="shared" si="8"/>
        <v>97</v>
      </c>
      <c r="L101" s="78">
        <f t="shared" si="7"/>
        <v>3.2004300045175067</v>
      </c>
    </row>
    <row r="102" spans="2:12" x14ac:dyDescent="0.2">
      <c r="B102" s="77">
        <f t="shared" si="5"/>
        <v>10000</v>
      </c>
      <c r="D102" s="75">
        <f t="shared" si="9"/>
        <v>12000</v>
      </c>
      <c r="F102" s="77">
        <v>10</v>
      </c>
      <c r="G102" s="20">
        <v>2</v>
      </c>
      <c r="H102" s="75">
        <f t="shared" si="6"/>
        <v>10.491397291363098</v>
      </c>
      <c r="J102" s="77">
        <v>1</v>
      </c>
      <c r="K102" s="20">
        <f t="shared" si="8"/>
        <v>98</v>
      </c>
      <c r="L102" s="78">
        <f t="shared" si="7"/>
        <v>3.2390426504390306</v>
      </c>
    </row>
    <row r="103" spans="2:12" x14ac:dyDescent="0.2">
      <c r="B103" s="77">
        <f t="shared" si="5"/>
        <v>10000</v>
      </c>
      <c r="D103" s="75">
        <f t="shared" si="9"/>
        <v>13000</v>
      </c>
      <c r="F103" s="77">
        <v>10</v>
      </c>
      <c r="G103" s="20">
        <v>3</v>
      </c>
      <c r="H103" s="75">
        <f t="shared" si="6"/>
        <v>10.746078283213174</v>
      </c>
      <c r="J103" s="77">
        <v>1</v>
      </c>
      <c r="K103" s="20">
        <f t="shared" si="8"/>
        <v>99</v>
      </c>
      <c r="L103" s="78">
        <f t="shared" si="7"/>
        <v>3.2781211513934592</v>
      </c>
    </row>
    <row r="104" spans="2:12" x14ac:dyDescent="0.2">
      <c r="B104" s="77">
        <f t="shared" si="5"/>
        <v>10000</v>
      </c>
      <c r="D104" s="75">
        <f t="shared" si="9"/>
        <v>15000</v>
      </c>
      <c r="F104" s="77">
        <v>10</v>
      </c>
      <c r="G104" s="20">
        <v>4</v>
      </c>
      <c r="H104" s="75">
        <f t="shared" si="6"/>
        <v>11.006941712522096</v>
      </c>
      <c r="J104" s="77">
        <v>1</v>
      </c>
      <c r="K104" s="20">
        <f t="shared" si="8"/>
        <v>100</v>
      </c>
      <c r="L104" s="78">
        <f t="shared" si="7"/>
        <v>3.3176711278428579</v>
      </c>
    </row>
    <row r="105" spans="2:12" x14ac:dyDescent="0.2">
      <c r="B105" s="77">
        <f t="shared" si="5"/>
        <v>10000</v>
      </c>
      <c r="D105" s="75">
        <f t="shared" si="9"/>
        <v>16000</v>
      </c>
      <c r="F105" s="77">
        <v>10</v>
      </c>
      <c r="G105" s="20">
        <v>5</v>
      </c>
      <c r="H105" s="75">
        <f t="shared" si="6"/>
        <v>11.274137659327852</v>
      </c>
      <c r="J105" s="77">
        <v>1</v>
      </c>
      <c r="K105" s="20">
        <f t="shared" si="8"/>
        <v>101</v>
      </c>
      <c r="L105" s="78">
        <f t="shared" si="7"/>
        <v>3.3576982680592149</v>
      </c>
    </row>
    <row r="106" spans="2:12" x14ac:dyDescent="0.2">
      <c r="B106" s="77">
        <f t="shared" si="5"/>
        <v>10000</v>
      </c>
      <c r="D106" s="75">
        <f t="shared" si="9"/>
        <v>18000</v>
      </c>
      <c r="F106" s="77">
        <v>10</v>
      </c>
      <c r="G106" s="20">
        <v>6</v>
      </c>
      <c r="H106" s="75">
        <f t="shared" si="6"/>
        <v>11.547819846894583</v>
      </c>
      <c r="J106" s="77">
        <v>1</v>
      </c>
      <c r="K106" s="20">
        <f t="shared" si="8"/>
        <v>102</v>
      </c>
      <c r="L106" s="78">
        <f t="shared" si="7"/>
        <v>3.3982083289425593</v>
      </c>
    </row>
    <row r="107" spans="2:12" x14ac:dyDescent="0.2">
      <c r="B107" s="77">
        <f t="shared" si="5"/>
        <v>10000</v>
      </c>
      <c r="D107" s="75">
        <f t="shared" si="9"/>
        <v>20000</v>
      </c>
      <c r="F107" s="77">
        <v>10</v>
      </c>
      <c r="G107" s="20">
        <v>7</v>
      </c>
      <c r="H107" s="75">
        <f t="shared" si="6"/>
        <v>11.828145730152693</v>
      </c>
      <c r="J107" s="77">
        <v>1</v>
      </c>
      <c r="K107" s="20">
        <f t="shared" si="8"/>
        <v>103</v>
      </c>
      <c r="L107" s="78">
        <f t="shared" si="7"/>
        <v>3.4392071368489416</v>
      </c>
    </row>
    <row r="108" spans="2:12" x14ac:dyDescent="0.2">
      <c r="B108" s="77">
        <f t="shared" si="5"/>
        <v>10000</v>
      </c>
      <c r="D108" s="75">
        <f t="shared" si="9"/>
        <v>22000</v>
      </c>
      <c r="F108" s="77">
        <v>10</v>
      </c>
      <c r="G108" s="20">
        <v>8</v>
      </c>
      <c r="H108" s="75">
        <f t="shared" si="6"/>
        <v>12.115276586285885</v>
      </c>
      <c r="J108" s="77">
        <v>1</v>
      </c>
      <c r="K108" s="20">
        <f t="shared" si="8"/>
        <v>104</v>
      </c>
      <c r="L108" s="78">
        <f t="shared" si="7"/>
        <v>3.4807005884284106</v>
      </c>
    </row>
    <row r="109" spans="2:12" x14ac:dyDescent="0.2">
      <c r="B109" s="77">
        <f t="shared" si="5"/>
        <v>10000</v>
      </c>
      <c r="D109" s="75">
        <f t="shared" si="9"/>
        <v>24000</v>
      </c>
      <c r="F109" s="77">
        <v>10</v>
      </c>
      <c r="G109" s="20">
        <v>9</v>
      </c>
      <c r="H109" s="75">
        <f t="shared" si="6"/>
        <v>12.409377607517197</v>
      </c>
      <c r="J109" s="77">
        <v>1</v>
      </c>
      <c r="K109" s="20">
        <f t="shared" si="8"/>
        <v>105</v>
      </c>
      <c r="L109" s="78">
        <f t="shared" si="7"/>
        <v>3.5226946514731017</v>
      </c>
    </row>
    <row r="110" spans="2:12" x14ac:dyDescent="0.2">
      <c r="B110" s="77">
        <f t="shared" si="5"/>
        <v>10000</v>
      </c>
      <c r="D110" s="75">
        <f t="shared" si="9"/>
        <v>27000</v>
      </c>
      <c r="F110" s="77">
        <v>10</v>
      </c>
      <c r="G110" s="20">
        <v>10</v>
      </c>
      <c r="H110" s="75">
        <f t="shared" si="6"/>
        <v>12.710617996147448</v>
      </c>
      <c r="J110" s="77">
        <v>1</v>
      </c>
      <c r="K110" s="20">
        <f t="shared" si="8"/>
        <v>106</v>
      </c>
      <c r="L110" s="78">
        <f t="shared" si="7"/>
        <v>3.5651953657755495</v>
      </c>
    </row>
    <row r="111" spans="2:12" x14ac:dyDescent="0.2">
      <c r="B111" s="77">
        <f t="shared" si="5"/>
        <v>10000</v>
      </c>
      <c r="D111" s="75">
        <f t="shared" si="9"/>
        <v>30000</v>
      </c>
      <c r="F111" s="77">
        <v>10</v>
      </c>
      <c r="G111" s="20">
        <v>11</v>
      </c>
      <c r="H111" s="75">
        <f t="shared" si="6"/>
        <v>13.019171061900778</v>
      </c>
      <c r="J111" s="77">
        <v>1</v>
      </c>
      <c r="K111" s="20">
        <f t="shared" si="8"/>
        <v>107</v>
      </c>
      <c r="L111" s="78">
        <f t="shared" si="7"/>
        <v>3.6082088439973621</v>
      </c>
    </row>
    <row r="112" spans="2:12" x14ac:dyDescent="0.2">
      <c r="B112" s="77">
        <f t="shared" si="5"/>
        <v>10000</v>
      </c>
      <c r="D112" s="75">
        <f t="shared" si="9"/>
        <v>33000</v>
      </c>
      <c r="F112" s="77">
        <v>10</v>
      </c>
      <c r="G112" s="20">
        <v>12</v>
      </c>
      <c r="H112" s="75">
        <f t="shared" si="6"/>
        <v>13.33521432163324</v>
      </c>
      <c r="J112" s="77">
        <v>1</v>
      </c>
      <c r="K112" s="20">
        <f t="shared" si="8"/>
        <v>108</v>
      </c>
      <c r="L112" s="78">
        <f t="shared" si="7"/>
        <v>3.6517412725483775</v>
      </c>
    </row>
    <row r="113" spans="2:12" x14ac:dyDescent="0.2">
      <c r="B113" s="77">
        <f t="shared" si="5"/>
        <v>10000</v>
      </c>
      <c r="D113" s="75">
        <f t="shared" si="9"/>
        <v>36000</v>
      </c>
      <c r="F113" s="77">
        <v>10</v>
      </c>
      <c r="G113" s="20">
        <v>13</v>
      </c>
      <c r="H113" s="75">
        <f t="shared" si="6"/>
        <v>13.658929601461868</v>
      </c>
      <c r="J113" s="77">
        <v>1</v>
      </c>
      <c r="K113" s="20">
        <f t="shared" si="8"/>
        <v>109</v>
      </c>
      <c r="L113" s="78">
        <f t="shared" si="7"/>
        <v>3.6957989124764179</v>
      </c>
    </row>
    <row r="114" spans="2:12" x14ac:dyDescent="0.2">
      <c r="B114" s="77">
        <f t="shared" si="5"/>
        <v>10000</v>
      </c>
      <c r="D114" s="75">
        <f t="shared" si="9"/>
        <v>39000</v>
      </c>
      <c r="F114" s="77">
        <v>10</v>
      </c>
      <c r="G114" s="20">
        <v>14</v>
      </c>
      <c r="H114" s="75">
        <f t="shared" si="6"/>
        <v>13.990503141372939</v>
      </c>
      <c r="J114" s="77">
        <v>1</v>
      </c>
      <c r="K114" s="20">
        <f t="shared" si="8"/>
        <v>110</v>
      </c>
      <c r="L114" s="78">
        <f t="shared" si="7"/>
        <v>3.7403881003677859</v>
      </c>
    </row>
    <row r="115" spans="2:12" x14ac:dyDescent="0.2">
      <c r="B115" s="77">
        <f t="shared" si="5"/>
        <v>10000</v>
      </c>
      <c r="D115" s="75">
        <f t="shared" si="9"/>
        <v>43000</v>
      </c>
      <c r="F115" s="77">
        <v>10</v>
      </c>
      <c r="G115" s="20">
        <v>15</v>
      </c>
      <c r="H115" s="75">
        <f t="shared" si="6"/>
        <v>14.33012570236963</v>
      </c>
      <c r="J115" s="77">
        <v>1</v>
      </c>
      <c r="K115" s="20">
        <f t="shared" si="8"/>
        <v>111</v>
      </c>
      <c r="L115" s="78">
        <f t="shared" si="7"/>
        <v>3.7855152492586299</v>
      </c>
    </row>
    <row r="116" spans="2:12" x14ac:dyDescent="0.2">
      <c r="B116" s="77">
        <f t="shared" si="5"/>
        <v>10000</v>
      </c>
      <c r="D116" s="75">
        <f t="shared" si="9"/>
        <v>47000</v>
      </c>
      <c r="F116" s="77">
        <v>10</v>
      </c>
      <c r="G116" s="20">
        <v>16</v>
      </c>
      <c r="H116" s="75">
        <f t="shared" si="6"/>
        <v>14.677992676220697</v>
      </c>
      <c r="J116" s="77">
        <v>1</v>
      </c>
      <c r="K116" s="20">
        <f t="shared" si="8"/>
        <v>112</v>
      </c>
      <c r="L116" s="78">
        <f t="shared" si="7"/>
        <v>3.8311868495572883</v>
      </c>
    </row>
    <row r="117" spans="2:12" x14ac:dyDescent="0.2">
      <c r="B117" s="77">
        <f t="shared" si="5"/>
        <v>10000</v>
      </c>
      <c r="D117" s="75">
        <f t="shared" si="9"/>
        <v>51000</v>
      </c>
      <c r="F117" s="77">
        <v>10</v>
      </c>
      <c r="G117" s="20">
        <v>17</v>
      </c>
      <c r="H117" s="75">
        <f t="shared" si="6"/>
        <v>15.034304197873343</v>
      </c>
      <c r="J117" s="77">
        <v>1</v>
      </c>
      <c r="K117" s="20">
        <f t="shared" si="8"/>
        <v>113</v>
      </c>
      <c r="L117" s="78">
        <f t="shared" si="7"/>
        <v>3.8774094699777768</v>
      </c>
    </row>
    <row r="118" spans="2:12" x14ac:dyDescent="0.2">
      <c r="B118" s="77">
        <f t="shared" ref="B118:B172" si="10">B94*10</f>
        <v>10000</v>
      </c>
      <c r="D118" s="75">
        <f t="shared" si="9"/>
        <v>56000</v>
      </c>
      <c r="F118" s="77">
        <v>10</v>
      </c>
      <c r="G118" s="20">
        <v>18</v>
      </c>
      <c r="H118" s="75">
        <f t="shared" si="6"/>
        <v>15.399265260594921</v>
      </c>
      <c r="J118" s="77">
        <v>1</v>
      </c>
      <c r="K118" s="20">
        <f t="shared" si="8"/>
        <v>114</v>
      </c>
      <c r="L118" s="78">
        <f t="shared" si="7"/>
        <v>3.9241897584845362</v>
      </c>
    </row>
    <row r="119" spans="2:12" x14ac:dyDescent="0.2">
      <c r="B119" s="77">
        <f t="shared" si="10"/>
        <v>10000</v>
      </c>
      <c r="D119" s="75">
        <f t="shared" si="9"/>
        <v>62000</v>
      </c>
      <c r="F119" s="77">
        <v>10</v>
      </c>
      <c r="G119" s="20">
        <v>19</v>
      </c>
      <c r="H119" s="75">
        <f t="shared" si="6"/>
        <v>15.773085833909725</v>
      </c>
      <c r="J119" s="77">
        <v>1</v>
      </c>
      <c r="K119" s="20">
        <f t="shared" si="8"/>
        <v>115</v>
      </c>
      <c r="L119" s="78">
        <f t="shared" si="7"/>
        <v>3.9715344432485704</v>
      </c>
    </row>
    <row r="120" spans="2:12" x14ac:dyDescent="0.2">
      <c r="B120" s="77">
        <f t="shared" si="10"/>
        <v>10000</v>
      </c>
      <c r="D120" s="75">
        <f t="shared" si="9"/>
        <v>68000</v>
      </c>
      <c r="F120" s="77">
        <v>10</v>
      </c>
      <c r="G120" s="20">
        <v>20</v>
      </c>
      <c r="H120" s="75">
        <f t="shared" si="6"/>
        <v>16.155980984398742</v>
      </c>
      <c r="J120" s="77">
        <v>1</v>
      </c>
      <c r="K120" s="20">
        <f t="shared" si="8"/>
        <v>116</v>
      </c>
      <c r="L120" s="78">
        <f t="shared" si="7"/>
        <v>4.0194503336151257</v>
      </c>
    </row>
    <row r="121" spans="2:12" x14ac:dyDescent="0.2">
      <c r="B121" s="77">
        <f t="shared" si="10"/>
        <v>10000</v>
      </c>
      <c r="D121" s="75">
        <f t="shared" si="9"/>
        <v>75000</v>
      </c>
      <c r="F121" s="77">
        <v>10</v>
      </c>
      <c r="G121" s="20">
        <v>21</v>
      </c>
      <c r="H121" s="75">
        <f t="shared" si="6"/>
        <v>16.548170999431814</v>
      </c>
      <c r="J121" s="77">
        <v>1</v>
      </c>
      <c r="K121" s="20">
        <f t="shared" si="8"/>
        <v>117</v>
      </c>
      <c r="L121" s="78">
        <f t="shared" si="7"/>
        <v>4.0679443210830479</v>
      </c>
    </row>
    <row r="122" spans="2:12" x14ac:dyDescent="0.2">
      <c r="B122" s="77">
        <f t="shared" si="10"/>
        <v>10000</v>
      </c>
      <c r="D122" s="75">
        <f t="shared" si="9"/>
        <v>82000</v>
      </c>
      <c r="F122" s="77">
        <v>10</v>
      </c>
      <c r="G122" s="20">
        <v>22</v>
      </c>
      <c r="H122" s="75">
        <f t="shared" si="6"/>
        <v>16.949881513903467</v>
      </c>
      <c r="J122" s="77">
        <v>1</v>
      </c>
      <c r="K122" s="20">
        <f t="shared" si="8"/>
        <v>118</v>
      </c>
      <c r="L122" s="78">
        <f t="shared" si="7"/>
        <v>4.1170233802959482</v>
      </c>
    </row>
    <row r="123" spans="2:12" x14ac:dyDescent="0.2">
      <c r="B123" s="77">
        <f t="shared" si="10"/>
        <v>10000</v>
      </c>
      <c r="D123" s="75">
        <f t="shared" si="9"/>
        <v>91000</v>
      </c>
      <c r="F123" s="77">
        <v>10</v>
      </c>
      <c r="G123" s="20">
        <v>23</v>
      </c>
      <c r="H123" s="75">
        <f t="shared" si="6"/>
        <v>17.361343640045234</v>
      </c>
      <c r="J123" s="77">
        <v>1</v>
      </c>
      <c r="K123" s="20">
        <f t="shared" si="8"/>
        <v>119</v>
      </c>
      <c r="L123" s="78">
        <f t="shared" si="7"/>
        <v>4.1666945700453297</v>
      </c>
    </row>
    <row r="124" spans="2:12" x14ac:dyDescent="0.2">
      <c r="B124" s="77">
        <f t="shared" si="10"/>
        <v>10000</v>
      </c>
      <c r="D124" s="75">
        <f t="shared" si="9"/>
        <v>100000</v>
      </c>
      <c r="F124" s="77">
        <v>10</v>
      </c>
      <c r="G124" s="20">
        <v>24</v>
      </c>
      <c r="H124" s="75">
        <f t="shared" si="6"/>
        <v>17.782794100389228</v>
      </c>
      <c r="J124" s="77">
        <v>1</v>
      </c>
      <c r="K124" s="20">
        <f t="shared" si="8"/>
        <v>120</v>
      </c>
      <c r="L124" s="78">
        <f t="shared" si="7"/>
        <v>4.2169650342858231</v>
      </c>
    </row>
    <row r="125" spans="2:12" x14ac:dyDescent="0.2">
      <c r="B125" s="77">
        <f t="shared" si="10"/>
        <v>100000</v>
      </c>
      <c r="D125" s="75">
        <f t="shared" si="9"/>
        <v>110000</v>
      </c>
      <c r="F125" s="77">
        <v>10</v>
      </c>
      <c r="G125" s="20">
        <v>25</v>
      </c>
      <c r="H125" s="75">
        <f t="shared" si="6"/>
        <v>18.214475363959451</v>
      </c>
      <c r="J125" s="77">
        <v>1</v>
      </c>
      <c r="K125" s="20">
        <f t="shared" si="8"/>
        <v>121</v>
      </c>
      <c r="L125" s="78">
        <f t="shared" si="7"/>
        <v>4.2678420031626585</v>
      </c>
    </row>
    <row r="126" spans="2:12" x14ac:dyDescent="0.2">
      <c r="B126" s="77">
        <f t="shared" si="10"/>
        <v>100000</v>
      </c>
      <c r="D126" s="75">
        <f t="shared" si="9"/>
        <v>120000</v>
      </c>
      <c r="F126" s="77">
        <v>10</v>
      </c>
      <c r="G126" s="20">
        <v>26</v>
      </c>
      <c r="H126" s="75">
        <f t="shared" si="6"/>
        <v>18.656635785769122</v>
      </c>
      <c r="J126" s="77">
        <v>1</v>
      </c>
      <c r="K126" s="20">
        <f t="shared" si="8"/>
        <v>122</v>
      </c>
      <c r="L126" s="78">
        <f t="shared" si="7"/>
        <v>4.3193327940515447</v>
      </c>
    </row>
    <row r="127" spans="2:12" x14ac:dyDescent="0.2">
      <c r="B127" s="77">
        <f t="shared" si="10"/>
        <v>100000</v>
      </c>
      <c r="D127" s="75">
        <f t="shared" si="9"/>
        <v>130000</v>
      </c>
      <c r="F127" s="77">
        <v>10</v>
      </c>
      <c r="G127" s="20">
        <v>27</v>
      </c>
      <c r="H127" s="75">
        <f t="shared" si="6"/>
        <v>19.109529749704407</v>
      </c>
      <c r="J127" s="77">
        <v>1</v>
      </c>
      <c r="K127" s="20">
        <f t="shared" si="8"/>
        <v>123</v>
      </c>
      <c r="L127" s="78">
        <f t="shared" si="7"/>
        <v>4.3714448126110899</v>
      </c>
    </row>
    <row r="128" spans="2:12" x14ac:dyDescent="0.2">
      <c r="B128" s="77">
        <f t="shared" si="10"/>
        <v>100000</v>
      </c>
      <c r="D128" s="75">
        <f t="shared" si="9"/>
        <v>150000</v>
      </c>
      <c r="F128" s="77">
        <v>10</v>
      </c>
      <c r="G128" s="20">
        <v>28</v>
      </c>
      <c r="H128" s="75">
        <f t="shared" si="6"/>
        <v>19.573417814876603</v>
      </c>
      <c r="J128" s="77">
        <v>1</v>
      </c>
      <c r="K128" s="20">
        <f t="shared" si="8"/>
        <v>124</v>
      </c>
      <c r="L128" s="78">
        <f t="shared" si="7"/>
        <v>4.4241855538479182</v>
      </c>
    </row>
    <row r="129" spans="2:12" x14ac:dyDescent="0.2">
      <c r="B129" s="77">
        <f t="shared" si="10"/>
        <v>100000</v>
      </c>
      <c r="D129" s="75">
        <f t="shared" si="9"/>
        <v>160000</v>
      </c>
      <c r="F129" s="77">
        <v>10</v>
      </c>
      <c r="G129" s="20">
        <v>29</v>
      </c>
      <c r="H129" s="75">
        <f t="shared" si="6"/>
        <v>20.048566865527135</v>
      </c>
      <c r="J129" s="77">
        <v>1</v>
      </c>
      <c r="K129" s="20">
        <f t="shared" si="8"/>
        <v>125</v>
      </c>
      <c r="L129" s="78">
        <f t="shared" si="7"/>
        <v>4.4775626031946372</v>
      </c>
    </row>
    <row r="130" spans="2:12" x14ac:dyDescent="0.2">
      <c r="B130" s="77">
        <f t="shared" si="10"/>
        <v>100000</v>
      </c>
      <c r="D130" s="75">
        <f t="shared" si="9"/>
        <v>180000</v>
      </c>
      <c r="F130" s="77">
        <v>10</v>
      </c>
      <c r="G130" s="20">
        <v>30</v>
      </c>
      <c r="H130" s="75">
        <f t="shared" si="6"/>
        <v>20.535250264571463</v>
      </c>
      <c r="J130" s="77">
        <v>1</v>
      </c>
      <c r="K130" s="20">
        <f t="shared" si="8"/>
        <v>126</v>
      </c>
      <c r="L130" s="78">
        <f t="shared" si="7"/>
        <v>4.5315836376008187</v>
      </c>
    </row>
    <row r="131" spans="2:12" x14ac:dyDescent="0.2">
      <c r="B131" s="77">
        <f t="shared" si="10"/>
        <v>100000</v>
      </c>
      <c r="D131" s="75">
        <f t="shared" si="9"/>
        <v>200000</v>
      </c>
      <c r="F131" s="77">
        <v>10</v>
      </c>
      <c r="G131" s="20">
        <v>31</v>
      </c>
      <c r="H131" s="75">
        <f t="shared" si="6"/>
        <v>21.033748010870337</v>
      </c>
      <c r="J131" s="77">
        <v>1</v>
      </c>
      <c r="K131" s="20">
        <f t="shared" si="8"/>
        <v>127</v>
      </c>
      <c r="L131" s="78">
        <f t="shared" si="7"/>
        <v>4.5862564266371262</v>
      </c>
    </row>
    <row r="132" spans="2:12" x14ac:dyDescent="0.2">
      <c r="B132" s="77">
        <f t="shared" si="10"/>
        <v>100000</v>
      </c>
      <c r="D132" s="75">
        <f t="shared" si="9"/>
        <v>220000</v>
      </c>
      <c r="F132" s="77">
        <v>10</v>
      </c>
      <c r="G132" s="20">
        <v>32</v>
      </c>
      <c r="H132" s="75">
        <f t="shared" ref="H132:H195" si="11">F132*10^(G132/96)</f>
        <v>21.544346900318839</v>
      </c>
      <c r="J132" s="77">
        <v>1</v>
      </c>
      <c r="K132" s="20">
        <f t="shared" si="8"/>
        <v>128</v>
      </c>
      <c r="L132" s="78">
        <f t="shared" si="7"/>
        <v>4.6415888336127793</v>
      </c>
    </row>
    <row r="133" spans="2:12" x14ac:dyDescent="0.2">
      <c r="B133" s="77">
        <f t="shared" si="10"/>
        <v>100000</v>
      </c>
      <c r="D133" s="75">
        <f t="shared" si="9"/>
        <v>240000</v>
      </c>
      <c r="F133" s="77">
        <v>10</v>
      </c>
      <c r="G133" s="20">
        <v>33</v>
      </c>
      <c r="H133" s="75">
        <f t="shared" si="11"/>
        <v>22.067340690845899</v>
      </c>
      <c r="J133" s="77">
        <v>1</v>
      </c>
      <c r="K133" s="20">
        <f t="shared" si="8"/>
        <v>129</v>
      </c>
      <c r="L133" s="78">
        <f t="shared" ref="L133:L196" si="12">J133*10^(K133/192)</f>
        <v>4.6975888167064932</v>
      </c>
    </row>
    <row r="134" spans="2:12" x14ac:dyDescent="0.2">
      <c r="B134" s="77">
        <f t="shared" si="10"/>
        <v>100000</v>
      </c>
      <c r="D134" s="75">
        <f t="shared" si="9"/>
        <v>270000</v>
      </c>
      <c r="F134" s="77">
        <v>10</v>
      </c>
      <c r="G134" s="20">
        <v>34</v>
      </c>
      <c r="H134" s="75">
        <f t="shared" si="11"/>
        <v>22.6030302714192</v>
      </c>
      <c r="J134" s="77">
        <v>1</v>
      </c>
      <c r="K134" s="20">
        <f t="shared" ref="K134:K179" si="13">K133+1</f>
        <v>130</v>
      </c>
      <c r="L134" s="78">
        <f t="shared" si="12"/>
        <v>4.754264430111057</v>
      </c>
    </row>
    <row r="135" spans="2:12" x14ac:dyDescent="0.2">
      <c r="B135" s="77">
        <f t="shared" si="10"/>
        <v>100000</v>
      </c>
      <c r="D135" s="75">
        <f t="shared" si="9"/>
        <v>300000</v>
      </c>
      <c r="F135" s="77">
        <v>10</v>
      </c>
      <c r="G135" s="20">
        <v>35</v>
      </c>
      <c r="H135" s="75">
        <f t="shared" si="11"/>
        <v>23.151723835152733</v>
      </c>
      <c r="J135" s="77">
        <v>1</v>
      </c>
      <c r="K135" s="20">
        <f t="shared" si="13"/>
        <v>131</v>
      </c>
      <c r="L135" s="78">
        <f t="shared" si="12"/>
        <v>4.8116238251917336</v>
      </c>
    </row>
    <row r="136" spans="2:12" x14ac:dyDescent="0.2">
      <c r="B136" s="77">
        <f t="shared" si="10"/>
        <v>100000</v>
      </c>
      <c r="D136" s="75">
        <f t="shared" si="9"/>
        <v>330000</v>
      </c>
      <c r="F136" s="77">
        <v>10</v>
      </c>
      <c r="G136" s="20">
        <v>36</v>
      </c>
      <c r="H136" s="75">
        <f t="shared" si="11"/>
        <v>23.713737056616555</v>
      </c>
      <c r="J136" s="77">
        <v>1</v>
      </c>
      <c r="K136" s="20">
        <f t="shared" si="13"/>
        <v>132</v>
      </c>
      <c r="L136" s="78">
        <f t="shared" si="12"/>
        <v>4.8696752516586317</v>
      </c>
    </row>
    <row r="137" spans="2:12" x14ac:dyDescent="0.2">
      <c r="B137" s="77">
        <f t="shared" si="10"/>
        <v>100000</v>
      </c>
      <c r="D137" s="75">
        <f t="shared" si="9"/>
        <v>360000</v>
      </c>
      <c r="F137" s="77">
        <v>10</v>
      </c>
      <c r="G137" s="20">
        <v>37</v>
      </c>
      <c r="H137" s="75">
        <f t="shared" si="11"/>
        <v>24.289393273450791</v>
      </c>
      <c r="J137" s="77">
        <v>1</v>
      </c>
      <c r="K137" s="20">
        <f t="shared" si="13"/>
        <v>133</v>
      </c>
      <c r="L137" s="78">
        <f t="shared" si="12"/>
        <v>4.9284270587532077</v>
      </c>
    </row>
    <row r="138" spans="2:12" x14ac:dyDescent="0.2">
      <c r="B138" s="77">
        <f t="shared" si="10"/>
        <v>100000</v>
      </c>
      <c r="D138" s="75">
        <f t="shared" si="9"/>
        <v>390000</v>
      </c>
      <c r="F138" s="77">
        <v>10</v>
      </c>
      <c r="G138" s="20">
        <v>38</v>
      </c>
      <c r="H138" s="75">
        <f t="shared" si="11"/>
        <v>24.879023672388364</v>
      </c>
      <c r="J138" s="77">
        <v>1</v>
      </c>
      <c r="K138" s="20">
        <f t="shared" si="13"/>
        <v>134</v>
      </c>
      <c r="L138" s="78">
        <f t="shared" si="12"/>
        <v>4.9878876964491061</v>
      </c>
    </row>
    <row r="139" spans="2:12" x14ac:dyDescent="0.2">
      <c r="B139" s="77">
        <f t="shared" si="10"/>
        <v>100000</v>
      </c>
      <c r="D139" s="75">
        <f t="shared" si="9"/>
        <v>430000</v>
      </c>
      <c r="F139" s="77">
        <v>10</v>
      </c>
      <c r="G139" s="20">
        <v>39</v>
      </c>
      <c r="H139" s="75">
        <f t="shared" si="11"/>
        <v>25.482967479793469</v>
      </c>
      <c r="J139" s="77">
        <v>1</v>
      </c>
      <c r="K139" s="20">
        <f t="shared" si="13"/>
        <v>135</v>
      </c>
      <c r="L139" s="78">
        <f t="shared" si="12"/>
        <v>5.0480657166674714</v>
      </c>
    </row>
    <row r="140" spans="2:12" x14ac:dyDescent="0.2">
      <c r="B140" s="77">
        <f t="shared" si="10"/>
        <v>100000</v>
      </c>
      <c r="D140" s="75">
        <f t="shared" si="9"/>
        <v>470000</v>
      </c>
      <c r="F140" s="77">
        <v>10</v>
      </c>
      <c r="G140" s="20">
        <v>40</v>
      </c>
      <c r="H140" s="75">
        <f t="shared" si="11"/>
        <v>26.101572156825373</v>
      </c>
      <c r="J140" s="77">
        <v>1</v>
      </c>
      <c r="K140" s="20">
        <f t="shared" si="13"/>
        <v>136</v>
      </c>
      <c r="L140" s="78">
        <f t="shared" si="12"/>
        <v>5.1089697745069289</v>
      </c>
    </row>
    <row r="141" spans="2:12" x14ac:dyDescent="0.2">
      <c r="B141" s="77">
        <f t="shared" si="10"/>
        <v>100000</v>
      </c>
      <c r="D141" s="75">
        <f t="shared" si="9"/>
        <v>510000</v>
      </c>
      <c r="F141" s="77">
        <v>10</v>
      </c>
      <c r="G141" s="20">
        <v>41</v>
      </c>
      <c r="H141" s="75">
        <f t="shared" si="11"/>
        <v>26.735193599339908</v>
      </c>
      <c r="J141" s="77">
        <v>1</v>
      </c>
      <c r="K141" s="20">
        <f t="shared" si="13"/>
        <v>137</v>
      </c>
      <c r="L141" s="78">
        <f t="shared" si="12"/>
        <v>5.1706086294884006</v>
      </c>
    </row>
    <row r="142" spans="2:12" x14ac:dyDescent="0.2">
      <c r="B142" s="77">
        <f t="shared" si="10"/>
        <v>100000</v>
      </c>
      <c r="D142" s="75">
        <f t="shared" si="9"/>
        <v>560000</v>
      </c>
      <c r="F142" s="77">
        <v>10</v>
      </c>
      <c r="G142" s="20">
        <v>42</v>
      </c>
      <c r="H142" s="75">
        <f t="shared" si="11"/>
        <v>27.384196342643612</v>
      </c>
      <c r="J142" s="77">
        <v>1</v>
      </c>
      <c r="K142" s="20">
        <f t="shared" si="13"/>
        <v>138</v>
      </c>
      <c r="L142" s="78">
        <f t="shared" si="12"/>
        <v>5.2329911468149479</v>
      </c>
    </row>
    <row r="143" spans="2:12" x14ac:dyDescent="0.2">
      <c r="B143" s="77">
        <f t="shared" si="10"/>
        <v>100000</v>
      </c>
      <c r="D143" s="75">
        <f t="shared" si="9"/>
        <v>620000</v>
      </c>
      <c r="F143" s="77">
        <v>10</v>
      </c>
      <c r="G143" s="20">
        <v>43</v>
      </c>
      <c r="H143" s="75">
        <f t="shared" si="11"/>
        <v>28.048953771218279</v>
      </c>
      <c r="J143" s="77">
        <v>1</v>
      </c>
      <c r="K143" s="20">
        <f t="shared" si="13"/>
        <v>139</v>
      </c>
      <c r="L143" s="78">
        <f t="shared" si="12"/>
        <v>5.2961262986468043</v>
      </c>
    </row>
    <row r="144" spans="2:12" x14ac:dyDescent="0.2">
      <c r="B144" s="77">
        <f t="shared" si="10"/>
        <v>100000</v>
      </c>
      <c r="D144" s="75">
        <f t="shared" si="9"/>
        <v>680000</v>
      </c>
      <c r="F144" s="77">
        <v>10</v>
      </c>
      <c r="G144" s="20">
        <v>44</v>
      </c>
      <c r="H144" s="75">
        <f t="shared" si="11"/>
        <v>28.729848333536644</v>
      </c>
      <c r="J144" s="77">
        <v>1</v>
      </c>
      <c r="K144" s="20">
        <f t="shared" si="13"/>
        <v>140</v>
      </c>
      <c r="L144" s="78">
        <f t="shared" si="12"/>
        <v>5.3600231653917918</v>
      </c>
    </row>
    <row r="145" spans="2:12" x14ac:dyDescent="0.2">
      <c r="B145" s="77">
        <f t="shared" si="10"/>
        <v>100000</v>
      </c>
      <c r="D145" s="75">
        <f t="shared" si="9"/>
        <v>750000</v>
      </c>
      <c r="F145" s="77">
        <v>10</v>
      </c>
      <c r="G145" s="20">
        <v>45</v>
      </c>
      <c r="H145" s="75">
        <f t="shared" si="11"/>
        <v>29.427271762092822</v>
      </c>
      <c r="J145" s="77">
        <v>1</v>
      </c>
      <c r="K145" s="20">
        <f t="shared" si="13"/>
        <v>141</v>
      </c>
      <c r="L145" s="78">
        <f t="shared" si="12"/>
        <v>5.4246909370113263</v>
      </c>
    </row>
    <row r="146" spans="2:12" x14ac:dyDescent="0.2">
      <c r="B146" s="77">
        <f t="shared" si="10"/>
        <v>100000</v>
      </c>
      <c r="D146" s="75">
        <f t="shared" si="9"/>
        <v>820000</v>
      </c>
      <c r="F146" s="77">
        <v>10</v>
      </c>
      <c r="G146" s="20">
        <v>46</v>
      </c>
      <c r="H146" s="75">
        <f t="shared" si="11"/>
        <v>30.141625298773906</v>
      </c>
      <c r="J146" s="77">
        <v>1</v>
      </c>
      <c r="K146" s="20">
        <f t="shared" si="13"/>
        <v>142</v>
      </c>
      <c r="L146" s="78">
        <f t="shared" si="12"/>
        <v>5.4901389143421415</v>
      </c>
    </row>
    <row r="147" spans="2:12" x14ac:dyDescent="0.2">
      <c r="B147" s="77">
        <f t="shared" si="10"/>
        <v>100000</v>
      </c>
      <c r="D147" s="75">
        <f t="shared" si="9"/>
        <v>910000</v>
      </c>
      <c r="F147" s="77">
        <v>10</v>
      </c>
      <c r="G147" s="20">
        <v>47</v>
      </c>
      <c r="H147" s="75">
        <f t="shared" si="11"/>
        <v>30.873319925702638</v>
      </c>
      <c r="J147" s="77">
        <v>1</v>
      </c>
      <c r="K147" s="20">
        <f t="shared" si="13"/>
        <v>143</v>
      </c>
      <c r="L147" s="78">
        <f t="shared" si="12"/>
        <v>5.5563765104339931</v>
      </c>
    </row>
    <row r="148" spans="2:12" x14ac:dyDescent="0.2">
      <c r="B148" s="77">
        <f t="shared" si="10"/>
        <v>100000</v>
      </c>
      <c r="D148" s="75">
        <f t="shared" si="9"/>
        <v>1000000</v>
      </c>
      <c r="F148" s="77">
        <v>10</v>
      </c>
      <c r="G148" s="20">
        <v>48</v>
      </c>
      <c r="H148" s="75">
        <f t="shared" si="11"/>
        <v>31.622776601683796</v>
      </c>
      <c r="J148" s="77">
        <v>1</v>
      </c>
      <c r="K148" s="20">
        <f t="shared" si="13"/>
        <v>144</v>
      </c>
      <c r="L148" s="78">
        <f t="shared" si="12"/>
        <v>5.6234132519034921</v>
      </c>
    </row>
    <row r="149" spans="2:12" x14ac:dyDescent="0.2">
      <c r="B149" s="77">
        <f t="shared" si="10"/>
        <v>1000000</v>
      </c>
      <c r="D149" s="75">
        <f t="shared" si="9"/>
        <v>1100000</v>
      </c>
      <c r="F149" s="77">
        <v>10</v>
      </c>
      <c r="G149" s="20">
        <v>49</v>
      </c>
      <c r="H149" s="75">
        <f t="shared" si="11"/>
        <v>32.390426504390305</v>
      </c>
      <c r="J149" s="77">
        <v>1</v>
      </c>
      <c r="K149" s="20">
        <f t="shared" si="13"/>
        <v>145</v>
      </c>
      <c r="L149" s="78">
        <f t="shared" si="12"/>
        <v>5.6912587803042589</v>
      </c>
    </row>
    <row r="150" spans="2:12" x14ac:dyDescent="0.2">
      <c r="B150" s="77">
        <f t="shared" si="10"/>
        <v>1000000</v>
      </c>
      <c r="D150" s="75">
        <f t="shared" si="9"/>
        <v>1200000</v>
      </c>
      <c r="F150" s="77">
        <v>10</v>
      </c>
      <c r="G150" s="20">
        <v>50</v>
      </c>
      <c r="H150" s="75">
        <f t="shared" si="11"/>
        <v>33.176711278428577</v>
      </c>
      <c r="J150" s="77">
        <v>1</v>
      </c>
      <c r="K150" s="20">
        <f t="shared" si="13"/>
        <v>146</v>
      </c>
      <c r="L150" s="78">
        <f t="shared" si="12"/>
        <v>5.7599228535136282</v>
      </c>
    </row>
    <row r="151" spans="2:12" x14ac:dyDescent="0.2">
      <c r="B151" s="77">
        <f t="shared" si="10"/>
        <v>1000000</v>
      </c>
      <c r="D151" s="75">
        <f t="shared" si="9"/>
        <v>1300000</v>
      </c>
      <c r="F151" s="77">
        <v>10</v>
      </c>
      <c r="G151" s="20">
        <v>51</v>
      </c>
      <c r="H151" s="75">
        <f t="shared" si="11"/>
        <v>33.982083289425596</v>
      </c>
      <c r="J151" s="77">
        <v>1</v>
      </c>
      <c r="K151" s="20">
        <f t="shared" si="13"/>
        <v>147</v>
      </c>
      <c r="L151" s="78">
        <f t="shared" si="12"/>
        <v>5.8294153471360755</v>
      </c>
    </row>
    <row r="152" spans="2:12" x14ac:dyDescent="0.2">
      <c r="B152" s="77">
        <f t="shared" si="10"/>
        <v>1000000</v>
      </c>
      <c r="D152" s="75">
        <f t="shared" si="9"/>
        <v>1500000</v>
      </c>
      <c r="F152" s="77">
        <v>10</v>
      </c>
      <c r="G152" s="20">
        <v>52</v>
      </c>
      <c r="H152" s="75">
        <f t="shared" si="11"/>
        <v>34.807005884284109</v>
      </c>
      <c r="J152" s="77">
        <v>1</v>
      </c>
      <c r="K152" s="20">
        <f t="shared" si="13"/>
        <v>148</v>
      </c>
      <c r="L152" s="78">
        <f t="shared" si="12"/>
        <v>5.8997462559235654</v>
      </c>
    </row>
    <row r="153" spans="2:12" x14ac:dyDescent="0.2">
      <c r="B153" s="77">
        <f t="shared" si="10"/>
        <v>1000000</v>
      </c>
      <c r="D153" s="75">
        <f t="shared" si="9"/>
        <v>1600000</v>
      </c>
      <c r="F153" s="77">
        <v>10</v>
      </c>
      <c r="G153" s="20">
        <v>53</v>
      </c>
      <c r="H153" s="75">
        <f t="shared" si="11"/>
        <v>35.651953657755499</v>
      </c>
      <c r="J153" s="77">
        <v>1</v>
      </c>
      <c r="K153" s="20">
        <f t="shared" si="13"/>
        <v>149</v>
      </c>
      <c r="L153" s="78">
        <f t="shared" si="12"/>
        <v>5.9709256952130536</v>
      </c>
    </row>
    <row r="154" spans="2:12" x14ac:dyDescent="0.2">
      <c r="B154" s="77">
        <f t="shared" si="10"/>
        <v>1000000</v>
      </c>
      <c r="D154" s="75">
        <f t="shared" si="9"/>
        <v>1800000</v>
      </c>
      <c r="F154" s="77">
        <v>10</v>
      </c>
      <c r="G154" s="20">
        <v>54</v>
      </c>
      <c r="H154" s="75">
        <f t="shared" si="11"/>
        <v>36.517412725483773</v>
      </c>
      <c r="J154" s="77">
        <v>1</v>
      </c>
      <c r="K154" s="20">
        <f t="shared" si="13"/>
        <v>150</v>
      </c>
      <c r="L154" s="78">
        <f t="shared" si="12"/>
        <v>6.0429639023813291</v>
      </c>
    </row>
    <row r="155" spans="2:12" x14ac:dyDescent="0.2">
      <c r="B155" s="77">
        <f t="shared" si="10"/>
        <v>1000000</v>
      </c>
      <c r="D155" s="75">
        <f t="shared" si="9"/>
        <v>2000000</v>
      </c>
      <c r="F155" s="77">
        <v>10</v>
      </c>
      <c r="G155" s="20">
        <v>55</v>
      </c>
      <c r="H155" s="75">
        <f t="shared" si="11"/>
        <v>37.40388100367786</v>
      </c>
      <c r="J155" s="77">
        <v>1</v>
      </c>
      <c r="K155" s="20">
        <f t="shared" si="13"/>
        <v>151</v>
      </c>
      <c r="L155" s="78">
        <f t="shared" si="12"/>
        <v>6.1158712383173892</v>
      </c>
    </row>
    <row r="156" spans="2:12" x14ac:dyDescent="0.2">
      <c r="B156" s="77">
        <f t="shared" si="10"/>
        <v>1000000</v>
      </c>
      <c r="D156" s="75">
        <f t="shared" si="9"/>
        <v>2200000</v>
      </c>
      <c r="F156" s="77">
        <v>10</v>
      </c>
      <c r="G156" s="20">
        <v>56</v>
      </c>
      <c r="H156" s="75">
        <f t="shared" si="11"/>
        <v>38.311868495572881</v>
      </c>
      <c r="J156" s="77">
        <v>1</v>
      </c>
      <c r="K156" s="20">
        <f t="shared" si="13"/>
        <v>152</v>
      </c>
      <c r="L156" s="78">
        <f t="shared" si="12"/>
        <v>6.1896581889126061</v>
      </c>
    </row>
    <row r="157" spans="2:12" x14ac:dyDescent="0.2">
      <c r="B157" s="77">
        <f t="shared" si="10"/>
        <v>1000000</v>
      </c>
      <c r="D157" s="75">
        <f t="shared" si="9"/>
        <v>2400000</v>
      </c>
      <c r="F157" s="77">
        <v>10</v>
      </c>
      <c r="G157" s="20">
        <v>57</v>
      </c>
      <c r="H157" s="75">
        <f t="shared" si="11"/>
        <v>39.241897584845361</v>
      </c>
      <c r="J157" s="77">
        <v>1</v>
      </c>
      <c r="K157" s="20">
        <f t="shared" si="13"/>
        <v>153</v>
      </c>
      <c r="L157" s="78">
        <f t="shared" si="12"/>
        <v>6.264335366568857</v>
      </c>
    </row>
    <row r="158" spans="2:12" x14ac:dyDescent="0.2">
      <c r="B158" s="77">
        <f t="shared" si="10"/>
        <v>1000000</v>
      </c>
      <c r="D158" s="75">
        <f t="shared" ref="D158:D172" si="14">D134*10</f>
        <v>2700000</v>
      </c>
      <c r="F158" s="77">
        <v>10</v>
      </c>
      <c r="G158" s="20">
        <v>58</v>
      </c>
      <c r="H158" s="75">
        <f t="shared" si="11"/>
        <v>40.194503336151257</v>
      </c>
      <c r="J158" s="77">
        <v>1</v>
      </c>
      <c r="K158" s="20">
        <f t="shared" si="13"/>
        <v>154</v>
      </c>
      <c r="L158" s="78">
        <f t="shared" si="12"/>
        <v>6.3399135117248457</v>
      </c>
    </row>
    <row r="159" spans="2:12" x14ac:dyDescent="0.2">
      <c r="B159" s="77">
        <f t="shared" si="10"/>
        <v>1000000</v>
      </c>
      <c r="D159" s="75">
        <f t="shared" si="14"/>
        <v>3000000</v>
      </c>
      <c r="F159" s="77">
        <v>10</v>
      </c>
      <c r="G159" s="20">
        <v>59</v>
      </c>
      <c r="H159" s="75">
        <f t="shared" si="11"/>
        <v>41.17023380295948</v>
      </c>
      <c r="J159" s="77">
        <v>1</v>
      </c>
      <c r="K159" s="20">
        <f t="shared" si="13"/>
        <v>155</v>
      </c>
      <c r="L159" s="78">
        <f t="shared" si="12"/>
        <v>6.4164034944008534</v>
      </c>
    </row>
    <row r="160" spans="2:12" x14ac:dyDescent="0.2">
      <c r="B160" s="77">
        <f t="shared" si="10"/>
        <v>1000000</v>
      </c>
      <c r="D160" s="75">
        <f t="shared" si="14"/>
        <v>3300000</v>
      </c>
      <c r="F160" s="77">
        <v>10</v>
      </c>
      <c r="G160" s="20">
        <v>60</v>
      </c>
      <c r="H160" s="75">
        <f t="shared" si="11"/>
        <v>42.169650342858233</v>
      </c>
      <c r="J160" s="77">
        <v>1</v>
      </c>
      <c r="K160" s="20">
        <f t="shared" si="13"/>
        <v>156</v>
      </c>
      <c r="L160" s="78">
        <f t="shared" si="12"/>
        <v>6.4938163157621149</v>
      </c>
    </row>
    <row r="161" spans="2:12" x14ac:dyDescent="0.2">
      <c r="B161" s="77">
        <f t="shared" si="10"/>
        <v>1000000</v>
      </c>
      <c r="D161" s="75">
        <f t="shared" si="14"/>
        <v>3600000</v>
      </c>
      <c r="F161" s="77">
        <v>10</v>
      </c>
      <c r="G161" s="20">
        <v>61</v>
      </c>
      <c r="H161" s="75">
        <f t="shared" si="11"/>
        <v>43.193327940515445</v>
      </c>
      <c r="J161" s="77">
        <v>1</v>
      </c>
      <c r="K161" s="20">
        <f t="shared" si="13"/>
        <v>157</v>
      </c>
      <c r="L161" s="78">
        <f t="shared" si="12"/>
        <v>6.5721631097010578</v>
      </c>
    </row>
    <row r="162" spans="2:12" x14ac:dyDescent="0.2">
      <c r="B162" s="77">
        <f t="shared" si="10"/>
        <v>1000000</v>
      </c>
      <c r="D162" s="75">
        <f t="shared" si="14"/>
        <v>3900000</v>
      </c>
      <c r="F162" s="77">
        <v>10</v>
      </c>
      <c r="G162" s="20">
        <v>62</v>
      </c>
      <c r="H162" s="75">
        <f t="shared" si="11"/>
        <v>44.241855538479186</v>
      </c>
      <c r="J162" s="77">
        <v>1</v>
      </c>
      <c r="K162" s="20">
        <f t="shared" si="13"/>
        <v>158</v>
      </c>
      <c r="L162" s="78">
        <f t="shared" si="12"/>
        <v>6.6514551444386338</v>
      </c>
    </row>
    <row r="163" spans="2:12" x14ac:dyDescent="0.2">
      <c r="B163" s="77">
        <f t="shared" si="10"/>
        <v>1000000</v>
      </c>
      <c r="D163" s="75">
        <f t="shared" si="14"/>
        <v>4300000</v>
      </c>
      <c r="F163" s="77">
        <v>10</v>
      </c>
      <c r="G163" s="20">
        <v>63</v>
      </c>
      <c r="H163" s="75">
        <f t="shared" si="11"/>
        <v>45.315836376008185</v>
      </c>
      <c r="J163" s="77">
        <v>1</v>
      </c>
      <c r="K163" s="20">
        <f t="shared" si="13"/>
        <v>159</v>
      </c>
      <c r="L163" s="78">
        <f t="shared" si="12"/>
        <v>6.7317038241449829</v>
      </c>
    </row>
    <row r="164" spans="2:12" x14ac:dyDescent="0.2">
      <c r="B164" s="77">
        <f t="shared" si="10"/>
        <v>1000000</v>
      </c>
      <c r="D164" s="75">
        <f t="shared" si="14"/>
        <v>4700000</v>
      </c>
      <c r="F164" s="77">
        <v>10</v>
      </c>
      <c r="G164" s="20">
        <v>64</v>
      </c>
      <c r="H164" s="75">
        <f t="shared" si="11"/>
        <v>46.415888336127793</v>
      </c>
      <c r="J164" s="77">
        <v>1</v>
      </c>
      <c r="K164" s="20">
        <f t="shared" si="13"/>
        <v>160</v>
      </c>
      <c r="L164" s="78">
        <f t="shared" si="12"/>
        <v>6.812920690579614</v>
      </c>
    </row>
    <row r="165" spans="2:12" x14ac:dyDescent="0.2">
      <c r="B165" s="77">
        <f t="shared" si="10"/>
        <v>1000000</v>
      </c>
      <c r="D165" s="75">
        <f t="shared" si="14"/>
        <v>5100000</v>
      </c>
      <c r="F165" s="77">
        <v>10</v>
      </c>
      <c r="G165" s="20">
        <v>65</v>
      </c>
      <c r="H165" s="75">
        <f t="shared" si="11"/>
        <v>47.54264430111057</v>
      </c>
      <c r="J165" s="77">
        <v>1</v>
      </c>
      <c r="K165" s="20">
        <f t="shared" si="13"/>
        <v>161</v>
      </c>
      <c r="L165" s="78">
        <f t="shared" si="12"/>
        <v>6.8951174247514135</v>
      </c>
    </row>
    <row r="166" spans="2:12" x14ac:dyDescent="0.2">
      <c r="B166" s="77">
        <f t="shared" si="10"/>
        <v>1000000</v>
      </c>
      <c r="D166" s="75">
        <f t="shared" si="14"/>
        <v>5600000</v>
      </c>
      <c r="F166" s="77">
        <v>10</v>
      </c>
      <c r="G166" s="20">
        <v>66</v>
      </c>
      <c r="H166" s="75">
        <f t="shared" si="11"/>
        <v>48.696752516586315</v>
      </c>
      <c r="J166" s="77">
        <v>1</v>
      </c>
      <c r="K166" s="20">
        <f t="shared" si="13"/>
        <v>162</v>
      </c>
      <c r="L166" s="78">
        <f t="shared" si="12"/>
        <v>6.9783058485986649</v>
      </c>
    </row>
    <row r="167" spans="2:12" x14ac:dyDescent="0.2">
      <c r="B167" s="77">
        <f t="shared" si="10"/>
        <v>1000000</v>
      </c>
      <c r="D167" s="75">
        <f t="shared" si="14"/>
        <v>6200000</v>
      </c>
      <c r="F167" s="77">
        <v>10</v>
      </c>
      <c r="G167" s="20">
        <v>67</v>
      </c>
      <c r="H167" s="75">
        <f t="shared" si="11"/>
        <v>49.878876964491063</v>
      </c>
      <c r="J167" s="77">
        <v>1</v>
      </c>
      <c r="K167" s="20">
        <f t="shared" si="13"/>
        <v>163</v>
      </c>
      <c r="L167" s="78">
        <f t="shared" si="12"/>
        <v>7.0624979266893293</v>
      </c>
    </row>
    <row r="168" spans="2:12" x14ac:dyDescent="0.2">
      <c r="B168" s="77">
        <f t="shared" si="10"/>
        <v>1000000</v>
      </c>
      <c r="D168" s="75">
        <f t="shared" si="14"/>
        <v>6800000</v>
      </c>
      <c r="F168" s="77">
        <v>10</v>
      </c>
      <c r="G168" s="20">
        <v>68</v>
      </c>
      <c r="H168" s="75">
        <f t="shared" si="11"/>
        <v>51.089697745069287</v>
      </c>
      <c r="J168" s="77">
        <v>1</v>
      </c>
      <c r="K168" s="20">
        <f t="shared" si="13"/>
        <v>164</v>
      </c>
      <c r="L168" s="78">
        <f t="shared" si="12"/>
        <v>7.147705767941857</v>
      </c>
    </row>
    <row r="169" spans="2:12" x14ac:dyDescent="0.2">
      <c r="B169" s="77">
        <f t="shared" si="10"/>
        <v>1000000</v>
      </c>
      <c r="D169" s="75">
        <f t="shared" si="14"/>
        <v>7500000</v>
      </c>
      <c r="F169" s="77">
        <v>10</v>
      </c>
      <c r="G169" s="20">
        <v>69</v>
      </c>
      <c r="H169" s="75">
        <f t="shared" si="11"/>
        <v>52.329911468149476</v>
      </c>
      <c r="J169" s="77">
        <v>1</v>
      </c>
      <c r="K169" s="20">
        <f t="shared" si="13"/>
        <v>165</v>
      </c>
      <c r="L169" s="78">
        <f t="shared" si="12"/>
        <v>7.2339416273667494</v>
      </c>
    </row>
    <row r="170" spans="2:12" x14ac:dyDescent="0.2">
      <c r="B170" s="77">
        <f t="shared" si="10"/>
        <v>1000000</v>
      </c>
      <c r="D170" s="75">
        <f t="shared" si="14"/>
        <v>8200000</v>
      </c>
      <c r="F170" s="77">
        <v>10</v>
      </c>
      <c r="G170" s="20">
        <v>70</v>
      </c>
      <c r="H170" s="75">
        <f t="shared" si="11"/>
        <v>53.600231653917916</v>
      </c>
      <c r="J170" s="77">
        <v>1</v>
      </c>
      <c r="K170" s="20">
        <f t="shared" si="13"/>
        <v>166</v>
      </c>
      <c r="L170" s="78">
        <f t="shared" si="12"/>
        <v>7.3212179078291308</v>
      </c>
    </row>
    <row r="171" spans="2:12" x14ac:dyDescent="0.2">
      <c r="B171" s="77">
        <f t="shared" si="10"/>
        <v>1000000</v>
      </c>
      <c r="D171" s="75">
        <f t="shared" si="14"/>
        <v>9100000</v>
      </c>
      <c r="F171" s="77">
        <v>10</v>
      </c>
      <c r="G171" s="20">
        <v>71</v>
      </c>
      <c r="H171" s="75">
        <f t="shared" si="11"/>
        <v>54.901389143421412</v>
      </c>
      <c r="J171" s="77">
        <v>1</v>
      </c>
      <c r="K171" s="20">
        <f t="shared" si="13"/>
        <v>167</v>
      </c>
      <c r="L171" s="78">
        <f t="shared" si="12"/>
        <v>7.4095471618325908</v>
      </c>
    </row>
    <row r="172" spans="2:12" x14ac:dyDescent="0.2">
      <c r="B172" s="77">
        <f t="shared" si="10"/>
        <v>1000000</v>
      </c>
      <c r="D172" s="75">
        <f t="shared" si="14"/>
        <v>10000000</v>
      </c>
      <c r="F172" s="77">
        <v>10</v>
      </c>
      <c r="G172" s="20">
        <v>72</v>
      </c>
      <c r="H172" s="75">
        <f t="shared" si="11"/>
        <v>56.234132519034922</v>
      </c>
      <c r="J172" s="77">
        <v>1</v>
      </c>
      <c r="K172" s="20">
        <f t="shared" si="13"/>
        <v>168</v>
      </c>
      <c r="L172" s="78">
        <f t="shared" si="12"/>
        <v>7.4989420933245592</v>
      </c>
    </row>
    <row r="173" spans="2:12" x14ac:dyDescent="0.2">
      <c r="B173" s="77"/>
      <c r="F173" s="77">
        <v>10</v>
      </c>
      <c r="G173" s="20">
        <v>73</v>
      </c>
      <c r="H173" s="75">
        <f t="shared" si="11"/>
        <v>57.599228535136284</v>
      </c>
      <c r="J173" s="77">
        <v>1</v>
      </c>
      <c r="K173" s="20">
        <f t="shared" si="13"/>
        <v>169</v>
      </c>
      <c r="L173" s="78">
        <f t="shared" si="12"/>
        <v>7.5894155595234274</v>
      </c>
    </row>
    <row r="174" spans="2:12" x14ac:dyDescent="0.2">
      <c r="B174" s="77"/>
      <c r="F174" s="77">
        <v>10</v>
      </c>
      <c r="G174" s="20">
        <v>74</v>
      </c>
      <c r="H174" s="75">
        <f t="shared" si="11"/>
        <v>58.997462559235657</v>
      </c>
      <c r="J174" s="77">
        <v>1</v>
      </c>
      <c r="K174" s="20">
        <f t="shared" si="13"/>
        <v>170</v>
      </c>
      <c r="L174" s="78">
        <f t="shared" si="12"/>
        <v>7.6809805727677549</v>
      </c>
    </row>
    <row r="175" spans="2:12" x14ac:dyDescent="0.2">
      <c r="B175" s="77"/>
      <c r="F175" s="77">
        <v>10</v>
      </c>
      <c r="G175" s="20">
        <v>75</v>
      </c>
      <c r="H175" s="75">
        <f t="shared" si="11"/>
        <v>60.429639023813294</v>
      </c>
      <c r="J175" s="77">
        <v>1</v>
      </c>
      <c r="K175" s="20">
        <f t="shared" si="13"/>
        <v>171</v>
      </c>
      <c r="L175" s="78">
        <f t="shared" si="12"/>
        <v>7.773650302387761</v>
      </c>
    </row>
    <row r="176" spans="2:12" x14ac:dyDescent="0.2">
      <c r="B176" s="77"/>
      <c r="F176" s="77">
        <v>10</v>
      </c>
      <c r="G176" s="20">
        <v>76</v>
      </c>
      <c r="H176" s="75">
        <f t="shared" si="11"/>
        <v>61.896581889126061</v>
      </c>
      <c r="J176" s="77">
        <v>1</v>
      </c>
      <c r="K176" s="20">
        <f t="shared" si="13"/>
        <v>172</v>
      </c>
      <c r="L176" s="78">
        <f t="shared" si="12"/>
        <v>7.8674380765994032</v>
      </c>
    </row>
    <row r="177" spans="2:12" x14ac:dyDescent="0.2">
      <c r="B177" s="77"/>
      <c r="F177" s="77">
        <v>10</v>
      </c>
      <c r="G177" s="20">
        <v>77</v>
      </c>
      <c r="H177" s="75">
        <f t="shared" si="11"/>
        <v>63.399135117248456</v>
      </c>
      <c r="J177" s="77">
        <v>1</v>
      </c>
      <c r="K177" s="20">
        <f t="shared" si="13"/>
        <v>173</v>
      </c>
      <c r="L177" s="78">
        <f t="shared" si="12"/>
        <v>7.9623573844213036</v>
      </c>
    </row>
    <row r="178" spans="2:12" x14ac:dyDescent="0.2">
      <c r="B178" s="77"/>
      <c r="F178" s="77">
        <v>10</v>
      </c>
      <c r="G178" s="20">
        <v>78</v>
      </c>
      <c r="H178" s="75">
        <f t="shared" si="11"/>
        <v>64.938163157621148</v>
      </c>
      <c r="J178" s="77">
        <v>1</v>
      </c>
      <c r="K178" s="20">
        <f t="shared" si="13"/>
        <v>174</v>
      </c>
      <c r="L178" s="78">
        <f t="shared" si="12"/>
        <v>8.0584218776148191</v>
      </c>
    </row>
    <row r="179" spans="2:12" x14ac:dyDescent="0.2">
      <c r="B179" s="77"/>
      <c r="F179" s="77">
        <v>10</v>
      </c>
      <c r="G179" s="20">
        <v>79</v>
      </c>
      <c r="H179" s="75">
        <f t="shared" si="11"/>
        <v>66.514551444386342</v>
      </c>
      <c r="J179" s="77">
        <v>1</v>
      </c>
      <c r="K179" s="20">
        <f t="shared" si="13"/>
        <v>175</v>
      </c>
      <c r="L179" s="78">
        <f t="shared" si="12"/>
        <v>8.1556453726474878</v>
      </c>
    </row>
    <row r="180" spans="2:12" x14ac:dyDescent="0.2">
      <c r="B180" s="77"/>
      <c r="F180" s="77">
        <v>10</v>
      </c>
      <c r="G180" s="20">
        <v>80</v>
      </c>
      <c r="H180" s="75">
        <f t="shared" si="11"/>
        <v>68.129206905796138</v>
      </c>
      <c r="J180" s="77">
        <v>1</v>
      </c>
      <c r="K180" s="20">
        <f>K179+1</f>
        <v>176</v>
      </c>
      <c r="L180" s="78">
        <f t="shared" si="12"/>
        <v>8.2540418526801833</v>
      </c>
    </row>
    <row r="181" spans="2:12" x14ac:dyDescent="0.2">
      <c r="B181" s="77"/>
      <c r="F181" s="77">
        <v>10</v>
      </c>
      <c r="G181" s="20">
        <v>81</v>
      </c>
      <c r="H181" s="75">
        <f t="shared" si="11"/>
        <v>69.783058485986643</v>
      </c>
      <c r="J181" s="77">
        <v>1</v>
      </c>
      <c r="K181" s="20">
        <f t="shared" ref="K181:K196" si="15">K180+1</f>
        <v>177</v>
      </c>
      <c r="L181" s="78">
        <f t="shared" si="12"/>
        <v>8.3536254695782617</v>
      </c>
    </row>
    <row r="182" spans="2:12" x14ac:dyDescent="0.2">
      <c r="B182" s="77"/>
      <c r="F182" s="77">
        <v>10</v>
      </c>
      <c r="G182" s="20">
        <v>82</v>
      </c>
      <c r="H182" s="75">
        <f t="shared" si="11"/>
        <v>71.477057679418564</v>
      </c>
      <c r="J182" s="77">
        <v>1</v>
      </c>
      <c r="K182" s="20">
        <f t="shared" si="15"/>
        <v>178</v>
      </c>
      <c r="L182" s="78">
        <f t="shared" si="12"/>
        <v>8.4544105459469243</v>
      </c>
    </row>
    <row r="183" spans="2:12" x14ac:dyDescent="0.2">
      <c r="B183" s="77"/>
      <c r="F183" s="77">
        <v>10</v>
      </c>
      <c r="G183" s="20">
        <v>83</v>
      </c>
      <c r="H183" s="75">
        <f t="shared" si="11"/>
        <v>73.212179078291314</v>
      </c>
      <c r="J183" s="77">
        <v>1</v>
      </c>
      <c r="K183" s="20">
        <f t="shared" si="15"/>
        <v>179</v>
      </c>
      <c r="L183" s="78">
        <f t="shared" si="12"/>
        <v>8.5564115771911844</v>
      </c>
    </row>
    <row r="184" spans="2:12" x14ac:dyDescent="0.2">
      <c r="B184" s="77"/>
      <c r="F184" s="77">
        <v>10</v>
      </c>
      <c r="G184" s="20">
        <v>84</v>
      </c>
      <c r="H184" s="75">
        <f t="shared" si="11"/>
        <v>74.989420933245597</v>
      </c>
      <c r="J184" s="77">
        <v>1</v>
      </c>
      <c r="K184" s="20">
        <f t="shared" si="15"/>
        <v>180</v>
      </c>
      <c r="L184" s="78">
        <f t="shared" si="12"/>
        <v>8.6596432336006561</v>
      </c>
    </row>
    <row r="185" spans="2:12" x14ac:dyDescent="0.2">
      <c r="B185" s="77"/>
      <c r="F185" s="77">
        <v>10</v>
      </c>
      <c r="G185" s="20">
        <v>85</v>
      </c>
      <c r="H185" s="75">
        <f t="shared" si="11"/>
        <v>76.809805727677542</v>
      </c>
      <c r="J185" s="77">
        <v>1</v>
      </c>
      <c r="K185" s="20">
        <f t="shared" si="15"/>
        <v>181</v>
      </c>
      <c r="L185" s="78">
        <f t="shared" si="12"/>
        <v>8.7641203624595203</v>
      </c>
    </row>
    <row r="186" spans="2:12" x14ac:dyDescent="0.2">
      <c r="B186" s="77"/>
      <c r="F186" s="77">
        <v>10</v>
      </c>
      <c r="G186" s="20">
        <v>86</v>
      </c>
      <c r="H186" s="75">
        <f t="shared" si="11"/>
        <v>78.67438076599403</v>
      </c>
      <c r="J186" s="77">
        <v>1</v>
      </c>
      <c r="K186" s="20">
        <f t="shared" si="15"/>
        <v>182</v>
      </c>
      <c r="L186" s="78">
        <f t="shared" si="12"/>
        <v>8.8698579901819183</v>
      </c>
    </row>
    <row r="187" spans="2:12" x14ac:dyDescent="0.2">
      <c r="B187" s="77"/>
      <c r="F187" s="77">
        <v>10</v>
      </c>
      <c r="G187" s="20">
        <v>87</v>
      </c>
      <c r="H187" s="75">
        <f t="shared" si="11"/>
        <v>80.584218776148191</v>
      </c>
      <c r="J187" s="77">
        <v>1</v>
      </c>
      <c r="K187" s="20">
        <f t="shared" si="15"/>
        <v>183</v>
      </c>
      <c r="L187" s="78">
        <f t="shared" si="12"/>
        <v>8.9768713244731444</v>
      </c>
    </row>
    <row r="188" spans="2:12" x14ac:dyDescent="0.2">
      <c r="B188" s="77"/>
      <c r="F188" s="77">
        <v>10</v>
      </c>
      <c r="G188" s="20">
        <v>88</v>
      </c>
      <c r="H188" s="75">
        <f t="shared" si="11"/>
        <v>82.54041852680183</v>
      </c>
      <c r="J188" s="77">
        <v>1</v>
      </c>
      <c r="K188" s="20">
        <f t="shared" si="15"/>
        <v>184</v>
      </c>
      <c r="L188" s="78">
        <f t="shared" si="12"/>
        <v>9.08517575651687</v>
      </c>
    </row>
    <row r="189" spans="2:12" x14ac:dyDescent="0.2">
      <c r="B189" s="77"/>
      <c r="F189" s="77">
        <v>10</v>
      </c>
      <c r="G189" s="20">
        <v>89</v>
      </c>
      <c r="H189" s="75">
        <f t="shared" si="11"/>
        <v>84.54410545946925</v>
      </c>
      <c r="J189" s="77">
        <v>1</v>
      </c>
      <c r="K189" s="20">
        <f t="shared" si="15"/>
        <v>185</v>
      </c>
      <c r="L189" s="78">
        <f t="shared" si="12"/>
        <v>9.1947868631887939</v>
      </c>
    </row>
    <row r="190" spans="2:12" x14ac:dyDescent="0.2">
      <c r="B190" s="77"/>
      <c r="F190" s="77">
        <v>10</v>
      </c>
      <c r="G190" s="20">
        <v>90</v>
      </c>
      <c r="H190" s="75">
        <f t="shared" si="11"/>
        <v>86.596432336006558</v>
      </c>
      <c r="J190" s="77">
        <v>1</v>
      </c>
      <c r="K190" s="20">
        <f t="shared" si="15"/>
        <v>186</v>
      </c>
      <c r="L190" s="78">
        <f t="shared" si="12"/>
        <v>9.3057204092969901</v>
      </c>
    </row>
    <row r="191" spans="2:12" x14ac:dyDescent="0.2">
      <c r="F191" s="77">
        <v>10</v>
      </c>
      <c r="G191" s="20">
        <v>91</v>
      </c>
      <c r="H191" s="75">
        <f t="shared" si="11"/>
        <v>88.698579901819187</v>
      </c>
      <c r="J191" s="77">
        <v>1</v>
      </c>
      <c r="K191" s="20">
        <f t="shared" si="15"/>
        <v>187</v>
      </c>
      <c r="L191" s="78">
        <f t="shared" si="12"/>
        <v>9.4179923498492606</v>
      </c>
    </row>
    <row r="192" spans="2:12" x14ac:dyDescent="0.2">
      <c r="F192" s="77">
        <v>10</v>
      </c>
      <c r="G192" s="20">
        <v>92</v>
      </c>
      <c r="H192" s="75">
        <f t="shared" si="11"/>
        <v>90.851757565168697</v>
      </c>
      <c r="J192" s="77">
        <v>1</v>
      </c>
      <c r="K192" s="20">
        <f t="shared" si="15"/>
        <v>188</v>
      </c>
      <c r="L192" s="78">
        <f t="shared" si="12"/>
        <v>9.5316188323478777</v>
      </c>
    </row>
    <row r="193" spans="6:12" x14ac:dyDescent="0.2">
      <c r="F193" s="77">
        <v>10</v>
      </c>
      <c r="G193" s="20">
        <v>93</v>
      </c>
      <c r="H193" s="75">
        <f t="shared" si="11"/>
        <v>93.057204092969897</v>
      </c>
      <c r="J193" s="77">
        <v>1</v>
      </c>
      <c r="K193" s="20">
        <f t="shared" si="15"/>
        <v>189</v>
      </c>
      <c r="L193" s="78">
        <f t="shared" si="12"/>
        <v>9.6466161991119961</v>
      </c>
    </row>
    <row r="194" spans="6:12" x14ac:dyDescent="0.2">
      <c r="F194" s="77">
        <v>10</v>
      </c>
      <c r="G194" s="20">
        <v>94</v>
      </c>
      <c r="H194" s="75">
        <f t="shared" si="11"/>
        <v>95.316188323478769</v>
      </c>
      <c r="J194" s="77">
        <v>1</v>
      </c>
      <c r="K194" s="20">
        <f t="shared" si="15"/>
        <v>190</v>
      </c>
      <c r="L194" s="78">
        <f t="shared" si="12"/>
        <v>9.7630009896280789</v>
      </c>
    </row>
    <row r="195" spans="6:12" x14ac:dyDescent="0.2">
      <c r="F195" s="77">
        <v>10</v>
      </c>
      <c r="G195" s="20">
        <v>95</v>
      </c>
      <c r="H195" s="75">
        <f t="shared" si="11"/>
        <v>97.630009896280797</v>
      </c>
      <c r="J195" s="77">
        <v>1</v>
      </c>
      <c r="K195" s="20">
        <f t="shared" si="15"/>
        <v>191</v>
      </c>
      <c r="L195" s="78">
        <f t="shared" si="12"/>
        <v>9.8807899429286916</v>
      </c>
    </row>
    <row r="196" spans="6:12" x14ac:dyDescent="0.2">
      <c r="F196" s="77">
        <v>10</v>
      </c>
      <c r="G196" s="20">
        <v>96</v>
      </c>
      <c r="H196" s="75">
        <f t="shared" ref="H196:H259" si="16">F196*10^(G196/96)</f>
        <v>100</v>
      </c>
      <c r="J196" s="77">
        <v>1</v>
      </c>
      <c r="K196" s="20">
        <f t="shared" si="15"/>
        <v>192</v>
      </c>
      <c r="L196" s="78">
        <f t="shared" si="12"/>
        <v>10</v>
      </c>
    </row>
    <row r="197" spans="6:12" x14ac:dyDescent="0.2">
      <c r="F197" s="77">
        <v>100</v>
      </c>
      <c r="G197" s="20">
        <v>1</v>
      </c>
      <c r="H197" s="75">
        <f t="shared" si="16"/>
        <v>102.42752213815922</v>
      </c>
      <c r="J197" s="77">
        <f>J4*10</f>
        <v>10</v>
      </c>
      <c r="K197" s="20">
        <v>1</v>
      </c>
      <c r="L197" s="78">
        <f t="shared" ref="L197:L260" si="17">J197*10^(K197/192)</f>
        <v>10.120648306218294</v>
      </c>
    </row>
    <row r="198" spans="6:12" x14ac:dyDescent="0.2">
      <c r="F198" s="77">
        <v>100</v>
      </c>
      <c r="G198" s="20">
        <v>2</v>
      </c>
      <c r="H198" s="75">
        <f t="shared" si="16"/>
        <v>104.91397291363099</v>
      </c>
      <c r="J198" s="77">
        <f t="shared" ref="J198:J261" si="18">J5*10</f>
        <v>10</v>
      </c>
      <c r="K198" s="20">
        <f t="shared" ref="K198:K261" si="19">K197+1</f>
        <v>2</v>
      </c>
      <c r="L198" s="78">
        <f t="shared" si="17"/>
        <v>10.242752213815923</v>
      </c>
    </row>
    <row r="199" spans="6:12" x14ac:dyDescent="0.2">
      <c r="F199" s="77">
        <v>100</v>
      </c>
      <c r="G199" s="20">
        <v>3</v>
      </c>
      <c r="H199" s="75">
        <f t="shared" si="16"/>
        <v>107.46078283213174</v>
      </c>
      <c r="J199" s="77">
        <f t="shared" si="18"/>
        <v>10</v>
      </c>
      <c r="K199" s="20">
        <f t="shared" si="19"/>
        <v>3</v>
      </c>
      <c r="L199" s="78">
        <f t="shared" si="17"/>
        <v>10.366329284376981</v>
      </c>
    </row>
    <row r="200" spans="6:12" x14ac:dyDescent="0.2">
      <c r="F200" s="77">
        <v>100</v>
      </c>
      <c r="G200" s="20">
        <v>4</v>
      </c>
      <c r="H200" s="75">
        <f t="shared" si="16"/>
        <v>110.06941712522095</v>
      </c>
      <c r="J200" s="77">
        <f t="shared" si="18"/>
        <v>10</v>
      </c>
      <c r="K200" s="20">
        <f t="shared" si="19"/>
        <v>4</v>
      </c>
      <c r="L200" s="78">
        <f t="shared" si="17"/>
        <v>10.491397291363098</v>
      </c>
    </row>
    <row r="201" spans="6:12" x14ac:dyDescent="0.2">
      <c r="F201" s="77">
        <v>100</v>
      </c>
      <c r="G201" s="20">
        <v>5</v>
      </c>
      <c r="H201" s="75">
        <f t="shared" si="16"/>
        <v>112.74137659327852</v>
      </c>
      <c r="J201" s="77">
        <f t="shared" si="18"/>
        <v>10</v>
      </c>
      <c r="K201" s="20">
        <f t="shared" si="19"/>
        <v>5</v>
      </c>
      <c r="L201" s="78">
        <f t="shared" si="17"/>
        <v>10.617974222669716</v>
      </c>
    </row>
    <row r="202" spans="6:12" x14ac:dyDescent="0.2">
      <c r="F202" s="77">
        <v>100</v>
      </c>
      <c r="G202" s="20">
        <v>6</v>
      </c>
      <c r="H202" s="75">
        <f t="shared" si="16"/>
        <v>115.47819846894582</v>
      </c>
      <c r="J202" s="77">
        <f t="shared" si="18"/>
        <v>10</v>
      </c>
      <c r="K202" s="20">
        <f t="shared" si="19"/>
        <v>6</v>
      </c>
      <c r="L202" s="78">
        <f t="shared" si="17"/>
        <v>10.746078283213174</v>
      </c>
    </row>
    <row r="203" spans="6:12" x14ac:dyDescent="0.2">
      <c r="F203" s="77">
        <v>100</v>
      </c>
      <c r="G203" s="20">
        <v>7</v>
      </c>
      <c r="H203" s="75">
        <f t="shared" si="16"/>
        <v>118.28145730152693</v>
      </c>
      <c r="J203" s="77">
        <f t="shared" si="18"/>
        <v>10</v>
      </c>
      <c r="K203" s="20">
        <f t="shared" si="19"/>
        <v>7</v>
      </c>
      <c r="L203" s="78">
        <f t="shared" si="17"/>
        <v>10.875727897549062</v>
      </c>
    </row>
    <row r="204" spans="6:12" x14ac:dyDescent="0.2">
      <c r="F204" s="77">
        <v>100</v>
      </c>
      <c r="G204" s="20">
        <v>8</v>
      </c>
      <c r="H204" s="75">
        <f t="shared" si="16"/>
        <v>121.15276586285886</v>
      </c>
      <c r="J204" s="77">
        <f t="shared" si="18"/>
        <v>10</v>
      </c>
      <c r="K204" s="20">
        <f t="shared" si="19"/>
        <v>8</v>
      </c>
      <c r="L204" s="78">
        <f t="shared" si="17"/>
        <v>11.006941712522096</v>
      </c>
    </row>
    <row r="205" spans="6:12" x14ac:dyDescent="0.2">
      <c r="F205" s="77">
        <v>100</v>
      </c>
      <c r="G205" s="20">
        <v>9</v>
      </c>
      <c r="H205" s="75">
        <f t="shared" si="16"/>
        <v>124.09377607517196</v>
      </c>
      <c r="J205" s="77">
        <f t="shared" si="18"/>
        <v>10</v>
      </c>
      <c r="K205" s="20">
        <f t="shared" si="19"/>
        <v>9</v>
      </c>
      <c r="L205" s="78">
        <f t="shared" si="17"/>
        <v>11.139738599948023</v>
      </c>
    </row>
    <row r="206" spans="6:12" x14ac:dyDescent="0.2">
      <c r="F206" s="77">
        <v>100</v>
      </c>
      <c r="G206" s="20">
        <v>10</v>
      </c>
      <c r="H206" s="75">
        <f t="shared" si="16"/>
        <v>127.10617996147448</v>
      </c>
      <c r="J206" s="77">
        <f t="shared" si="18"/>
        <v>10</v>
      </c>
      <c r="K206" s="20">
        <f t="shared" si="19"/>
        <v>10</v>
      </c>
      <c r="L206" s="78">
        <f t="shared" si="17"/>
        <v>11.274137659327852</v>
      </c>
    </row>
    <row r="207" spans="6:12" x14ac:dyDescent="0.2">
      <c r="F207" s="77">
        <v>100</v>
      </c>
      <c r="G207" s="20">
        <v>11</v>
      </c>
      <c r="H207" s="75">
        <f t="shared" si="16"/>
        <v>130.19171061900778</v>
      </c>
      <c r="J207" s="77">
        <f t="shared" si="18"/>
        <v>10</v>
      </c>
      <c r="K207" s="20">
        <f t="shared" si="19"/>
        <v>11</v>
      </c>
      <c r="L207" s="78">
        <f t="shared" si="17"/>
        <v>11.41015822059483</v>
      </c>
    </row>
    <row r="208" spans="6:12" x14ac:dyDescent="0.2">
      <c r="F208" s="77">
        <v>100</v>
      </c>
      <c r="G208" s="20">
        <v>12</v>
      </c>
      <c r="H208" s="75">
        <f t="shared" si="16"/>
        <v>133.35214321633239</v>
      </c>
      <c r="J208" s="77">
        <f t="shared" si="18"/>
        <v>10</v>
      </c>
      <c r="K208" s="20">
        <f t="shared" si="19"/>
        <v>12</v>
      </c>
      <c r="L208" s="78">
        <f t="shared" si="17"/>
        <v>11.547819846894583</v>
      </c>
    </row>
    <row r="209" spans="6:12" x14ac:dyDescent="0.2">
      <c r="F209" s="77">
        <v>100</v>
      </c>
      <c r="G209" s="20">
        <v>13</v>
      </c>
      <c r="H209" s="75">
        <f t="shared" si="16"/>
        <v>136.58929601461867</v>
      </c>
      <c r="J209" s="77">
        <f t="shared" si="18"/>
        <v>10</v>
      </c>
      <c r="K209" s="20">
        <f t="shared" si="19"/>
        <v>13</v>
      </c>
      <c r="L209" s="78">
        <f t="shared" si="17"/>
        <v>11.687142337398766</v>
      </c>
    </row>
    <row r="210" spans="6:12" x14ac:dyDescent="0.2">
      <c r="F210" s="77">
        <v>100</v>
      </c>
      <c r="G210" s="20">
        <v>14</v>
      </c>
      <c r="H210" s="75">
        <f t="shared" si="16"/>
        <v>139.90503141372938</v>
      </c>
      <c r="J210" s="77">
        <f t="shared" si="18"/>
        <v>10</v>
      </c>
      <c r="K210" s="20">
        <f t="shared" si="19"/>
        <v>14</v>
      </c>
      <c r="L210" s="78">
        <f t="shared" si="17"/>
        <v>11.828145730152693</v>
      </c>
    </row>
    <row r="211" spans="6:12" x14ac:dyDescent="0.2">
      <c r="F211" s="77">
        <v>100</v>
      </c>
      <c r="G211" s="20">
        <v>15</v>
      </c>
      <c r="H211" s="75">
        <f t="shared" si="16"/>
        <v>143.30125702369628</v>
      </c>
      <c r="J211" s="77">
        <f t="shared" si="18"/>
        <v>10</v>
      </c>
      <c r="K211" s="20">
        <f t="shared" si="19"/>
        <v>15</v>
      </c>
      <c r="L211" s="78">
        <f t="shared" si="17"/>
        <v>11.970850304957299</v>
      </c>
    </row>
    <row r="212" spans="6:12" x14ac:dyDescent="0.2">
      <c r="F212" s="77">
        <v>100</v>
      </c>
      <c r="G212" s="20">
        <v>16</v>
      </c>
      <c r="H212" s="75">
        <f t="shared" si="16"/>
        <v>146.77992676220697</v>
      </c>
      <c r="J212" s="77">
        <f t="shared" si="18"/>
        <v>10</v>
      </c>
      <c r="K212" s="20">
        <f t="shared" si="19"/>
        <v>16</v>
      </c>
      <c r="L212" s="78">
        <f t="shared" si="17"/>
        <v>12.115276586285885</v>
      </c>
    </row>
    <row r="213" spans="6:12" x14ac:dyDescent="0.2">
      <c r="F213" s="77">
        <v>100</v>
      </c>
      <c r="G213" s="20">
        <v>17</v>
      </c>
      <c r="H213" s="75">
        <f t="shared" si="16"/>
        <v>150.34304197873342</v>
      </c>
      <c r="J213" s="77">
        <f t="shared" si="18"/>
        <v>10</v>
      </c>
      <c r="K213" s="20">
        <f t="shared" si="19"/>
        <v>17</v>
      </c>
      <c r="L213" s="78">
        <f t="shared" si="17"/>
        <v>12.261445346236039</v>
      </c>
    </row>
    <row r="214" spans="6:12" x14ac:dyDescent="0.2">
      <c r="F214" s="77">
        <v>100</v>
      </c>
      <c r="G214" s="20">
        <v>18</v>
      </c>
      <c r="H214" s="75">
        <f t="shared" si="16"/>
        <v>153.99265260594922</v>
      </c>
      <c r="J214" s="77">
        <f t="shared" si="18"/>
        <v>10</v>
      </c>
      <c r="K214" s="20">
        <f t="shared" si="19"/>
        <v>18</v>
      </c>
      <c r="L214" s="78">
        <f t="shared" si="17"/>
        <v>12.409377607517197</v>
      </c>
    </row>
    <row r="215" spans="6:12" x14ac:dyDescent="0.2">
      <c r="F215" s="77">
        <v>100</v>
      </c>
      <c r="G215" s="20">
        <v>19</v>
      </c>
      <c r="H215" s="75">
        <f t="shared" si="16"/>
        <v>157.73085833909727</v>
      </c>
      <c r="J215" s="77">
        <f t="shared" si="18"/>
        <v>10</v>
      </c>
      <c r="K215" s="20">
        <f t="shared" si="19"/>
        <v>19</v>
      </c>
      <c r="L215" s="78">
        <f t="shared" si="17"/>
        <v>12.559094646474215</v>
      </c>
    </row>
    <row r="216" spans="6:12" x14ac:dyDescent="0.2">
      <c r="F216" s="77">
        <v>100</v>
      </c>
      <c r="G216" s="20">
        <v>20</v>
      </c>
      <c r="H216" s="75">
        <f t="shared" si="16"/>
        <v>161.55980984398741</v>
      </c>
      <c r="J216" s="77">
        <f t="shared" si="18"/>
        <v>10</v>
      </c>
      <c r="K216" s="20">
        <f t="shared" si="19"/>
        <v>20</v>
      </c>
      <c r="L216" s="78">
        <f t="shared" si="17"/>
        <v>12.710617996147448</v>
      </c>
    </row>
    <row r="217" spans="6:12" x14ac:dyDescent="0.2">
      <c r="F217" s="77">
        <v>100</v>
      </c>
      <c r="G217" s="20">
        <v>21</v>
      </c>
      <c r="H217" s="75">
        <f t="shared" si="16"/>
        <v>165.48170999431815</v>
      </c>
      <c r="J217" s="77">
        <f t="shared" si="18"/>
        <v>10</v>
      </c>
      <c r="K217" s="20">
        <f t="shared" si="19"/>
        <v>21</v>
      </c>
      <c r="L217" s="78">
        <f t="shared" si="17"/>
        <v>12.863969449369746</v>
      </c>
    </row>
    <row r="218" spans="6:12" x14ac:dyDescent="0.2">
      <c r="F218" s="77">
        <v>100</v>
      </c>
      <c r="G218" s="20">
        <v>22</v>
      </c>
      <c r="H218" s="75">
        <f t="shared" si="16"/>
        <v>169.49881513903466</v>
      </c>
      <c r="J218" s="77">
        <f t="shared" si="18"/>
        <v>10</v>
      </c>
      <c r="K218" s="20">
        <f t="shared" si="19"/>
        <v>22</v>
      </c>
      <c r="L218" s="78">
        <f t="shared" si="17"/>
        <v>13.019171061900778</v>
      </c>
    </row>
    <row r="219" spans="6:12" x14ac:dyDescent="0.2">
      <c r="F219" s="77">
        <v>100</v>
      </c>
      <c r="G219" s="20">
        <v>23</v>
      </c>
      <c r="H219" s="75">
        <f t="shared" si="16"/>
        <v>173.61343640045231</v>
      </c>
      <c r="J219" s="77">
        <f t="shared" si="18"/>
        <v>10</v>
      </c>
      <c r="K219" s="20">
        <f t="shared" si="19"/>
        <v>23</v>
      </c>
      <c r="L219" s="78">
        <f t="shared" si="17"/>
        <v>13.176245155599236</v>
      </c>
    </row>
    <row r="220" spans="6:12" x14ac:dyDescent="0.2">
      <c r="F220" s="77">
        <v>100</v>
      </c>
      <c r="G220" s="20">
        <v>24</v>
      </c>
      <c r="H220" s="75">
        <f t="shared" si="16"/>
        <v>177.82794100389231</v>
      </c>
      <c r="J220" s="77">
        <f t="shared" si="18"/>
        <v>10</v>
      </c>
      <c r="K220" s="20">
        <f t="shared" si="19"/>
        <v>24</v>
      </c>
      <c r="L220" s="78">
        <f t="shared" si="17"/>
        <v>13.33521432163324</v>
      </c>
    </row>
    <row r="221" spans="6:12" x14ac:dyDescent="0.2">
      <c r="F221" s="77">
        <v>100</v>
      </c>
      <c r="G221" s="20">
        <v>25</v>
      </c>
      <c r="H221" s="75">
        <f t="shared" si="16"/>
        <v>182.14475363959451</v>
      </c>
      <c r="J221" s="77">
        <f t="shared" si="18"/>
        <v>10</v>
      </c>
      <c r="K221" s="20">
        <f t="shared" si="19"/>
        <v>25</v>
      </c>
      <c r="L221" s="78">
        <f t="shared" si="17"/>
        <v>13.496101423729542</v>
      </c>
    </row>
    <row r="222" spans="6:12" x14ac:dyDescent="0.2">
      <c r="F222" s="77">
        <v>100</v>
      </c>
      <c r="G222" s="20">
        <v>26</v>
      </c>
      <c r="H222" s="75">
        <f t="shared" si="16"/>
        <v>186.56635785769123</v>
      </c>
      <c r="J222" s="77">
        <f t="shared" si="18"/>
        <v>10</v>
      </c>
      <c r="K222" s="20">
        <f t="shared" si="19"/>
        <v>26</v>
      </c>
      <c r="L222" s="78">
        <f t="shared" si="17"/>
        <v>13.658929601461868</v>
      </c>
    </row>
    <row r="223" spans="6:12" x14ac:dyDescent="0.2">
      <c r="F223" s="77">
        <v>100</v>
      </c>
      <c r="G223" s="20">
        <v>27</v>
      </c>
      <c r="H223" s="75">
        <f t="shared" si="16"/>
        <v>191.09529749704407</v>
      </c>
      <c r="J223" s="77">
        <f t="shared" si="18"/>
        <v>10</v>
      </c>
      <c r="K223" s="20">
        <f t="shared" si="19"/>
        <v>27</v>
      </c>
      <c r="L223" s="78">
        <f t="shared" si="17"/>
        <v>13.823722273578998</v>
      </c>
    </row>
    <row r="224" spans="6:12" x14ac:dyDescent="0.2">
      <c r="F224" s="77">
        <v>100</v>
      </c>
      <c r="G224" s="20">
        <v>28</v>
      </c>
      <c r="H224" s="75">
        <f t="shared" si="16"/>
        <v>195.73417814876603</v>
      </c>
      <c r="J224" s="77">
        <f t="shared" si="18"/>
        <v>10</v>
      </c>
      <c r="K224" s="20">
        <f t="shared" si="19"/>
        <v>28</v>
      </c>
      <c r="L224" s="78">
        <f t="shared" si="17"/>
        <v>13.990503141372939</v>
      </c>
    </row>
    <row r="225" spans="6:12" x14ac:dyDescent="0.2">
      <c r="F225" s="77">
        <v>100</v>
      </c>
      <c r="G225" s="20">
        <v>29</v>
      </c>
      <c r="H225" s="75">
        <f t="shared" si="16"/>
        <v>200.48566865527135</v>
      </c>
      <c r="J225" s="77">
        <f t="shared" si="18"/>
        <v>10</v>
      </c>
      <c r="K225" s="20">
        <f t="shared" si="19"/>
        <v>29</v>
      </c>
      <c r="L225" s="78">
        <f t="shared" si="17"/>
        <v>14.159296192087773</v>
      </c>
    </row>
    <row r="226" spans="6:12" x14ac:dyDescent="0.2">
      <c r="F226" s="77">
        <v>100</v>
      </c>
      <c r="G226" s="20">
        <v>30</v>
      </c>
      <c r="H226" s="75">
        <f t="shared" si="16"/>
        <v>205.35250264571462</v>
      </c>
      <c r="J226" s="77">
        <f t="shared" si="18"/>
        <v>10</v>
      </c>
      <c r="K226" s="20">
        <f t="shared" si="19"/>
        <v>30</v>
      </c>
      <c r="L226" s="78">
        <f t="shared" si="17"/>
        <v>14.33012570236963</v>
      </c>
    </row>
    <row r="227" spans="6:12" x14ac:dyDescent="0.2">
      <c r="F227" s="77">
        <v>100</v>
      </c>
      <c r="G227" s="20">
        <v>31</v>
      </c>
      <c r="H227" s="75">
        <f t="shared" si="16"/>
        <v>210.33748010870337</v>
      </c>
      <c r="J227" s="77">
        <f t="shared" si="18"/>
        <v>10</v>
      </c>
      <c r="K227" s="20">
        <f t="shared" si="19"/>
        <v>31</v>
      </c>
      <c r="L227" s="78">
        <f t="shared" si="17"/>
        <v>14.503016241758242</v>
      </c>
    </row>
    <row r="228" spans="6:12" x14ac:dyDescent="0.2">
      <c r="F228" s="77">
        <v>100</v>
      </c>
      <c r="G228" s="20">
        <v>32</v>
      </c>
      <c r="H228" s="75">
        <f t="shared" si="16"/>
        <v>215.44346900318837</v>
      </c>
      <c r="J228" s="77">
        <f t="shared" si="18"/>
        <v>10</v>
      </c>
      <c r="K228" s="20">
        <f t="shared" si="19"/>
        <v>32</v>
      </c>
      <c r="L228" s="78">
        <f t="shared" si="17"/>
        <v>14.677992676220697</v>
      </c>
    </row>
    <row r="229" spans="6:12" x14ac:dyDescent="0.2">
      <c r="F229" s="77">
        <v>100</v>
      </c>
      <c r="G229" s="20">
        <v>33</v>
      </c>
      <c r="H229" s="75">
        <f t="shared" si="16"/>
        <v>220.67340690845901</v>
      </c>
      <c r="J229" s="77">
        <f t="shared" si="18"/>
        <v>10</v>
      </c>
      <c r="K229" s="20">
        <f t="shared" si="19"/>
        <v>33</v>
      </c>
      <c r="L229" s="78">
        <f t="shared" si="17"/>
        <v>14.855080171727749</v>
      </c>
    </row>
    <row r="230" spans="6:12" x14ac:dyDescent="0.2">
      <c r="F230" s="77">
        <v>100</v>
      </c>
      <c r="G230" s="20">
        <v>34</v>
      </c>
      <c r="H230" s="75">
        <f t="shared" si="16"/>
        <v>226.03030271419203</v>
      </c>
      <c r="J230" s="77">
        <f t="shared" si="18"/>
        <v>10</v>
      </c>
      <c r="K230" s="20">
        <f t="shared" si="19"/>
        <v>34</v>
      </c>
      <c r="L230" s="78">
        <f t="shared" si="17"/>
        <v>15.034304197873343</v>
      </c>
    </row>
    <row r="231" spans="6:12" x14ac:dyDescent="0.2">
      <c r="F231" s="77">
        <v>100</v>
      </c>
      <c r="G231" s="20">
        <v>35</v>
      </c>
      <c r="H231" s="75">
        <f t="shared" si="16"/>
        <v>231.51723835152734</v>
      </c>
      <c r="J231" s="77">
        <f t="shared" si="18"/>
        <v>10</v>
      </c>
      <c r="K231" s="20">
        <f t="shared" si="19"/>
        <v>35</v>
      </c>
      <c r="L231" s="78">
        <f t="shared" si="17"/>
        <v>15.215690531537744</v>
      </c>
    </row>
    <row r="232" spans="6:12" x14ac:dyDescent="0.2">
      <c r="F232" s="77">
        <v>100</v>
      </c>
      <c r="G232" s="20">
        <v>36</v>
      </c>
      <c r="H232" s="75">
        <f t="shared" si="16"/>
        <v>237.13737056616554</v>
      </c>
      <c r="J232" s="77">
        <f t="shared" si="18"/>
        <v>10</v>
      </c>
      <c r="K232" s="20">
        <f t="shared" si="19"/>
        <v>36</v>
      </c>
      <c r="L232" s="78">
        <f t="shared" si="17"/>
        <v>15.399265260594921</v>
      </c>
    </row>
    <row r="233" spans="6:12" x14ac:dyDescent="0.2">
      <c r="F233" s="77">
        <v>100</v>
      </c>
      <c r="G233" s="20">
        <v>37</v>
      </c>
      <c r="H233" s="75">
        <f t="shared" si="16"/>
        <v>242.89393273450793</v>
      </c>
      <c r="J233" s="77">
        <f t="shared" si="18"/>
        <v>10</v>
      </c>
      <c r="K233" s="20">
        <f t="shared" si="19"/>
        <v>37</v>
      </c>
      <c r="L233" s="78">
        <f t="shared" si="17"/>
        <v>15.585054787664621</v>
      </c>
    </row>
    <row r="234" spans="6:12" x14ac:dyDescent="0.2">
      <c r="F234" s="77">
        <v>100</v>
      </c>
      <c r="G234" s="20">
        <v>38</v>
      </c>
      <c r="H234" s="75">
        <f t="shared" si="16"/>
        <v>248.79023672388362</v>
      </c>
      <c r="J234" s="77">
        <f t="shared" si="18"/>
        <v>10</v>
      </c>
      <c r="K234" s="20">
        <f t="shared" si="19"/>
        <v>38</v>
      </c>
      <c r="L234" s="78">
        <f t="shared" si="17"/>
        <v>15.773085833909725</v>
      </c>
    </row>
    <row r="235" spans="6:12" x14ac:dyDescent="0.2">
      <c r="F235" s="77">
        <v>100</v>
      </c>
      <c r="G235" s="20">
        <v>39</v>
      </c>
      <c r="H235" s="75">
        <f t="shared" si="16"/>
        <v>254.8296747979347</v>
      </c>
      <c r="J235" s="77">
        <f t="shared" si="18"/>
        <v>10</v>
      </c>
      <c r="K235" s="20">
        <f t="shared" si="19"/>
        <v>39</v>
      </c>
      <c r="L235" s="78">
        <f t="shared" si="17"/>
        <v>15.963385442879423</v>
      </c>
    </row>
    <row r="236" spans="6:12" x14ac:dyDescent="0.2">
      <c r="F236" s="77">
        <v>100</v>
      </c>
      <c r="G236" s="20">
        <v>40</v>
      </c>
      <c r="H236" s="75">
        <f t="shared" si="16"/>
        <v>261.0157215682537</v>
      </c>
      <c r="J236" s="77">
        <f t="shared" si="18"/>
        <v>10</v>
      </c>
      <c r="K236" s="20">
        <f t="shared" si="19"/>
        <v>40</v>
      </c>
      <c r="L236" s="78">
        <f t="shared" si="17"/>
        <v>16.155980984398742</v>
      </c>
    </row>
    <row r="237" spans="6:12" x14ac:dyDescent="0.2">
      <c r="F237" s="77">
        <v>100</v>
      </c>
      <c r="G237" s="20">
        <v>41</v>
      </c>
      <c r="H237" s="75">
        <f t="shared" si="16"/>
        <v>267.35193599339908</v>
      </c>
      <c r="J237" s="77">
        <f t="shared" si="18"/>
        <v>10</v>
      </c>
      <c r="K237" s="20">
        <f t="shared" si="19"/>
        <v>41</v>
      </c>
      <c r="L237" s="78">
        <f t="shared" si="17"/>
        <v>16.350900158505009</v>
      </c>
    </row>
    <row r="238" spans="6:12" x14ac:dyDescent="0.2">
      <c r="F238" s="77">
        <v>100</v>
      </c>
      <c r="G238" s="20">
        <v>42</v>
      </c>
      <c r="H238" s="75">
        <f t="shared" si="16"/>
        <v>273.84196342643617</v>
      </c>
      <c r="J238" s="77">
        <f t="shared" si="18"/>
        <v>10</v>
      </c>
      <c r="K238" s="20">
        <f t="shared" si="19"/>
        <v>42</v>
      </c>
      <c r="L238" s="78">
        <f t="shared" si="17"/>
        <v>16.548170999431814</v>
      </c>
    </row>
    <row r="239" spans="6:12" x14ac:dyDescent="0.2">
      <c r="F239" s="77">
        <v>100</v>
      </c>
      <c r="G239" s="20">
        <v>43</v>
      </c>
      <c r="H239" s="75">
        <f t="shared" si="16"/>
        <v>280.48953771218282</v>
      </c>
      <c r="J239" s="77">
        <f t="shared" si="18"/>
        <v>10</v>
      </c>
      <c r="K239" s="20">
        <f t="shared" si="19"/>
        <v>43</v>
      </c>
      <c r="L239" s="78">
        <f t="shared" si="17"/>
        <v>16.74782187964103</v>
      </c>
    </row>
    <row r="240" spans="6:12" x14ac:dyDescent="0.2">
      <c r="F240" s="77">
        <v>100</v>
      </c>
      <c r="G240" s="20">
        <v>44</v>
      </c>
      <c r="H240" s="75">
        <f t="shared" si="16"/>
        <v>287.29848333536643</v>
      </c>
      <c r="J240" s="77">
        <f t="shared" si="18"/>
        <v>10</v>
      </c>
      <c r="K240" s="20">
        <f t="shared" si="19"/>
        <v>44</v>
      </c>
      <c r="L240" s="78">
        <f t="shared" si="17"/>
        <v>16.949881513903467</v>
      </c>
    </row>
    <row r="241" spans="6:12" x14ac:dyDescent="0.2">
      <c r="F241" s="77">
        <v>100</v>
      </c>
      <c r="G241" s="20">
        <v>45</v>
      </c>
      <c r="H241" s="75">
        <f t="shared" si="16"/>
        <v>294.27271762092823</v>
      </c>
      <c r="J241" s="77">
        <f t="shared" si="18"/>
        <v>10</v>
      </c>
      <c r="K241" s="20">
        <f t="shared" si="19"/>
        <v>45</v>
      </c>
      <c r="L241" s="78">
        <f t="shared" si="17"/>
        <v>17.15437896342879</v>
      </c>
    </row>
    <row r="242" spans="6:12" x14ac:dyDescent="0.2">
      <c r="F242" s="77">
        <v>100</v>
      </c>
      <c r="G242" s="20">
        <v>46</v>
      </c>
      <c r="H242" s="75">
        <f t="shared" si="16"/>
        <v>301.41625298773909</v>
      </c>
      <c r="J242" s="77">
        <f t="shared" si="18"/>
        <v>10</v>
      </c>
      <c r="K242" s="20">
        <f t="shared" si="19"/>
        <v>46</v>
      </c>
      <c r="L242" s="78">
        <f t="shared" si="17"/>
        <v>17.361343640045234</v>
      </c>
    </row>
    <row r="243" spans="6:12" x14ac:dyDescent="0.2">
      <c r="F243" s="77">
        <v>100</v>
      </c>
      <c r="G243" s="20">
        <v>47</v>
      </c>
      <c r="H243" s="75">
        <f t="shared" si="16"/>
        <v>308.7331992570264</v>
      </c>
      <c r="J243" s="77">
        <f t="shared" si="18"/>
        <v>10</v>
      </c>
      <c r="K243" s="20">
        <f t="shared" si="19"/>
        <v>47</v>
      </c>
      <c r="L243" s="78">
        <f t="shared" si="17"/>
        <v>17.570805310429755</v>
      </c>
    </row>
    <row r="244" spans="6:12" x14ac:dyDescent="0.2">
      <c r="F244" s="77">
        <v>100</v>
      </c>
      <c r="G244" s="20">
        <v>48</v>
      </c>
      <c r="H244" s="75">
        <f t="shared" si="16"/>
        <v>316.22776601683796</v>
      </c>
      <c r="J244" s="77">
        <f t="shared" si="18"/>
        <v>10</v>
      </c>
      <c r="K244" s="20">
        <f t="shared" si="19"/>
        <v>48</v>
      </c>
      <c r="L244" s="78">
        <f t="shared" si="17"/>
        <v>17.782794100389228</v>
      </c>
    </row>
    <row r="245" spans="6:12" x14ac:dyDescent="0.2">
      <c r="F245" s="77">
        <v>100</v>
      </c>
      <c r="G245" s="20">
        <v>49</v>
      </c>
      <c r="H245" s="75">
        <f t="shared" si="16"/>
        <v>323.90426504390308</v>
      </c>
      <c r="J245" s="77">
        <f t="shared" si="18"/>
        <v>10</v>
      </c>
      <c r="K245" s="20">
        <f t="shared" si="19"/>
        <v>49</v>
      </c>
      <c r="L245" s="78">
        <f t="shared" si="17"/>
        <v>17.997340499193292</v>
      </c>
    </row>
    <row r="246" spans="6:12" x14ac:dyDescent="0.2">
      <c r="F246" s="77">
        <v>100</v>
      </c>
      <c r="G246" s="20">
        <v>50</v>
      </c>
      <c r="H246" s="75">
        <f t="shared" si="16"/>
        <v>331.76711278428581</v>
      </c>
      <c r="J246" s="77">
        <f t="shared" si="18"/>
        <v>10</v>
      </c>
      <c r="K246" s="20">
        <f t="shared" si="19"/>
        <v>50</v>
      </c>
      <c r="L246" s="78">
        <f t="shared" si="17"/>
        <v>18.214475363959451</v>
      </c>
    </row>
    <row r="247" spans="6:12" x14ac:dyDescent="0.2">
      <c r="F247" s="77">
        <v>100</v>
      </c>
      <c r="G247" s="20">
        <v>51</v>
      </c>
      <c r="H247" s="75">
        <f t="shared" si="16"/>
        <v>339.82083289425594</v>
      </c>
      <c r="J247" s="77">
        <f t="shared" si="18"/>
        <v>10</v>
      </c>
      <c r="K247" s="20">
        <f t="shared" si="19"/>
        <v>51</v>
      </c>
      <c r="L247" s="78">
        <f t="shared" si="17"/>
        <v>18.434229924091106</v>
      </c>
    </row>
    <row r="248" spans="6:12" x14ac:dyDescent="0.2">
      <c r="F248" s="77">
        <v>100</v>
      </c>
      <c r="G248" s="20">
        <v>52</v>
      </c>
      <c r="H248" s="75">
        <f t="shared" si="16"/>
        <v>348.07005884284104</v>
      </c>
      <c r="J248" s="77">
        <f t="shared" si="18"/>
        <v>10</v>
      </c>
      <c r="K248" s="20">
        <f t="shared" si="19"/>
        <v>52</v>
      </c>
      <c r="L248" s="78">
        <f t="shared" si="17"/>
        <v>18.656635785769122</v>
      </c>
    </row>
    <row r="249" spans="6:12" x14ac:dyDescent="0.2">
      <c r="F249" s="77">
        <v>100</v>
      </c>
      <c r="G249" s="20">
        <v>53</v>
      </c>
      <c r="H249" s="75">
        <f t="shared" si="16"/>
        <v>356.51953657755496</v>
      </c>
      <c r="J249" s="77">
        <f t="shared" si="18"/>
        <v>10</v>
      </c>
      <c r="K249" s="20">
        <f t="shared" si="19"/>
        <v>53</v>
      </c>
      <c r="L249" s="78">
        <f t="shared" si="17"/>
        <v>18.881724936497591</v>
      </c>
    </row>
    <row r="250" spans="6:12" x14ac:dyDescent="0.2">
      <c r="F250" s="77">
        <v>100</v>
      </c>
      <c r="G250" s="20">
        <v>54</v>
      </c>
      <c r="H250" s="75">
        <f t="shared" si="16"/>
        <v>365.17412725483774</v>
      </c>
      <c r="J250" s="77">
        <f t="shared" si="18"/>
        <v>10</v>
      </c>
      <c r="K250" s="20">
        <f t="shared" si="19"/>
        <v>54</v>
      </c>
      <c r="L250" s="78">
        <f t="shared" si="17"/>
        <v>19.109529749704407</v>
      </c>
    </row>
    <row r="251" spans="6:12" x14ac:dyDescent="0.2">
      <c r="F251" s="77">
        <v>100</v>
      </c>
      <c r="G251" s="20">
        <v>55</v>
      </c>
      <c r="H251" s="75">
        <f t="shared" si="16"/>
        <v>374.03881003677861</v>
      </c>
      <c r="J251" s="77">
        <f t="shared" si="18"/>
        <v>10</v>
      </c>
      <c r="K251" s="20">
        <f t="shared" si="19"/>
        <v>55</v>
      </c>
      <c r="L251" s="78">
        <f t="shared" si="17"/>
        <v>19.340082989397398</v>
      </c>
    </row>
    <row r="252" spans="6:12" x14ac:dyDescent="0.2">
      <c r="F252" s="77">
        <v>100</v>
      </c>
      <c r="G252" s="20">
        <v>56</v>
      </c>
      <c r="H252" s="75">
        <f t="shared" si="16"/>
        <v>383.11868495572884</v>
      </c>
      <c r="J252" s="77">
        <f t="shared" si="18"/>
        <v>10</v>
      </c>
      <c r="K252" s="20">
        <f t="shared" si="19"/>
        <v>56</v>
      </c>
      <c r="L252" s="78">
        <f t="shared" si="17"/>
        <v>19.573417814876603</v>
      </c>
    </row>
    <row r="253" spans="6:12" x14ac:dyDescent="0.2">
      <c r="F253" s="77">
        <v>100</v>
      </c>
      <c r="G253" s="20">
        <v>57</v>
      </c>
      <c r="H253" s="75">
        <f t="shared" si="16"/>
        <v>392.41897584845361</v>
      </c>
      <c r="J253" s="77">
        <f t="shared" si="18"/>
        <v>10</v>
      </c>
      <c r="K253" s="20">
        <f t="shared" si="19"/>
        <v>57</v>
      </c>
      <c r="L253" s="78">
        <f t="shared" si="17"/>
        <v>19.80956778550339</v>
      </c>
    </row>
    <row r="254" spans="6:12" x14ac:dyDescent="0.2">
      <c r="F254" s="77">
        <v>100</v>
      </c>
      <c r="G254" s="20">
        <v>58</v>
      </c>
      <c r="H254" s="75">
        <f t="shared" si="16"/>
        <v>401.94503336151257</v>
      </c>
      <c r="J254" s="77">
        <f t="shared" si="18"/>
        <v>10</v>
      </c>
      <c r="K254" s="20">
        <f t="shared" si="19"/>
        <v>58</v>
      </c>
      <c r="L254" s="78">
        <f t="shared" si="17"/>
        <v>20.048566865527135</v>
      </c>
    </row>
    <row r="255" spans="6:12" x14ac:dyDescent="0.2">
      <c r="F255" s="77">
        <v>100</v>
      </c>
      <c r="G255" s="20">
        <v>59</v>
      </c>
      <c r="H255" s="75">
        <f t="shared" si="16"/>
        <v>411.70233802959484</v>
      </c>
      <c r="J255" s="77">
        <f t="shared" si="18"/>
        <v>10</v>
      </c>
      <c r="K255" s="20">
        <f t="shared" si="19"/>
        <v>59</v>
      </c>
      <c r="L255" s="78">
        <f t="shared" si="17"/>
        <v>20.290449428970145</v>
      </c>
    </row>
    <row r="256" spans="6:12" x14ac:dyDescent="0.2">
      <c r="F256" s="77">
        <v>100</v>
      </c>
      <c r="G256" s="20">
        <v>60</v>
      </c>
      <c r="H256" s="75">
        <f t="shared" si="16"/>
        <v>421.69650342858233</v>
      </c>
      <c r="J256" s="77">
        <f t="shared" si="18"/>
        <v>10</v>
      </c>
      <c r="K256" s="20">
        <f t="shared" si="19"/>
        <v>60</v>
      </c>
      <c r="L256" s="78">
        <f t="shared" si="17"/>
        <v>20.535250264571463</v>
      </c>
    </row>
    <row r="257" spans="6:12" x14ac:dyDescent="0.2">
      <c r="F257" s="77">
        <v>100</v>
      </c>
      <c r="G257" s="20">
        <v>61</v>
      </c>
      <c r="H257" s="75">
        <f t="shared" si="16"/>
        <v>431.93327940515445</v>
      </c>
      <c r="J257" s="77">
        <f t="shared" si="18"/>
        <v>10</v>
      </c>
      <c r="K257" s="20">
        <f t="shared" si="19"/>
        <v>61</v>
      </c>
      <c r="L257" s="78">
        <f t="shared" si="17"/>
        <v>20.78300458079039</v>
      </c>
    </row>
    <row r="258" spans="6:12" x14ac:dyDescent="0.2">
      <c r="F258" s="77">
        <v>100</v>
      </c>
      <c r="G258" s="20">
        <v>62</v>
      </c>
      <c r="H258" s="75">
        <f t="shared" si="16"/>
        <v>442.41855538479183</v>
      </c>
      <c r="J258" s="77">
        <f t="shared" si="18"/>
        <v>10</v>
      </c>
      <c r="K258" s="20">
        <f t="shared" si="19"/>
        <v>62</v>
      </c>
      <c r="L258" s="78">
        <f t="shared" si="17"/>
        <v>21.033748010870337</v>
      </c>
    </row>
    <row r="259" spans="6:12" x14ac:dyDescent="0.2">
      <c r="F259" s="77">
        <v>100</v>
      </c>
      <c r="G259" s="20">
        <v>63</v>
      </c>
      <c r="H259" s="75">
        <f t="shared" si="16"/>
        <v>453.1583637600819</v>
      </c>
      <c r="J259" s="77">
        <f t="shared" si="18"/>
        <v>10</v>
      </c>
      <c r="K259" s="20">
        <f t="shared" si="19"/>
        <v>63</v>
      </c>
      <c r="L259" s="78">
        <f t="shared" si="17"/>
        <v>21.287516617963725</v>
      </c>
    </row>
    <row r="260" spans="6:12" x14ac:dyDescent="0.2">
      <c r="F260" s="77">
        <v>100</v>
      </c>
      <c r="G260" s="20">
        <v>64</v>
      </c>
      <c r="H260" s="75">
        <f t="shared" ref="H260:H323" si="20">F260*10^(G260/96)</f>
        <v>464.15888336127796</v>
      </c>
      <c r="J260" s="77">
        <f t="shared" si="18"/>
        <v>10</v>
      </c>
      <c r="K260" s="20">
        <f t="shared" si="19"/>
        <v>64</v>
      </c>
      <c r="L260" s="78">
        <f t="shared" si="17"/>
        <v>21.544346900318839</v>
      </c>
    </row>
    <row r="261" spans="6:12" x14ac:dyDescent="0.2">
      <c r="F261" s="77">
        <v>100</v>
      </c>
      <c r="G261" s="20">
        <v>65</v>
      </c>
      <c r="H261" s="75">
        <f t="shared" si="20"/>
        <v>475.42644301110568</v>
      </c>
      <c r="J261" s="77">
        <f t="shared" si="18"/>
        <v>10</v>
      </c>
      <c r="K261" s="20">
        <f t="shared" si="19"/>
        <v>65</v>
      </c>
      <c r="L261" s="78">
        <f t="shared" ref="L261:L324" si="21">J261*10^(K261/192)</f>
        <v>21.804275796529122</v>
      </c>
    </row>
    <row r="262" spans="6:12" x14ac:dyDescent="0.2">
      <c r="F262" s="77">
        <v>100</v>
      </c>
      <c r="G262" s="20">
        <v>66</v>
      </c>
      <c r="H262" s="75">
        <f t="shared" si="20"/>
        <v>486.96752516586315</v>
      </c>
      <c r="J262" s="77">
        <f t="shared" ref="J262:J325" si="22">J69*10</f>
        <v>10</v>
      </c>
      <c r="K262" s="20">
        <f t="shared" ref="K262:K325" si="23">K261+1</f>
        <v>66</v>
      </c>
      <c r="L262" s="78">
        <f t="shared" si="21"/>
        <v>22.067340690845899</v>
      </c>
    </row>
    <row r="263" spans="6:12" x14ac:dyDescent="0.2">
      <c r="F263" s="77">
        <v>100</v>
      </c>
      <c r="G263" s="20">
        <v>67</v>
      </c>
      <c r="H263" s="75">
        <f t="shared" si="20"/>
        <v>498.78876964491059</v>
      </c>
      <c r="J263" s="77">
        <f t="shared" si="22"/>
        <v>10</v>
      </c>
      <c r="K263" s="20">
        <f t="shared" si="23"/>
        <v>67</v>
      </c>
      <c r="L263" s="78">
        <f t="shared" si="21"/>
        <v>22.333579418555161</v>
      </c>
    </row>
    <row r="264" spans="6:12" x14ac:dyDescent="0.2">
      <c r="F264" s="77">
        <v>100</v>
      </c>
      <c r="G264" s="20">
        <v>68</v>
      </c>
      <c r="H264" s="75">
        <f t="shared" si="20"/>
        <v>510.89697745069287</v>
      </c>
      <c r="J264" s="77">
        <f t="shared" si="22"/>
        <v>10</v>
      </c>
      <c r="K264" s="20">
        <f t="shared" si="23"/>
        <v>68</v>
      </c>
      <c r="L264" s="78">
        <f t="shared" si="21"/>
        <v>22.6030302714192</v>
      </c>
    </row>
    <row r="265" spans="6:12" x14ac:dyDescent="0.2">
      <c r="F265" s="77">
        <v>100</v>
      </c>
      <c r="G265" s="20">
        <v>69</v>
      </c>
      <c r="H265" s="75">
        <f t="shared" si="20"/>
        <v>523.29911468149476</v>
      </c>
      <c r="J265" s="77">
        <f t="shared" si="22"/>
        <v>10</v>
      </c>
      <c r="K265" s="20">
        <f t="shared" si="23"/>
        <v>69</v>
      </c>
      <c r="L265" s="78">
        <f t="shared" si="21"/>
        <v>22.875732003183963</v>
      </c>
    </row>
    <row r="266" spans="6:12" x14ac:dyDescent="0.2">
      <c r="F266" s="77">
        <v>100</v>
      </c>
      <c r="G266" s="20">
        <v>70</v>
      </c>
      <c r="H266" s="75">
        <f t="shared" si="20"/>
        <v>536.00231653917922</v>
      </c>
      <c r="J266" s="77">
        <f t="shared" si="22"/>
        <v>10</v>
      </c>
      <c r="K266" s="20">
        <f t="shared" si="23"/>
        <v>70</v>
      </c>
      <c r="L266" s="78">
        <f t="shared" si="21"/>
        <v>23.151723835152733</v>
      </c>
    </row>
    <row r="267" spans="6:12" x14ac:dyDescent="0.2">
      <c r="F267" s="77">
        <v>100</v>
      </c>
      <c r="G267" s="20">
        <v>71</v>
      </c>
      <c r="H267" s="75">
        <f t="shared" si="20"/>
        <v>549.0138914342142</v>
      </c>
      <c r="J267" s="77">
        <f t="shared" si="22"/>
        <v>10</v>
      </c>
      <c r="K267" s="20">
        <f t="shared" si="23"/>
        <v>71</v>
      </c>
      <c r="L267" s="78">
        <f t="shared" si="21"/>
        <v>23.431045461827225</v>
      </c>
    </row>
    <row r="268" spans="6:12" x14ac:dyDescent="0.2">
      <c r="F268" s="77">
        <v>100</v>
      </c>
      <c r="G268" s="20">
        <v>72</v>
      </c>
      <c r="H268" s="75">
        <f t="shared" si="20"/>
        <v>562.34132519034915</v>
      </c>
      <c r="J268" s="77">
        <f t="shared" si="22"/>
        <v>10</v>
      </c>
      <c r="K268" s="20">
        <f t="shared" si="23"/>
        <v>72</v>
      </c>
      <c r="L268" s="78">
        <f t="shared" si="21"/>
        <v>23.713737056616555</v>
      </c>
    </row>
    <row r="269" spans="6:12" x14ac:dyDescent="0.2">
      <c r="F269" s="77">
        <v>100</v>
      </c>
      <c r="G269" s="20">
        <v>73</v>
      </c>
      <c r="H269" s="75">
        <f t="shared" si="20"/>
        <v>575.99228535136285</v>
      </c>
      <c r="J269" s="77">
        <f t="shared" si="22"/>
        <v>10</v>
      </c>
      <c r="K269" s="20">
        <f t="shared" si="23"/>
        <v>73</v>
      </c>
      <c r="L269" s="78">
        <f t="shared" si="21"/>
        <v>23.999839277615234</v>
      </c>
    </row>
    <row r="270" spans="6:12" x14ac:dyDescent="0.2">
      <c r="F270" s="77">
        <v>100</v>
      </c>
      <c r="G270" s="20">
        <v>74</v>
      </c>
      <c r="H270" s="75">
        <f t="shared" si="20"/>
        <v>589.97462559235657</v>
      </c>
      <c r="J270" s="77">
        <f t="shared" si="22"/>
        <v>10</v>
      </c>
      <c r="K270" s="20">
        <f t="shared" si="23"/>
        <v>74</v>
      </c>
      <c r="L270" s="78">
        <f t="shared" si="21"/>
        <v>24.289393273450791</v>
      </c>
    </row>
    <row r="271" spans="6:12" x14ac:dyDescent="0.2">
      <c r="F271" s="77">
        <v>100</v>
      </c>
      <c r="G271" s="20">
        <v>75</v>
      </c>
      <c r="H271" s="75">
        <f t="shared" si="20"/>
        <v>604.29639023813286</v>
      </c>
      <c r="J271" s="77">
        <f t="shared" si="22"/>
        <v>10</v>
      </c>
      <c r="K271" s="20">
        <f t="shared" si="23"/>
        <v>75</v>
      </c>
      <c r="L271" s="78">
        <f t="shared" si="21"/>
        <v>24.582440689201977</v>
      </c>
    </row>
    <row r="272" spans="6:12" x14ac:dyDescent="0.2">
      <c r="F272" s="77">
        <v>100</v>
      </c>
      <c r="G272" s="20">
        <v>76</v>
      </c>
      <c r="H272" s="75">
        <f t="shared" si="20"/>
        <v>618.9658188912606</v>
      </c>
      <c r="J272" s="77">
        <f t="shared" si="22"/>
        <v>10</v>
      </c>
      <c r="K272" s="20">
        <f t="shared" si="23"/>
        <v>76</v>
      </c>
      <c r="L272" s="78">
        <f t="shared" si="21"/>
        <v>24.879023672388364</v>
      </c>
    </row>
    <row r="273" spans="6:12" x14ac:dyDescent="0.2">
      <c r="F273" s="77">
        <v>100</v>
      </c>
      <c r="G273" s="20">
        <v>77</v>
      </c>
      <c r="H273" s="75">
        <f t="shared" si="20"/>
        <v>633.99135117248454</v>
      </c>
      <c r="J273" s="77">
        <f t="shared" si="22"/>
        <v>10</v>
      </c>
      <c r="K273" s="20">
        <f t="shared" si="23"/>
        <v>77</v>
      </c>
      <c r="L273" s="78">
        <f t="shared" si="21"/>
        <v>25.179184879032217</v>
      </c>
    </row>
    <row r="274" spans="6:12" x14ac:dyDescent="0.2">
      <c r="F274" s="77">
        <v>100</v>
      </c>
      <c r="G274" s="20">
        <v>78</v>
      </c>
      <c r="H274" s="75">
        <f t="shared" si="20"/>
        <v>649.38163157621148</v>
      </c>
      <c r="J274" s="77">
        <f t="shared" si="22"/>
        <v>10</v>
      </c>
      <c r="K274" s="20">
        <f t="shared" si="23"/>
        <v>78</v>
      </c>
      <c r="L274" s="78">
        <f t="shared" si="21"/>
        <v>25.482967479793469</v>
      </c>
    </row>
    <row r="275" spans="6:12" x14ac:dyDescent="0.2">
      <c r="F275" s="77">
        <v>100</v>
      </c>
      <c r="G275" s="20">
        <v>79</v>
      </c>
      <c r="H275" s="75">
        <f t="shared" si="20"/>
        <v>665.14551444386336</v>
      </c>
      <c r="J275" s="77">
        <f t="shared" si="22"/>
        <v>10</v>
      </c>
      <c r="K275" s="20">
        <f t="shared" si="23"/>
        <v>79</v>
      </c>
      <c r="L275" s="78">
        <f t="shared" si="21"/>
        <v>25.790415166178761</v>
      </c>
    </row>
    <row r="276" spans="6:12" x14ac:dyDescent="0.2">
      <c r="F276" s="77">
        <v>100</v>
      </c>
      <c r="G276" s="20">
        <v>80</v>
      </c>
      <c r="H276" s="75">
        <f t="shared" si="20"/>
        <v>681.29206905796138</v>
      </c>
      <c r="J276" s="77">
        <f t="shared" si="22"/>
        <v>10</v>
      </c>
      <c r="K276" s="20">
        <f t="shared" si="23"/>
        <v>80</v>
      </c>
      <c r="L276" s="78">
        <f t="shared" si="21"/>
        <v>26.101572156825373</v>
      </c>
    </row>
    <row r="277" spans="6:12" x14ac:dyDescent="0.2">
      <c r="F277" s="77">
        <v>100</v>
      </c>
      <c r="G277" s="20">
        <v>81</v>
      </c>
      <c r="H277" s="75">
        <f t="shared" si="20"/>
        <v>697.83058485986646</v>
      </c>
      <c r="J277" s="77">
        <f t="shared" si="22"/>
        <v>10</v>
      </c>
      <c r="K277" s="20">
        <f t="shared" si="23"/>
        <v>81</v>
      </c>
      <c r="L277" s="78">
        <f t="shared" si="21"/>
        <v>26.416483203860928</v>
      </c>
    </row>
    <row r="278" spans="6:12" x14ac:dyDescent="0.2">
      <c r="F278" s="77">
        <v>100</v>
      </c>
      <c r="G278" s="20">
        <v>82</v>
      </c>
      <c r="H278" s="75">
        <f t="shared" si="20"/>
        <v>714.77057679418567</v>
      </c>
      <c r="J278" s="77">
        <f t="shared" si="22"/>
        <v>10</v>
      </c>
      <c r="K278" s="20">
        <f t="shared" si="23"/>
        <v>82</v>
      </c>
      <c r="L278" s="78">
        <f t="shared" si="21"/>
        <v>26.735193599339908</v>
      </c>
    </row>
    <row r="279" spans="6:12" x14ac:dyDescent="0.2">
      <c r="F279" s="77">
        <v>100</v>
      </c>
      <c r="G279" s="20">
        <v>83</v>
      </c>
      <c r="H279" s="75">
        <f t="shared" si="20"/>
        <v>732.12179078291308</v>
      </c>
      <c r="J279" s="77">
        <f t="shared" si="22"/>
        <v>10</v>
      </c>
      <c r="K279" s="20">
        <f t="shared" si="23"/>
        <v>83</v>
      </c>
      <c r="L279" s="78">
        <f t="shared" si="21"/>
        <v>27.057749181757767</v>
      </c>
    </row>
    <row r="280" spans="6:12" x14ac:dyDescent="0.2">
      <c r="F280" s="77">
        <v>100</v>
      </c>
      <c r="G280" s="20">
        <v>84</v>
      </c>
      <c r="H280" s="75">
        <f t="shared" si="20"/>
        <v>749.89420933245594</v>
      </c>
      <c r="J280" s="77">
        <f t="shared" si="22"/>
        <v>10</v>
      </c>
      <c r="K280" s="20">
        <f t="shared" si="23"/>
        <v>84</v>
      </c>
      <c r="L280" s="78">
        <f t="shared" si="21"/>
        <v>27.384196342643612</v>
      </c>
    </row>
    <row r="281" spans="6:12" x14ac:dyDescent="0.2">
      <c r="F281" s="77">
        <v>100</v>
      </c>
      <c r="G281" s="20">
        <v>85</v>
      </c>
      <c r="H281" s="75">
        <f t="shared" si="20"/>
        <v>768.09805727677553</v>
      </c>
      <c r="J281" s="77">
        <f t="shared" si="22"/>
        <v>10</v>
      </c>
      <c r="K281" s="20">
        <f t="shared" si="23"/>
        <v>85</v>
      </c>
      <c r="L281" s="78">
        <f t="shared" si="21"/>
        <v>27.714582033232531</v>
      </c>
    </row>
    <row r="282" spans="6:12" x14ac:dyDescent="0.2">
      <c r="F282" s="77">
        <v>100</v>
      </c>
      <c r="G282" s="20">
        <v>86</v>
      </c>
      <c r="H282" s="75">
        <f t="shared" si="20"/>
        <v>786.74380765994033</v>
      </c>
      <c r="J282" s="77">
        <f t="shared" si="22"/>
        <v>10</v>
      </c>
      <c r="K282" s="20">
        <f t="shared" si="23"/>
        <v>86</v>
      </c>
      <c r="L282" s="78">
        <f t="shared" si="21"/>
        <v>28.048953771218279</v>
      </c>
    </row>
    <row r="283" spans="6:12" x14ac:dyDescent="0.2">
      <c r="F283" s="77">
        <v>100</v>
      </c>
      <c r="G283" s="20">
        <v>87</v>
      </c>
      <c r="H283" s="75">
        <f t="shared" si="20"/>
        <v>805.84218776148191</v>
      </c>
      <c r="J283" s="77">
        <f t="shared" si="22"/>
        <v>10</v>
      </c>
      <c r="K283" s="20">
        <f t="shared" si="23"/>
        <v>87</v>
      </c>
      <c r="L283" s="78">
        <f t="shared" si="21"/>
        <v>28.387359647587548</v>
      </c>
    </row>
    <row r="284" spans="6:12" x14ac:dyDescent="0.2">
      <c r="F284" s="77">
        <v>100</v>
      </c>
      <c r="G284" s="20">
        <v>88</v>
      </c>
      <c r="H284" s="75">
        <f t="shared" si="20"/>
        <v>825.4041852680183</v>
      </c>
      <c r="J284" s="77">
        <f t="shared" si="22"/>
        <v>10</v>
      </c>
      <c r="K284" s="20">
        <f t="shared" si="23"/>
        <v>88</v>
      </c>
      <c r="L284" s="78">
        <f t="shared" si="21"/>
        <v>28.729848333536644</v>
      </c>
    </row>
    <row r="285" spans="6:12" x14ac:dyDescent="0.2">
      <c r="F285" s="77">
        <v>100</v>
      </c>
      <c r="G285" s="20">
        <v>89</v>
      </c>
      <c r="H285" s="75">
        <f t="shared" si="20"/>
        <v>845.44105459469245</v>
      </c>
      <c r="J285" s="77">
        <f t="shared" si="22"/>
        <v>10</v>
      </c>
      <c r="K285" s="20">
        <f t="shared" si="23"/>
        <v>89</v>
      </c>
      <c r="L285" s="78">
        <f t="shared" si="21"/>
        <v>29.076469087471615</v>
      </c>
    </row>
    <row r="286" spans="6:12" x14ac:dyDescent="0.2">
      <c r="F286" s="77">
        <v>100</v>
      </c>
      <c r="G286" s="20">
        <v>90</v>
      </c>
      <c r="H286" s="75">
        <f t="shared" si="20"/>
        <v>865.96432336006558</v>
      </c>
      <c r="J286" s="77">
        <f t="shared" si="22"/>
        <v>10</v>
      </c>
      <c r="K286" s="20">
        <f t="shared" si="23"/>
        <v>90</v>
      </c>
      <c r="L286" s="78">
        <f t="shared" si="21"/>
        <v>29.427271762092822</v>
      </c>
    </row>
    <row r="287" spans="6:12" x14ac:dyDescent="0.2">
      <c r="F287" s="77">
        <v>100</v>
      </c>
      <c r="G287" s="20">
        <v>91</v>
      </c>
      <c r="H287" s="75">
        <f t="shared" si="20"/>
        <v>886.98579901819187</v>
      </c>
      <c r="J287" s="77">
        <f t="shared" si="22"/>
        <v>10</v>
      </c>
      <c r="K287" s="20">
        <f t="shared" si="23"/>
        <v>91</v>
      </c>
      <c r="L287" s="78">
        <f t="shared" si="21"/>
        <v>29.782306811565014</v>
      </c>
    </row>
    <row r="288" spans="6:12" x14ac:dyDescent="0.2">
      <c r="F288" s="77">
        <v>100</v>
      </c>
      <c r="G288" s="20">
        <v>92</v>
      </c>
      <c r="H288" s="75">
        <f t="shared" si="20"/>
        <v>908.51757565168703</v>
      </c>
      <c r="J288" s="77">
        <f t="shared" si="22"/>
        <v>10</v>
      </c>
      <c r="K288" s="20">
        <f t="shared" si="23"/>
        <v>92</v>
      </c>
      <c r="L288" s="78">
        <f t="shared" si="21"/>
        <v>30.141625298773906</v>
      </c>
    </row>
    <row r="289" spans="6:12" x14ac:dyDescent="0.2">
      <c r="F289" s="77">
        <v>100</v>
      </c>
      <c r="G289" s="20">
        <v>93</v>
      </c>
      <c r="H289" s="75">
        <f t="shared" si="20"/>
        <v>930.57204092969903</v>
      </c>
      <c r="J289" s="77">
        <f t="shared" si="22"/>
        <v>10</v>
      </c>
      <c r="K289" s="20">
        <f t="shared" si="23"/>
        <v>93</v>
      </c>
      <c r="L289" s="78">
        <f t="shared" si="21"/>
        <v>30.505278902670256</v>
      </c>
    </row>
    <row r="290" spans="6:12" x14ac:dyDescent="0.2">
      <c r="F290" s="77">
        <v>100</v>
      </c>
      <c r="G290" s="20">
        <v>94</v>
      </c>
      <c r="H290" s="75">
        <f t="shared" si="20"/>
        <v>953.16188323478775</v>
      </c>
      <c r="J290" s="77">
        <f t="shared" si="22"/>
        <v>10</v>
      </c>
      <c r="K290" s="20">
        <f t="shared" si="23"/>
        <v>94</v>
      </c>
      <c r="L290" s="78">
        <f t="shared" si="21"/>
        <v>30.873319925702638</v>
      </c>
    </row>
    <row r="291" spans="6:12" x14ac:dyDescent="0.2">
      <c r="F291" s="77">
        <v>100</v>
      </c>
      <c r="G291" s="20">
        <v>95</v>
      </c>
      <c r="H291" s="75">
        <f t="shared" si="20"/>
        <v>976.30009896280785</v>
      </c>
      <c r="J291" s="77">
        <f t="shared" si="22"/>
        <v>10</v>
      </c>
      <c r="K291" s="20">
        <f t="shared" si="23"/>
        <v>95</v>
      </c>
      <c r="L291" s="78">
        <f t="shared" si="21"/>
        <v>31.245801301339799</v>
      </c>
    </row>
    <row r="292" spans="6:12" x14ac:dyDescent="0.2">
      <c r="F292" s="77">
        <v>100</v>
      </c>
      <c r="G292" s="20">
        <v>96</v>
      </c>
      <c r="H292" s="75">
        <f t="shared" si="20"/>
        <v>1000</v>
      </c>
      <c r="J292" s="77">
        <f t="shared" si="22"/>
        <v>10</v>
      </c>
      <c r="K292" s="20">
        <f t="shared" si="23"/>
        <v>96</v>
      </c>
      <c r="L292" s="78">
        <f t="shared" si="21"/>
        <v>31.622776601683796</v>
      </c>
    </row>
    <row r="293" spans="6:12" x14ac:dyDescent="0.2">
      <c r="F293" s="77">
        <f>F197*10</f>
        <v>1000</v>
      </c>
      <c r="G293" s="20">
        <v>1</v>
      </c>
      <c r="H293" s="75">
        <f t="shared" si="20"/>
        <v>1024.2752213815922</v>
      </c>
      <c r="J293" s="77">
        <f t="shared" si="22"/>
        <v>10</v>
      </c>
      <c r="K293" s="20">
        <f t="shared" si="23"/>
        <v>97</v>
      </c>
      <c r="L293" s="78">
        <f t="shared" si="21"/>
        <v>32.004300045175064</v>
      </c>
    </row>
    <row r="294" spans="6:12" x14ac:dyDescent="0.2">
      <c r="F294" s="77">
        <f t="shared" ref="F294:F357" si="24">F198*10</f>
        <v>1000</v>
      </c>
      <c r="G294" s="20">
        <v>2</v>
      </c>
      <c r="H294" s="75">
        <f t="shared" si="20"/>
        <v>1049.1397291363098</v>
      </c>
      <c r="J294" s="77">
        <f t="shared" si="22"/>
        <v>10</v>
      </c>
      <c r="K294" s="20">
        <f t="shared" si="23"/>
        <v>98</v>
      </c>
      <c r="L294" s="78">
        <f t="shared" si="21"/>
        <v>32.390426504390305</v>
      </c>
    </row>
    <row r="295" spans="6:12" x14ac:dyDescent="0.2">
      <c r="F295" s="77">
        <f t="shared" si="24"/>
        <v>1000</v>
      </c>
      <c r="G295" s="20">
        <v>3</v>
      </c>
      <c r="H295" s="75">
        <f t="shared" si="20"/>
        <v>1074.6078283213174</v>
      </c>
      <c r="J295" s="77">
        <f t="shared" si="22"/>
        <v>10</v>
      </c>
      <c r="K295" s="20">
        <f t="shared" si="23"/>
        <v>99</v>
      </c>
      <c r="L295" s="78">
        <f t="shared" si="21"/>
        <v>32.781211513934593</v>
      </c>
    </row>
    <row r="296" spans="6:12" x14ac:dyDescent="0.2">
      <c r="F296" s="77">
        <f t="shared" si="24"/>
        <v>1000</v>
      </c>
      <c r="G296" s="20">
        <v>4</v>
      </c>
      <c r="H296" s="75">
        <f t="shared" si="20"/>
        <v>1100.6941712522096</v>
      </c>
      <c r="J296" s="77">
        <f t="shared" si="22"/>
        <v>10</v>
      </c>
      <c r="K296" s="20">
        <f t="shared" si="23"/>
        <v>100</v>
      </c>
      <c r="L296" s="78">
        <f t="shared" si="21"/>
        <v>33.176711278428577</v>
      </c>
    </row>
    <row r="297" spans="6:12" x14ac:dyDescent="0.2">
      <c r="F297" s="77">
        <f t="shared" si="24"/>
        <v>1000</v>
      </c>
      <c r="G297" s="20">
        <v>5</v>
      </c>
      <c r="H297" s="75">
        <f t="shared" si="20"/>
        <v>1127.4137659327853</v>
      </c>
      <c r="J297" s="77">
        <f t="shared" si="22"/>
        <v>10</v>
      </c>
      <c r="K297" s="20">
        <f t="shared" si="23"/>
        <v>101</v>
      </c>
      <c r="L297" s="78">
        <f t="shared" si="21"/>
        <v>33.576982680592153</v>
      </c>
    </row>
    <row r="298" spans="6:12" x14ac:dyDescent="0.2">
      <c r="F298" s="77">
        <f t="shared" si="24"/>
        <v>1000</v>
      </c>
      <c r="G298" s="20">
        <v>6</v>
      </c>
      <c r="H298" s="75">
        <f t="shared" si="20"/>
        <v>1154.7819846894583</v>
      </c>
      <c r="J298" s="77">
        <f t="shared" si="22"/>
        <v>10</v>
      </c>
      <c r="K298" s="20">
        <f t="shared" si="23"/>
        <v>102</v>
      </c>
      <c r="L298" s="78">
        <f t="shared" si="21"/>
        <v>33.982083289425596</v>
      </c>
    </row>
    <row r="299" spans="6:12" x14ac:dyDescent="0.2">
      <c r="F299" s="77">
        <f t="shared" si="24"/>
        <v>1000</v>
      </c>
      <c r="G299" s="20">
        <v>7</v>
      </c>
      <c r="H299" s="75">
        <f t="shared" si="20"/>
        <v>1182.8145730152692</v>
      </c>
      <c r="J299" s="77">
        <f t="shared" si="22"/>
        <v>10</v>
      </c>
      <c r="K299" s="20">
        <f t="shared" si="23"/>
        <v>103</v>
      </c>
      <c r="L299" s="78">
        <f t="shared" si="21"/>
        <v>34.392071368489418</v>
      </c>
    </row>
    <row r="300" spans="6:12" x14ac:dyDescent="0.2">
      <c r="F300" s="77">
        <f t="shared" si="24"/>
        <v>1000</v>
      </c>
      <c r="G300" s="20">
        <v>8</v>
      </c>
      <c r="H300" s="75">
        <f t="shared" si="20"/>
        <v>1211.5276586285886</v>
      </c>
      <c r="J300" s="77">
        <f t="shared" si="22"/>
        <v>10</v>
      </c>
      <c r="K300" s="20">
        <f t="shared" si="23"/>
        <v>104</v>
      </c>
      <c r="L300" s="78">
        <f t="shared" si="21"/>
        <v>34.807005884284109</v>
      </c>
    </row>
    <row r="301" spans="6:12" x14ac:dyDescent="0.2">
      <c r="F301" s="77">
        <f t="shared" si="24"/>
        <v>1000</v>
      </c>
      <c r="G301" s="20">
        <v>9</v>
      </c>
      <c r="H301" s="75">
        <f t="shared" si="20"/>
        <v>1240.9377607517197</v>
      </c>
      <c r="J301" s="77">
        <f t="shared" si="22"/>
        <v>10</v>
      </c>
      <c r="K301" s="20">
        <f t="shared" si="23"/>
        <v>105</v>
      </c>
      <c r="L301" s="78">
        <f t="shared" si="21"/>
        <v>35.226946514731019</v>
      </c>
    </row>
    <row r="302" spans="6:12" x14ac:dyDescent="0.2">
      <c r="F302" s="77">
        <f t="shared" si="24"/>
        <v>1000</v>
      </c>
      <c r="G302" s="20">
        <v>10</v>
      </c>
      <c r="H302" s="75">
        <f t="shared" si="20"/>
        <v>1271.0617996147448</v>
      </c>
      <c r="J302" s="77">
        <f t="shared" si="22"/>
        <v>10</v>
      </c>
      <c r="K302" s="20">
        <f t="shared" si="23"/>
        <v>106</v>
      </c>
      <c r="L302" s="78">
        <f t="shared" si="21"/>
        <v>35.651953657755499</v>
      </c>
    </row>
    <row r="303" spans="6:12" x14ac:dyDescent="0.2">
      <c r="F303" s="77">
        <f t="shared" si="24"/>
        <v>1000</v>
      </c>
      <c r="G303" s="20">
        <v>11</v>
      </c>
      <c r="H303" s="75">
        <f t="shared" si="20"/>
        <v>1301.9171061900779</v>
      </c>
      <c r="J303" s="77">
        <f t="shared" si="22"/>
        <v>10</v>
      </c>
      <c r="K303" s="20">
        <f t="shared" si="23"/>
        <v>107</v>
      </c>
      <c r="L303" s="78">
        <f t="shared" si="21"/>
        <v>36.082088439973617</v>
      </c>
    </row>
    <row r="304" spans="6:12" x14ac:dyDescent="0.2">
      <c r="F304" s="77">
        <f t="shared" si="24"/>
        <v>1000</v>
      </c>
      <c r="G304" s="20">
        <v>12</v>
      </c>
      <c r="H304" s="75">
        <f t="shared" si="20"/>
        <v>1333.5214321633239</v>
      </c>
      <c r="J304" s="77">
        <f t="shared" si="22"/>
        <v>10</v>
      </c>
      <c r="K304" s="20">
        <f t="shared" si="23"/>
        <v>108</v>
      </c>
      <c r="L304" s="78">
        <f t="shared" si="21"/>
        <v>36.517412725483773</v>
      </c>
    </row>
    <row r="305" spans="6:12" x14ac:dyDescent="0.2">
      <c r="F305" s="77">
        <f t="shared" si="24"/>
        <v>1000</v>
      </c>
      <c r="G305" s="20">
        <v>13</v>
      </c>
      <c r="H305" s="75">
        <f t="shared" si="20"/>
        <v>1365.8929601461866</v>
      </c>
      <c r="J305" s="77">
        <f t="shared" si="22"/>
        <v>10</v>
      </c>
      <c r="K305" s="20">
        <f t="shared" si="23"/>
        <v>109</v>
      </c>
      <c r="L305" s="78">
        <f t="shared" si="21"/>
        <v>36.957989124764183</v>
      </c>
    </row>
    <row r="306" spans="6:12" x14ac:dyDescent="0.2">
      <c r="F306" s="77">
        <f t="shared" si="24"/>
        <v>1000</v>
      </c>
      <c r="G306" s="20">
        <v>14</v>
      </c>
      <c r="H306" s="75">
        <f t="shared" si="20"/>
        <v>1399.0503141372938</v>
      </c>
      <c r="J306" s="77">
        <f t="shared" si="22"/>
        <v>10</v>
      </c>
      <c r="K306" s="20">
        <f t="shared" si="23"/>
        <v>110</v>
      </c>
      <c r="L306" s="78">
        <f t="shared" si="21"/>
        <v>37.40388100367786</v>
      </c>
    </row>
    <row r="307" spans="6:12" x14ac:dyDescent="0.2">
      <c r="F307" s="77">
        <f t="shared" si="24"/>
        <v>1000</v>
      </c>
      <c r="G307" s="20">
        <v>15</v>
      </c>
      <c r="H307" s="75">
        <f t="shared" si="20"/>
        <v>1433.012570236963</v>
      </c>
      <c r="J307" s="77">
        <f t="shared" si="22"/>
        <v>10</v>
      </c>
      <c r="K307" s="20">
        <f t="shared" si="23"/>
        <v>111</v>
      </c>
      <c r="L307" s="78">
        <f t="shared" si="21"/>
        <v>37.855152492586299</v>
      </c>
    </row>
    <row r="308" spans="6:12" x14ac:dyDescent="0.2">
      <c r="F308" s="77">
        <f t="shared" si="24"/>
        <v>1000</v>
      </c>
      <c r="G308" s="20">
        <v>16</v>
      </c>
      <c r="H308" s="75">
        <f t="shared" si="20"/>
        <v>1467.7992676220697</v>
      </c>
      <c r="J308" s="77">
        <f t="shared" si="22"/>
        <v>10</v>
      </c>
      <c r="K308" s="20">
        <f t="shared" si="23"/>
        <v>112</v>
      </c>
      <c r="L308" s="78">
        <f t="shared" si="21"/>
        <v>38.311868495572881</v>
      </c>
    </row>
    <row r="309" spans="6:12" x14ac:dyDescent="0.2">
      <c r="F309" s="77">
        <f t="shared" si="24"/>
        <v>1000</v>
      </c>
      <c r="G309" s="20">
        <v>17</v>
      </c>
      <c r="H309" s="75">
        <f t="shared" si="20"/>
        <v>1503.4304197873344</v>
      </c>
      <c r="J309" s="77">
        <f t="shared" si="22"/>
        <v>10</v>
      </c>
      <c r="K309" s="20">
        <f t="shared" si="23"/>
        <v>113</v>
      </c>
      <c r="L309" s="78">
        <f t="shared" si="21"/>
        <v>38.77409469977777</v>
      </c>
    </row>
    <row r="310" spans="6:12" x14ac:dyDescent="0.2">
      <c r="F310" s="77">
        <f t="shared" si="24"/>
        <v>1000</v>
      </c>
      <c r="G310" s="20">
        <v>18</v>
      </c>
      <c r="H310" s="75">
        <f t="shared" si="20"/>
        <v>1539.9265260594921</v>
      </c>
      <c r="J310" s="77">
        <f t="shared" si="22"/>
        <v>10</v>
      </c>
      <c r="K310" s="20">
        <f t="shared" si="23"/>
        <v>114</v>
      </c>
      <c r="L310" s="78">
        <f t="shared" si="21"/>
        <v>39.241897584845361</v>
      </c>
    </row>
    <row r="311" spans="6:12" x14ac:dyDescent="0.2">
      <c r="F311" s="77">
        <f t="shared" si="24"/>
        <v>1000</v>
      </c>
      <c r="G311" s="20">
        <v>19</v>
      </c>
      <c r="H311" s="75">
        <f t="shared" si="20"/>
        <v>1577.3085833909727</v>
      </c>
      <c r="J311" s="77">
        <f t="shared" si="22"/>
        <v>10</v>
      </c>
      <c r="K311" s="20">
        <f t="shared" si="23"/>
        <v>115</v>
      </c>
      <c r="L311" s="78">
        <f t="shared" si="21"/>
        <v>39.715344432485708</v>
      </c>
    </row>
    <row r="312" spans="6:12" x14ac:dyDescent="0.2">
      <c r="F312" s="77">
        <f t="shared" si="24"/>
        <v>1000</v>
      </c>
      <c r="G312" s="20">
        <v>20</v>
      </c>
      <c r="H312" s="75">
        <f t="shared" si="20"/>
        <v>1615.5980984398741</v>
      </c>
      <c r="J312" s="77">
        <f t="shared" si="22"/>
        <v>10</v>
      </c>
      <c r="K312" s="20">
        <f t="shared" si="23"/>
        <v>116</v>
      </c>
      <c r="L312" s="78">
        <f t="shared" si="21"/>
        <v>40.194503336151257</v>
      </c>
    </row>
    <row r="313" spans="6:12" x14ac:dyDescent="0.2">
      <c r="F313" s="77">
        <f t="shared" si="24"/>
        <v>1000</v>
      </c>
      <c r="G313" s="20">
        <v>21</v>
      </c>
      <c r="H313" s="75">
        <f t="shared" si="20"/>
        <v>1654.8170999431816</v>
      </c>
      <c r="J313" s="77">
        <f t="shared" si="22"/>
        <v>10</v>
      </c>
      <c r="K313" s="20">
        <f t="shared" si="23"/>
        <v>117</v>
      </c>
      <c r="L313" s="78">
        <f t="shared" si="21"/>
        <v>40.679443210830478</v>
      </c>
    </row>
    <row r="314" spans="6:12" x14ac:dyDescent="0.2">
      <c r="F314" s="77">
        <f t="shared" si="24"/>
        <v>1000</v>
      </c>
      <c r="G314" s="20">
        <v>22</v>
      </c>
      <c r="H314" s="75">
        <f t="shared" si="20"/>
        <v>1694.9881513903467</v>
      </c>
      <c r="J314" s="77">
        <f t="shared" si="22"/>
        <v>10</v>
      </c>
      <c r="K314" s="20">
        <f t="shared" si="23"/>
        <v>118</v>
      </c>
      <c r="L314" s="78">
        <f t="shared" si="21"/>
        <v>41.17023380295948</v>
      </c>
    </row>
    <row r="315" spans="6:12" x14ac:dyDescent="0.2">
      <c r="F315" s="77">
        <f t="shared" si="24"/>
        <v>1000</v>
      </c>
      <c r="G315" s="20">
        <v>23</v>
      </c>
      <c r="H315" s="75">
        <f t="shared" si="20"/>
        <v>1736.1343640045231</v>
      </c>
      <c r="J315" s="77">
        <f t="shared" si="22"/>
        <v>10</v>
      </c>
      <c r="K315" s="20">
        <f t="shared" si="23"/>
        <v>119</v>
      </c>
      <c r="L315" s="78">
        <f t="shared" si="21"/>
        <v>41.666945700453297</v>
      </c>
    </row>
    <row r="316" spans="6:12" x14ac:dyDescent="0.2">
      <c r="F316" s="77">
        <f t="shared" si="24"/>
        <v>1000</v>
      </c>
      <c r="G316" s="20">
        <v>24</v>
      </c>
      <c r="H316" s="75">
        <f t="shared" si="20"/>
        <v>1778.2794100389231</v>
      </c>
      <c r="J316" s="77">
        <f t="shared" si="22"/>
        <v>10</v>
      </c>
      <c r="K316" s="20">
        <f t="shared" si="23"/>
        <v>120</v>
      </c>
      <c r="L316" s="78">
        <f t="shared" si="21"/>
        <v>42.169650342858233</v>
      </c>
    </row>
    <row r="317" spans="6:12" x14ac:dyDescent="0.2">
      <c r="F317" s="77">
        <f t="shared" si="24"/>
        <v>1000</v>
      </c>
      <c r="G317" s="20">
        <v>25</v>
      </c>
      <c r="H317" s="75">
        <f t="shared" si="20"/>
        <v>1821.4475363959452</v>
      </c>
      <c r="J317" s="77">
        <f t="shared" si="22"/>
        <v>10</v>
      </c>
      <c r="K317" s="20">
        <f t="shared" si="23"/>
        <v>121</v>
      </c>
      <c r="L317" s="78">
        <f t="shared" si="21"/>
        <v>42.678420031626587</v>
      </c>
    </row>
    <row r="318" spans="6:12" x14ac:dyDescent="0.2">
      <c r="F318" s="77">
        <f t="shared" si="24"/>
        <v>1000</v>
      </c>
      <c r="G318" s="20">
        <v>26</v>
      </c>
      <c r="H318" s="75">
        <f t="shared" si="20"/>
        <v>1865.6635785769122</v>
      </c>
      <c r="J318" s="77">
        <f t="shared" si="22"/>
        <v>10</v>
      </c>
      <c r="K318" s="20">
        <f t="shared" si="23"/>
        <v>122</v>
      </c>
      <c r="L318" s="78">
        <f t="shared" si="21"/>
        <v>43.193327940515445</v>
      </c>
    </row>
    <row r="319" spans="6:12" x14ac:dyDescent="0.2">
      <c r="F319" s="77">
        <f t="shared" si="24"/>
        <v>1000</v>
      </c>
      <c r="G319" s="20">
        <v>27</v>
      </c>
      <c r="H319" s="75">
        <f t="shared" si="20"/>
        <v>1910.9529749704407</v>
      </c>
      <c r="J319" s="77">
        <f t="shared" si="22"/>
        <v>10</v>
      </c>
      <c r="K319" s="20">
        <f t="shared" si="23"/>
        <v>123</v>
      </c>
      <c r="L319" s="78">
        <f t="shared" si="21"/>
        <v>43.714448126110895</v>
      </c>
    </row>
    <row r="320" spans="6:12" x14ac:dyDescent="0.2">
      <c r="F320" s="77">
        <f t="shared" si="24"/>
        <v>1000</v>
      </c>
      <c r="G320" s="20">
        <v>28</v>
      </c>
      <c r="H320" s="75">
        <f t="shared" si="20"/>
        <v>1957.3417814876605</v>
      </c>
      <c r="J320" s="77">
        <f t="shared" si="22"/>
        <v>10</v>
      </c>
      <c r="K320" s="20">
        <f t="shared" si="23"/>
        <v>124</v>
      </c>
      <c r="L320" s="78">
        <f t="shared" si="21"/>
        <v>44.241855538479186</v>
      </c>
    </row>
    <row r="321" spans="6:12" x14ac:dyDescent="0.2">
      <c r="F321" s="77">
        <f t="shared" si="24"/>
        <v>1000</v>
      </c>
      <c r="G321" s="20">
        <v>29</v>
      </c>
      <c r="H321" s="75">
        <f t="shared" si="20"/>
        <v>2004.8566865527137</v>
      </c>
      <c r="J321" s="77">
        <f t="shared" si="22"/>
        <v>10</v>
      </c>
      <c r="K321" s="20">
        <f t="shared" si="23"/>
        <v>125</v>
      </c>
      <c r="L321" s="78">
        <f t="shared" si="21"/>
        <v>44.775626031946373</v>
      </c>
    </row>
    <row r="322" spans="6:12" x14ac:dyDescent="0.2">
      <c r="F322" s="77">
        <f t="shared" si="24"/>
        <v>1000</v>
      </c>
      <c r="G322" s="20">
        <v>30</v>
      </c>
      <c r="H322" s="75">
        <f t="shared" si="20"/>
        <v>2053.5250264571464</v>
      </c>
      <c r="J322" s="77">
        <f t="shared" si="22"/>
        <v>10</v>
      </c>
      <c r="K322" s="20">
        <f t="shared" si="23"/>
        <v>126</v>
      </c>
      <c r="L322" s="78">
        <f t="shared" si="21"/>
        <v>45.315836376008185</v>
      </c>
    </row>
    <row r="323" spans="6:12" x14ac:dyDescent="0.2">
      <c r="F323" s="77">
        <f t="shared" si="24"/>
        <v>1000</v>
      </c>
      <c r="G323" s="20">
        <v>31</v>
      </c>
      <c r="H323" s="75">
        <f t="shared" si="20"/>
        <v>2103.3748010870336</v>
      </c>
      <c r="J323" s="77">
        <f t="shared" si="22"/>
        <v>10</v>
      </c>
      <c r="K323" s="20">
        <f t="shared" si="23"/>
        <v>127</v>
      </c>
      <c r="L323" s="78">
        <f t="shared" si="21"/>
        <v>45.862564266371265</v>
      </c>
    </row>
    <row r="324" spans="6:12" x14ac:dyDescent="0.2">
      <c r="F324" s="77">
        <f t="shared" si="24"/>
        <v>1000</v>
      </c>
      <c r="G324" s="20">
        <v>32</v>
      </c>
      <c r="H324" s="75">
        <f t="shared" ref="H324:H387" si="25">F324*10^(G324/96)</f>
        <v>2154.4346900318837</v>
      </c>
      <c r="J324" s="77">
        <f t="shared" si="22"/>
        <v>10</v>
      </c>
      <c r="K324" s="20">
        <f t="shared" si="23"/>
        <v>128</v>
      </c>
      <c r="L324" s="78">
        <f t="shared" si="21"/>
        <v>46.415888336127793</v>
      </c>
    </row>
    <row r="325" spans="6:12" x14ac:dyDescent="0.2">
      <c r="F325" s="77">
        <f t="shared" si="24"/>
        <v>1000</v>
      </c>
      <c r="G325" s="20">
        <v>33</v>
      </c>
      <c r="H325" s="75">
        <f t="shared" si="25"/>
        <v>2206.7340690845899</v>
      </c>
      <c r="J325" s="77">
        <f t="shared" si="22"/>
        <v>10</v>
      </c>
      <c r="K325" s="20">
        <f t="shared" si="23"/>
        <v>129</v>
      </c>
      <c r="L325" s="78">
        <f t="shared" ref="L325:L388" si="26">J325*10^(K325/192)</f>
        <v>46.97588816706493</v>
      </c>
    </row>
    <row r="326" spans="6:12" x14ac:dyDescent="0.2">
      <c r="F326" s="77">
        <f t="shared" si="24"/>
        <v>1000</v>
      </c>
      <c r="G326" s="20">
        <v>34</v>
      </c>
      <c r="H326" s="75">
        <f t="shared" si="25"/>
        <v>2260.3030271419202</v>
      </c>
      <c r="J326" s="77">
        <f t="shared" ref="J326:J388" si="27">J133*10</f>
        <v>10</v>
      </c>
      <c r="K326" s="20">
        <f t="shared" ref="K326:K371" si="28">K325+1</f>
        <v>130</v>
      </c>
      <c r="L326" s="78">
        <f t="shared" si="26"/>
        <v>47.54264430111057</v>
      </c>
    </row>
    <row r="327" spans="6:12" x14ac:dyDescent="0.2">
      <c r="F327" s="77">
        <f t="shared" si="24"/>
        <v>1000</v>
      </c>
      <c r="G327" s="20">
        <v>35</v>
      </c>
      <c r="H327" s="75">
        <f t="shared" si="25"/>
        <v>2315.1723835152734</v>
      </c>
      <c r="J327" s="77">
        <f t="shared" si="27"/>
        <v>10</v>
      </c>
      <c r="K327" s="20">
        <f t="shared" si="28"/>
        <v>131</v>
      </c>
      <c r="L327" s="78">
        <f t="shared" si="26"/>
        <v>48.116238251917338</v>
      </c>
    </row>
    <row r="328" spans="6:12" x14ac:dyDescent="0.2">
      <c r="F328" s="77">
        <f t="shared" si="24"/>
        <v>1000</v>
      </c>
      <c r="G328" s="20">
        <v>36</v>
      </c>
      <c r="H328" s="75">
        <f t="shared" si="25"/>
        <v>2371.3737056616555</v>
      </c>
      <c r="J328" s="77">
        <f t="shared" si="27"/>
        <v>10</v>
      </c>
      <c r="K328" s="20">
        <f t="shared" si="28"/>
        <v>132</v>
      </c>
      <c r="L328" s="78">
        <f t="shared" si="26"/>
        <v>48.696752516586315</v>
      </c>
    </row>
    <row r="329" spans="6:12" x14ac:dyDescent="0.2">
      <c r="F329" s="77">
        <f t="shared" si="24"/>
        <v>1000</v>
      </c>
      <c r="G329" s="20">
        <v>37</v>
      </c>
      <c r="H329" s="75">
        <f t="shared" si="25"/>
        <v>2428.9393273450792</v>
      </c>
      <c r="J329" s="77">
        <f t="shared" si="27"/>
        <v>10</v>
      </c>
      <c r="K329" s="20">
        <f t="shared" si="28"/>
        <v>133</v>
      </c>
      <c r="L329" s="78">
        <f t="shared" si="26"/>
        <v>49.284270587532077</v>
      </c>
    </row>
    <row r="330" spans="6:12" x14ac:dyDescent="0.2">
      <c r="F330" s="77">
        <f t="shared" si="24"/>
        <v>1000</v>
      </c>
      <c r="G330" s="20">
        <v>38</v>
      </c>
      <c r="H330" s="75">
        <f t="shared" si="25"/>
        <v>2487.9023672388362</v>
      </c>
      <c r="J330" s="77">
        <f t="shared" si="27"/>
        <v>10</v>
      </c>
      <c r="K330" s="20">
        <f t="shared" si="28"/>
        <v>134</v>
      </c>
      <c r="L330" s="78">
        <f t="shared" si="26"/>
        <v>49.878876964491063</v>
      </c>
    </row>
    <row r="331" spans="6:12" x14ac:dyDescent="0.2">
      <c r="F331" s="77">
        <f t="shared" si="24"/>
        <v>1000</v>
      </c>
      <c r="G331" s="20">
        <v>39</v>
      </c>
      <c r="H331" s="75">
        <f t="shared" si="25"/>
        <v>2548.2967479793469</v>
      </c>
      <c r="J331" s="77">
        <f t="shared" si="27"/>
        <v>10</v>
      </c>
      <c r="K331" s="20">
        <f t="shared" si="28"/>
        <v>135</v>
      </c>
      <c r="L331" s="78">
        <f t="shared" si="26"/>
        <v>50.480657166674717</v>
      </c>
    </row>
    <row r="332" spans="6:12" x14ac:dyDescent="0.2">
      <c r="F332" s="77">
        <f t="shared" si="24"/>
        <v>1000</v>
      </c>
      <c r="G332" s="20">
        <v>40</v>
      </c>
      <c r="H332" s="75">
        <f t="shared" si="25"/>
        <v>2610.1572156825373</v>
      </c>
      <c r="J332" s="77">
        <f t="shared" si="27"/>
        <v>10</v>
      </c>
      <c r="K332" s="20">
        <f t="shared" si="28"/>
        <v>136</v>
      </c>
      <c r="L332" s="78">
        <f t="shared" si="26"/>
        <v>51.089697745069287</v>
      </c>
    </row>
    <row r="333" spans="6:12" x14ac:dyDescent="0.2">
      <c r="F333" s="77">
        <f t="shared" si="24"/>
        <v>1000</v>
      </c>
      <c r="G333" s="20">
        <v>41</v>
      </c>
      <c r="H333" s="75">
        <f t="shared" si="25"/>
        <v>2673.5193599339909</v>
      </c>
      <c r="J333" s="77">
        <f t="shared" si="27"/>
        <v>10</v>
      </c>
      <c r="K333" s="20">
        <f t="shared" si="28"/>
        <v>137</v>
      </c>
      <c r="L333" s="78">
        <f t="shared" si="26"/>
        <v>51.706086294884003</v>
      </c>
    </row>
    <row r="334" spans="6:12" x14ac:dyDescent="0.2">
      <c r="F334" s="77">
        <f t="shared" si="24"/>
        <v>1000</v>
      </c>
      <c r="G334" s="20">
        <v>42</v>
      </c>
      <c r="H334" s="75">
        <f t="shared" si="25"/>
        <v>2738.4196342643613</v>
      </c>
      <c r="J334" s="77">
        <f t="shared" si="27"/>
        <v>10</v>
      </c>
      <c r="K334" s="20">
        <f t="shared" si="28"/>
        <v>138</v>
      </c>
      <c r="L334" s="78">
        <f t="shared" si="26"/>
        <v>52.329911468149476</v>
      </c>
    </row>
    <row r="335" spans="6:12" x14ac:dyDescent="0.2">
      <c r="F335" s="77">
        <f t="shared" si="24"/>
        <v>1000</v>
      </c>
      <c r="G335" s="20">
        <v>43</v>
      </c>
      <c r="H335" s="75">
        <f t="shared" si="25"/>
        <v>2804.895377121828</v>
      </c>
      <c r="J335" s="77">
        <f t="shared" si="27"/>
        <v>10</v>
      </c>
      <c r="K335" s="20">
        <f t="shared" si="28"/>
        <v>139</v>
      </c>
      <c r="L335" s="78">
        <f t="shared" si="26"/>
        <v>52.961262986468043</v>
      </c>
    </row>
    <row r="336" spans="6:12" x14ac:dyDescent="0.2">
      <c r="F336" s="77">
        <f t="shared" si="24"/>
        <v>1000</v>
      </c>
      <c r="G336" s="20">
        <v>44</v>
      </c>
      <c r="H336" s="75">
        <f t="shared" si="25"/>
        <v>2872.9848333536647</v>
      </c>
      <c r="J336" s="77">
        <f t="shared" si="27"/>
        <v>10</v>
      </c>
      <c r="K336" s="20">
        <f t="shared" si="28"/>
        <v>140</v>
      </c>
      <c r="L336" s="78">
        <f t="shared" si="26"/>
        <v>53.600231653917916</v>
      </c>
    </row>
    <row r="337" spans="6:12" x14ac:dyDescent="0.2">
      <c r="F337" s="77">
        <f t="shared" si="24"/>
        <v>1000</v>
      </c>
      <c r="G337" s="20">
        <v>45</v>
      </c>
      <c r="H337" s="75">
        <f t="shared" si="25"/>
        <v>2942.7271762092823</v>
      </c>
      <c r="J337" s="77">
        <f t="shared" si="27"/>
        <v>10</v>
      </c>
      <c r="K337" s="20">
        <f t="shared" si="28"/>
        <v>141</v>
      </c>
      <c r="L337" s="78">
        <f t="shared" si="26"/>
        <v>54.246909370113265</v>
      </c>
    </row>
    <row r="338" spans="6:12" x14ac:dyDescent="0.2">
      <c r="F338" s="77">
        <f t="shared" si="24"/>
        <v>1000</v>
      </c>
      <c r="G338" s="20">
        <v>46</v>
      </c>
      <c r="H338" s="75">
        <f t="shared" si="25"/>
        <v>3014.1625298773906</v>
      </c>
      <c r="J338" s="77">
        <f t="shared" si="27"/>
        <v>10</v>
      </c>
      <c r="K338" s="20">
        <f t="shared" si="28"/>
        <v>142</v>
      </c>
      <c r="L338" s="78">
        <f t="shared" si="26"/>
        <v>54.901389143421412</v>
      </c>
    </row>
    <row r="339" spans="6:12" x14ac:dyDescent="0.2">
      <c r="F339" s="77">
        <f t="shared" si="24"/>
        <v>1000</v>
      </c>
      <c r="G339" s="20">
        <v>47</v>
      </c>
      <c r="H339" s="75">
        <f t="shared" si="25"/>
        <v>3087.331992570264</v>
      </c>
      <c r="J339" s="77">
        <f t="shared" si="27"/>
        <v>10</v>
      </c>
      <c r="K339" s="20">
        <f t="shared" si="28"/>
        <v>143</v>
      </c>
      <c r="L339" s="78">
        <f t="shared" si="26"/>
        <v>55.563765104339929</v>
      </c>
    </row>
    <row r="340" spans="6:12" x14ac:dyDescent="0.2">
      <c r="F340" s="77">
        <f t="shared" si="24"/>
        <v>1000</v>
      </c>
      <c r="G340" s="20">
        <v>48</v>
      </c>
      <c r="H340" s="75">
        <f t="shared" si="25"/>
        <v>3162.2776601683795</v>
      </c>
      <c r="J340" s="77">
        <f t="shared" si="27"/>
        <v>10</v>
      </c>
      <c r="K340" s="20">
        <f t="shared" si="28"/>
        <v>144</v>
      </c>
      <c r="L340" s="78">
        <f t="shared" si="26"/>
        <v>56.234132519034922</v>
      </c>
    </row>
    <row r="341" spans="6:12" x14ac:dyDescent="0.2">
      <c r="F341" s="77">
        <f t="shared" si="24"/>
        <v>1000</v>
      </c>
      <c r="G341" s="20">
        <v>49</v>
      </c>
      <c r="H341" s="75">
        <f t="shared" si="25"/>
        <v>3239.0426504390307</v>
      </c>
      <c r="J341" s="77">
        <f t="shared" si="27"/>
        <v>10</v>
      </c>
      <c r="K341" s="20">
        <f t="shared" si="28"/>
        <v>145</v>
      </c>
      <c r="L341" s="78">
        <f t="shared" si="26"/>
        <v>56.912587803042591</v>
      </c>
    </row>
    <row r="342" spans="6:12" x14ac:dyDescent="0.2">
      <c r="F342" s="77">
        <f t="shared" si="24"/>
        <v>1000</v>
      </c>
      <c r="G342" s="20">
        <v>50</v>
      </c>
      <c r="H342" s="75">
        <f t="shared" si="25"/>
        <v>3317.6711278428579</v>
      </c>
      <c r="J342" s="77">
        <f t="shared" si="27"/>
        <v>10</v>
      </c>
      <c r="K342" s="20">
        <f t="shared" si="28"/>
        <v>146</v>
      </c>
      <c r="L342" s="78">
        <f t="shared" si="26"/>
        <v>57.599228535136284</v>
      </c>
    </row>
    <row r="343" spans="6:12" x14ac:dyDescent="0.2">
      <c r="F343" s="77">
        <f t="shared" si="24"/>
        <v>1000</v>
      </c>
      <c r="G343" s="20">
        <v>51</v>
      </c>
      <c r="H343" s="75">
        <f t="shared" si="25"/>
        <v>3398.2083289425591</v>
      </c>
      <c r="J343" s="77">
        <f t="shared" si="27"/>
        <v>10</v>
      </c>
      <c r="K343" s="20">
        <f t="shared" si="28"/>
        <v>147</v>
      </c>
      <c r="L343" s="78">
        <f t="shared" si="26"/>
        <v>58.294153471360758</v>
      </c>
    </row>
    <row r="344" spans="6:12" x14ac:dyDescent="0.2">
      <c r="F344" s="77">
        <f t="shared" si="24"/>
        <v>1000</v>
      </c>
      <c r="G344" s="20">
        <v>52</v>
      </c>
      <c r="H344" s="75">
        <f t="shared" si="25"/>
        <v>3480.7005884284104</v>
      </c>
      <c r="J344" s="77">
        <f t="shared" si="27"/>
        <v>10</v>
      </c>
      <c r="K344" s="20">
        <f t="shared" si="28"/>
        <v>148</v>
      </c>
      <c r="L344" s="78">
        <f t="shared" si="26"/>
        <v>58.997462559235657</v>
      </c>
    </row>
    <row r="345" spans="6:12" x14ac:dyDescent="0.2">
      <c r="F345" s="77">
        <f t="shared" si="24"/>
        <v>1000</v>
      </c>
      <c r="G345" s="20">
        <v>53</v>
      </c>
      <c r="H345" s="75">
        <f t="shared" si="25"/>
        <v>3565.1953657755494</v>
      </c>
      <c r="J345" s="77">
        <f t="shared" si="27"/>
        <v>10</v>
      </c>
      <c r="K345" s="20">
        <f t="shared" si="28"/>
        <v>149</v>
      </c>
      <c r="L345" s="78">
        <f t="shared" si="26"/>
        <v>59.709256952130538</v>
      </c>
    </row>
    <row r="346" spans="6:12" x14ac:dyDescent="0.2">
      <c r="F346" s="77">
        <f t="shared" si="24"/>
        <v>1000</v>
      </c>
      <c r="G346" s="20">
        <v>54</v>
      </c>
      <c r="H346" s="75">
        <f t="shared" si="25"/>
        <v>3651.7412725483778</v>
      </c>
      <c r="J346" s="77">
        <f t="shared" si="27"/>
        <v>10</v>
      </c>
      <c r="K346" s="20">
        <f t="shared" si="28"/>
        <v>150</v>
      </c>
      <c r="L346" s="78">
        <f t="shared" si="26"/>
        <v>60.429639023813294</v>
      </c>
    </row>
    <row r="347" spans="6:12" x14ac:dyDescent="0.2">
      <c r="F347" s="77">
        <f t="shared" si="24"/>
        <v>1000</v>
      </c>
      <c r="G347" s="20">
        <v>55</v>
      </c>
      <c r="H347" s="75">
        <f t="shared" si="25"/>
        <v>3740.3881003677857</v>
      </c>
      <c r="J347" s="77">
        <f t="shared" si="27"/>
        <v>10</v>
      </c>
      <c r="K347" s="20">
        <f t="shared" si="28"/>
        <v>151</v>
      </c>
      <c r="L347" s="78">
        <f t="shared" si="26"/>
        <v>61.158712383173892</v>
      </c>
    </row>
    <row r="348" spans="6:12" x14ac:dyDescent="0.2">
      <c r="F348" s="77">
        <f t="shared" si="24"/>
        <v>1000</v>
      </c>
      <c r="G348" s="20">
        <v>56</v>
      </c>
      <c r="H348" s="75">
        <f t="shared" si="25"/>
        <v>3831.1868495572885</v>
      </c>
      <c r="J348" s="77">
        <f t="shared" si="27"/>
        <v>10</v>
      </c>
      <c r="K348" s="20">
        <f t="shared" si="28"/>
        <v>152</v>
      </c>
      <c r="L348" s="78">
        <f t="shared" si="26"/>
        <v>61.896581889126061</v>
      </c>
    </row>
    <row r="349" spans="6:12" x14ac:dyDescent="0.2">
      <c r="F349" s="77">
        <f t="shared" si="24"/>
        <v>1000</v>
      </c>
      <c r="G349" s="20">
        <v>57</v>
      </c>
      <c r="H349" s="75">
        <f t="shared" si="25"/>
        <v>3924.189758484536</v>
      </c>
      <c r="J349" s="77">
        <f t="shared" si="27"/>
        <v>10</v>
      </c>
      <c r="K349" s="20">
        <f t="shared" si="28"/>
        <v>153</v>
      </c>
      <c r="L349" s="78">
        <f t="shared" si="26"/>
        <v>62.643353665688572</v>
      </c>
    </row>
    <row r="350" spans="6:12" x14ac:dyDescent="0.2">
      <c r="F350" s="77">
        <f t="shared" si="24"/>
        <v>1000</v>
      </c>
      <c r="G350" s="20">
        <v>58</v>
      </c>
      <c r="H350" s="75">
        <f t="shared" si="25"/>
        <v>4019.4503336151256</v>
      </c>
      <c r="J350" s="77">
        <f t="shared" si="27"/>
        <v>10</v>
      </c>
      <c r="K350" s="20">
        <f t="shared" si="28"/>
        <v>154</v>
      </c>
      <c r="L350" s="78">
        <f t="shared" si="26"/>
        <v>63.399135117248456</v>
      </c>
    </row>
    <row r="351" spans="6:12" x14ac:dyDescent="0.2">
      <c r="F351" s="77">
        <f t="shared" si="24"/>
        <v>1000</v>
      </c>
      <c r="G351" s="20">
        <v>59</v>
      </c>
      <c r="H351" s="75">
        <f t="shared" si="25"/>
        <v>4117.0233802959483</v>
      </c>
      <c r="J351" s="77">
        <f t="shared" si="27"/>
        <v>10</v>
      </c>
      <c r="K351" s="20">
        <f t="shared" si="28"/>
        <v>155</v>
      </c>
      <c r="L351" s="78">
        <f t="shared" si="26"/>
        <v>64.164034944008534</v>
      </c>
    </row>
    <row r="352" spans="6:12" x14ac:dyDescent="0.2">
      <c r="F352" s="77">
        <f t="shared" si="24"/>
        <v>1000</v>
      </c>
      <c r="G352" s="20">
        <v>60</v>
      </c>
      <c r="H352" s="75">
        <f t="shared" si="25"/>
        <v>4216.9650342858231</v>
      </c>
      <c r="J352" s="77">
        <f t="shared" si="27"/>
        <v>10</v>
      </c>
      <c r="K352" s="20">
        <f t="shared" si="28"/>
        <v>156</v>
      </c>
      <c r="L352" s="78">
        <f t="shared" si="26"/>
        <v>64.938163157621148</v>
      </c>
    </row>
    <row r="353" spans="6:12" x14ac:dyDescent="0.2">
      <c r="F353" s="77">
        <f t="shared" si="24"/>
        <v>1000</v>
      </c>
      <c r="G353" s="20">
        <v>61</v>
      </c>
      <c r="H353" s="75">
        <f t="shared" si="25"/>
        <v>4319.3327940515446</v>
      </c>
      <c r="J353" s="77">
        <f t="shared" si="27"/>
        <v>10</v>
      </c>
      <c r="K353" s="20">
        <f t="shared" si="28"/>
        <v>157</v>
      </c>
      <c r="L353" s="78">
        <f t="shared" si="26"/>
        <v>65.721631097010572</v>
      </c>
    </row>
    <row r="354" spans="6:12" x14ac:dyDescent="0.2">
      <c r="F354" s="77">
        <f t="shared" si="24"/>
        <v>1000</v>
      </c>
      <c r="G354" s="20">
        <v>62</v>
      </c>
      <c r="H354" s="75">
        <f t="shared" si="25"/>
        <v>4424.1855538479185</v>
      </c>
      <c r="J354" s="77">
        <f t="shared" si="27"/>
        <v>10</v>
      </c>
      <c r="K354" s="20">
        <f t="shared" si="28"/>
        <v>158</v>
      </c>
      <c r="L354" s="78">
        <f t="shared" si="26"/>
        <v>66.514551444386342</v>
      </c>
    </row>
    <row r="355" spans="6:12" x14ac:dyDescent="0.2">
      <c r="F355" s="77">
        <f t="shared" si="24"/>
        <v>1000</v>
      </c>
      <c r="G355" s="20">
        <v>63</v>
      </c>
      <c r="H355" s="75">
        <f t="shared" si="25"/>
        <v>4531.5836376008183</v>
      </c>
      <c r="J355" s="77">
        <f t="shared" si="27"/>
        <v>10</v>
      </c>
      <c r="K355" s="20">
        <f t="shared" si="28"/>
        <v>159</v>
      </c>
      <c r="L355" s="78">
        <f t="shared" si="26"/>
        <v>67.317038241449836</v>
      </c>
    </row>
    <row r="356" spans="6:12" x14ac:dyDescent="0.2">
      <c r="F356" s="77">
        <f t="shared" si="24"/>
        <v>1000</v>
      </c>
      <c r="G356" s="20">
        <v>64</v>
      </c>
      <c r="H356" s="75">
        <f t="shared" si="25"/>
        <v>4641.5888336127791</v>
      </c>
      <c r="J356" s="77">
        <f t="shared" si="27"/>
        <v>10</v>
      </c>
      <c r="K356" s="20">
        <f t="shared" si="28"/>
        <v>160</v>
      </c>
      <c r="L356" s="78">
        <f t="shared" si="26"/>
        <v>68.129206905796138</v>
      </c>
    </row>
    <row r="357" spans="6:12" x14ac:dyDescent="0.2">
      <c r="F357" s="77">
        <f t="shared" si="24"/>
        <v>1000</v>
      </c>
      <c r="G357" s="20">
        <v>65</v>
      </c>
      <c r="H357" s="75">
        <f t="shared" si="25"/>
        <v>4754.2644301110568</v>
      </c>
      <c r="J357" s="77">
        <f t="shared" si="27"/>
        <v>10</v>
      </c>
      <c r="K357" s="20">
        <f t="shared" si="28"/>
        <v>161</v>
      </c>
      <c r="L357" s="78">
        <f t="shared" si="26"/>
        <v>68.951174247514132</v>
      </c>
    </row>
    <row r="358" spans="6:12" x14ac:dyDescent="0.2">
      <c r="F358" s="77">
        <f t="shared" ref="F358:F388" si="29">F262*10</f>
        <v>1000</v>
      </c>
      <c r="G358" s="20">
        <v>66</v>
      </c>
      <c r="H358" s="75">
        <f t="shared" si="25"/>
        <v>4869.6752516586321</v>
      </c>
      <c r="J358" s="77">
        <f t="shared" si="27"/>
        <v>10</v>
      </c>
      <c r="K358" s="20">
        <f t="shared" si="28"/>
        <v>162</v>
      </c>
      <c r="L358" s="78">
        <f t="shared" si="26"/>
        <v>69.783058485986643</v>
      </c>
    </row>
    <row r="359" spans="6:12" x14ac:dyDescent="0.2">
      <c r="F359" s="77">
        <f t="shared" si="29"/>
        <v>1000</v>
      </c>
      <c r="G359" s="20">
        <v>67</v>
      </c>
      <c r="H359" s="75">
        <f t="shared" si="25"/>
        <v>4987.8876964491064</v>
      </c>
      <c r="J359" s="77">
        <f t="shared" si="27"/>
        <v>10</v>
      </c>
      <c r="K359" s="20">
        <f t="shared" si="28"/>
        <v>163</v>
      </c>
      <c r="L359" s="78">
        <f t="shared" si="26"/>
        <v>70.624979266893291</v>
      </c>
    </row>
    <row r="360" spans="6:12" x14ac:dyDescent="0.2">
      <c r="F360" s="77">
        <f t="shared" si="29"/>
        <v>1000</v>
      </c>
      <c r="G360" s="20">
        <v>68</v>
      </c>
      <c r="H360" s="75">
        <f t="shared" si="25"/>
        <v>5108.9697745069288</v>
      </c>
      <c r="J360" s="77">
        <f t="shared" si="27"/>
        <v>10</v>
      </c>
      <c r="K360" s="20">
        <f t="shared" si="28"/>
        <v>164</v>
      </c>
      <c r="L360" s="78">
        <f t="shared" si="26"/>
        <v>71.477057679418564</v>
      </c>
    </row>
    <row r="361" spans="6:12" x14ac:dyDescent="0.2">
      <c r="F361" s="77">
        <f t="shared" si="29"/>
        <v>1000</v>
      </c>
      <c r="G361" s="20">
        <v>69</v>
      </c>
      <c r="H361" s="75">
        <f t="shared" si="25"/>
        <v>5232.9911468149476</v>
      </c>
      <c r="J361" s="77">
        <f t="shared" si="27"/>
        <v>10</v>
      </c>
      <c r="K361" s="20">
        <f t="shared" si="28"/>
        <v>165</v>
      </c>
      <c r="L361" s="78">
        <f t="shared" si="26"/>
        <v>72.339416273667496</v>
      </c>
    </row>
    <row r="362" spans="6:12" x14ac:dyDescent="0.2">
      <c r="F362" s="77">
        <f t="shared" si="29"/>
        <v>1000</v>
      </c>
      <c r="G362" s="20">
        <v>70</v>
      </c>
      <c r="H362" s="75">
        <f t="shared" si="25"/>
        <v>5360.0231653917917</v>
      </c>
      <c r="J362" s="77">
        <f t="shared" si="27"/>
        <v>10</v>
      </c>
      <c r="K362" s="20">
        <f t="shared" si="28"/>
        <v>166</v>
      </c>
      <c r="L362" s="78">
        <f t="shared" si="26"/>
        <v>73.212179078291314</v>
      </c>
    </row>
    <row r="363" spans="6:12" x14ac:dyDescent="0.2">
      <c r="F363" s="77">
        <f t="shared" si="29"/>
        <v>1000</v>
      </c>
      <c r="G363" s="20">
        <v>71</v>
      </c>
      <c r="H363" s="75">
        <f t="shared" si="25"/>
        <v>5490.1389143421411</v>
      </c>
      <c r="J363" s="77">
        <f t="shared" si="27"/>
        <v>10</v>
      </c>
      <c r="K363" s="20">
        <f t="shared" si="28"/>
        <v>167</v>
      </c>
      <c r="L363" s="78">
        <f t="shared" si="26"/>
        <v>74.095471618325902</v>
      </c>
    </row>
    <row r="364" spans="6:12" x14ac:dyDescent="0.2">
      <c r="F364" s="77">
        <f t="shared" si="29"/>
        <v>1000</v>
      </c>
      <c r="G364" s="20">
        <v>72</v>
      </c>
      <c r="H364" s="75">
        <f t="shared" si="25"/>
        <v>5623.413251903492</v>
      </c>
      <c r="J364" s="77">
        <f t="shared" si="27"/>
        <v>10</v>
      </c>
      <c r="K364" s="20">
        <f t="shared" si="28"/>
        <v>168</v>
      </c>
      <c r="L364" s="78">
        <f t="shared" si="26"/>
        <v>74.989420933245597</v>
      </c>
    </row>
    <row r="365" spans="6:12" x14ac:dyDescent="0.2">
      <c r="F365" s="77">
        <f t="shared" si="29"/>
        <v>1000</v>
      </c>
      <c r="G365" s="20">
        <v>73</v>
      </c>
      <c r="H365" s="75">
        <f t="shared" si="25"/>
        <v>5759.9228535136281</v>
      </c>
      <c r="J365" s="77">
        <f t="shared" si="27"/>
        <v>10</v>
      </c>
      <c r="K365" s="20">
        <f t="shared" si="28"/>
        <v>169</v>
      </c>
      <c r="L365" s="78">
        <f t="shared" si="26"/>
        <v>75.894155595234281</v>
      </c>
    </row>
    <row r="366" spans="6:12" x14ac:dyDescent="0.2">
      <c r="F366" s="77">
        <f t="shared" si="29"/>
        <v>1000</v>
      </c>
      <c r="G366" s="20">
        <v>74</v>
      </c>
      <c r="H366" s="75">
        <f t="shared" si="25"/>
        <v>5899.7462559235655</v>
      </c>
      <c r="J366" s="77">
        <f t="shared" si="27"/>
        <v>10</v>
      </c>
      <c r="K366" s="20">
        <f t="shared" si="28"/>
        <v>170</v>
      </c>
      <c r="L366" s="78">
        <f t="shared" si="26"/>
        <v>76.809805727677542</v>
      </c>
    </row>
    <row r="367" spans="6:12" x14ac:dyDescent="0.2">
      <c r="F367" s="77">
        <f t="shared" si="29"/>
        <v>1000</v>
      </c>
      <c r="G367" s="20">
        <v>75</v>
      </c>
      <c r="H367" s="75">
        <f t="shared" si="25"/>
        <v>6042.9639023813288</v>
      </c>
      <c r="J367" s="77">
        <f t="shared" si="27"/>
        <v>10</v>
      </c>
      <c r="K367" s="20">
        <f t="shared" si="28"/>
        <v>171</v>
      </c>
      <c r="L367" s="78">
        <f t="shared" si="26"/>
        <v>77.736503023877617</v>
      </c>
    </row>
    <row r="368" spans="6:12" x14ac:dyDescent="0.2">
      <c r="F368" s="77">
        <f t="shared" si="29"/>
        <v>1000</v>
      </c>
      <c r="G368" s="20">
        <v>76</v>
      </c>
      <c r="H368" s="75">
        <f t="shared" si="25"/>
        <v>6189.6581889126064</v>
      </c>
      <c r="J368" s="77">
        <f t="shared" si="27"/>
        <v>10</v>
      </c>
      <c r="K368" s="20">
        <f t="shared" si="28"/>
        <v>172</v>
      </c>
      <c r="L368" s="78">
        <f t="shared" si="26"/>
        <v>78.67438076599403</v>
      </c>
    </row>
    <row r="369" spans="6:12" x14ac:dyDescent="0.2">
      <c r="F369" s="77">
        <f t="shared" si="29"/>
        <v>1000</v>
      </c>
      <c r="G369" s="20">
        <v>77</v>
      </c>
      <c r="H369" s="75">
        <f t="shared" si="25"/>
        <v>6339.9135117248461</v>
      </c>
      <c r="J369" s="77">
        <f t="shared" si="27"/>
        <v>10</v>
      </c>
      <c r="K369" s="20">
        <f t="shared" si="28"/>
        <v>173</v>
      </c>
      <c r="L369" s="78">
        <f t="shared" si="26"/>
        <v>79.623573844213041</v>
      </c>
    </row>
    <row r="370" spans="6:12" x14ac:dyDescent="0.2">
      <c r="F370" s="77">
        <f t="shared" si="29"/>
        <v>1000</v>
      </c>
      <c r="G370" s="20">
        <v>78</v>
      </c>
      <c r="H370" s="75">
        <f t="shared" si="25"/>
        <v>6493.8163157621148</v>
      </c>
      <c r="J370" s="77">
        <f t="shared" si="27"/>
        <v>10</v>
      </c>
      <c r="K370" s="20">
        <f t="shared" si="28"/>
        <v>174</v>
      </c>
      <c r="L370" s="78">
        <f t="shared" si="26"/>
        <v>80.584218776148191</v>
      </c>
    </row>
    <row r="371" spans="6:12" x14ac:dyDescent="0.2">
      <c r="F371" s="77">
        <f t="shared" si="29"/>
        <v>1000</v>
      </c>
      <c r="G371" s="20">
        <v>79</v>
      </c>
      <c r="H371" s="75">
        <f t="shared" si="25"/>
        <v>6651.4551444386334</v>
      </c>
      <c r="J371" s="77">
        <f t="shared" si="27"/>
        <v>10</v>
      </c>
      <c r="K371" s="20">
        <f t="shared" si="28"/>
        <v>175</v>
      </c>
      <c r="L371" s="78">
        <f t="shared" si="26"/>
        <v>81.556453726474871</v>
      </c>
    </row>
    <row r="372" spans="6:12" x14ac:dyDescent="0.2">
      <c r="F372" s="77">
        <f t="shared" si="29"/>
        <v>1000</v>
      </c>
      <c r="G372" s="20">
        <v>80</v>
      </c>
      <c r="H372" s="75">
        <f t="shared" si="25"/>
        <v>6812.9206905796136</v>
      </c>
      <c r="J372" s="77">
        <f t="shared" si="27"/>
        <v>10</v>
      </c>
      <c r="K372" s="20">
        <f>K371+1</f>
        <v>176</v>
      </c>
      <c r="L372" s="78">
        <f t="shared" si="26"/>
        <v>82.54041852680183</v>
      </c>
    </row>
    <row r="373" spans="6:12" x14ac:dyDescent="0.2">
      <c r="F373" s="77">
        <f t="shared" si="29"/>
        <v>1000</v>
      </c>
      <c r="G373" s="20">
        <v>81</v>
      </c>
      <c r="H373" s="75">
        <f t="shared" si="25"/>
        <v>6978.3058485986649</v>
      </c>
      <c r="J373" s="77">
        <f t="shared" si="27"/>
        <v>10</v>
      </c>
      <c r="K373" s="20">
        <f t="shared" ref="K373:K388" si="30">K372+1</f>
        <v>177</v>
      </c>
      <c r="L373" s="78">
        <f t="shared" si="26"/>
        <v>83.536254695782617</v>
      </c>
    </row>
    <row r="374" spans="6:12" x14ac:dyDescent="0.2">
      <c r="F374" s="77">
        <f t="shared" si="29"/>
        <v>1000</v>
      </c>
      <c r="G374" s="20">
        <v>82</v>
      </c>
      <c r="H374" s="75">
        <f t="shared" si="25"/>
        <v>7147.7057679418567</v>
      </c>
      <c r="J374" s="77">
        <f t="shared" si="27"/>
        <v>10</v>
      </c>
      <c r="K374" s="20">
        <f t="shared" si="30"/>
        <v>178</v>
      </c>
      <c r="L374" s="78">
        <f t="shared" si="26"/>
        <v>84.54410545946925</v>
      </c>
    </row>
    <row r="375" spans="6:12" x14ac:dyDescent="0.2">
      <c r="F375" s="77">
        <f t="shared" si="29"/>
        <v>1000</v>
      </c>
      <c r="G375" s="20">
        <v>83</v>
      </c>
      <c r="H375" s="75">
        <f t="shared" si="25"/>
        <v>7321.217907829131</v>
      </c>
      <c r="J375" s="77">
        <f t="shared" si="27"/>
        <v>10</v>
      </c>
      <c r="K375" s="20">
        <f t="shared" si="30"/>
        <v>179</v>
      </c>
      <c r="L375" s="78">
        <f t="shared" si="26"/>
        <v>85.564115771911844</v>
      </c>
    </row>
    <row r="376" spans="6:12" x14ac:dyDescent="0.2">
      <c r="F376" s="77">
        <f t="shared" si="29"/>
        <v>1000</v>
      </c>
      <c r="G376" s="20">
        <v>84</v>
      </c>
      <c r="H376" s="75">
        <f t="shared" si="25"/>
        <v>7498.9420933245592</v>
      </c>
      <c r="J376" s="77">
        <f t="shared" si="27"/>
        <v>10</v>
      </c>
      <c r="K376" s="20">
        <f t="shared" si="30"/>
        <v>180</v>
      </c>
      <c r="L376" s="78">
        <f t="shared" si="26"/>
        <v>86.596432336006558</v>
      </c>
    </row>
    <row r="377" spans="6:12" x14ac:dyDescent="0.2">
      <c r="F377" s="77">
        <f t="shared" si="29"/>
        <v>1000</v>
      </c>
      <c r="G377" s="20">
        <v>85</v>
      </c>
      <c r="H377" s="75">
        <f t="shared" si="25"/>
        <v>7680.9805727677549</v>
      </c>
      <c r="J377" s="77">
        <f t="shared" si="27"/>
        <v>10</v>
      </c>
      <c r="K377" s="20">
        <f t="shared" si="30"/>
        <v>181</v>
      </c>
      <c r="L377" s="78">
        <f t="shared" si="26"/>
        <v>87.641203624595207</v>
      </c>
    </row>
    <row r="378" spans="6:12" x14ac:dyDescent="0.2">
      <c r="F378" s="77">
        <f t="shared" si="29"/>
        <v>1000</v>
      </c>
      <c r="G378" s="20">
        <v>86</v>
      </c>
      <c r="H378" s="75">
        <f t="shared" si="25"/>
        <v>7867.4380765994028</v>
      </c>
      <c r="J378" s="77">
        <f t="shared" si="27"/>
        <v>10</v>
      </c>
      <c r="K378" s="20">
        <f t="shared" si="30"/>
        <v>182</v>
      </c>
      <c r="L378" s="78">
        <f t="shared" si="26"/>
        <v>88.698579901819187</v>
      </c>
    </row>
    <row r="379" spans="6:12" x14ac:dyDescent="0.2">
      <c r="F379" s="77">
        <f t="shared" si="29"/>
        <v>1000</v>
      </c>
      <c r="G379" s="20">
        <v>87</v>
      </c>
      <c r="H379" s="75">
        <f t="shared" si="25"/>
        <v>8058.4218776148191</v>
      </c>
      <c r="J379" s="77">
        <f t="shared" si="27"/>
        <v>10</v>
      </c>
      <c r="K379" s="20">
        <f t="shared" si="30"/>
        <v>183</v>
      </c>
      <c r="L379" s="78">
        <f t="shared" si="26"/>
        <v>89.768713244731444</v>
      </c>
    </row>
    <row r="380" spans="6:12" x14ac:dyDescent="0.2">
      <c r="F380" s="77">
        <f t="shared" si="29"/>
        <v>1000</v>
      </c>
      <c r="G380" s="20">
        <v>88</v>
      </c>
      <c r="H380" s="75">
        <f t="shared" si="25"/>
        <v>8254.0418526801841</v>
      </c>
      <c r="J380" s="77">
        <f t="shared" si="27"/>
        <v>10</v>
      </c>
      <c r="K380" s="20">
        <f t="shared" si="30"/>
        <v>184</v>
      </c>
      <c r="L380" s="78">
        <f t="shared" si="26"/>
        <v>90.851757565168697</v>
      </c>
    </row>
    <row r="381" spans="6:12" x14ac:dyDescent="0.2">
      <c r="F381" s="77">
        <f t="shared" si="29"/>
        <v>1000</v>
      </c>
      <c r="G381" s="20">
        <v>89</v>
      </c>
      <c r="H381" s="75">
        <f t="shared" si="25"/>
        <v>8454.4105459469247</v>
      </c>
      <c r="J381" s="77">
        <f t="shared" si="27"/>
        <v>10</v>
      </c>
      <c r="K381" s="20">
        <f t="shared" si="30"/>
        <v>185</v>
      </c>
      <c r="L381" s="78">
        <f t="shared" si="26"/>
        <v>91.947868631887943</v>
      </c>
    </row>
    <row r="382" spans="6:12" x14ac:dyDescent="0.2">
      <c r="F382" s="77">
        <f t="shared" si="29"/>
        <v>1000</v>
      </c>
      <c r="G382" s="20">
        <v>90</v>
      </c>
      <c r="H382" s="75">
        <f t="shared" si="25"/>
        <v>8659.6432336006565</v>
      </c>
      <c r="J382" s="77">
        <f t="shared" si="27"/>
        <v>10</v>
      </c>
      <c r="K382" s="20">
        <f t="shared" si="30"/>
        <v>186</v>
      </c>
      <c r="L382" s="78">
        <f t="shared" si="26"/>
        <v>93.057204092969897</v>
      </c>
    </row>
    <row r="383" spans="6:12" x14ac:dyDescent="0.2">
      <c r="F383" s="77">
        <f t="shared" si="29"/>
        <v>1000</v>
      </c>
      <c r="G383" s="20">
        <v>91</v>
      </c>
      <c r="H383" s="75">
        <f t="shared" si="25"/>
        <v>8869.8579901819176</v>
      </c>
      <c r="J383" s="77">
        <f t="shared" si="27"/>
        <v>10</v>
      </c>
      <c r="K383" s="20">
        <f t="shared" si="30"/>
        <v>187</v>
      </c>
      <c r="L383" s="78">
        <f t="shared" si="26"/>
        <v>94.179923498492599</v>
      </c>
    </row>
    <row r="384" spans="6:12" x14ac:dyDescent="0.2">
      <c r="F384" s="77">
        <f t="shared" si="29"/>
        <v>1000</v>
      </c>
      <c r="G384" s="20">
        <v>92</v>
      </c>
      <c r="H384" s="75">
        <f t="shared" si="25"/>
        <v>9085.17575651687</v>
      </c>
      <c r="J384" s="77">
        <f t="shared" si="27"/>
        <v>10</v>
      </c>
      <c r="K384" s="20">
        <f t="shared" si="30"/>
        <v>188</v>
      </c>
      <c r="L384" s="78">
        <f t="shared" si="26"/>
        <v>95.316188323478769</v>
      </c>
    </row>
    <row r="385" spans="6:12" x14ac:dyDescent="0.2">
      <c r="F385" s="77">
        <f t="shared" si="29"/>
        <v>1000</v>
      </c>
      <c r="G385" s="20">
        <v>93</v>
      </c>
      <c r="H385" s="75">
        <f t="shared" si="25"/>
        <v>9305.7204092969896</v>
      </c>
      <c r="J385" s="77">
        <f t="shared" si="27"/>
        <v>10</v>
      </c>
      <c r="K385" s="20">
        <f t="shared" si="30"/>
        <v>189</v>
      </c>
      <c r="L385" s="78">
        <f t="shared" si="26"/>
        <v>96.466161991119961</v>
      </c>
    </row>
    <row r="386" spans="6:12" x14ac:dyDescent="0.2">
      <c r="F386" s="77">
        <f t="shared" si="29"/>
        <v>1000</v>
      </c>
      <c r="G386" s="20">
        <v>94</v>
      </c>
      <c r="H386" s="75">
        <f t="shared" si="25"/>
        <v>9531.6188323478782</v>
      </c>
      <c r="J386" s="77">
        <f t="shared" si="27"/>
        <v>10</v>
      </c>
      <c r="K386" s="20">
        <f t="shared" si="30"/>
        <v>190</v>
      </c>
      <c r="L386" s="78">
        <f t="shared" si="26"/>
        <v>97.630009896280797</v>
      </c>
    </row>
    <row r="387" spans="6:12" x14ac:dyDescent="0.2">
      <c r="F387" s="77">
        <f t="shared" si="29"/>
        <v>1000</v>
      </c>
      <c r="G387" s="20">
        <v>95</v>
      </c>
      <c r="H387" s="75">
        <f t="shared" si="25"/>
        <v>9763.000989628079</v>
      </c>
      <c r="J387" s="77">
        <f t="shared" si="27"/>
        <v>10</v>
      </c>
      <c r="K387" s="20">
        <f t="shared" si="30"/>
        <v>191</v>
      </c>
      <c r="L387" s="78">
        <f t="shared" si="26"/>
        <v>98.80789942928692</v>
      </c>
    </row>
    <row r="388" spans="6:12" x14ac:dyDescent="0.2">
      <c r="F388" s="77">
        <f t="shared" si="29"/>
        <v>1000</v>
      </c>
      <c r="G388" s="20">
        <v>96</v>
      </c>
      <c r="H388" s="75">
        <f t="shared" ref="H388:H451" si="31">F388*10^(G388/96)</f>
        <v>10000</v>
      </c>
      <c r="J388" s="77">
        <f t="shared" si="27"/>
        <v>10</v>
      </c>
      <c r="K388" s="20">
        <f t="shared" si="30"/>
        <v>192</v>
      </c>
      <c r="L388" s="78">
        <f t="shared" si="26"/>
        <v>100</v>
      </c>
    </row>
    <row r="389" spans="6:12" x14ac:dyDescent="0.2">
      <c r="F389" s="77">
        <f>F293*10</f>
        <v>10000</v>
      </c>
      <c r="G389" s="20">
        <v>1</v>
      </c>
      <c r="H389" s="75">
        <f t="shared" si="31"/>
        <v>10242.752213815922</v>
      </c>
      <c r="J389" s="77">
        <f>J197*10</f>
        <v>100</v>
      </c>
      <c r="K389" s="20">
        <v>1</v>
      </c>
      <c r="L389" s="78">
        <f t="shared" ref="L389:L452" si="32">J389*10^(K389/192)</f>
        <v>101.20648306218294</v>
      </c>
    </row>
    <row r="390" spans="6:12" x14ac:dyDescent="0.2">
      <c r="F390" s="77">
        <f t="shared" ref="F390:F453" si="33">F294*10</f>
        <v>10000</v>
      </c>
      <c r="G390" s="20">
        <v>2</v>
      </c>
      <c r="H390" s="75">
        <f t="shared" si="31"/>
        <v>10491.397291363099</v>
      </c>
      <c r="J390" s="77">
        <f t="shared" ref="J390:J453" si="34">J198*10</f>
        <v>100</v>
      </c>
      <c r="K390" s="20">
        <f t="shared" ref="K390:K453" si="35">K389+1</f>
        <v>2</v>
      </c>
      <c r="L390" s="78">
        <f t="shared" si="32"/>
        <v>102.42752213815922</v>
      </c>
    </row>
    <row r="391" spans="6:12" x14ac:dyDescent="0.2">
      <c r="F391" s="77">
        <f t="shared" si="33"/>
        <v>10000</v>
      </c>
      <c r="G391" s="20">
        <v>3</v>
      </c>
      <c r="H391" s="75">
        <f t="shared" si="31"/>
        <v>10746.078283213174</v>
      </c>
      <c r="J391" s="77">
        <f t="shared" si="34"/>
        <v>100</v>
      </c>
      <c r="K391" s="20">
        <f t="shared" si="35"/>
        <v>3</v>
      </c>
      <c r="L391" s="78">
        <f t="shared" si="32"/>
        <v>103.66329284376981</v>
      </c>
    </row>
    <row r="392" spans="6:12" x14ac:dyDescent="0.2">
      <c r="F392" s="77">
        <f t="shared" si="33"/>
        <v>10000</v>
      </c>
      <c r="G392" s="20">
        <v>4</v>
      </c>
      <c r="H392" s="75">
        <f t="shared" si="31"/>
        <v>11006.941712522095</v>
      </c>
      <c r="J392" s="77">
        <f t="shared" si="34"/>
        <v>100</v>
      </c>
      <c r="K392" s="20">
        <f t="shared" si="35"/>
        <v>4</v>
      </c>
      <c r="L392" s="78">
        <f t="shared" si="32"/>
        <v>104.91397291363099</v>
      </c>
    </row>
    <row r="393" spans="6:12" x14ac:dyDescent="0.2">
      <c r="F393" s="77">
        <f t="shared" si="33"/>
        <v>10000</v>
      </c>
      <c r="G393" s="20">
        <v>5</v>
      </c>
      <c r="H393" s="75">
        <f t="shared" si="31"/>
        <v>11274.137659327853</v>
      </c>
      <c r="J393" s="77">
        <f t="shared" si="34"/>
        <v>100</v>
      </c>
      <c r="K393" s="20">
        <f t="shared" si="35"/>
        <v>5</v>
      </c>
      <c r="L393" s="78">
        <f t="shared" si="32"/>
        <v>106.17974222669714</v>
      </c>
    </row>
    <row r="394" spans="6:12" x14ac:dyDescent="0.2">
      <c r="F394" s="77">
        <f t="shared" si="33"/>
        <v>10000</v>
      </c>
      <c r="G394" s="20">
        <v>6</v>
      </c>
      <c r="H394" s="75">
        <f t="shared" si="31"/>
        <v>11547.819846894583</v>
      </c>
      <c r="J394" s="77">
        <f t="shared" si="34"/>
        <v>100</v>
      </c>
      <c r="K394" s="20">
        <f t="shared" si="35"/>
        <v>6</v>
      </c>
      <c r="L394" s="78">
        <f t="shared" si="32"/>
        <v>107.46078283213174</v>
      </c>
    </row>
    <row r="395" spans="6:12" x14ac:dyDescent="0.2">
      <c r="F395" s="77">
        <f t="shared" si="33"/>
        <v>10000</v>
      </c>
      <c r="G395" s="20">
        <v>7</v>
      </c>
      <c r="H395" s="75">
        <f t="shared" si="31"/>
        <v>11828.145730152693</v>
      </c>
      <c r="J395" s="77">
        <f t="shared" si="34"/>
        <v>100</v>
      </c>
      <c r="K395" s="20">
        <f t="shared" si="35"/>
        <v>7</v>
      </c>
      <c r="L395" s="78">
        <f t="shared" si="32"/>
        <v>108.75727897549061</v>
      </c>
    </row>
    <row r="396" spans="6:12" x14ac:dyDescent="0.2">
      <c r="F396" s="77">
        <f t="shared" si="33"/>
        <v>10000</v>
      </c>
      <c r="G396" s="20">
        <v>8</v>
      </c>
      <c r="H396" s="75">
        <f t="shared" si="31"/>
        <v>12115.276586285885</v>
      </c>
      <c r="J396" s="77">
        <f t="shared" si="34"/>
        <v>100</v>
      </c>
      <c r="K396" s="20">
        <f t="shared" si="35"/>
        <v>8</v>
      </c>
      <c r="L396" s="78">
        <f t="shared" si="32"/>
        <v>110.06941712522095</v>
      </c>
    </row>
    <row r="397" spans="6:12" x14ac:dyDescent="0.2">
      <c r="F397" s="77">
        <f t="shared" si="33"/>
        <v>10000</v>
      </c>
      <c r="G397" s="20">
        <v>9</v>
      </c>
      <c r="H397" s="75">
        <f t="shared" si="31"/>
        <v>12409.377607517195</v>
      </c>
      <c r="J397" s="77">
        <f t="shared" si="34"/>
        <v>100</v>
      </c>
      <c r="K397" s="20">
        <f t="shared" si="35"/>
        <v>9</v>
      </c>
      <c r="L397" s="78">
        <f t="shared" si="32"/>
        <v>111.39738599948024</v>
      </c>
    </row>
    <row r="398" spans="6:12" x14ac:dyDescent="0.2">
      <c r="F398" s="77">
        <f t="shared" si="33"/>
        <v>10000</v>
      </c>
      <c r="G398" s="20">
        <v>10</v>
      </c>
      <c r="H398" s="75">
        <f t="shared" si="31"/>
        <v>12710.617996147448</v>
      </c>
      <c r="J398" s="77">
        <f t="shared" si="34"/>
        <v>100</v>
      </c>
      <c r="K398" s="20">
        <f t="shared" si="35"/>
        <v>10</v>
      </c>
      <c r="L398" s="78">
        <f t="shared" si="32"/>
        <v>112.74137659327852</v>
      </c>
    </row>
    <row r="399" spans="6:12" x14ac:dyDescent="0.2">
      <c r="F399" s="77">
        <f t="shared" si="33"/>
        <v>10000</v>
      </c>
      <c r="G399" s="20">
        <v>11</v>
      </c>
      <c r="H399" s="75">
        <f t="shared" si="31"/>
        <v>13019.171061900779</v>
      </c>
      <c r="J399" s="77">
        <f t="shared" si="34"/>
        <v>100</v>
      </c>
      <c r="K399" s="20">
        <f t="shared" si="35"/>
        <v>11</v>
      </c>
      <c r="L399" s="78">
        <f t="shared" si="32"/>
        <v>114.1015822059483</v>
      </c>
    </row>
    <row r="400" spans="6:12" x14ac:dyDescent="0.2">
      <c r="F400" s="77">
        <f t="shared" si="33"/>
        <v>10000</v>
      </c>
      <c r="G400" s="20">
        <v>12</v>
      </c>
      <c r="H400" s="75">
        <f t="shared" si="31"/>
        <v>13335.214321633241</v>
      </c>
      <c r="J400" s="77">
        <f t="shared" si="34"/>
        <v>100</v>
      </c>
      <c r="K400" s="20">
        <f t="shared" si="35"/>
        <v>12</v>
      </c>
      <c r="L400" s="78">
        <f t="shared" si="32"/>
        <v>115.47819846894582</v>
      </c>
    </row>
    <row r="401" spans="6:12" x14ac:dyDescent="0.2">
      <c r="F401" s="77">
        <f t="shared" si="33"/>
        <v>10000</v>
      </c>
      <c r="G401" s="20">
        <v>13</v>
      </c>
      <c r="H401" s="75">
        <f t="shared" si="31"/>
        <v>13658.929601461867</v>
      </c>
      <c r="J401" s="77">
        <f t="shared" si="34"/>
        <v>100</v>
      </c>
      <c r="K401" s="20">
        <f t="shared" si="35"/>
        <v>13</v>
      </c>
      <c r="L401" s="78">
        <f t="shared" si="32"/>
        <v>116.87142337398765</v>
      </c>
    </row>
    <row r="402" spans="6:12" x14ac:dyDescent="0.2">
      <c r="F402" s="77">
        <f t="shared" si="33"/>
        <v>10000</v>
      </c>
      <c r="G402" s="20">
        <v>14</v>
      </c>
      <c r="H402" s="75">
        <f t="shared" si="31"/>
        <v>13990.503141372939</v>
      </c>
      <c r="J402" s="77">
        <f t="shared" si="34"/>
        <v>100</v>
      </c>
      <c r="K402" s="20">
        <f t="shared" si="35"/>
        <v>14</v>
      </c>
      <c r="L402" s="78">
        <f t="shared" si="32"/>
        <v>118.28145730152693</v>
      </c>
    </row>
    <row r="403" spans="6:12" x14ac:dyDescent="0.2">
      <c r="F403" s="77">
        <f t="shared" si="33"/>
        <v>10000</v>
      </c>
      <c r="G403" s="20">
        <v>15</v>
      </c>
      <c r="H403" s="75">
        <f t="shared" si="31"/>
        <v>14330.125702369629</v>
      </c>
      <c r="J403" s="77">
        <f t="shared" si="34"/>
        <v>100</v>
      </c>
      <c r="K403" s="20">
        <f t="shared" si="35"/>
        <v>15</v>
      </c>
      <c r="L403" s="78">
        <f t="shared" si="32"/>
        <v>119.70850304957298</v>
      </c>
    </row>
    <row r="404" spans="6:12" x14ac:dyDescent="0.2">
      <c r="F404" s="77">
        <f t="shared" si="33"/>
        <v>10000</v>
      </c>
      <c r="G404" s="20">
        <v>16</v>
      </c>
      <c r="H404" s="75">
        <f t="shared" si="31"/>
        <v>14677.992676220696</v>
      </c>
      <c r="J404" s="77">
        <f t="shared" si="34"/>
        <v>100</v>
      </c>
      <c r="K404" s="20">
        <f t="shared" si="35"/>
        <v>16</v>
      </c>
      <c r="L404" s="78">
        <f t="shared" si="32"/>
        <v>121.15276586285886</v>
      </c>
    </row>
    <row r="405" spans="6:12" x14ac:dyDescent="0.2">
      <c r="F405" s="77">
        <f t="shared" si="33"/>
        <v>10000</v>
      </c>
      <c r="G405" s="20">
        <v>17</v>
      </c>
      <c r="H405" s="75">
        <f t="shared" si="31"/>
        <v>15034.304197873344</v>
      </c>
      <c r="J405" s="77">
        <f t="shared" si="34"/>
        <v>100</v>
      </c>
      <c r="K405" s="20">
        <f t="shared" si="35"/>
        <v>17</v>
      </c>
      <c r="L405" s="78">
        <f t="shared" si="32"/>
        <v>122.6144534623604</v>
      </c>
    </row>
    <row r="406" spans="6:12" x14ac:dyDescent="0.2">
      <c r="F406" s="77">
        <f t="shared" si="33"/>
        <v>10000</v>
      </c>
      <c r="G406" s="20">
        <v>18</v>
      </c>
      <c r="H406" s="75">
        <f t="shared" si="31"/>
        <v>15399.265260594921</v>
      </c>
      <c r="J406" s="77">
        <f t="shared" si="34"/>
        <v>100</v>
      </c>
      <c r="K406" s="20">
        <f t="shared" si="35"/>
        <v>18</v>
      </c>
      <c r="L406" s="78">
        <f t="shared" si="32"/>
        <v>124.09377607517196</v>
      </c>
    </row>
    <row r="407" spans="6:12" x14ac:dyDescent="0.2">
      <c r="F407" s="77">
        <f t="shared" si="33"/>
        <v>10000</v>
      </c>
      <c r="G407" s="20">
        <v>19</v>
      </c>
      <c r="H407" s="75">
        <f t="shared" si="31"/>
        <v>15773.085833909725</v>
      </c>
      <c r="J407" s="77">
        <f t="shared" si="34"/>
        <v>100</v>
      </c>
      <c r="K407" s="20">
        <f t="shared" si="35"/>
        <v>19</v>
      </c>
      <c r="L407" s="78">
        <f t="shared" si="32"/>
        <v>125.59094646474213</v>
      </c>
    </row>
    <row r="408" spans="6:12" x14ac:dyDescent="0.2">
      <c r="F408" s="77">
        <f t="shared" si="33"/>
        <v>10000</v>
      </c>
      <c r="G408" s="20">
        <v>20</v>
      </c>
      <c r="H408" s="75">
        <f t="shared" si="31"/>
        <v>16155.98098439874</v>
      </c>
      <c r="J408" s="77">
        <f t="shared" si="34"/>
        <v>100</v>
      </c>
      <c r="K408" s="20">
        <f t="shared" si="35"/>
        <v>20</v>
      </c>
      <c r="L408" s="78">
        <f t="shared" si="32"/>
        <v>127.10617996147448</v>
      </c>
    </row>
    <row r="409" spans="6:12" x14ac:dyDescent="0.2">
      <c r="F409" s="77">
        <f t="shared" si="33"/>
        <v>10000</v>
      </c>
      <c r="G409" s="20">
        <v>21</v>
      </c>
      <c r="H409" s="75">
        <f t="shared" si="31"/>
        <v>16548.170999431815</v>
      </c>
      <c r="J409" s="77">
        <f t="shared" si="34"/>
        <v>100</v>
      </c>
      <c r="K409" s="20">
        <f t="shared" si="35"/>
        <v>21</v>
      </c>
      <c r="L409" s="78">
        <f t="shared" si="32"/>
        <v>128.63969449369745</v>
      </c>
    </row>
    <row r="410" spans="6:12" x14ac:dyDescent="0.2">
      <c r="F410" s="77">
        <f t="shared" si="33"/>
        <v>10000</v>
      </c>
      <c r="G410" s="20">
        <v>22</v>
      </c>
      <c r="H410" s="75">
        <f t="shared" si="31"/>
        <v>16949.881513903467</v>
      </c>
      <c r="J410" s="77">
        <f t="shared" si="34"/>
        <v>100</v>
      </c>
      <c r="K410" s="20">
        <f t="shared" si="35"/>
        <v>22</v>
      </c>
      <c r="L410" s="78">
        <f t="shared" si="32"/>
        <v>130.19171061900778</v>
      </c>
    </row>
    <row r="411" spans="6:12" x14ac:dyDescent="0.2">
      <c r="F411" s="77">
        <f t="shared" si="33"/>
        <v>10000</v>
      </c>
      <c r="G411" s="20">
        <v>23</v>
      </c>
      <c r="H411" s="75">
        <f t="shared" si="31"/>
        <v>17361.343640045234</v>
      </c>
      <c r="J411" s="77">
        <f t="shared" si="34"/>
        <v>100</v>
      </c>
      <c r="K411" s="20">
        <f t="shared" si="35"/>
        <v>23</v>
      </c>
      <c r="L411" s="78">
        <f t="shared" si="32"/>
        <v>131.76245155599236</v>
      </c>
    </row>
    <row r="412" spans="6:12" x14ac:dyDescent="0.2">
      <c r="F412" s="77">
        <f t="shared" si="33"/>
        <v>10000</v>
      </c>
      <c r="G412" s="20">
        <v>24</v>
      </c>
      <c r="H412" s="75">
        <f t="shared" si="31"/>
        <v>17782.79410038923</v>
      </c>
      <c r="J412" s="77">
        <f t="shared" si="34"/>
        <v>100</v>
      </c>
      <c r="K412" s="20">
        <f t="shared" si="35"/>
        <v>24</v>
      </c>
      <c r="L412" s="78">
        <f t="shared" si="32"/>
        <v>133.35214321633239</v>
      </c>
    </row>
    <row r="413" spans="6:12" x14ac:dyDescent="0.2">
      <c r="F413" s="77">
        <f t="shared" si="33"/>
        <v>10000</v>
      </c>
      <c r="G413" s="20">
        <v>25</v>
      </c>
      <c r="H413" s="75">
        <f t="shared" si="31"/>
        <v>18214.475363959453</v>
      </c>
      <c r="J413" s="77">
        <f t="shared" si="34"/>
        <v>100</v>
      </c>
      <c r="K413" s="20">
        <f t="shared" si="35"/>
        <v>25</v>
      </c>
      <c r="L413" s="78">
        <f t="shared" si="32"/>
        <v>134.96101423729542</v>
      </c>
    </row>
    <row r="414" spans="6:12" x14ac:dyDescent="0.2">
      <c r="F414" s="77">
        <f t="shared" si="33"/>
        <v>10000</v>
      </c>
      <c r="G414" s="20">
        <v>26</v>
      </c>
      <c r="H414" s="75">
        <f t="shared" si="31"/>
        <v>18656.635785769122</v>
      </c>
      <c r="J414" s="77">
        <f t="shared" si="34"/>
        <v>100</v>
      </c>
      <c r="K414" s="20">
        <f t="shared" si="35"/>
        <v>26</v>
      </c>
      <c r="L414" s="78">
        <f t="shared" si="32"/>
        <v>136.58929601461867</v>
      </c>
    </row>
    <row r="415" spans="6:12" x14ac:dyDescent="0.2">
      <c r="F415" s="77">
        <f t="shared" si="33"/>
        <v>10000</v>
      </c>
      <c r="G415" s="20">
        <v>27</v>
      </c>
      <c r="H415" s="75">
        <f t="shared" si="31"/>
        <v>19109.529749704405</v>
      </c>
      <c r="J415" s="77">
        <f t="shared" si="34"/>
        <v>100</v>
      </c>
      <c r="K415" s="20">
        <f t="shared" si="35"/>
        <v>27</v>
      </c>
      <c r="L415" s="78">
        <f t="shared" si="32"/>
        <v>138.23722273578997</v>
      </c>
    </row>
    <row r="416" spans="6:12" x14ac:dyDescent="0.2">
      <c r="F416" s="77">
        <f t="shared" si="33"/>
        <v>10000</v>
      </c>
      <c r="G416" s="20">
        <v>28</v>
      </c>
      <c r="H416" s="75">
        <f t="shared" si="31"/>
        <v>19573.417814876604</v>
      </c>
      <c r="J416" s="77">
        <f t="shared" si="34"/>
        <v>100</v>
      </c>
      <c r="K416" s="20">
        <f t="shared" si="35"/>
        <v>28</v>
      </c>
      <c r="L416" s="78">
        <f t="shared" si="32"/>
        <v>139.90503141372938</v>
      </c>
    </row>
    <row r="417" spans="6:12" x14ac:dyDescent="0.2">
      <c r="F417" s="77">
        <f t="shared" si="33"/>
        <v>10000</v>
      </c>
      <c r="G417" s="20">
        <v>29</v>
      </c>
      <c r="H417" s="75">
        <f t="shared" si="31"/>
        <v>20048.566865527137</v>
      </c>
      <c r="J417" s="77">
        <f t="shared" si="34"/>
        <v>100</v>
      </c>
      <c r="K417" s="20">
        <f t="shared" si="35"/>
        <v>29</v>
      </c>
      <c r="L417" s="78">
        <f t="shared" si="32"/>
        <v>141.59296192087774</v>
      </c>
    </row>
    <row r="418" spans="6:12" x14ac:dyDescent="0.2">
      <c r="F418" s="77">
        <f t="shared" si="33"/>
        <v>10000</v>
      </c>
      <c r="G418" s="20">
        <v>30</v>
      </c>
      <c r="H418" s="75">
        <f t="shared" si="31"/>
        <v>20535.250264571463</v>
      </c>
      <c r="J418" s="77">
        <f t="shared" si="34"/>
        <v>100</v>
      </c>
      <c r="K418" s="20">
        <f t="shared" si="35"/>
        <v>30</v>
      </c>
      <c r="L418" s="78">
        <f t="shared" si="32"/>
        <v>143.30125702369628</v>
      </c>
    </row>
    <row r="419" spans="6:12" x14ac:dyDescent="0.2">
      <c r="F419" s="77">
        <f t="shared" si="33"/>
        <v>10000</v>
      </c>
      <c r="G419" s="20">
        <v>31</v>
      </c>
      <c r="H419" s="75">
        <f t="shared" si="31"/>
        <v>21033.748010870338</v>
      </c>
      <c r="J419" s="77">
        <f t="shared" si="34"/>
        <v>100</v>
      </c>
      <c r="K419" s="20">
        <f t="shared" si="35"/>
        <v>31</v>
      </c>
      <c r="L419" s="78">
        <f t="shared" si="32"/>
        <v>145.03016241758243</v>
      </c>
    </row>
    <row r="420" spans="6:12" x14ac:dyDescent="0.2">
      <c r="F420" s="77">
        <f t="shared" si="33"/>
        <v>10000</v>
      </c>
      <c r="G420" s="20">
        <v>32</v>
      </c>
      <c r="H420" s="75">
        <f t="shared" si="31"/>
        <v>21544.346900318837</v>
      </c>
      <c r="J420" s="77">
        <f t="shared" si="34"/>
        <v>100</v>
      </c>
      <c r="K420" s="20">
        <f t="shared" si="35"/>
        <v>32</v>
      </c>
      <c r="L420" s="78">
        <f t="shared" si="32"/>
        <v>146.77992676220697</v>
      </c>
    </row>
    <row r="421" spans="6:12" x14ac:dyDescent="0.2">
      <c r="F421" s="77">
        <f t="shared" si="33"/>
        <v>10000</v>
      </c>
      <c r="G421" s="20">
        <v>33</v>
      </c>
      <c r="H421" s="75">
        <f t="shared" si="31"/>
        <v>22067.3406908459</v>
      </c>
      <c r="J421" s="77">
        <f t="shared" si="34"/>
        <v>100</v>
      </c>
      <c r="K421" s="20">
        <f t="shared" si="35"/>
        <v>33</v>
      </c>
      <c r="L421" s="78">
        <f t="shared" si="32"/>
        <v>148.55080171727749</v>
      </c>
    </row>
    <row r="422" spans="6:12" x14ac:dyDescent="0.2">
      <c r="F422" s="77">
        <f t="shared" si="33"/>
        <v>10000</v>
      </c>
      <c r="G422" s="20">
        <v>34</v>
      </c>
      <c r="H422" s="75">
        <f t="shared" si="31"/>
        <v>22603.030271419204</v>
      </c>
      <c r="J422" s="77">
        <f t="shared" si="34"/>
        <v>100</v>
      </c>
      <c r="K422" s="20">
        <f t="shared" si="35"/>
        <v>34</v>
      </c>
      <c r="L422" s="78">
        <f t="shared" si="32"/>
        <v>150.34304197873342</v>
      </c>
    </row>
    <row r="423" spans="6:12" x14ac:dyDescent="0.2">
      <c r="F423" s="77">
        <f t="shared" si="33"/>
        <v>10000</v>
      </c>
      <c r="G423" s="20">
        <v>35</v>
      </c>
      <c r="H423" s="75">
        <f t="shared" si="31"/>
        <v>23151.723835152734</v>
      </c>
      <c r="J423" s="77">
        <f t="shared" si="34"/>
        <v>100</v>
      </c>
      <c r="K423" s="20">
        <f t="shared" si="35"/>
        <v>35</v>
      </c>
      <c r="L423" s="78">
        <f t="shared" si="32"/>
        <v>152.15690531537746</v>
      </c>
    </row>
    <row r="424" spans="6:12" x14ac:dyDescent="0.2">
      <c r="F424" s="77">
        <f t="shared" si="33"/>
        <v>10000</v>
      </c>
      <c r="G424" s="20">
        <v>36</v>
      </c>
      <c r="H424" s="75">
        <f t="shared" si="31"/>
        <v>23713.737056616555</v>
      </c>
      <c r="J424" s="77">
        <f t="shared" si="34"/>
        <v>100</v>
      </c>
      <c r="K424" s="20">
        <f t="shared" si="35"/>
        <v>36</v>
      </c>
      <c r="L424" s="78">
        <f t="shared" si="32"/>
        <v>153.99265260594922</v>
      </c>
    </row>
    <row r="425" spans="6:12" x14ac:dyDescent="0.2">
      <c r="F425" s="77">
        <f t="shared" si="33"/>
        <v>10000</v>
      </c>
      <c r="G425" s="20">
        <v>37</v>
      </c>
      <c r="H425" s="75">
        <f t="shared" si="31"/>
        <v>24289.393273450791</v>
      </c>
      <c r="J425" s="77">
        <f t="shared" si="34"/>
        <v>100</v>
      </c>
      <c r="K425" s="20">
        <f t="shared" si="35"/>
        <v>37</v>
      </c>
      <c r="L425" s="78">
        <f t="shared" si="32"/>
        <v>155.8505478766462</v>
      </c>
    </row>
    <row r="426" spans="6:12" x14ac:dyDescent="0.2">
      <c r="F426" s="77">
        <f t="shared" si="33"/>
        <v>10000</v>
      </c>
      <c r="G426" s="20">
        <v>38</v>
      </c>
      <c r="H426" s="75">
        <f t="shared" si="31"/>
        <v>24879.023672388365</v>
      </c>
      <c r="J426" s="77">
        <f t="shared" si="34"/>
        <v>100</v>
      </c>
      <c r="K426" s="20">
        <f t="shared" si="35"/>
        <v>38</v>
      </c>
      <c r="L426" s="78">
        <f t="shared" si="32"/>
        <v>157.73085833909727</v>
      </c>
    </row>
    <row r="427" spans="6:12" x14ac:dyDescent="0.2">
      <c r="F427" s="77">
        <f t="shared" si="33"/>
        <v>10000</v>
      </c>
      <c r="G427" s="20">
        <v>39</v>
      </c>
      <c r="H427" s="75">
        <f t="shared" si="31"/>
        <v>25482.967479793471</v>
      </c>
      <c r="J427" s="77">
        <f t="shared" si="34"/>
        <v>100</v>
      </c>
      <c r="K427" s="20">
        <f t="shared" si="35"/>
        <v>39</v>
      </c>
      <c r="L427" s="78">
        <f t="shared" si="32"/>
        <v>159.63385442879422</v>
      </c>
    </row>
    <row r="428" spans="6:12" x14ac:dyDescent="0.2">
      <c r="F428" s="77">
        <f t="shared" si="33"/>
        <v>10000</v>
      </c>
      <c r="G428" s="20">
        <v>40</v>
      </c>
      <c r="H428" s="75">
        <f t="shared" si="31"/>
        <v>26101.572156825372</v>
      </c>
      <c r="J428" s="77">
        <f t="shared" si="34"/>
        <v>100</v>
      </c>
      <c r="K428" s="20">
        <f t="shared" si="35"/>
        <v>40</v>
      </c>
      <c r="L428" s="78">
        <f t="shared" si="32"/>
        <v>161.55980984398741</v>
      </c>
    </row>
    <row r="429" spans="6:12" x14ac:dyDescent="0.2">
      <c r="F429" s="77">
        <f t="shared" si="33"/>
        <v>10000</v>
      </c>
      <c r="G429" s="20">
        <v>41</v>
      </c>
      <c r="H429" s="75">
        <f t="shared" si="31"/>
        <v>26735.193599339909</v>
      </c>
      <c r="J429" s="77">
        <f t="shared" si="34"/>
        <v>100</v>
      </c>
      <c r="K429" s="20">
        <f t="shared" si="35"/>
        <v>41</v>
      </c>
      <c r="L429" s="78">
        <f t="shared" si="32"/>
        <v>163.50900158505007</v>
      </c>
    </row>
    <row r="430" spans="6:12" x14ac:dyDescent="0.2">
      <c r="F430" s="77">
        <f t="shared" si="33"/>
        <v>10000</v>
      </c>
      <c r="G430" s="20">
        <v>42</v>
      </c>
      <c r="H430" s="75">
        <f t="shared" si="31"/>
        <v>27384.196342643616</v>
      </c>
      <c r="J430" s="77">
        <f t="shared" si="34"/>
        <v>100</v>
      </c>
      <c r="K430" s="20">
        <f t="shared" si="35"/>
        <v>42</v>
      </c>
      <c r="L430" s="78">
        <f t="shared" si="32"/>
        <v>165.48170999431815</v>
      </c>
    </row>
    <row r="431" spans="6:12" x14ac:dyDescent="0.2">
      <c r="F431" s="77">
        <f t="shared" si="33"/>
        <v>10000</v>
      </c>
      <c r="G431" s="20">
        <v>43</v>
      </c>
      <c r="H431" s="75">
        <f t="shared" si="31"/>
        <v>28048.953771218283</v>
      </c>
      <c r="J431" s="77">
        <f t="shared" si="34"/>
        <v>100</v>
      </c>
      <c r="K431" s="20">
        <f t="shared" si="35"/>
        <v>43</v>
      </c>
      <c r="L431" s="78">
        <f t="shared" si="32"/>
        <v>167.47821879641032</v>
      </c>
    </row>
    <row r="432" spans="6:12" x14ac:dyDescent="0.2">
      <c r="F432" s="77">
        <f t="shared" si="33"/>
        <v>10000</v>
      </c>
      <c r="G432" s="20">
        <v>44</v>
      </c>
      <c r="H432" s="75">
        <f t="shared" si="31"/>
        <v>28729.848333536644</v>
      </c>
      <c r="J432" s="77">
        <f t="shared" si="34"/>
        <v>100</v>
      </c>
      <c r="K432" s="20">
        <f t="shared" si="35"/>
        <v>44</v>
      </c>
      <c r="L432" s="78">
        <f t="shared" si="32"/>
        <v>169.49881513903466</v>
      </c>
    </row>
    <row r="433" spans="6:12" x14ac:dyDescent="0.2">
      <c r="F433" s="77">
        <f t="shared" si="33"/>
        <v>10000</v>
      </c>
      <c r="G433" s="20">
        <v>45</v>
      </c>
      <c r="H433" s="75">
        <f t="shared" si="31"/>
        <v>29427.271762092823</v>
      </c>
      <c r="J433" s="77">
        <f t="shared" si="34"/>
        <v>100</v>
      </c>
      <c r="K433" s="20">
        <f t="shared" si="35"/>
        <v>45</v>
      </c>
      <c r="L433" s="78">
        <f t="shared" si="32"/>
        <v>171.54378963428792</v>
      </c>
    </row>
    <row r="434" spans="6:12" x14ac:dyDescent="0.2">
      <c r="F434" s="77">
        <f t="shared" si="33"/>
        <v>10000</v>
      </c>
      <c r="G434" s="20">
        <v>46</v>
      </c>
      <c r="H434" s="75">
        <f t="shared" si="31"/>
        <v>30141.625298773906</v>
      </c>
      <c r="J434" s="77">
        <f t="shared" si="34"/>
        <v>100</v>
      </c>
      <c r="K434" s="20">
        <f t="shared" si="35"/>
        <v>46</v>
      </c>
      <c r="L434" s="78">
        <f t="shared" si="32"/>
        <v>173.61343640045231</v>
      </c>
    </row>
    <row r="435" spans="6:12" x14ac:dyDescent="0.2">
      <c r="F435" s="77">
        <f t="shared" si="33"/>
        <v>10000</v>
      </c>
      <c r="G435" s="20">
        <v>47</v>
      </c>
      <c r="H435" s="75">
        <f t="shared" si="31"/>
        <v>30873.319925702639</v>
      </c>
      <c r="J435" s="77">
        <f t="shared" si="34"/>
        <v>100</v>
      </c>
      <c r="K435" s="20">
        <f t="shared" si="35"/>
        <v>47</v>
      </c>
      <c r="L435" s="78">
        <f t="shared" si="32"/>
        <v>175.70805310429753</v>
      </c>
    </row>
    <row r="436" spans="6:12" x14ac:dyDescent="0.2">
      <c r="F436" s="77">
        <f t="shared" si="33"/>
        <v>10000</v>
      </c>
      <c r="G436" s="20">
        <v>48</v>
      </c>
      <c r="H436" s="75">
        <f t="shared" si="31"/>
        <v>31622.776601683796</v>
      </c>
      <c r="J436" s="77">
        <f t="shared" si="34"/>
        <v>100</v>
      </c>
      <c r="K436" s="20">
        <f t="shared" si="35"/>
        <v>48</v>
      </c>
      <c r="L436" s="78">
        <f t="shared" si="32"/>
        <v>177.82794100389231</v>
      </c>
    </row>
    <row r="437" spans="6:12" x14ac:dyDescent="0.2">
      <c r="F437" s="77">
        <f t="shared" si="33"/>
        <v>10000</v>
      </c>
      <c r="G437" s="20">
        <v>49</v>
      </c>
      <c r="H437" s="75">
        <f t="shared" si="31"/>
        <v>32390.426504390307</v>
      </c>
      <c r="J437" s="77">
        <f t="shared" si="34"/>
        <v>100</v>
      </c>
      <c r="K437" s="20">
        <f t="shared" si="35"/>
        <v>49</v>
      </c>
      <c r="L437" s="78">
        <f t="shared" si="32"/>
        <v>179.97340499193294</v>
      </c>
    </row>
    <row r="438" spans="6:12" x14ac:dyDescent="0.2">
      <c r="F438" s="77">
        <f t="shared" si="33"/>
        <v>10000</v>
      </c>
      <c r="G438" s="20">
        <v>50</v>
      </c>
      <c r="H438" s="75">
        <f t="shared" si="31"/>
        <v>33176.711278428578</v>
      </c>
      <c r="J438" s="77">
        <f t="shared" si="34"/>
        <v>100</v>
      </c>
      <c r="K438" s="20">
        <f t="shared" si="35"/>
        <v>50</v>
      </c>
      <c r="L438" s="78">
        <f t="shared" si="32"/>
        <v>182.14475363959451</v>
      </c>
    </row>
    <row r="439" spans="6:12" x14ac:dyDescent="0.2">
      <c r="F439" s="77">
        <f t="shared" si="33"/>
        <v>10000</v>
      </c>
      <c r="G439" s="20">
        <v>51</v>
      </c>
      <c r="H439" s="75">
        <f t="shared" si="31"/>
        <v>33982.083289425595</v>
      </c>
      <c r="J439" s="77">
        <f t="shared" si="34"/>
        <v>100</v>
      </c>
      <c r="K439" s="20">
        <f t="shared" si="35"/>
        <v>51</v>
      </c>
      <c r="L439" s="78">
        <f t="shared" si="32"/>
        <v>184.34229924091105</v>
      </c>
    </row>
    <row r="440" spans="6:12" x14ac:dyDescent="0.2">
      <c r="F440" s="77">
        <f t="shared" si="33"/>
        <v>10000</v>
      </c>
      <c r="G440" s="20">
        <v>52</v>
      </c>
      <c r="H440" s="75">
        <f t="shared" si="31"/>
        <v>34807.005884284103</v>
      </c>
      <c r="J440" s="77">
        <f t="shared" si="34"/>
        <v>100</v>
      </c>
      <c r="K440" s="20">
        <f t="shared" si="35"/>
        <v>52</v>
      </c>
      <c r="L440" s="78">
        <f t="shared" si="32"/>
        <v>186.56635785769123</v>
      </c>
    </row>
    <row r="441" spans="6:12" x14ac:dyDescent="0.2">
      <c r="F441" s="77">
        <f t="shared" si="33"/>
        <v>10000</v>
      </c>
      <c r="G441" s="20">
        <v>53</v>
      </c>
      <c r="H441" s="75">
        <f t="shared" si="31"/>
        <v>35651.953657755497</v>
      </c>
      <c r="J441" s="77">
        <f t="shared" si="34"/>
        <v>100</v>
      </c>
      <c r="K441" s="20">
        <f t="shared" si="35"/>
        <v>53</v>
      </c>
      <c r="L441" s="78">
        <f t="shared" si="32"/>
        <v>188.81724936497591</v>
      </c>
    </row>
    <row r="442" spans="6:12" x14ac:dyDescent="0.2">
      <c r="F442" s="77">
        <f t="shared" si="33"/>
        <v>10000</v>
      </c>
      <c r="G442" s="20">
        <v>54</v>
      </c>
      <c r="H442" s="75">
        <f t="shared" si="31"/>
        <v>36517.412725483773</v>
      </c>
      <c r="J442" s="77">
        <f t="shared" si="34"/>
        <v>100</v>
      </c>
      <c r="K442" s="20">
        <f t="shared" si="35"/>
        <v>54</v>
      </c>
      <c r="L442" s="78">
        <f t="shared" si="32"/>
        <v>191.09529749704407</v>
      </c>
    </row>
    <row r="443" spans="6:12" x14ac:dyDescent="0.2">
      <c r="F443" s="77">
        <f t="shared" si="33"/>
        <v>10000</v>
      </c>
      <c r="G443" s="20">
        <v>55</v>
      </c>
      <c r="H443" s="75">
        <f t="shared" si="31"/>
        <v>37403.88100367786</v>
      </c>
      <c r="J443" s="77">
        <f t="shared" si="34"/>
        <v>100</v>
      </c>
      <c r="K443" s="20">
        <f t="shared" si="35"/>
        <v>55</v>
      </c>
      <c r="L443" s="78">
        <f t="shared" si="32"/>
        <v>193.40082989397399</v>
      </c>
    </row>
    <row r="444" spans="6:12" x14ac:dyDescent="0.2">
      <c r="F444" s="77">
        <f t="shared" si="33"/>
        <v>10000</v>
      </c>
      <c r="G444" s="20">
        <v>56</v>
      </c>
      <c r="H444" s="75">
        <f t="shared" si="31"/>
        <v>38311.868495572882</v>
      </c>
      <c r="J444" s="77">
        <f t="shared" si="34"/>
        <v>100</v>
      </c>
      <c r="K444" s="20">
        <f t="shared" si="35"/>
        <v>56</v>
      </c>
      <c r="L444" s="78">
        <f t="shared" si="32"/>
        <v>195.73417814876603</v>
      </c>
    </row>
    <row r="445" spans="6:12" x14ac:dyDescent="0.2">
      <c r="F445" s="77">
        <f t="shared" si="33"/>
        <v>10000</v>
      </c>
      <c r="G445" s="20">
        <v>57</v>
      </c>
      <c r="H445" s="75">
        <f t="shared" si="31"/>
        <v>39241.897584845363</v>
      </c>
      <c r="J445" s="77">
        <f t="shared" si="34"/>
        <v>100</v>
      </c>
      <c r="K445" s="20">
        <f t="shared" si="35"/>
        <v>57</v>
      </c>
      <c r="L445" s="78">
        <f t="shared" si="32"/>
        <v>198.09567785503387</v>
      </c>
    </row>
    <row r="446" spans="6:12" x14ac:dyDescent="0.2">
      <c r="F446" s="77">
        <f t="shared" si="33"/>
        <v>10000</v>
      </c>
      <c r="G446" s="20">
        <v>58</v>
      </c>
      <c r="H446" s="75">
        <f t="shared" si="31"/>
        <v>40194.503336151254</v>
      </c>
      <c r="J446" s="77">
        <f t="shared" si="34"/>
        <v>100</v>
      </c>
      <c r="K446" s="20">
        <f t="shared" si="35"/>
        <v>58</v>
      </c>
      <c r="L446" s="78">
        <f t="shared" si="32"/>
        <v>200.48566865527135</v>
      </c>
    </row>
    <row r="447" spans="6:12" x14ac:dyDescent="0.2">
      <c r="F447" s="77">
        <f t="shared" si="33"/>
        <v>10000</v>
      </c>
      <c r="G447" s="20">
        <v>59</v>
      </c>
      <c r="H447" s="75">
        <f t="shared" si="31"/>
        <v>41170.233802959483</v>
      </c>
      <c r="J447" s="77">
        <f t="shared" si="34"/>
        <v>100</v>
      </c>
      <c r="K447" s="20">
        <f t="shared" si="35"/>
        <v>59</v>
      </c>
      <c r="L447" s="78">
        <f t="shared" si="32"/>
        <v>202.90449428970146</v>
      </c>
    </row>
    <row r="448" spans="6:12" x14ac:dyDescent="0.2">
      <c r="F448" s="77">
        <f t="shared" si="33"/>
        <v>10000</v>
      </c>
      <c r="G448" s="20">
        <v>60</v>
      </c>
      <c r="H448" s="75">
        <f t="shared" si="31"/>
        <v>42169.650342858229</v>
      </c>
      <c r="J448" s="77">
        <f t="shared" si="34"/>
        <v>100</v>
      </c>
      <c r="K448" s="20">
        <f t="shared" si="35"/>
        <v>60</v>
      </c>
      <c r="L448" s="78">
        <f t="shared" si="32"/>
        <v>205.35250264571462</v>
      </c>
    </row>
    <row r="449" spans="6:12" x14ac:dyDescent="0.2">
      <c r="F449" s="77">
        <f t="shared" si="33"/>
        <v>10000</v>
      </c>
      <c r="G449" s="20">
        <v>61</v>
      </c>
      <c r="H449" s="75">
        <f t="shared" si="31"/>
        <v>43193.327940515446</v>
      </c>
      <c r="J449" s="77">
        <f t="shared" si="34"/>
        <v>100</v>
      </c>
      <c r="K449" s="20">
        <f t="shared" si="35"/>
        <v>61</v>
      </c>
      <c r="L449" s="78">
        <f t="shared" si="32"/>
        <v>207.83004580790393</v>
      </c>
    </row>
    <row r="450" spans="6:12" x14ac:dyDescent="0.2">
      <c r="F450" s="77">
        <f t="shared" si="33"/>
        <v>10000</v>
      </c>
      <c r="G450" s="20">
        <v>62</v>
      </c>
      <c r="H450" s="75">
        <f t="shared" si="31"/>
        <v>44241.855538479183</v>
      </c>
      <c r="J450" s="77">
        <f t="shared" si="34"/>
        <v>100</v>
      </c>
      <c r="K450" s="20">
        <f t="shared" si="35"/>
        <v>62</v>
      </c>
      <c r="L450" s="78">
        <f t="shared" si="32"/>
        <v>210.33748010870337</v>
      </c>
    </row>
    <row r="451" spans="6:12" x14ac:dyDescent="0.2">
      <c r="F451" s="77">
        <f t="shared" si="33"/>
        <v>10000</v>
      </c>
      <c r="G451" s="20">
        <v>63</v>
      </c>
      <c r="H451" s="75">
        <f t="shared" si="31"/>
        <v>45315.836376008185</v>
      </c>
      <c r="J451" s="77">
        <f t="shared" si="34"/>
        <v>100</v>
      </c>
      <c r="K451" s="20">
        <f t="shared" si="35"/>
        <v>63</v>
      </c>
      <c r="L451" s="78">
        <f t="shared" si="32"/>
        <v>212.87516617963726</v>
      </c>
    </row>
    <row r="452" spans="6:12" x14ac:dyDescent="0.2">
      <c r="F452" s="77">
        <f t="shared" si="33"/>
        <v>10000</v>
      </c>
      <c r="G452" s="20">
        <v>64</v>
      </c>
      <c r="H452" s="75">
        <f t="shared" ref="H452:H515" si="36">F452*10^(G452/96)</f>
        <v>46415.888336127791</v>
      </c>
      <c r="J452" s="77">
        <f t="shared" si="34"/>
        <v>100</v>
      </c>
      <c r="K452" s="20">
        <f t="shared" si="35"/>
        <v>64</v>
      </c>
      <c r="L452" s="78">
        <f t="shared" si="32"/>
        <v>215.44346900318837</v>
      </c>
    </row>
    <row r="453" spans="6:12" x14ac:dyDescent="0.2">
      <c r="F453" s="77">
        <f t="shared" si="33"/>
        <v>10000</v>
      </c>
      <c r="G453" s="20">
        <v>65</v>
      </c>
      <c r="H453" s="75">
        <f t="shared" si="36"/>
        <v>47542.644301110573</v>
      </c>
      <c r="J453" s="77">
        <f t="shared" si="34"/>
        <v>100</v>
      </c>
      <c r="K453" s="20">
        <f t="shared" si="35"/>
        <v>65</v>
      </c>
      <c r="L453" s="78">
        <f t="shared" ref="L453:L516" si="37">J453*10^(K453/192)</f>
        <v>218.04275796529123</v>
      </c>
    </row>
    <row r="454" spans="6:12" x14ac:dyDescent="0.2">
      <c r="F454" s="77">
        <f t="shared" ref="F454:F484" si="38">F358*10</f>
        <v>10000</v>
      </c>
      <c r="G454" s="20">
        <v>66</v>
      </c>
      <c r="H454" s="75">
        <f t="shared" si="36"/>
        <v>48696.752516586319</v>
      </c>
      <c r="J454" s="77">
        <f t="shared" ref="J454:J517" si="39">J262*10</f>
        <v>100</v>
      </c>
      <c r="K454" s="20">
        <f t="shared" ref="K454:K517" si="40">K453+1</f>
        <v>66</v>
      </c>
      <c r="L454" s="78">
        <f t="shared" si="37"/>
        <v>220.67340690845901</v>
      </c>
    </row>
    <row r="455" spans="6:12" x14ac:dyDescent="0.2">
      <c r="F455" s="77">
        <f t="shared" si="38"/>
        <v>10000</v>
      </c>
      <c r="G455" s="20">
        <v>67</v>
      </c>
      <c r="H455" s="75">
        <f t="shared" si="36"/>
        <v>49878.876964491064</v>
      </c>
      <c r="J455" s="77">
        <f t="shared" si="39"/>
        <v>100</v>
      </c>
      <c r="K455" s="20">
        <f t="shared" si="40"/>
        <v>67</v>
      </c>
      <c r="L455" s="78">
        <f t="shared" si="37"/>
        <v>223.33579418555161</v>
      </c>
    </row>
    <row r="456" spans="6:12" x14ac:dyDescent="0.2">
      <c r="F456" s="77">
        <f t="shared" si="38"/>
        <v>10000</v>
      </c>
      <c r="G456" s="20">
        <v>68</v>
      </c>
      <c r="H456" s="75">
        <f t="shared" si="36"/>
        <v>51089.697745069287</v>
      </c>
      <c r="J456" s="77">
        <f t="shared" si="39"/>
        <v>100</v>
      </c>
      <c r="K456" s="20">
        <f t="shared" si="40"/>
        <v>68</v>
      </c>
      <c r="L456" s="78">
        <f t="shared" si="37"/>
        <v>226.03030271419203</v>
      </c>
    </row>
    <row r="457" spans="6:12" x14ac:dyDescent="0.2">
      <c r="F457" s="77">
        <f t="shared" si="38"/>
        <v>10000</v>
      </c>
      <c r="G457" s="20">
        <v>69</v>
      </c>
      <c r="H457" s="75">
        <f t="shared" si="36"/>
        <v>52329.911468149476</v>
      </c>
      <c r="J457" s="77">
        <f t="shared" si="39"/>
        <v>100</v>
      </c>
      <c r="K457" s="20">
        <f t="shared" si="40"/>
        <v>69</v>
      </c>
      <c r="L457" s="78">
        <f t="shared" si="37"/>
        <v>228.75732003183961</v>
      </c>
    </row>
    <row r="458" spans="6:12" x14ac:dyDescent="0.2">
      <c r="F458" s="77">
        <f t="shared" si="38"/>
        <v>10000</v>
      </c>
      <c r="G458" s="20">
        <v>70</v>
      </c>
      <c r="H458" s="75">
        <f t="shared" si="36"/>
        <v>53600.231653917916</v>
      </c>
      <c r="J458" s="77">
        <f t="shared" si="39"/>
        <v>100</v>
      </c>
      <c r="K458" s="20">
        <f t="shared" si="40"/>
        <v>70</v>
      </c>
      <c r="L458" s="78">
        <f t="shared" si="37"/>
        <v>231.51723835152734</v>
      </c>
    </row>
    <row r="459" spans="6:12" x14ac:dyDescent="0.2">
      <c r="F459" s="77">
        <f t="shared" si="38"/>
        <v>10000</v>
      </c>
      <c r="G459" s="20">
        <v>71</v>
      </c>
      <c r="H459" s="75">
        <f t="shared" si="36"/>
        <v>54901.389143421417</v>
      </c>
      <c r="J459" s="77">
        <f t="shared" si="39"/>
        <v>100</v>
      </c>
      <c r="K459" s="20">
        <f t="shared" si="40"/>
        <v>71</v>
      </c>
      <c r="L459" s="78">
        <f t="shared" si="37"/>
        <v>234.31045461827225</v>
      </c>
    </row>
    <row r="460" spans="6:12" x14ac:dyDescent="0.2">
      <c r="F460" s="77">
        <f t="shared" si="38"/>
        <v>10000</v>
      </c>
      <c r="G460" s="20">
        <v>72</v>
      </c>
      <c r="H460" s="75">
        <f t="shared" si="36"/>
        <v>56234.132519034923</v>
      </c>
      <c r="J460" s="77">
        <f t="shared" si="39"/>
        <v>100</v>
      </c>
      <c r="K460" s="20">
        <f t="shared" si="40"/>
        <v>72</v>
      </c>
      <c r="L460" s="78">
        <f t="shared" si="37"/>
        <v>237.13737056616554</v>
      </c>
    </row>
    <row r="461" spans="6:12" x14ac:dyDescent="0.2">
      <c r="F461" s="77">
        <f t="shared" si="38"/>
        <v>10000</v>
      </c>
      <c r="G461" s="20">
        <v>73</v>
      </c>
      <c r="H461" s="75">
        <f t="shared" si="36"/>
        <v>57599.228535136281</v>
      </c>
      <c r="J461" s="77">
        <f t="shared" si="39"/>
        <v>100</v>
      </c>
      <c r="K461" s="20">
        <f t="shared" si="40"/>
        <v>73</v>
      </c>
      <c r="L461" s="78">
        <f t="shared" si="37"/>
        <v>239.99839277615234</v>
      </c>
    </row>
    <row r="462" spans="6:12" x14ac:dyDescent="0.2">
      <c r="F462" s="77">
        <f t="shared" si="38"/>
        <v>10000</v>
      </c>
      <c r="G462" s="20">
        <v>74</v>
      </c>
      <c r="H462" s="75">
        <f t="shared" si="36"/>
        <v>58997.462559235653</v>
      </c>
      <c r="J462" s="77">
        <f t="shared" si="39"/>
        <v>100</v>
      </c>
      <c r="K462" s="20">
        <f t="shared" si="40"/>
        <v>74</v>
      </c>
      <c r="L462" s="78">
        <f t="shared" si="37"/>
        <v>242.89393273450793</v>
      </c>
    </row>
    <row r="463" spans="6:12" x14ac:dyDescent="0.2">
      <c r="F463" s="77">
        <f t="shared" si="38"/>
        <v>10000</v>
      </c>
      <c r="G463" s="20">
        <v>75</v>
      </c>
      <c r="H463" s="75">
        <f t="shared" si="36"/>
        <v>60429.639023813288</v>
      </c>
      <c r="J463" s="77">
        <f t="shared" si="39"/>
        <v>100</v>
      </c>
      <c r="K463" s="20">
        <f t="shared" si="40"/>
        <v>75</v>
      </c>
      <c r="L463" s="78">
        <f t="shared" si="37"/>
        <v>245.82440689201977</v>
      </c>
    </row>
    <row r="464" spans="6:12" x14ac:dyDescent="0.2">
      <c r="F464" s="77">
        <f t="shared" si="38"/>
        <v>10000</v>
      </c>
      <c r="G464" s="20">
        <v>76</v>
      </c>
      <c r="H464" s="75">
        <f t="shared" si="36"/>
        <v>61896.581889126064</v>
      </c>
      <c r="J464" s="77">
        <f t="shared" si="39"/>
        <v>100</v>
      </c>
      <c r="K464" s="20">
        <f t="shared" si="40"/>
        <v>76</v>
      </c>
      <c r="L464" s="78">
        <f t="shared" si="37"/>
        <v>248.79023672388362</v>
      </c>
    </row>
    <row r="465" spans="6:16" x14ac:dyDescent="0.2">
      <c r="F465" s="77">
        <f t="shared" si="38"/>
        <v>10000</v>
      </c>
      <c r="G465" s="20">
        <v>77</v>
      </c>
      <c r="H465" s="75">
        <f t="shared" si="36"/>
        <v>63399.135117248457</v>
      </c>
      <c r="J465" s="77">
        <f t="shared" si="39"/>
        <v>100</v>
      </c>
      <c r="K465" s="20">
        <f t="shared" si="40"/>
        <v>77</v>
      </c>
      <c r="L465" s="78">
        <f t="shared" si="37"/>
        <v>251.79184879032218</v>
      </c>
    </row>
    <row r="466" spans="6:16" x14ac:dyDescent="0.2">
      <c r="F466" s="77">
        <f t="shared" si="38"/>
        <v>10000</v>
      </c>
      <c r="G466" s="20">
        <v>78</v>
      </c>
      <c r="H466" s="75">
        <f t="shared" si="36"/>
        <v>64938.163157621151</v>
      </c>
      <c r="J466" s="77">
        <f t="shared" si="39"/>
        <v>100</v>
      </c>
      <c r="K466" s="20">
        <f t="shared" si="40"/>
        <v>78</v>
      </c>
      <c r="L466" s="78">
        <f t="shared" si="37"/>
        <v>254.8296747979347</v>
      </c>
      <c r="O466" s="80"/>
    </row>
    <row r="467" spans="6:16" x14ac:dyDescent="0.2">
      <c r="F467" s="77">
        <f t="shared" si="38"/>
        <v>10000</v>
      </c>
      <c r="G467" s="20">
        <v>79</v>
      </c>
      <c r="H467" s="75">
        <f t="shared" si="36"/>
        <v>66514.551444386336</v>
      </c>
      <c r="J467" s="77">
        <f t="shared" si="39"/>
        <v>100</v>
      </c>
      <c r="K467" s="20">
        <f t="shared" si="40"/>
        <v>79</v>
      </c>
      <c r="L467" s="78">
        <f t="shared" si="37"/>
        <v>257.90415166178764</v>
      </c>
    </row>
    <row r="468" spans="6:16" x14ac:dyDescent="0.2">
      <c r="F468" s="77">
        <f t="shared" si="38"/>
        <v>10000</v>
      </c>
      <c r="G468" s="20">
        <v>80</v>
      </c>
      <c r="H468" s="75">
        <f t="shared" si="36"/>
        <v>68129.206905796134</v>
      </c>
      <c r="J468" s="77">
        <f t="shared" si="39"/>
        <v>100</v>
      </c>
      <c r="K468" s="20">
        <f t="shared" si="40"/>
        <v>80</v>
      </c>
      <c r="L468" s="78">
        <f t="shared" si="37"/>
        <v>261.0157215682537</v>
      </c>
    </row>
    <row r="469" spans="6:16" x14ac:dyDescent="0.2">
      <c r="F469" s="77">
        <f t="shared" si="38"/>
        <v>10000</v>
      </c>
      <c r="G469" s="20">
        <v>81</v>
      </c>
      <c r="H469" s="75">
        <f t="shared" si="36"/>
        <v>69783.05848598665</v>
      </c>
      <c r="J469" s="77">
        <f t="shared" si="39"/>
        <v>100</v>
      </c>
      <c r="K469" s="20">
        <f t="shared" si="40"/>
        <v>81</v>
      </c>
      <c r="L469" s="78">
        <f t="shared" si="37"/>
        <v>264.16483203860929</v>
      </c>
    </row>
    <row r="470" spans="6:16" x14ac:dyDescent="0.2">
      <c r="F470" s="77">
        <f t="shared" si="38"/>
        <v>10000</v>
      </c>
      <c r="G470" s="20">
        <v>82</v>
      </c>
      <c r="H470" s="75">
        <f t="shared" si="36"/>
        <v>71477.057679418576</v>
      </c>
      <c r="J470" s="77">
        <f t="shared" si="39"/>
        <v>100</v>
      </c>
      <c r="K470" s="20">
        <f t="shared" si="40"/>
        <v>82</v>
      </c>
      <c r="L470" s="78">
        <f t="shared" si="37"/>
        <v>267.35193599339908</v>
      </c>
      <c r="O470" s="81"/>
      <c r="P470" s="81"/>
    </row>
    <row r="471" spans="6:16" x14ac:dyDescent="0.2">
      <c r="F471" s="77">
        <f t="shared" si="38"/>
        <v>10000</v>
      </c>
      <c r="G471" s="20">
        <v>83</v>
      </c>
      <c r="H471" s="75">
        <f t="shared" si="36"/>
        <v>73212.179078291301</v>
      </c>
      <c r="J471" s="77">
        <f t="shared" si="39"/>
        <v>100</v>
      </c>
      <c r="K471" s="20">
        <f t="shared" si="40"/>
        <v>83</v>
      </c>
      <c r="L471" s="78">
        <f t="shared" si="37"/>
        <v>270.57749181757765</v>
      </c>
      <c r="O471" s="82"/>
    </row>
    <row r="472" spans="6:16" x14ac:dyDescent="0.2">
      <c r="F472" s="77">
        <f t="shared" si="38"/>
        <v>10000</v>
      </c>
      <c r="G472" s="20">
        <v>84</v>
      </c>
      <c r="H472" s="75">
        <f t="shared" si="36"/>
        <v>74989.420933245594</v>
      </c>
      <c r="J472" s="77">
        <f t="shared" si="39"/>
        <v>100</v>
      </c>
      <c r="K472" s="20">
        <f t="shared" si="40"/>
        <v>84</v>
      </c>
      <c r="L472" s="78">
        <f t="shared" si="37"/>
        <v>273.84196342643617</v>
      </c>
    </row>
    <row r="473" spans="6:16" x14ac:dyDescent="0.2">
      <c r="F473" s="77">
        <f t="shared" si="38"/>
        <v>10000</v>
      </c>
      <c r="G473" s="20">
        <v>85</v>
      </c>
      <c r="H473" s="75">
        <f t="shared" si="36"/>
        <v>76809.805727677551</v>
      </c>
      <c r="J473" s="77">
        <f t="shared" si="39"/>
        <v>100</v>
      </c>
      <c r="K473" s="20">
        <f t="shared" si="40"/>
        <v>85</v>
      </c>
      <c r="L473" s="78">
        <f t="shared" si="37"/>
        <v>277.14582033232534</v>
      </c>
    </row>
    <row r="474" spans="6:16" x14ac:dyDescent="0.2">
      <c r="F474" s="77">
        <f t="shared" si="38"/>
        <v>10000</v>
      </c>
      <c r="G474" s="20">
        <v>86</v>
      </c>
      <c r="H474" s="75">
        <f t="shared" si="36"/>
        <v>78674.380765994036</v>
      </c>
      <c r="J474" s="77">
        <f t="shared" si="39"/>
        <v>100</v>
      </c>
      <c r="K474" s="20">
        <f t="shared" si="40"/>
        <v>86</v>
      </c>
      <c r="L474" s="78">
        <f t="shared" si="37"/>
        <v>280.48953771218282</v>
      </c>
    </row>
    <row r="475" spans="6:16" x14ac:dyDescent="0.2">
      <c r="F475" s="77">
        <f t="shared" si="38"/>
        <v>10000</v>
      </c>
      <c r="G475" s="20">
        <v>87</v>
      </c>
      <c r="H475" s="75">
        <f t="shared" si="36"/>
        <v>80584.218776148191</v>
      </c>
      <c r="J475" s="77">
        <f t="shared" si="39"/>
        <v>100</v>
      </c>
      <c r="K475" s="20">
        <f t="shared" si="40"/>
        <v>87</v>
      </c>
      <c r="L475" s="78">
        <f t="shared" si="37"/>
        <v>283.8735964758755</v>
      </c>
    </row>
    <row r="476" spans="6:16" x14ac:dyDescent="0.2">
      <c r="F476" s="77">
        <f t="shared" si="38"/>
        <v>10000</v>
      </c>
      <c r="G476" s="20">
        <v>88</v>
      </c>
      <c r="H476" s="75">
        <f t="shared" si="36"/>
        <v>82540.418526801834</v>
      </c>
      <c r="J476" s="77">
        <f t="shared" si="39"/>
        <v>100</v>
      </c>
      <c r="K476" s="20">
        <f t="shared" si="40"/>
        <v>88</v>
      </c>
      <c r="L476" s="78">
        <f t="shared" si="37"/>
        <v>287.29848333536643</v>
      </c>
    </row>
    <row r="477" spans="6:16" x14ac:dyDescent="0.2">
      <c r="F477" s="77">
        <f t="shared" si="38"/>
        <v>10000</v>
      </c>
      <c r="G477" s="20">
        <v>89</v>
      </c>
      <c r="H477" s="75">
        <f t="shared" si="36"/>
        <v>84544.10545946924</v>
      </c>
      <c r="J477" s="77">
        <f t="shared" si="39"/>
        <v>100</v>
      </c>
      <c r="K477" s="20">
        <f t="shared" si="40"/>
        <v>89</v>
      </c>
      <c r="L477" s="78">
        <f t="shared" si="37"/>
        <v>290.76469087471617</v>
      </c>
    </row>
    <row r="478" spans="6:16" x14ac:dyDescent="0.2">
      <c r="F478" s="77">
        <f t="shared" si="38"/>
        <v>10000</v>
      </c>
      <c r="G478" s="20">
        <v>90</v>
      </c>
      <c r="H478" s="75">
        <f t="shared" si="36"/>
        <v>86596.432336006561</v>
      </c>
      <c r="J478" s="77">
        <f t="shared" si="39"/>
        <v>100</v>
      </c>
      <c r="K478" s="20">
        <f t="shared" si="40"/>
        <v>90</v>
      </c>
      <c r="L478" s="78">
        <f t="shared" si="37"/>
        <v>294.27271762092823</v>
      </c>
    </row>
    <row r="479" spans="6:16" x14ac:dyDescent="0.2">
      <c r="F479" s="77">
        <f t="shared" si="38"/>
        <v>10000</v>
      </c>
      <c r="G479" s="20">
        <v>91</v>
      </c>
      <c r="H479" s="75">
        <f t="shared" si="36"/>
        <v>88698.57990181919</v>
      </c>
      <c r="J479" s="77">
        <f t="shared" si="39"/>
        <v>100</v>
      </c>
      <c r="K479" s="20">
        <f t="shared" si="40"/>
        <v>91</v>
      </c>
      <c r="L479" s="78">
        <f t="shared" si="37"/>
        <v>297.82306811565013</v>
      </c>
    </row>
    <row r="480" spans="6:16" x14ac:dyDescent="0.2">
      <c r="F480" s="77">
        <f t="shared" si="38"/>
        <v>10000</v>
      </c>
      <c r="G480" s="20">
        <v>92</v>
      </c>
      <c r="H480" s="75">
        <f t="shared" si="36"/>
        <v>90851.757565168708</v>
      </c>
      <c r="J480" s="77">
        <f t="shared" si="39"/>
        <v>100</v>
      </c>
      <c r="K480" s="20">
        <f t="shared" si="40"/>
        <v>92</v>
      </c>
      <c r="L480" s="78">
        <f t="shared" si="37"/>
        <v>301.41625298773909</v>
      </c>
    </row>
    <row r="481" spans="6:12" x14ac:dyDescent="0.2">
      <c r="F481" s="77">
        <f t="shared" si="38"/>
        <v>10000</v>
      </c>
      <c r="G481" s="20">
        <v>93</v>
      </c>
      <c r="H481" s="75">
        <f t="shared" si="36"/>
        <v>93057.2040929699</v>
      </c>
      <c r="J481" s="77">
        <f t="shared" si="39"/>
        <v>100</v>
      </c>
      <c r="K481" s="20">
        <f t="shared" si="40"/>
        <v>93</v>
      </c>
      <c r="L481" s="78">
        <f t="shared" si="37"/>
        <v>305.05278902670256</v>
      </c>
    </row>
    <row r="482" spans="6:12" x14ac:dyDescent="0.2">
      <c r="F482" s="77">
        <f t="shared" si="38"/>
        <v>10000</v>
      </c>
      <c r="G482" s="20">
        <v>94</v>
      </c>
      <c r="H482" s="75">
        <f t="shared" si="36"/>
        <v>95316.188323478782</v>
      </c>
      <c r="J482" s="77">
        <f t="shared" si="39"/>
        <v>100</v>
      </c>
      <c r="K482" s="20">
        <f t="shared" si="40"/>
        <v>94</v>
      </c>
      <c r="L482" s="78">
        <f t="shared" si="37"/>
        <v>308.7331992570264</v>
      </c>
    </row>
    <row r="483" spans="6:12" x14ac:dyDescent="0.2">
      <c r="F483" s="77">
        <f t="shared" si="38"/>
        <v>10000</v>
      </c>
      <c r="G483" s="20">
        <v>95</v>
      </c>
      <c r="H483" s="75">
        <f t="shared" si="36"/>
        <v>97630.009896280782</v>
      </c>
      <c r="J483" s="77">
        <f t="shared" si="39"/>
        <v>100</v>
      </c>
      <c r="K483" s="20">
        <f t="shared" si="40"/>
        <v>95</v>
      </c>
      <c r="L483" s="78">
        <f t="shared" si="37"/>
        <v>312.45801301339799</v>
      </c>
    </row>
    <row r="484" spans="6:12" x14ac:dyDescent="0.2">
      <c r="F484" s="77">
        <f t="shared" si="38"/>
        <v>10000</v>
      </c>
      <c r="G484" s="20">
        <v>96</v>
      </c>
      <c r="H484" s="75">
        <f t="shared" si="36"/>
        <v>100000</v>
      </c>
      <c r="J484" s="77">
        <f t="shared" si="39"/>
        <v>100</v>
      </c>
      <c r="K484" s="20">
        <f t="shared" si="40"/>
        <v>96</v>
      </c>
      <c r="L484" s="78">
        <f t="shared" si="37"/>
        <v>316.22776601683796</v>
      </c>
    </row>
    <row r="485" spans="6:12" x14ac:dyDescent="0.2">
      <c r="F485" s="77">
        <f>F389*10</f>
        <v>100000</v>
      </c>
      <c r="G485" s="20">
        <v>1</v>
      </c>
      <c r="H485" s="75">
        <f t="shared" si="36"/>
        <v>102427.52213815923</v>
      </c>
      <c r="J485" s="77">
        <f t="shared" si="39"/>
        <v>100</v>
      </c>
      <c r="K485" s="20">
        <f t="shared" si="40"/>
        <v>97</v>
      </c>
      <c r="L485" s="78">
        <f t="shared" si="37"/>
        <v>320.04300045175069</v>
      </c>
    </row>
    <row r="486" spans="6:12" x14ac:dyDescent="0.2">
      <c r="F486" s="77">
        <f t="shared" ref="F486:F549" si="41">F390*10</f>
        <v>100000</v>
      </c>
      <c r="G486" s="20">
        <v>2</v>
      </c>
      <c r="H486" s="75">
        <f t="shared" si="36"/>
        <v>104913.97291363098</v>
      </c>
      <c r="J486" s="77">
        <f t="shared" si="39"/>
        <v>100</v>
      </c>
      <c r="K486" s="20">
        <f t="shared" si="40"/>
        <v>98</v>
      </c>
      <c r="L486" s="78">
        <f t="shared" si="37"/>
        <v>323.90426504390308</v>
      </c>
    </row>
    <row r="487" spans="6:12" x14ac:dyDescent="0.2">
      <c r="F487" s="77">
        <f t="shared" si="41"/>
        <v>100000</v>
      </c>
      <c r="G487" s="20">
        <v>3</v>
      </c>
      <c r="H487" s="75">
        <f t="shared" si="36"/>
        <v>107460.78283213174</v>
      </c>
      <c r="J487" s="77">
        <f t="shared" si="39"/>
        <v>100</v>
      </c>
      <c r="K487" s="20">
        <f t="shared" si="40"/>
        <v>99</v>
      </c>
      <c r="L487" s="78">
        <f t="shared" si="37"/>
        <v>327.81211513934591</v>
      </c>
    </row>
    <row r="488" spans="6:12" x14ac:dyDescent="0.2">
      <c r="F488" s="77">
        <f t="shared" si="41"/>
        <v>100000</v>
      </c>
      <c r="G488" s="20">
        <v>4</v>
      </c>
      <c r="H488" s="75">
        <f t="shared" si="36"/>
        <v>110069.41712522096</v>
      </c>
      <c r="J488" s="77">
        <f t="shared" si="39"/>
        <v>100</v>
      </c>
      <c r="K488" s="20">
        <f t="shared" si="40"/>
        <v>100</v>
      </c>
      <c r="L488" s="78">
        <f t="shared" si="37"/>
        <v>331.76711278428581</v>
      </c>
    </row>
    <row r="489" spans="6:12" x14ac:dyDescent="0.2">
      <c r="F489" s="77">
        <f t="shared" si="41"/>
        <v>100000</v>
      </c>
      <c r="G489" s="20">
        <v>5</v>
      </c>
      <c r="H489" s="75">
        <f t="shared" si="36"/>
        <v>112741.37659327852</v>
      </c>
      <c r="J489" s="77">
        <f t="shared" si="39"/>
        <v>100</v>
      </c>
      <c r="K489" s="20">
        <f t="shared" si="40"/>
        <v>101</v>
      </c>
      <c r="L489" s="78">
        <f t="shared" si="37"/>
        <v>335.76982680592147</v>
      </c>
    </row>
    <row r="490" spans="6:12" x14ac:dyDescent="0.2">
      <c r="F490" s="77">
        <f t="shared" si="41"/>
        <v>100000</v>
      </c>
      <c r="G490" s="20">
        <v>6</v>
      </c>
      <c r="H490" s="75">
        <f t="shared" si="36"/>
        <v>115478.19846894582</v>
      </c>
      <c r="J490" s="77">
        <f t="shared" si="39"/>
        <v>100</v>
      </c>
      <c r="K490" s="20">
        <f t="shared" si="40"/>
        <v>102</v>
      </c>
      <c r="L490" s="78">
        <f t="shared" si="37"/>
        <v>339.82083289425594</v>
      </c>
    </row>
    <row r="491" spans="6:12" x14ac:dyDescent="0.2">
      <c r="F491" s="77">
        <f t="shared" si="41"/>
        <v>100000</v>
      </c>
      <c r="G491" s="20">
        <v>7</v>
      </c>
      <c r="H491" s="75">
        <f t="shared" si="36"/>
        <v>118281.45730152693</v>
      </c>
      <c r="J491" s="77">
        <f t="shared" si="39"/>
        <v>100</v>
      </c>
      <c r="K491" s="20">
        <f t="shared" si="40"/>
        <v>103</v>
      </c>
      <c r="L491" s="78">
        <f t="shared" si="37"/>
        <v>343.92071368489417</v>
      </c>
    </row>
    <row r="492" spans="6:12" x14ac:dyDescent="0.2">
      <c r="F492" s="77">
        <f t="shared" si="41"/>
        <v>100000</v>
      </c>
      <c r="G492" s="20">
        <v>8</v>
      </c>
      <c r="H492" s="75">
        <f t="shared" si="36"/>
        <v>121152.76586285885</v>
      </c>
      <c r="J492" s="77">
        <f t="shared" si="39"/>
        <v>100</v>
      </c>
      <c r="K492" s="20">
        <f t="shared" si="40"/>
        <v>104</v>
      </c>
      <c r="L492" s="78">
        <f t="shared" si="37"/>
        <v>348.07005884284104</v>
      </c>
    </row>
    <row r="493" spans="6:12" x14ac:dyDescent="0.2">
      <c r="F493" s="77">
        <f t="shared" si="41"/>
        <v>100000</v>
      </c>
      <c r="G493" s="20">
        <v>9</v>
      </c>
      <c r="H493" s="75">
        <f t="shared" si="36"/>
        <v>124093.77607517196</v>
      </c>
      <c r="J493" s="77">
        <f t="shared" si="39"/>
        <v>100</v>
      </c>
      <c r="K493" s="20">
        <f t="shared" si="40"/>
        <v>105</v>
      </c>
      <c r="L493" s="78">
        <f t="shared" si="37"/>
        <v>352.26946514731014</v>
      </c>
    </row>
    <row r="494" spans="6:12" x14ac:dyDescent="0.2">
      <c r="F494" s="77">
        <f t="shared" si="41"/>
        <v>100000</v>
      </c>
      <c r="G494" s="20">
        <v>10</v>
      </c>
      <c r="H494" s="75">
        <f t="shared" si="36"/>
        <v>127106.17996147448</v>
      </c>
      <c r="J494" s="77">
        <f t="shared" si="39"/>
        <v>100</v>
      </c>
      <c r="K494" s="20">
        <f t="shared" si="40"/>
        <v>106</v>
      </c>
      <c r="L494" s="78">
        <f t="shared" si="37"/>
        <v>356.51953657755496</v>
      </c>
    </row>
    <row r="495" spans="6:12" x14ac:dyDescent="0.2">
      <c r="F495" s="77">
        <f t="shared" si="41"/>
        <v>100000</v>
      </c>
      <c r="G495" s="20">
        <v>11</v>
      </c>
      <c r="H495" s="75">
        <f t="shared" si="36"/>
        <v>130191.71061900779</v>
      </c>
      <c r="J495" s="77">
        <f t="shared" si="39"/>
        <v>100</v>
      </c>
      <c r="K495" s="20">
        <f t="shared" si="40"/>
        <v>107</v>
      </c>
      <c r="L495" s="78">
        <f t="shared" si="37"/>
        <v>360.8208843997362</v>
      </c>
    </row>
    <row r="496" spans="6:12" x14ac:dyDescent="0.2">
      <c r="F496" s="77">
        <f t="shared" si="41"/>
        <v>100000</v>
      </c>
      <c r="G496" s="20">
        <v>12</v>
      </c>
      <c r="H496" s="75">
        <f t="shared" si="36"/>
        <v>133352.14321633239</v>
      </c>
      <c r="J496" s="77">
        <f t="shared" si="39"/>
        <v>100</v>
      </c>
      <c r="K496" s="20">
        <f t="shared" si="40"/>
        <v>108</v>
      </c>
      <c r="L496" s="78">
        <f t="shared" si="37"/>
        <v>365.17412725483774</v>
      </c>
    </row>
    <row r="497" spans="6:12" x14ac:dyDescent="0.2">
      <c r="F497" s="77">
        <f t="shared" si="41"/>
        <v>100000</v>
      </c>
      <c r="G497" s="20">
        <v>13</v>
      </c>
      <c r="H497" s="75">
        <f t="shared" si="36"/>
        <v>136589.29601461865</v>
      </c>
      <c r="J497" s="77">
        <f t="shared" si="39"/>
        <v>100</v>
      </c>
      <c r="K497" s="20">
        <f t="shared" si="40"/>
        <v>109</v>
      </c>
      <c r="L497" s="78">
        <f t="shared" si="37"/>
        <v>369.5798912476418</v>
      </c>
    </row>
    <row r="498" spans="6:12" x14ac:dyDescent="0.2">
      <c r="F498" s="77">
        <f t="shared" si="41"/>
        <v>100000</v>
      </c>
      <c r="G498" s="20">
        <v>14</v>
      </c>
      <c r="H498" s="75">
        <f t="shared" si="36"/>
        <v>139905.03141372939</v>
      </c>
      <c r="J498" s="77">
        <f t="shared" si="39"/>
        <v>100</v>
      </c>
      <c r="K498" s="20">
        <f t="shared" si="40"/>
        <v>110</v>
      </c>
      <c r="L498" s="78">
        <f t="shared" si="37"/>
        <v>374.03881003677861</v>
      </c>
    </row>
    <row r="499" spans="6:12" x14ac:dyDescent="0.2">
      <c r="F499" s="77">
        <f t="shared" si="41"/>
        <v>100000</v>
      </c>
      <c r="G499" s="20">
        <v>15</v>
      </c>
      <c r="H499" s="75">
        <f t="shared" si="36"/>
        <v>143301.25702369629</v>
      </c>
      <c r="J499" s="77">
        <f t="shared" si="39"/>
        <v>100</v>
      </c>
      <c r="K499" s="20">
        <f t="shared" si="40"/>
        <v>111</v>
      </c>
      <c r="L499" s="78">
        <f t="shared" si="37"/>
        <v>378.55152492586296</v>
      </c>
    </row>
    <row r="500" spans="6:12" x14ac:dyDescent="0.2">
      <c r="F500" s="77">
        <f t="shared" si="41"/>
        <v>100000</v>
      </c>
      <c r="G500" s="20">
        <v>16</v>
      </c>
      <c r="H500" s="75">
        <f t="shared" si="36"/>
        <v>146779.92676220697</v>
      </c>
      <c r="J500" s="77">
        <f t="shared" si="39"/>
        <v>100</v>
      </c>
      <c r="K500" s="20">
        <f t="shared" si="40"/>
        <v>112</v>
      </c>
      <c r="L500" s="78">
        <f t="shared" si="37"/>
        <v>383.11868495572884</v>
      </c>
    </row>
    <row r="501" spans="6:12" x14ac:dyDescent="0.2">
      <c r="F501" s="77">
        <f t="shared" si="41"/>
        <v>100000</v>
      </c>
      <c r="G501" s="20">
        <v>17</v>
      </c>
      <c r="H501" s="75">
        <f t="shared" si="36"/>
        <v>150343.04197873344</v>
      </c>
      <c r="J501" s="77">
        <f t="shared" si="39"/>
        <v>100</v>
      </c>
      <c r="K501" s="20">
        <f t="shared" si="40"/>
        <v>113</v>
      </c>
      <c r="L501" s="78">
        <f t="shared" si="37"/>
        <v>387.74094699777766</v>
      </c>
    </row>
    <row r="502" spans="6:12" x14ac:dyDescent="0.2">
      <c r="F502" s="77">
        <f t="shared" si="41"/>
        <v>100000</v>
      </c>
      <c r="G502" s="20">
        <v>18</v>
      </c>
      <c r="H502" s="75">
        <f t="shared" si="36"/>
        <v>153992.6526059492</v>
      </c>
      <c r="J502" s="77">
        <f t="shared" si="39"/>
        <v>100</v>
      </c>
      <c r="K502" s="20">
        <f t="shared" si="40"/>
        <v>114</v>
      </c>
      <c r="L502" s="78">
        <f t="shared" si="37"/>
        <v>392.41897584845361</v>
      </c>
    </row>
    <row r="503" spans="6:12" x14ac:dyDescent="0.2">
      <c r="F503" s="77">
        <f t="shared" si="41"/>
        <v>100000</v>
      </c>
      <c r="G503" s="20">
        <v>19</v>
      </c>
      <c r="H503" s="75">
        <f t="shared" si="36"/>
        <v>157730.85833909726</v>
      </c>
      <c r="J503" s="77">
        <f t="shared" si="39"/>
        <v>100</v>
      </c>
      <c r="K503" s="20">
        <f t="shared" si="40"/>
        <v>115</v>
      </c>
      <c r="L503" s="78">
        <f t="shared" si="37"/>
        <v>397.15344432485705</v>
      </c>
    </row>
    <row r="504" spans="6:12" x14ac:dyDescent="0.2">
      <c r="F504" s="77">
        <f t="shared" si="41"/>
        <v>100000</v>
      </c>
      <c r="G504" s="20">
        <v>20</v>
      </c>
      <c r="H504" s="75">
        <f t="shared" si="36"/>
        <v>161559.8098439874</v>
      </c>
      <c r="J504" s="77">
        <f t="shared" si="39"/>
        <v>100</v>
      </c>
      <c r="K504" s="20">
        <f t="shared" si="40"/>
        <v>116</v>
      </c>
      <c r="L504" s="78">
        <f t="shared" si="37"/>
        <v>401.94503336151257</v>
      </c>
    </row>
    <row r="505" spans="6:12" x14ac:dyDescent="0.2">
      <c r="F505" s="77">
        <f t="shared" si="41"/>
        <v>100000</v>
      </c>
      <c r="G505" s="20">
        <v>21</v>
      </c>
      <c r="H505" s="75">
        <f t="shared" si="36"/>
        <v>165481.70999431814</v>
      </c>
      <c r="J505" s="77">
        <f t="shared" si="39"/>
        <v>100</v>
      </c>
      <c r="K505" s="20">
        <f t="shared" si="40"/>
        <v>117</v>
      </c>
      <c r="L505" s="78">
        <f t="shared" si="37"/>
        <v>406.79443210830482</v>
      </c>
    </row>
    <row r="506" spans="6:12" x14ac:dyDescent="0.2">
      <c r="F506" s="77">
        <f t="shared" si="41"/>
        <v>100000</v>
      </c>
      <c r="G506" s="20">
        <v>22</v>
      </c>
      <c r="H506" s="75">
        <f t="shared" si="36"/>
        <v>169498.81513903468</v>
      </c>
      <c r="J506" s="77">
        <f t="shared" si="39"/>
        <v>100</v>
      </c>
      <c r="K506" s="20">
        <f t="shared" si="40"/>
        <v>118</v>
      </c>
      <c r="L506" s="78">
        <f t="shared" si="37"/>
        <v>411.70233802959484</v>
      </c>
    </row>
    <row r="507" spans="6:12" x14ac:dyDescent="0.2">
      <c r="F507" s="77">
        <f t="shared" si="41"/>
        <v>100000</v>
      </c>
      <c r="G507" s="20">
        <v>23</v>
      </c>
      <c r="H507" s="75">
        <f t="shared" si="36"/>
        <v>173613.43640045234</v>
      </c>
      <c r="J507" s="77">
        <f t="shared" si="39"/>
        <v>100</v>
      </c>
      <c r="K507" s="20">
        <f t="shared" si="40"/>
        <v>119</v>
      </c>
      <c r="L507" s="78">
        <f t="shared" si="37"/>
        <v>416.669457004533</v>
      </c>
    </row>
    <row r="508" spans="6:12" x14ac:dyDescent="0.2">
      <c r="F508" s="77">
        <f t="shared" si="41"/>
        <v>100000</v>
      </c>
      <c r="G508" s="20">
        <v>24</v>
      </c>
      <c r="H508" s="75">
        <f t="shared" si="36"/>
        <v>177827.94100389231</v>
      </c>
      <c r="J508" s="77">
        <f t="shared" si="39"/>
        <v>100</v>
      </c>
      <c r="K508" s="20">
        <f t="shared" si="40"/>
        <v>120</v>
      </c>
      <c r="L508" s="78">
        <f t="shared" si="37"/>
        <v>421.69650342858233</v>
      </c>
    </row>
    <row r="509" spans="6:12" x14ac:dyDescent="0.2">
      <c r="F509" s="77">
        <f t="shared" si="41"/>
        <v>100000</v>
      </c>
      <c r="G509" s="20">
        <v>25</v>
      </c>
      <c r="H509" s="75">
        <f t="shared" si="36"/>
        <v>182144.75363959454</v>
      </c>
      <c r="J509" s="77">
        <f t="shared" si="39"/>
        <v>100</v>
      </c>
      <c r="K509" s="20">
        <f t="shared" si="40"/>
        <v>121</v>
      </c>
      <c r="L509" s="78">
        <f t="shared" si="37"/>
        <v>426.78420031626587</v>
      </c>
    </row>
    <row r="510" spans="6:12" x14ac:dyDescent="0.2">
      <c r="F510" s="77">
        <f t="shared" si="41"/>
        <v>100000</v>
      </c>
      <c r="G510" s="20">
        <v>26</v>
      </c>
      <c r="H510" s="75">
        <f t="shared" si="36"/>
        <v>186566.35785769121</v>
      </c>
      <c r="J510" s="77">
        <f t="shared" si="39"/>
        <v>100</v>
      </c>
      <c r="K510" s="20">
        <f t="shared" si="40"/>
        <v>122</v>
      </c>
      <c r="L510" s="78">
        <f t="shared" si="37"/>
        <v>431.93327940515445</v>
      </c>
    </row>
    <row r="511" spans="6:12" x14ac:dyDescent="0.2">
      <c r="F511" s="77">
        <f t="shared" si="41"/>
        <v>100000</v>
      </c>
      <c r="G511" s="20">
        <v>27</v>
      </c>
      <c r="H511" s="75">
        <f t="shared" si="36"/>
        <v>191095.29749704406</v>
      </c>
      <c r="J511" s="77">
        <f t="shared" si="39"/>
        <v>100</v>
      </c>
      <c r="K511" s="20">
        <f t="shared" si="40"/>
        <v>123</v>
      </c>
      <c r="L511" s="78">
        <f t="shared" si="37"/>
        <v>437.14448126110898</v>
      </c>
    </row>
    <row r="512" spans="6:12" x14ac:dyDescent="0.2">
      <c r="F512" s="77">
        <f t="shared" si="41"/>
        <v>100000</v>
      </c>
      <c r="G512" s="20">
        <v>28</v>
      </c>
      <c r="H512" s="75">
        <f t="shared" si="36"/>
        <v>195734.17814876605</v>
      </c>
      <c r="J512" s="77">
        <f t="shared" si="39"/>
        <v>100</v>
      </c>
      <c r="K512" s="20">
        <f t="shared" si="40"/>
        <v>124</v>
      </c>
      <c r="L512" s="78">
        <f t="shared" si="37"/>
        <v>442.41855538479183</v>
      </c>
    </row>
    <row r="513" spans="6:12" x14ac:dyDescent="0.2">
      <c r="F513" s="77">
        <f t="shared" si="41"/>
        <v>100000</v>
      </c>
      <c r="G513" s="20">
        <v>29</v>
      </c>
      <c r="H513" s="75">
        <f t="shared" si="36"/>
        <v>200485.66865527135</v>
      </c>
      <c r="J513" s="77">
        <f t="shared" si="39"/>
        <v>100</v>
      </c>
      <c r="K513" s="20">
        <f t="shared" si="40"/>
        <v>125</v>
      </c>
      <c r="L513" s="78">
        <f t="shared" si="37"/>
        <v>447.75626031946371</v>
      </c>
    </row>
    <row r="514" spans="6:12" x14ac:dyDescent="0.2">
      <c r="F514" s="77">
        <f t="shared" si="41"/>
        <v>100000</v>
      </c>
      <c r="G514" s="20">
        <v>30</v>
      </c>
      <c r="H514" s="75">
        <f t="shared" si="36"/>
        <v>205352.50264571462</v>
      </c>
      <c r="J514" s="77">
        <f t="shared" si="39"/>
        <v>100</v>
      </c>
      <c r="K514" s="20">
        <f t="shared" si="40"/>
        <v>126</v>
      </c>
      <c r="L514" s="78">
        <f t="shared" si="37"/>
        <v>453.1583637600819</v>
      </c>
    </row>
    <row r="515" spans="6:12" x14ac:dyDescent="0.2">
      <c r="F515" s="77">
        <f t="shared" si="41"/>
        <v>100000</v>
      </c>
      <c r="G515" s="20">
        <v>31</v>
      </c>
      <c r="H515" s="75">
        <f t="shared" si="36"/>
        <v>210337.48010870337</v>
      </c>
      <c r="J515" s="77">
        <f t="shared" si="39"/>
        <v>100</v>
      </c>
      <c r="K515" s="20">
        <f t="shared" si="40"/>
        <v>127</v>
      </c>
      <c r="L515" s="78">
        <f t="shared" si="37"/>
        <v>458.6256426637126</v>
      </c>
    </row>
    <row r="516" spans="6:12" x14ac:dyDescent="0.2">
      <c r="F516" s="77">
        <f t="shared" si="41"/>
        <v>100000</v>
      </c>
      <c r="G516" s="20">
        <v>32</v>
      </c>
      <c r="H516" s="75">
        <f t="shared" ref="H516:H579" si="42">F516*10^(G516/96)</f>
        <v>215443.46900318839</v>
      </c>
      <c r="J516" s="77">
        <f t="shared" si="39"/>
        <v>100</v>
      </c>
      <c r="K516" s="20">
        <f t="shared" si="40"/>
        <v>128</v>
      </c>
      <c r="L516" s="78">
        <f t="shared" si="37"/>
        <v>464.15888336127796</v>
      </c>
    </row>
    <row r="517" spans="6:12" x14ac:dyDescent="0.2">
      <c r="F517" s="77">
        <f t="shared" si="41"/>
        <v>100000</v>
      </c>
      <c r="G517" s="20">
        <v>33</v>
      </c>
      <c r="H517" s="75">
        <f t="shared" si="42"/>
        <v>220673.406908459</v>
      </c>
      <c r="J517" s="77">
        <f t="shared" si="39"/>
        <v>100</v>
      </c>
      <c r="K517" s="20">
        <f t="shared" si="40"/>
        <v>129</v>
      </c>
      <c r="L517" s="78">
        <f t="shared" ref="L517:L580" si="43">J517*10^(K517/192)</f>
        <v>469.75888167064932</v>
      </c>
    </row>
    <row r="518" spans="6:12" x14ac:dyDescent="0.2">
      <c r="F518" s="77">
        <f t="shared" si="41"/>
        <v>100000</v>
      </c>
      <c r="G518" s="20">
        <v>34</v>
      </c>
      <c r="H518" s="75">
        <f t="shared" si="42"/>
        <v>226030.30271419202</v>
      </c>
      <c r="J518" s="77">
        <f t="shared" ref="J518:J580" si="44">J326*10</f>
        <v>100</v>
      </c>
      <c r="K518" s="20">
        <f t="shared" ref="K518:K563" si="45">K517+1</f>
        <v>130</v>
      </c>
      <c r="L518" s="78">
        <f t="shared" si="43"/>
        <v>475.42644301110568</v>
      </c>
    </row>
    <row r="519" spans="6:12" x14ac:dyDescent="0.2">
      <c r="F519" s="77">
        <f t="shared" si="41"/>
        <v>100000</v>
      </c>
      <c r="G519" s="20">
        <v>35</v>
      </c>
      <c r="H519" s="75">
        <f t="shared" si="42"/>
        <v>231517.23835152734</v>
      </c>
      <c r="J519" s="77">
        <f t="shared" si="44"/>
        <v>100</v>
      </c>
      <c r="K519" s="20">
        <f t="shared" si="45"/>
        <v>131</v>
      </c>
      <c r="L519" s="78">
        <f t="shared" si="43"/>
        <v>481.16238251917338</v>
      </c>
    </row>
    <row r="520" spans="6:12" x14ac:dyDescent="0.2">
      <c r="F520" s="77">
        <f t="shared" si="41"/>
        <v>100000</v>
      </c>
      <c r="G520" s="20">
        <v>36</v>
      </c>
      <c r="H520" s="75">
        <f t="shared" si="42"/>
        <v>237137.37056616554</v>
      </c>
      <c r="J520" s="77">
        <f t="shared" si="44"/>
        <v>100</v>
      </c>
      <c r="K520" s="20">
        <f t="shared" si="45"/>
        <v>132</v>
      </c>
      <c r="L520" s="78">
        <f t="shared" si="43"/>
        <v>486.96752516586315</v>
      </c>
    </row>
    <row r="521" spans="6:12" x14ac:dyDescent="0.2">
      <c r="F521" s="77">
        <f t="shared" si="41"/>
        <v>100000</v>
      </c>
      <c r="G521" s="20">
        <v>37</v>
      </c>
      <c r="H521" s="75">
        <f t="shared" si="42"/>
        <v>242893.93273450792</v>
      </c>
      <c r="J521" s="77">
        <f t="shared" si="44"/>
        <v>100</v>
      </c>
      <c r="K521" s="20">
        <f t="shared" si="45"/>
        <v>133</v>
      </c>
      <c r="L521" s="78">
        <f t="shared" si="43"/>
        <v>492.8427058753208</v>
      </c>
    </row>
    <row r="522" spans="6:12" x14ac:dyDescent="0.2">
      <c r="F522" s="77">
        <f t="shared" si="41"/>
        <v>100000</v>
      </c>
      <c r="G522" s="20">
        <v>38</v>
      </c>
      <c r="H522" s="75">
        <f t="shared" si="42"/>
        <v>248790.23672388363</v>
      </c>
      <c r="J522" s="77">
        <f t="shared" si="44"/>
        <v>100</v>
      </c>
      <c r="K522" s="20">
        <f t="shared" si="45"/>
        <v>134</v>
      </c>
      <c r="L522" s="78">
        <f t="shared" si="43"/>
        <v>498.78876964491059</v>
      </c>
    </row>
    <row r="523" spans="6:12" x14ac:dyDescent="0.2">
      <c r="F523" s="77">
        <f t="shared" si="41"/>
        <v>100000</v>
      </c>
      <c r="G523" s="20">
        <v>39</v>
      </c>
      <c r="H523" s="75">
        <f t="shared" si="42"/>
        <v>254829.67479793471</v>
      </c>
      <c r="J523" s="77">
        <f t="shared" si="44"/>
        <v>100</v>
      </c>
      <c r="K523" s="20">
        <f t="shared" si="45"/>
        <v>135</v>
      </c>
      <c r="L523" s="78">
        <f t="shared" si="43"/>
        <v>504.80657166674712</v>
      </c>
    </row>
    <row r="524" spans="6:12" x14ac:dyDescent="0.2">
      <c r="F524" s="77">
        <f t="shared" si="41"/>
        <v>100000</v>
      </c>
      <c r="G524" s="20">
        <v>40</v>
      </c>
      <c r="H524" s="75">
        <f t="shared" si="42"/>
        <v>261015.72156825374</v>
      </c>
      <c r="J524" s="77">
        <f t="shared" si="44"/>
        <v>100</v>
      </c>
      <c r="K524" s="20">
        <f t="shared" si="45"/>
        <v>136</v>
      </c>
      <c r="L524" s="78">
        <f t="shared" si="43"/>
        <v>510.89697745069287</v>
      </c>
    </row>
    <row r="525" spans="6:12" x14ac:dyDescent="0.2">
      <c r="F525" s="77">
        <f t="shared" si="41"/>
        <v>100000</v>
      </c>
      <c r="G525" s="20">
        <v>41</v>
      </c>
      <c r="H525" s="75">
        <f t="shared" si="42"/>
        <v>267351.93599339906</v>
      </c>
      <c r="J525" s="77">
        <f t="shared" si="44"/>
        <v>100</v>
      </c>
      <c r="K525" s="20">
        <f t="shared" si="45"/>
        <v>137</v>
      </c>
      <c r="L525" s="78">
        <f t="shared" si="43"/>
        <v>517.06086294884005</v>
      </c>
    </row>
    <row r="526" spans="6:12" x14ac:dyDescent="0.2">
      <c r="F526" s="77">
        <f t="shared" si="41"/>
        <v>100000</v>
      </c>
      <c r="G526" s="20">
        <v>42</v>
      </c>
      <c r="H526" s="75">
        <f t="shared" si="42"/>
        <v>273841.96342643612</v>
      </c>
      <c r="J526" s="77">
        <f t="shared" si="44"/>
        <v>100</v>
      </c>
      <c r="K526" s="20">
        <f t="shared" si="45"/>
        <v>138</v>
      </c>
      <c r="L526" s="78">
        <f t="shared" si="43"/>
        <v>523.29911468149476</v>
      </c>
    </row>
    <row r="527" spans="6:12" x14ac:dyDescent="0.2">
      <c r="F527" s="77">
        <f t="shared" si="41"/>
        <v>100000</v>
      </c>
      <c r="G527" s="20">
        <v>43</v>
      </c>
      <c r="H527" s="75">
        <f t="shared" si="42"/>
        <v>280489.53771218279</v>
      </c>
      <c r="J527" s="77">
        <f t="shared" si="44"/>
        <v>100</v>
      </c>
      <c r="K527" s="20">
        <f t="shared" si="45"/>
        <v>139</v>
      </c>
      <c r="L527" s="78">
        <f t="shared" si="43"/>
        <v>529.61262986468046</v>
      </c>
    </row>
    <row r="528" spans="6:12" x14ac:dyDescent="0.2">
      <c r="F528" s="77">
        <f t="shared" si="41"/>
        <v>100000</v>
      </c>
      <c r="G528" s="20">
        <v>44</v>
      </c>
      <c r="H528" s="75">
        <f t="shared" si="42"/>
        <v>287298.48333536647</v>
      </c>
      <c r="J528" s="77">
        <f t="shared" si="44"/>
        <v>100</v>
      </c>
      <c r="K528" s="20">
        <f t="shared" si="45"/>
        <v>140</v>
      </c>
      <c r="L528" s="78">
        <f t="shared" si="43"/>
        <v>536.00231653917922</v>
      </c>
    </row>
    <row r="529" spans="6:12" x14ac:dyDescent="0.2">
      <c r="F529" s="77">
        <f t="shared" si="41"/>
        <v>100000</v>
      </c>
      <c r="G529" s="20">
        <v>45</v>
      </c>
      <c r="H529" s="75">
        <f t="shared" si="42"/>
        <v>294272.71762092825</v>
      </c>
      <c r="J529" s="77">
        <f t="shared" si="44"/>
        <v>100</v>
      </c>
      <c r="K529" s="20">
        <f t="shared" si="45"/>
        <v>141</v>
      </c>
      <c r="L529" s="78">
        <f t="shared" si="43"/>
        <v>542.46909370113258</v>
      </c>
    </row>
    <row r="530" spans="6:12" x14ac:dyDescent="0.2">
      <c r="F530" s="77">
        <f t="shared" si="41"/>
        <v>100000</v>
      </c>
      <c r="G530" s="20">
        <v>46</v>
      </c>
      <c r="H530" s="75">
        <f t="shared" si="42"/>
        <v>301416.25298773905</v>
      </c>
      <c r="J530" s="77">
        <f t="shared" si="44"/>
        <v>100</v>
      </c>
      <c r="K530" s="20">
        <f t="shared" si="45"/>
        <v>142</v>
      </c>
      <c r="L530" s="78">
        <f t="shared" si="43"/>
        <v>549.0138914342142</v>
      </c>
    </row>
    <row r="531" spans="6:12" x14ac:dyDescent="0.2">
      <c r="F531" s="77">
        <f t="shared" si="41"/>
        <v>100000</v>
      </c>
      <c r="G531" s="20">
        <v>47</v>
      </c>
      <c r="H531" s="75">
        <f t="shared" si="42"/>
        <v>308733.19925702643</v>
      </c>
      <c r="J531" s="77">
        <f t="shared" si="44"/>
        <v>100</v>
      </c>
      <c r="K531" s="20">
        <f t="shared" si="45"/>
        <v>143</v>
      </c>
      <c r="L531" s="78">
        <f t="shared" si="43"/>
        <v>555.63765104339927</v>
      </c>
    </row>
    <row r="532" spans="6:12" x14ac:dyDescent="0.2">
      <c r="F532" s="77">
        <f t="shared" si="41"/>
        <v>100000</v>
      </c>
      <c r="G532" s="20">
        <v>48</v>
      </c>
      <c r="H532" s="75">
        <f t="shared" si="42"/>
        <v>316227.76601683797</v>
      </c>
      <c r="J532" s="77">
        <f t="shared" si="44"/>
        <v>100</v>
      </c>
      <c r="K532" s="20">
        <f t="shared" si="45"/>
        <v>144</v>
      </c>
      <c r="L532" s="78">
        <f t="shared" si="43"/>
        <v>562.34132519034915</v>
      </c>
    </row>
    <row r="533" spans="6:12" x14ac:dyDescent="0.2">
      <c r="F533" s="77">
        <f t="shared" si="41"/>
        <v>100000</v>
      </c>
      <c r="G533" s="20">
        <v>49</v>
      </c>
      <c r="H533" s="75">
        <f t="shared" si="42"/>
        <v>323904.26504390308</v>
      </c>
      <c r="J533" s="77">
        <f t="shared" si="44"/>
        <v>100</v>
      </c>
      <c r="K533" s="20">
        <f t="shared" si="45"/>
        <v>145</v>
      </c>
      <c r="L533" s="78">
        <f t="shared" si="43"/>
        <v>569.12587803042584</v>
      </c>
    </row>
    <row r="534" spans="6:12" x14ac:dyDescent="0.2">
      <c r="F534" s="77">
        <f t="shared" si="41"/>
        <v>100000</v>
      </c>
      <c r="G534" s="20">
        <v>50</v>
      </c>
      <c r="H534" s="75">
        <f t="shared" si="42"/>
        <v>331767.1127842858</v>
      </c>
      <c r="J534" s="77">
        <f t="shared" si="44"/>
        <v>100</v>
      </c>
      <c r="K534" s="20">
        <f t="shared" si="45"/>
        <v>146</v>
      </c>
      <c r="L534" s="78">
        <f t="shared" si="43"/>
        <v>575.99228535136285</v>
      </c>
    </row>
    <row r="535" spans="6:12" x14ac:dyDescent="0.2">
      <c r="F535" s="77">
        <f t="shared" si="41"/>
        <v>100000</v>
      </c>
      <c r="G535" s="20">
        <v>51</v>
      </c>
      <c r="H535" s="75">
        <f t="shared" si="42"/>
        <v>339820.83289425593</v>
      </c>
      <c r="J535" s="77">
        <f t="shared" si="44"/>
        <v>100</v>
      </c>
      <c r="K535" s="20">
        <f t="shared" si="45"/>
        <v>147</v>
      </c>
      <c r="L535" s="78">
        <f t="shared" si="43"/>
        <v>582.94153471360755</v>
      </c>
    </row>
    <row r="536" spans="6:12" x14ac:dyDescent="0.2">
      <c r="F536" s="77">
        <f t="shared" si="41"/>
        <v>100000</v>
      </c>
      <c r="G536" s="20">
        <v>52</v>
      </c>
      <c r="H536" s="75">
        <f t="shared" si="42"/>
        <v>348070.05884284107</v>
      </c>
      <c r="J536" s="77">
        <f t="shared" si="44"/>
        <v>100</v>
      </c>
      <c r="K536" s="20">
        <f t="shared" si="45"/>
        <v>148</v>
      </c>
      <c r="L536" s="78">
        <f t="shared" si="43"/>
        <v>589.97462559235657</v>
      </c>
    </row>
    <row r="537" spans="6:12" x14ac:dyDescent="0.2">
      <c r="F537" s="77">
        <f t="shared" si="41"/>
        <v>100000</v>
      </c>
      <c r="G537" s="20">
        <v>53</v>
      </c>
      <c r="H537" s="75">
        <f t="shared" si="42"/>
        <v>356519.53657755494</v>
      </c>
      <c r="J537" s="77">
        <f t="shared" si="44"/>
        <v>100</v>
      </c>
      <c r="K537" s="20">
        <f t="shared" si="45"/>
        <v>149</v>
      </c>
      <c r="L537" s="78">
        <f t="shared" si="43"/>
        <v>597.09256952130534</v>
      </c>
    </row>
    <row r="538" spans="6:12" x14ac:dyDescent="0.2">
      <c r="F538" s="77">
        <f t="shared" si="41"/>
        <v>100000</v>
      </c>
      <c r="G538" s="20">
        <v>54</v>
      </c>
      <c r="H538" s="75">
        <f t="shared" si="42"/>
        <v>365174.12725483777</v>
      </c>
      <c r="J538" s="77">
        <f t="shared" si="44"/>
        <v>100</v>
      </c>
      <c r="K538" s="20">
        <f t="shared" si="45"/>
        <v>150</v>
      </c>
      <c r="L538" s="78">
        <f t="shared" si="43"/>
        <v>604.29639023813286</v>
      </c>
    </row>
    <row r="539" spans="6:12" x14ac:dyDescent="0.2">
      <c r="F539" s="77">
        <f t="shared" si="41"/>
        <v>100000</v>
      </c>
      <c r="G539" s="20">
        <v>55</v>
      </c>
      <c r="H539" s="75">
        <f t="shared" si="42"/>
        <v>374038.81003677857</v>
      </c>
      <c r="J539" s="77">
        <f t="shared" si="44"/>
        <v>100</v>
      </c>
      <c r="K539" s="20">
        <f t="shared" si="45"/>
        <v>151</v>
      </c>
      <c r="L539" s="78">
        <f t="shared" si="43"/>
        <v>611.58712383173895</v>
      </c>
    </row>
    <row r="540" spans="6:12" x14ac:dyDescent="0.2">
      <c r="F540" s="77">
        <f t="shared" si="41"/>
        <v>100000</v>
      </c>
      <c r="G540" s="20">
        <v>56</v>
      </c>
      <c r="H540" s="75">
        <f t="shared" si="42"/>
        <v>383118.68495572882</v>
      </c>
      <c r="J540" s="77">
        <f t="shared" si="44"/>
        <v>100</v>
      </c>
      <c r="K540" s="20">
        <f t="shared" si="45"/>
        <v>152</v>
      </c>
      <c r="L540" s="78">
        <f t="shared" si="43"/>
        <v>618.9658188912606</v>
      </c>
    </row>
    <row r="541" spans="6:12" x14ac:dyDescent="0.2">
      <c r="F541" s="77">
        <f t="shared" si="41"/>
        <v>100000</v>
      </c>
      <c r="G541" s="20">
        <v>57</v>
      </c>
      <c r="H541" s="75">
        <f t="shared" si="42"/>
        <v>392418.97584845364</v>
      </c>
      <c r="J541" s="77">
        <f t="shared" si="44"/>
        <v>100</v>
      </c>
      <c r="K541" s="20">
        <f t="shared" si="45"/>
        <v>153</v>
      </c>
      <c r="L541" s="78">
        <f t="shared" si="43"/>
        <v>626.43353665688574</v>
      </c>
    </row>
    <row r="542" spans="6:12" x14ac:dyDescent="0.2">
      <c r="F542" s="77">
        <f t="shared" si="41"/>
        <v>100000</v>
      </c>
      <c r="G542" s="20">
        <v>58</v>
      </c>
      <c r="H542" s="75">
        <f t="shared" si="42"/>
        <v>401945.03336151259</v>
      </c>
      <c r="J542" s="77">
        <f t="shared" si="44"/>
        <v>100</v>
      </c>
      <c r="K542" s="20">
        <f t="shared" si="45"/>
        <v>154</v>
      </c>
      <c r="L542" s="78">
        <f t="shared" si="43"/>
        <v>633.99135117248454</v>
      </c>
    </row>
    <row r="543" spans="6:12" x14ac:dyDescent="0.2">
      <c r="F543" s="77">
        <f t="shared" si="41"/>
        <v>100000</v>
      </c>
      <c r="G543" s="20">
        <v>59</v>
      </c>
      <c r="H543" s="75">
        <f t="shared" si="42"/>
        <v>411702.3380295948</v>
      </c>
      <c r="J543" s="77">
        <f t="shared" si="44"/>
        <v>100</v>
      </c>
      <c r="K543" s="20">
        <f t="shared" si="45"/>
        <v>155</v>
      </c>
      <c r="L543" s="78">
        <f t="shared" si="43"/>
        <v>641.6403494400854</v>
      </c>
    </row>
    <row r="544" spans="6:12" x14ac:dyDescent="0.2">
      <c r="F544" s="77">
        <f t="shared" si="41"/>
        <v>100000</v>
      </c>
      <c r="G544" s="20">
        <v>60</v>
      </c>
      <c r="H544" s="75">
        <f t="shared" si="42"/>
        <v>421696.50342858233</v>
      </c>
      <c r="J544" s="77">
        <f t="shared" si="44"/>
        <v>100</v>
      </c>
      <c r="K544" s="20">
        <f t="shared" si="45"/>
        <v>156</v>
      </c>
      <c r="L544" s="78">
        <f t="shared" si="43"/>
        <v>649.38163157621148</v>
      </c>
    </row>
    <row r="545" spans="6:12" x14ac:dyDescent="0.2">
      <c r="F545" s="77">
        <f t="shared" si="41"/>
        <v>100000</v>
      </c>
      <c r="G545" s="20">
        <v>61</v>
      </c>
      <c r="H545" s="75">
        <f t="shared" si="42"/>
        <v>431933.27940515446</v>
      </c>
      <c r="J545" s="77">
        <f t="shared" si="44"/>
        <v>100</v>
      </c>
      <c r="K545" s="20">
        <f t="shared" si="45"/>
        <v>157</v>
      </c>
      <c r="L545" s="78">
        <f t="shared" si="43"/>
        <v>657.21631097010572</v>
      </c>
    </row>
    <row r="546" spans="6:12" x14ac:dyDescent="0.2">
      <c r="F546" s="77">
        <f t="shared" si="41"/>
        <v>100000</v>
      </c>
      <c r="G546" s="20">
        <v>62</v>
      </c>
      <c r="H546" s="75">
        <f t="shared" si="42"/>
        <v>442418.55538479181</v>
      </c>
      <c r="J546" s="77">
        <f t="shared" si="44"/>
        <v>100</v>
      </c>
      <c r="K546" s="20">
        <f t="shared" si="45"/>
        <v>158</v>
      </c>
      <c r="L546" s="78">
        <f t="shared" si="43"/>
        <v>665.14551444386336</v>
      </c>
    </row>
    <row r="547" spans="6:12" x14ac:dyDescent="0.2">
      <c r="F547" s="77">
        <f t="shared" si="41"/>
        <v>100000</v>
      </c>
      <c r="G547" s="20">
        <v>63</v>
      </c>
      <c r="H547" s="75">
        <f t="shared" si="42"/>
        <v>453158.36376008188</v>
      </c>
      <c r="J547" s="77">
        <f t="shared" si="44"/>
        <v>100</v>
      </c>
      <c r="K547" s="20">
        <f t="shared" si="45"/>
        <v>159</v>
      </c>
      <c r="L547" s="78">
        <f t="shared" si="43"/>
        <v>673.17038241449825</v>
      </c>
    </row>
    <row r="548" spans="6:12" x14ac:dyDescent="0.2">
      <c r="F548" s="77">
        <f t="shared" si="41"/>
        <v>100000</v>
      </c>
      <c r="G548" s="20">
        <v>64</v>
      </c>
      <c r="H548" s="75">
        <f t="shared" si="42"/>
        <v>464158.88336127793</v>
      </c>
      <c r="J548" s="77">
        <f t="shared" si="44"/>
        <v>100</v>
      </c>
      <c r="K548" s="20">
        <f t="shared" si="45"/>
        <v>160</v>
      </c>
      <c r="L548" s="78">
        <f t="shared" si="43"/>
        <v>681.29206905796138</v>
      </c>
    </row>
    <row r="549" spans="6:12" x14ac:dyDescent="0.2">
      <c r="F549" s="77">
        <f t="shared" si="41"/>
        <v>100000</v>
      </c>
      <c r="G549" s="20">
        <v>65</v>
      </c>
      <c r="H549" s="75">
        <f t="shared" si="42"/>
        <v>475426.4430111057</v>
      </c>
      <c r="J549" s="77">
        <f t="shared" si="44"/>
        <v>100</v>
      </c>
      <c r="K549" s="20">
        <f t="shared" si="45"/>
        <v>161</v>
      </c>
      <c r="L549" s="78">
        <f t="shared" si="43"/>
        <v>689.51174247514132</v>
      </c>
    </row>
    <row r="550" spans="6:12" x14ac:dyDescent="0.2">
      <c r="F550" s="77">
        <f t="shared" ref="F550:F580" si="46">F454*10</f>
        <v>100000</v>
      </c>
      <c r="G550" s="20">
        <v>66</v>
      </c>
      <c r="H550" s="75">
        <f t="shared" si="42"/>
        <v>486967.52516586316</v>
      </c>
      <c r="J550" s="77">
        <f t="shared" si="44"/>
        <v>100</v>
      </c>
      <c r="K550" s="20">
        <f t="shared" si="45"/>
        <v>162</v>
      </c>
      <c r="L550" s="78">
        <f t="shared" si="43"/>
        <v>697.83058485986646</v>
      </c>
    </row>
    <row r="551" spans="6:12" x14ac:dyDescent="0.2">
      <c r="F551" s="77">
        <f t="shared" si="46"/>
        <v>100000</v>
      </c>
      <c r="G551" s="20">
        <v>67</v>
      </c>
      <c r="H551" s="75">
        <f t="shared" si="42"/>
        <v>498788.76964491059</v>
      </c>
      <c r="J551" s="77">
        <f t="shared" si="44"/>
        <v>100</v>
      </c>
      <c r="K551" s="20">
        <f t="shared" si="45"/>
        <v>163</v>
      </c>
      <c r="L551" s="78">
        <f t="shared" si="43"/>
        <v>706.24979266893297</v>
      </c>
    </row>
    <row r="552" spans="6:12" x14ac:dyDescent="0.2">
      <c r="F552" s="77">
        <f t="shared" si="46"/>
        <v>100000</v>
      </c>
      <c r="G552" s="20">
        <v>68</v>
      </c>
      <c r="H552" s="75">
        <f t="shared" si="42"/>
        <v>510896.97745069291</v>
      </c>
      <c r="J552" s="77">
        <f t="shared" si="44"/>
        <v>100</v>
      </c>
      <c r="K552" s="20">
        <f t="shared" si="45"/>
        <v>164</v>
      </c>
      <c r="L552" s="78">
        <f t="shared" si="43"/>
        <v>714.77057679418567</v>
      </c>
    </row>
    <row r="553" spans="6:12" x14ac:dyDescent="0.2">
      <c r="F553" s="77">
        <f t="shared" si="46"/>
        <v>100000</v>
      </c>
      <c r="G553" s="20">
        <v>69</v>
      </c>
      <c r="H553" s="75">
        <f t="shared" si="42"/>
        <v>523299.11468149477</v>
      </c>
      <c r="J553" s="77">
        <f t="shared" si="44"/>
        <v>100</v>
      </c>
      <c r="K553" s="20">
        <f t="shared" si="45"/>
        <v>165</v>
      </c>
      <c r="L553" s="78">
        <f t="shared" si="43"/>
        <v>723.39416273667496</v>
      </c>
    </row>
    <row r="554" spans="6:12" x14ac:dyDescent="0.2">
      <c r="F554" s="77">
        <f t="shared" si="46"/>
        <v>100000</v>
      </c>
      <c r="G554" s="20">
        <v>70</v>
      </c>
      <c r="H554" s="75">
        <f t="shared" si="42"/>
        <v>536002.31653917918</v>
      </c>
      <c r="J554" s="77">
        <f t="shared" si="44"/>
        <v>100</v>
      </c>
      <c r="K554" s="20">
        <f t="shared" si="45"/>
        <v>166</v>
      </c>
      <c r="L554" s="78">
        <f t="shared" si="43"/>
        <v>732.12179078291308</v>
      </c>
    </row>
    <row r="555" spans="6:12" x14ac:dyDescent="0.2">
      <c r="F555" s="77">
        <f t="shared" si="46"/>
        <v>100000</v>
      </c>
      <c r="G555" s="20">
        <v>71</v>
      </c>
      <c r="H555" s="75">
        <f t="shared" si="42"/>
        <v>549013.89143421419</v>
      </c>
      <c r="J555" s="77">
        <f t="shared" si="44"/>
        <v>100</v>
      </c>
      <c r="K555" s="20">
        <f t="shared" si="45"/>
        <v>167</v>
      </c>
      <c r="L555" s="78">
        <f t="shared" si="43"/>
        <v>740.95471618325905</v>
      </c>
    </row>
    <row r="556" spans="6:12" x14ac:dyDescent="0.2">
      <c r="F556" s="77">
        <f t="shared" si="46"/>
        <v>100000</v>
      </c>
      <c r="G556" s="20">
        <v>72</v>
      </c>
      <c r="H556" s="75">
        <f t="shared" si="42"/>
        <v>562341.32519034925</v>
      </c>
      <c r="J556" s="77">
        <f t="shared" si="44"/>
        <v>100</v>
      </c>
      <c r="K556" s="20">
        <f t="shared" si="45"/>
        <v>168</v>
      </c>
      <c r="L556" s="78">
        <f t="shared" si="43"/>
        <v>749.89420933245594</v>
      </c>
    </row>
    <row r="557" spans="6:12" x14ac:dyDescent="0.2">
      <c r="F557" s="77">
        <f t="shared" si="46"/>
        <v>100000</v>
      </c>
      <c r="G557" s="20">
        <v>73</v>
      </c>
      <c r="H557" s="75">
        <f t="shared" si="42"/>
        <v>575992.28535136278</v>
      </c>
      <c r="J557" s="77">
        <f t="shared" si="44"/>
        <v>100</v>
      </c>
      <c r="K557" s="20">
        <f t="shared" si="45"/>
        <v>169</v>
      </c>
      <c r="L557" s="78">
        <f t="shared" si="43"/>
        <v>758.9415559523427</v>
      </c>
    </row>
    <row r="558" spans="6:12" x14ac:dyDescent="0.2">
      <c r="F558" s="77">
        <f t="shared" si="46"/>
        <v>100000</v>
      </c>
      <c r="G558" s="20">
        <v>74</v>
      </c>
      <c r="H558" s="75">
        <f t="shared" si="42"/>
        <v>589974.62559235655</v>
      </c>
      <c r="J558" s="77">
        <f t="shared" si="44"/>
        <v>100</v>
      </c>
      <c r="K558" s="20">
        <f t="shared" si="45"/>
        <v>170</v>
      </c>
      <c r="L558" s="78">
        <f t="shared" si="43"/>
        <v>768.09805727677553</v>
      </c>
    </row>
    <row r="559" spans="6:12" x14ac:dyDescent="0.2">
      <c r="F559" s="77">
        <f t="shared" si="46"/>
        <v>100000</v>
      </c>
      <c r="G559" s="20">
        <v>75</v>
      </c>
      <c r="H559" s="75">
        <f t="shared" si="42"/>
        <v>604296.39023813291</v>
      </c>
      <c r="J559" s="77">
        <f t="shared" si="44"/>
        <v>100</v>
      </c>
      <c r="K559" s="20">
        <f t="shared" si="45"/>
        <v>171</v>
      </c>
      <c r="L559" s="78">
        <f t="shared" si="43"/>
        <v>777.36503023877606</v>
      </c>
    </row>
    <row r="560" spans="6:12" x14ac:dyDescent="0.2">
      <c r="F560" s="77">
        <f t="shared" si="46"/>
        <v>100000</v>
      </c>
      <c r="G560" s="20">
        <v>76</v>
      </c>
      <c r="H560" s="75">
        <f t="shared" si="42"/>
        <v>618965.81889126066</v>
      </c>
      <c r="J560" s="77">
        <f t="shared" si="44"/>
        <v>100</v>
      </c>
      <c r="K560" s="20">
        <f t="shared" si="45"/>
        <v>172</v>
      </c>
      <c r="L560" s="78">
        <f t="shared" si="43"/>
        <v>786.74380765994033</v>
      </c>
    </row>
    <row r="561" spans="6:12" x14ac:dyDescent="0.2">
      <c r="F561" s="77">
        <f t="shared" si="46"/>
        <v>100000</v>
      </c>
      <c r="G561" s="20">
        <v>77</v>
      </c>
      <c r="H561" s="75">
        <f t="shared" si="42"/>
        <v>633991.35117248457</v>
      </c>
      <c r="J561" s="77">
        <f t="shared" si="44"/>
        <v>100</v>
      </c>
      <c r="K561" s="20">
        <f t="shared" si="45"/>
        <v>173</v>
      </c>
      <c r="L561" s="78">
        <f t="shared" si="43"/>
        <v>796.23573844213035</v>
      </c>
    </row>
    <row r="562" spans="6:12" x14ac:dyDescent="0.2">
      <c r="F562" s="77">
        <f t="shared" si="46"/>
        <v>100000</v>
      </c>
      <c r="G562" s="20">
        <v>78</v>
      </c>
      <c r="H562" s="75">
        <f t="shared" si="42"/>
        <v>649381.63157621154</v>
      </c>
      <c r="J562" s="77">
        <f t="shared" si="44"/>
        <v>100</v>
      </c>
      <c r="K562" s="20">
        <f t="shared" si="45"/>
        <v>174</v>
      </c>
      <c r="L562" s="78">
        <f t="shared" si="43"/>
        <v>805.84218776148191</v>
      </c>
    </row>
    <row r="563" spans="6:12" x14ac:dyDescent="0.2">
      <c r="F563" s="77">
        <f t="shared" si="46"/>
        <v>100000</v>
      </c>
      <c r="G563" s="20">
        <v>79</v>
      </c>
      <c r="H563" s="75">
        <f t="shared" si="42"/>
        <v>665145.51444386342</v>
      </c>
      <c r="J563" s="77">
        <f t="shared" si="44"/>
        <v>100</v>
      </c>
      <c r="K563" s="20">
        <f t="shared" si="45"/>
        <v>175</v>
      </c>
      <c r="L563" s="78">
        <f t="shared" si="43"/>
        <v>815.56453726474876</v>
      </c>
    </row>
    <row r="564" spans="6:12" x14ac:dyDescent="0.2">
      <c r="F564" s="77">
        <f t="shared" si="46"/>
        <v>100000</v>
      </c>
      <c r="G564" s="20">
        <v>80</v>
      </c>
      <c r="H564" s="75">
        <f t="shared" si="42"/>
        <v>681292.06905796146</v>
      </c>
      <c r="J564" s="77">
        <f t="shared" si="44"/>
        <v>100</v>
      </c>
      <c r="K564" s="20">
        <f>K563+1</f>
        <v>176</v>
      </c>
      <c r="L564" s="78">
        <f t="shared" si="43"/>
        <v>825.4041852680183</v>
      </c>
    </row>
    <row r="565" spans="6:12" x14ac:dyDescent="0.2">
      <c r="F565" s="77">
        <f t="shared" si="46"/>
        <v>100000</v>
      </c>
      <c r="G565" s="20">
        <v>81</v>
      </c>
      <c r="H565" s="75">
        <f t="shared" si="42"/>
        <v>697830.58485986653</v>
      </c>
      <c r="J565" s="77">
        <f t="shared" si="44"/>
        <v>100</v>
      </c>
      <c r="K565" s="20">
        <f t="shared" ref="K565:K580" si="47">K564+1</f>
        <v>177</v>
      </c>
      <c r="L565" s="78">
        <f t="shared" si="43"/>
        <v>835.36254695782623</v>
      </c>
    </row>
    <row r="566" spans="6:12" x14ac:dyDescent="0.2">
      <c r="F566" s="77">
        <f t="shared" si="46"/>
        <v>100000</v>
      </c>
      <c r="G566" s="20">
        <v>82</v>
      </c>
      <c r="H566" s="75">
        <f t="shared" si="42"/>
        <v>714770.57679418568</v>
      </c>
      <c r="J566" s="77">
        <f t="shared" si="44"/>
        <v>100</v>
      </c>
      <c r="K566" s="20">
        <f t="shared" si="47"/>
        <v>178</v>
      </c>
      <c r="L566" s="78">
        <f t="shared" si="43"/>
        <v>845.44105459469245</v>
      </c>
    </row>
    <row r="567" spans="6:12" x14ac:dyDescent="0.2">
      <c r="F567" s="77">
        <f t="shared" si="46"/>
        <v>100000</v>
      </c>
      <c r="G567" s="20">
        <v>83</v>
      </c>
      <c r="H567" s="75">
        <f t="shared" si="42"/>
        <v>732121.7907829131</v>
      </c>
      <c r="J567" s="77">
        <f t="shared" si="44"/>
        <v>100</v>
      </c>
      <c r="K567" s="20">
        <f t="shared" si="47"/>
        <v>179</v>
      </c>
      <c r="L567" s="78">
        <f t="shared" si="43"/>
        <v>855.64115771911838</v>
      </c>
    </row>
    <row r="568" spans="6:12" x14ac:dyDescent="0.2">
      <c r="F568" s="77">
        <f t="shared" si="46"/>
        <v>100000</v>
      </c>
      <c r="G568" s="20">
        <v>84</v>
      </c>
      <c r="H568" s="75">
        <f t="shared" si="42"/>
        <v>749894.20933245588</v>
      </c>
      <c r="J568" s="77">
        <f t="shared" si="44"/>
        <v>100</v>
      </c>
      <c r="K568" s="20">
        <f t="shared" si="47"/>
        <v>180</v>
      </c>
      <c r="L568" s="78">
        <f t="shared" si="43"/>
        <v>865.96432336006558</v>
      </c>
    </row>
    <row r="569" spans="6:12" x14ac:dyDescent="0.2">
      <c r="F569" s="77">
        <f t="shared" si="46"/>
        <v>100000</v>
      </c>
      <c r="G569" s="20">
        <v>85</v>
      </c>
      <c r="H569" s="75">
        <f t="shared" si="42"/>
        <v>768098.05727677548</v>
      </c>
      <c r="J569" s="77">
        <f t="shared" si="44"/>
        <v>100</v>
      </c>
      <c r="K569" s="20">
        <f t="shared" si="47"/>
        <v>181</v>
      </c>
      <c r="L569" s="78">
        <f t="shared" si="43"/>
        <v>876.41203624595198</v>
      </c>
    </row>
    <row r="570" spans="6:12" x14ac:dyDescent="0.2">
      <c r="F570" s="77">
        <f t="shared" si="46"/>
        <v>100000</v>
      </c>
      <c r="G570" s="20">
        <v>86</v>
      </c>
      <c r="H570" s="75">
        <f t="shared" si="42"/>
        <v>786743.80765994033</v>
      </c>
      <c r="J570" s="77">
        <f t="shared" si="44"/>
        <v>100</v>
      </c>
      <c r="K570" s="20">
        <f t="shared" si="47"/>
        <v>182</v>
      </c>
      <c r="L570" s="78">
        <f t="shared" si="43"/>
        <v>886.98579901819187</v>
      </c>
    </row>
    <row r="571" spans="6:12" x14ac:dyDescent="0.2">
      <c r="F571" s="77">
        <f t="shared" si="46"/>
        <v>100000</v>
      </c>
      <c r="G571" s="20">
        <v>87</v>
      </c>
      <c r="H571" s="75">
        <f t="shared" si="42"/>
        <v>805842.18776148185</v>
      </c>
      <c r="J571" s="77">
        <f t="shared" si="44"/>
        <v>100</v>
      </c>
      <c r="K571" s="20">
        <f t="shared" si="47"/>
        <v>183</v>
      </c>
      <c r="L571" s="78">
        <f t="shared" si="43"/>
        <v>897.68713244731441</v>
      </c>
    </row>
    <row r="572" spans="6:12" x14ac:dyDescent="0.2">
      <c r="F572" s="77">
        <f t="shared" si="46"/>
        <v>100000</v>
      </c>
      <c r="G572" s="20">
        <v>88</v>
      </c>
      <c r="H572" s="75">
        <f t="shared" si="42"/>
        <v>825404.18526801828</v>
      </c>
      <c r="J572" s="77">
        <f t="shared" si="44"/>
        <v>100</v>
      </c>
      <c r="K572" s="20">
        <f t="shared" si="47"/>
        <v>184</v>
      </c>
      <c r="L572" s="78">
        <f t="shared" si="43"/>
        <v>908.51757565168703</v>
      </c>
    </row>
    <row r="573" spans="6:12" x14ac:dyDescent="0.2">
      <c r="F573" s="77">
        <f t="shared" si="46"/>
        <v>100000</v>
      </c>
      <c r="G573" s="20">
        <v>89</v>
      </c>
      <c r="H573" s="75">
        <f t="shared" si="42"/>
        <v>845441.05459469242</v>
      </c>
      <c r="J573" s="77">
        <f t="shared" si="44"/>
        <v>100</v>
      </c>
      <c r="K573" s="20">
        <f t="shared" si="47"/>
        <v>185</v>
      </c>
      <c r="L573" s="78">
        <f t="shared" si="43"/>
        <v>919.47868631887934</v>
      </c>
    </row>
    <row r="574" spans="6:12" x14ac:dyDescent="0.2">
      <c r="F574" s="77">
        <f t="shared" si="46"/>
        <v>100000</v>
      </c>
      <c r="G574" s="20">
        <v>90</v>
      </c>
      <c r="H574" s="75">
        <f t="shared" si="42"/>
        <v>865964.32336006558</v>
      </c>
      <c r="J574" s="77">
        <f t="shared" si="44"/>
        <v>100</v>
      </c>
      <c r="K574" s="20">
        <f t="shared" si="47"/>
        <v>186</v>
      </c>
      <c r="L574" s="78">
        <f t="shared" si="43"/>
        <v>930.57204092969903</v>
      </c>
    </row>
    <row r="575" spans="6:12" x14ac:dyDescent="0.2">
      <c r="F575" s="77">
        <f t="shared" si="46"/>
        <v>100000</v>
      </c>
      <c r="G575" s="20">
        <v>91</v>
      </c>
      <c r="H575" s="75">
        <f t="shared" si="42"/>
        <v>886985.79901819187</v>
      </c>
      <c r="J575" s="77">
        <f t="shared" si="44"/>
        <v>100</v>
      </c>
      <c r="K575" s="20">
        <f t="shared" si="47"/>
        <v>187</v>
      </c>
      <c r="L575" s="78">
        <f t="shared" si="43"/>
        <v>941.7992349849261</v>
      </c>
    </row>
    <row r="576" spans="6:12" x14ac:dyDescent="0.2">
      <c r="F576" s="77">
        <f t="shared" si="46"/>
        <v>100000</v>
      </c>
      <c r="G576" s="20">
        <v>92</v>
      </c>
      <c r="H576" s="75">
        <f t="shared" si="42"/>
        <v>908517.57565168699</v>
      </c>
      <c r="J576" s="77">
        <f t="shared" si="44"/>
        <v>100</v>
      </c>
      <c r="K576" s="20">
        <f t="shared" si="47"/>
        <v>188</v>
      </c>
      <c r="L576" s="78">
        <f t="shared" si="43"/>
        <v>953.16188323478775</v>
      </c>
    </row>
    <row r="577" spans="6:12" x14ac:dyDescent="0.2">
      <c r="F577" s="77">
        <f t="shared" si="46"/>
        <v>100000</v>
      </c>
      <c r="G577" s="20">
        <v>93</v>
      </c>
      <c r="H577" s="75">
        <f t="shared" si="42"/>
        <v>930572.04092969897</v>
      </c>
      <c r="J577" s="77">
        <f t="shared" si="44"/>
        <v>100</v>
      </c>
      <c r="K577" s="20">
        <f t="shared" si="47"/>
        <v>189</v>
      </c>
      <c r="L577" s="78">
        <f t="shared" si="43"/>
        <v>964.66161991119964</v>
      </c>
    </row>
    <row r="578" spans="6:12" x14ac:dyDescent="0.2">
      <c r="F578" s="77">
        <f t="shared" si="46"/>
        <v>100000</v>
      </c>
      <c r="G578" s="20">
        <v>94</v>
      </c>
      <c r="H578" s="75">
        <f t="shared" si="42"/>
        <v>953161.88323478773</v>
      </c>
      <c r="J578" s="77">
        <f t="shared" si="44"/>
        <v>100</v>
      </c>
      <c r="K578" s="20">
        <f t="shared" si="47"/>
        <v>190</v>
      </c>
      <c r="L578" s="78">
        <f t="shared" si="43"/>
        <v>976.30009896280785</v>
      </c>
    </row>
    <row r="579" spans="6:12" x14ac:dyDescent="0.2">
      <c r="F579" s="77">
        <f t="shared" si="46"/>
        <v>100000</v>
      </c>
      <c r="G579" s="20">
        <v>95</v>
      </c>
      <c r="H579" s="75">
        <f t="shared" si="42"/>
        <v>976300.09896280791</v>
      </c>
      <c r="J579" s="77">
        <f t="shared" si="44"/>
        <v>100</v>
      </c>
      <c r="K579" s="20">
        <f t="shared" si="47"/>
        <v>191</v>
      </c>
      <c r="L579" s="78">
        <f t="shared" si="43"/>
        <v>988.0789942928692</v>
      </c>
    </row>
    <row r="580" spans="6:12" x14ac:dyDescent="0.2">
      <c r="F580" s="77">
        <f t="shared" si="46"/>
        <v>100000</v>
      </c>
      <c r="G580" s="20">
        <v>96</v>
      </c>
      <c r="H580" s="75">
        <f t="shared" ref="H580:H643" si="48">F580*10^(G580/96)</f>
        <v>1000000</v>
      </c>
      <c r="J580" s="77">
        <f t="shared" si="44"/>
        <v>100</v>
      </c>
      <c r="K580" s="20">
        <f t="shared" si="47"/>
        <v>192</v>
      </c>
      <c r="L580" s="78">
        <f t="shared" si="43"/>
        <v>1000</v>
      </c>
    </row>
    <row r="581" spans="6:12" x14ac:dyDescent="0.2">
      <c r="F581" s="77">
        <f>F485*10</f>
        <v>1000000</v>
      </c>
      <c r="G581" s="20">
        <v>1</v>
      </c>
      <c r="H581" s="75">
        <f t="shared" si="48"/>
        <v>1024275.2213815922</v>
      </c>
      <c r="J581" s="77">
        <f>J389*10</f>
        <v>1000</v>
      </c>
      <c r="K581" s="20">
        <v>1</v>
      </c>
      <c r="L581" s="78">
        <f t="shared" ref="L581:L644" si="49">J581*10^(K581/192)</f>
        <v>1012.0648306218294</v>
      </c>
    </row>
    <row r="582" spans="6:12" x14ac:dyDescent="0.2">
      <c r="F582" s="77">
        <f t="shared" ref="F582:F645" si="50">F486*10</f>
        <v>1000000</v>
      </c>
      <c r="G582" s="20">
        <v>2</v>
      </c>
      <c r="H582" s="75">
        <f t="shared" si="48"/>
        <v>1049139.7291363098</v>
      </c>
      <c r="J582" s="77">
        <f t="shared" ref="J582:J645" si="51">J390*10</f>
        <v>1000</v>
      </c>
      <c r="K582" s="20">
        <f t="shared" ref="K582:K645" si="52">K581+1</f>
        <v>2</v>
      </c>
      <c r="L582" s="78">
        <f t="shared" si="49"/>
        <v>1024.2752213815922</v>
      </c>
    </row>
    <row r="583" spans="6:12" x14ac:dyDescent="0.2">
      <c r="F583" s="77">
        <f t="shared" si="50"/>
        <v>1000000</v>
      </c>
      <c r="G583" s="20">
        <v>3</v>
      </c>
      <c r="H583" s="75">
        <f t="shared" si="48"/>
        <v>1074607.8283213174</v>
      </c>
      <c r="J583" s="77">
        <f t="shared" si="51"/>
        <v>1000</v>
      </c>
      <c r="K583" s="20">
        <f t="shared" si="52"/>
        <v>3</v>
      </c>
      <c r="L583" s="78">
        <f t="shared" si="49"/>
        <v>1036.632928437698</v>
      </c>
    </row>
    <row r="584" spans="6:12" x14ac:dyDescent="0.2">
      <c r="F584" s="77">
        <f t="shared" si="50"/>
        <v>1000000</v>
      </c>
      <c r="G584" s="20">
        <v>4</v>
      </c>
      <c r="H584" s="75">
        <f t="shared" si="48"/>
        <v>1100694.1712522097</v>
      </c>
      <c r="J584" s="77">
        <f t="shared" si="51"/>
        <v>1000</v>
      </c>
      <c r="K584" s="20">
        <f t="shared" si="52"/>
        <v>4</v>
      </c>
      <c r="L584" s="78">
        <f t="shared" si="49"/>
        <v>1049.1397291363098</v>
      </c>
    </row>
    <row r="585" spans="6:12" x14ac:dyDescent="0.2">
      <c r="F585" s="77">
        <f t="shared" si="50"/>
        <v>1000000</v>
      </c>
      <c r="G585" s="20">
        <v>5</v>
      </c>
      <c r="H585" s="75">
        <f t="shared" si="48"/>
        <v>1127413.7659327851</v>
      </c>
      <c r="J585" s="77">
        <f t="shared" si="51"/>
        <v>1000</v>
      </c>
      <c r="K585" s="20">
        <f t="shared" si="52"/>
        <v>5</v>
      </c>
      <c r="L585" s="78">
        <f t="shared" si="49"/>
        <v>1061.7974222669716</v>
      </c>
    </row>
    <row r="586" spans="6:12" x14ac:dyDescent="0.2">
      <c r="F586" s="77">
        <f t="shared" si="50"/>
        <v>1000000</v>
      </c>
      <c r="G586" s="20">
        <v>6</v>
      </c>
      <c r="H586" s="75">
        <f t="shared" si="48"/>
        <v>1154781.9846894583</v>
      </c>
      <c r="J586" s="77">
        <f t="shared" si="51"/>
        <v>1000</v>
      </c>
      <c r="K586" s="20">
        <f t="shared" si="52"/>
        <v>6</v>
      </c>
      <c r="L586" s="78">
        <f t="shared" si="49"/>
        <v>1074.6078283213174</v>
      </c>
    </row>
    <row r="587" spans="6:12" x14ac:dyDescent="0.2">
      <c r="F587" s="77">
        <f t="shared" si="50"/>
        <v>1000000</v>
      </c>
      <c r="G587" s="20">
        <v>7</v>
      </c>
      <c r="H587" s="75">
        <f t="shared" si="48"/>
        <v>1182814.5730152694</v>
      </c>
      <c r="J587" s="77">
        <f t="shared" si="51"/>
        <v>1000</v>
      </c>
      <c r="K587" s="20">
        <f t="shared" si="52"/>
        <v>7</v>
      </c>
      <c r="L587" s="78">
        <f t="shared" si="49"/>
        <v>1087.5727897549061</v>
      </c>
    </row>
    <row r="588" spans="6:12" x14ac:dyDescent="0.2">
      <c r="F588" s="77">
        <f t="shared" si="50"/>
        <v>1000000</v>
      </c>
      <c r="G588" s="20">
        <v>8</v>
      </c>
      <c r="H588" s="75">
        <f t="shared" si="48"/>
        <v>1211527.6586285885</v>
      </c>
      <c r="J588" s="77">
        <f t="shared" si="51"/>
        <v>1000</v>
      </c>
      <c r="K588" s="20">
        <f t="shared" si="52"/>
        <v>8</v>
      </c>
      <c r="L588" s="78">
        <f t="shared" si="49"/>
        <v>1100.6941712522096</v>
      </c>
    </row>
    <row r="589" spans="6:12" x14ac:dyDescent="0.2">
      <c r="F589" s="77">
        <f t="shared" si="50"/>
        <v>1000000</v>
      </c>
      <c r="G589" s="20">
        <v>9</v>
      </c>
      <c r="H589" s="75">
        <f t="shared" si="48"/>
        <v>1240937.7607517196</v>
      </c>
      <c r="J589" s="77">
        <f t="shared" si="51"/>
        <v>1000</v>
      </c>
      <c r="K589" s="20">
        <f t="shared" si="52"/>
        <v>9</v>
      </c>
      <c r="L589" s="78">
        <f t="shared" si="49"/>
        <v>1113.9738599948023</v>
      </c>
    </row>
    <row r="590" spans="6:12" x14ac:dyDescent="0.2">
      <c r="F590" s="77">
        <f t="shared" si="50"/>
        <v>1000000</v>
      </c>
      <c r="G590" s="20">
        <v>10</v>
      </c>
      <c r="H590" s="75">
        <f t="shared" si="48"/>
        <v>1271061.799614745</v>
      </c>
      <c r="J590" s="77">
        <f t="shared" si="51"/>
        <v>1000</v>
      </c>
      <c r="K590" s="20">
        <f t="shared" si="52"/>
        <v>10</v>
      </c>
      <c r="L590" s="78">
        <f t="shared" si="49"/>
        <v>1127.4137659327853</v>
      </c>
    </row>
    <row r="591" spans="6:12" x14ac:dyDescent="0.2">
      <c r="F591" s="77">
        <f t="shared" si="50"/>
        <v>1000000</v>
      </c>
      <c r="G591" s="20">
        <v>11</v>
      </c>
      <c r="H591" s="75">
        <f t="shared" si="48"/>
        <v>1301917.1061900777</v>
      </c>
      <c r="J591" s="77">
        <f t="shared" si="51"/>
        <v>1000</v>
      </c>
      <c r="K591" s="20">
        <f t="shared" si="52"/>
        <v>11</v>
      </c>
      <c r="L591" s="78">
        <f t="shared" si="49"/>
        <v>1141.0158220594831</v>
      </c>
    </row>
    <row r="592" spans="6:12" x14ac:dyDescent="0.2">
      <c r="F592" s="77">
        <f t="shared" si="50"/>
        <v>1000000</v>
      </c>
      <c r="G592" s="20">
        <v>12</v>
      </c>
      <c r="H592" s="75">
        <f t="shared" si="48"/>
        <v>1333521.432163324</v>
      </c>
      <c r="J592" s="77">
        <f t="shared" si="51"/>
        <v>1000</v>
      </c>
      <c r="K592" s="20">
        <f t="shared" si="52"/>
        <v>12</v>
      </c>
      <c r="L592" s="78">
        <f t="shared" si="49"/>
        <v>1154.7819846894583</v>
      </c>
    </row>
    <row r="593" spans="6:12" x14ac:dyDescent="0.2">
      <c r="F593" s="77">
        <f t="shared" si="50"/>
        <v>1000000</v>
      </c>
      <c r="G593" s="20">
        <v>13</v>
      </c>
      <c r="H593" s="75">
        <f t="shared" si="48"/>
        <v>1365892.9601461866</v>
      </c>
      <c r="J593" s="77">
        <f t="shared" si="51"/>
        <v>1000</v>
      </c>
      <c r="K593" s="20">
        <f t="shared" si="52"/>
        <v>13</v>
      </c>
      <c r="L593" s="78">
        <f t="shared" si="49"/>
        <v>1168.7142337398766</v>
      </c>
    </row>
    <row r="594" spans="6:12" x14ac:dyDescent="0.2">
      <c r="F594" s="77">
        <f t="shared" si="50"/>
        <v>1000000</v>
      </c>
      <c r="G594" s="20">
        <v>14</v>
      </c>
      <c r="H594" s="75">
        <f t="shared" si="48"/>
        <v>1399050.314137294</v>
      </c>
      <c r="J594" s="77">
        <f t="shared" si="51"/>
        <v>1000</v>
      </c>
      <c r="K594" s="20">
        <f t="shared" si="52"/>
        <v>14</v>
      </c>
      <c r="L594" s="78">
        <f t="shared" si="49"/>
        <v>1182.8145730152692</v>
      </c>
    </row>
    <row r="595" spans="6:12" x14ac:dyDescent="0.2">
      <c r="F595" s="77">
        <f t="shared" si="50"/>
        <v>1000000</v>
      </c>
      <c r="G595" s="20">
        <v>15</v>
      </c>
      <c r="H595" s="75">
        <f t="shared" si="48"/>
        <v>1433012.570236963</v>
      </c>
      <c r="J595" s="77">
        <f t="shared" si="51"/>
        <v>1000</v>
      </c>
      <c r="K595" s="20">
        <f t="shared" si="52"/>
        <v>15</v>
      </c>
      <c r="L595" s="78">
        <f t="shared" si="49"/>
        <v>1197.0850304957298</v>
      </c>
    </row>
    <row r="596" spans="6:12" x14ac:dyDescent="0.2">
      <c r="F596" s="77">
        <f t="shared" si="50"/>
        <v>1000000</v>
      </c>
      <c r="G596" s="20">
        <v>16</v>
      </c>
      <c r="H596" s="75">
        <f t="shared" si="48"/>
        <v>1467799.2676220697</v>
      </c>
      <c r="J596" s="77">
        <f t="shared" si="51"/>
        <v>1000</v>
      </c>
      <c r="K596" s="20">
        <f t="shared" si="52"/>
        <v>16</v>
      </c>
      <c r="L596" s="78">
        <f t="shared" si="49"/>
        <v>1211.5276586285886</v>
      </c>
    </row>
    <row r="597" spans="6:12" x14ac:dyDescent="0.2">
      <c r="F597" s="77">
        <f t="shared" si="50"/>
        <v>1000000</v>
      </c>
      <c r="G597" s="20">
        <v>17</v>
      </c>
      <c r="H597" s="75">
        <f t="shared" si="48"/>
        <v>1503430.4197873343</v>
      </c>
      <c r="J597" s="77">
        <f t="shared" si="51"/>
        <v>1000</v>
      </c>
      <c r="K597" s="20">
        <f t="shared" si="52"/>
        <v>17</v>
      </c>
      <c r="L597" s="78">
        <f t="shared" si="49"/>
        <v>1226.1445346236039</v>
      </c>
    </row>
    <row r="598" spans="6:12" x14ac:dyDescent="0.2">
      <c r="F598" s="77">
        <f t="shared" si="50"/>
        <v>1000000</v>
      </c>
      <c r="G598" s="20">
        <v>18</v>
      </c>
      <c r="H598" s="75">
        <f t="shared" si="48"/>
        <v>1539926.526059492</v>
      </c>
      <c r="J598" s="77">
        <f t="shared" si="51"/>
        <v>1000</v>
      </c>
      <c r="K598" s="20">
        <f t="shared" si="52"/>
        <v>18</v>
      </c>
      <c r="L598" s="78">
        <f t="shared" si="49"/>
        <v>1240.9377607517197</v>
      </c>
    </row>
    <row r="599" spans="6:12" x14ac:dyDescent="0.2">
      <c r="F599" s="77">
        <f t="shared" si="50"/>
        <v>1000000</v>
      </c>
      <c r="G599" s="20">
        <v>19</v>
      </c>
      <c r="H599" s="75">
        <f t="shared" si="48"/>
        <v>1577308.5833909726</v>
      </c>
      <c r="J599" s="77">
        <f t="shared" si="51"/>
        <v>1000</v>
      </c>
      <c r="K599" s="20">
        <f t="shared" si="52"/>
        <v>19</v>
      </c>
      <c r="L599" s="78">
        <f t="shared" si="49"/>
        <v>1255.9094646474214</v>
      </c>
    </row>
    <row r="600" spans="6:12" x14ac:dyDescent="0.2">
      <c r="F600" s="77">
        <f t="shared" si="50"/>
        <v>1000000</v>
      </c>
      <c r="G600" s="20">
        <v>20</v>
      </c>
      <c r="H600" s="75">
        <f t="shared" si="48"/>
        <v>1615598.0984398741</v>
      </c>
      <c r="J600" s="77">
        <f t="shared" si="51"/>
        <v>1000</v>
      </c>
      <c r="K600" s="20">
        <f t="shared" si="52"/>
        <v>20</v>
      </c>
      <c r="L600" s="78">
        <f t="shared" si="49"/>
        <v>1271.0617996147448</v>
      </c>
    </row>
    <row r="601" spans="6:12" x14ac:dyDescent="0.2">
      <c r="F601" s="77">
        <f t="shared" si="50"/>
        <v>1000000</v>
      </c>
      <c r="G601" s="20">
        <v>21</v>
      </c>
      <c r="H601" s="75">
        <f t="shared" si="48"/>
        <v>1654817.0999431815</v>
      </c>
      <c r="J601" s="77">
        <f t="shared" si="51"/>
        <v>1000</v>
      </c>
      <c r="K601" s="20">
        <f t="shared" si="52"/>
        <v>21</v>
      </c>
      <c r="L601" s="78">
        <f t="shared" si="49"/>
        <v>1286.3969449369745</v>
      </c>
    </row>
    <row r="602" spans="6:12" x14ac:dyDescent="0.2">
      <c r="F602" s="77">
        <f t="shared" si="50"/>
        <v>1000000</v>
      </c>
      <c r="G602" s="20">
        <v>22</v>
      </c>
      <c r="H602" s="75">
        <f t="shared" si="48"/>
        <v>1694988.1513903467</v>
      </c>
      <c r="J602" s="77">
        <f t="shared" si="51"/>
        <v>1000</v>
      </c>
      <c r="K602" s="20">
        <f t="shared" si="52"/>
        <v>22</v>
      </c>
      <c r="L602" s="78">
        <f t="shared" si="49"/>
        <v>1301.9171061900779</v>
      </c>
    </row>
    <row r="603" spans="6:12" x14ac:dyDescent="0.2">
      <c r="F603" s="77">
        <f t="shared" si="50"/>
        <v>1000000</v>
      </c>
      <c r="G603" s="20">
        <v>23</v>
      </c>
      <c r="H603" s="75">
        <f t="shared" si="48"/>
        <v>1736134.3640045233</v>
      </c>
      <c r="J603" s="77">
        <f t="shared" si="51"/>
        <v>1000</v>
      </c>
      <c r="K603" s="20">
        <f t="shared" si="52"/>
        <v>23</v>
      </c>
      <c r="L603" s="78">
        <f t="shared" si="49"/>
        <v>1317.6245155599236</v>
      </c>
    </row>
    <row r="604" spans="6:12" x14ac:dyDescent="0.2">
      <c r="F604" s="77">
        <f t="shared" si="50"/>
        <v>1000000</v>
      </c>
      <c r="G604" s="20">
        <v>24</v>
      </c>
      <c r="H604" s="75">
        <f t="shared" si="48"/>
        <v>1778279.4100389229</v>
      </c>
      <c r="J604" s="77">
        <f t="shared" si="51"/>
        <v>1000</v>
      </c>
      <c r="K604" s="20">
        <f t="shared" si="52"/>
        <v>24</v>
      </c>
      <c r="L604" s="78">
        <f t="shared" si="49"/>
        <v>1333.5214321633239</v>
      </c>
    </row>
    <row r="605" spans="6:12" x14ac:dyDescent="0.2">
      <c r="F605" s="77">
        <f t="shared" si="50"/>
        <v>1000000</v>
      </c>
      <c r="G605" s="20">
        <v>25</v>
      </c>
      <c r="H605" s="75">
        <f t="shared" si="48"/>
        <v>1821447.5363959454</v>
      </c>
      <c r="J605" s="77">
        <f t="shared" si="51"/>
        <v>1000</v>
      </c>
      <c r="K605" s="20">
        <f t="shared" si="52"/>
        <v>25</v>
      </c>
      <c r="L605" s="78">
        <f t="shared" si="49"/>
        <v>1349.610142372954</v>
      </c>
    </row>
    <row r="606" spans="6:12" x14ac:dyDescent="0.2">
      <c r="F606" s="77">
        <f t="shared" si="50"/>
        <v>1000000</v>
      </c>
      <c r="G606" s="20">
        <v>26</v>
      </c>
      <c r="H606" s="75">
        <f t="shared" si="48"/>
        <v>1865663.5785769122</v>
      </c>
      <c r="J606" s="77">
        <f t="shared" si="51"/>
        <v>1000</v>
      </c>
      <c r="K606" s="20">
        <f t="shared" si="52"/>
        <v>26</v>
      </c>
      <c r="L606" s="78">
        <f t="shared" si="49"/>
        <v>1365.8929601461866</v>
      </c>
    </row>
    <row r="607" spans="6:12" x14ac:dyDescent="0.2">
      <c r="F607" s="77">
        <f t="shared" si="50"/>
        <v>1000000</v>
      </c>
      <c r="G607" s="20">
        <v>27</v>
      </c>
      <c r="H607" s="75">
        <f t="shared" si="48"/>
        <v>1910952.9749704406</v>
      </c>
      <c r="J607" s="77">
        <f t="shared" si="51"/>
        <v>1000</v>
      </c>
      <c r="K607" s="20">
        <f t="shared" si="52"/>
        <v>27</v>
      </c>
      <c r="L607" s="78">
        <f t="shared" si="49"/>
        <v>1382.3722273578999</v>
      </c>
    </row>
    <row r="608" spans="6:12" x14ac:dyDescent="0.2">
      <c r="F608" s="77">
        <f t="shared" si="50"/>
        <v>1000000</v>
      </c>
      <c r="G608" s="20">
        <v>28</v>
      </c>
      <c r="H608" s="75">
        <f t="shared" si="48"/>
        <v>1957341.7814876602</v>
      </c>
      <c r="J608" s="77">
        <f t="shared" si="51"/>
        <v>1000</v>
      </c>
      <c r="K608" s="20">
        <f t="shared" si="52"/>
        <v>28</v>
      </c>
      <c r="L608" s="78">
        <f t="shared" si="49"/>
        <v>1399.0503141372938</v>
      </c>
    </row>
    <row r="609" spans="6:12" x14ac:dyDescent="0.2">
      <c r="F609" s="77">
        <f t="shared" si="50"/>
        <v>1000000</v>
      </c>
      <c r="G609" s="20">
        <v>29</v>
      </c>
      <c r="H609" s="75">
        <f t="shared" si="48"/>
        <v>2004856.6865527136</v>
      </c>
      <c r="J609" s="77">
        <f t="shared" si="51"/>
        <v>1000</v>
      </c>
      <c r="K609" s="20">
        <f t="shared" si="52"/>
        <v>29</v>
      </c>
      <c r="L609" s="78">
        <f t="shared" si="49"/>
        <v>1415.9296192087775</v>
      </c>
    </row>
    <row r="610" spans="6:12" x14ac:dyDescent="0.2">
      <c r="F610" s="77">
        <f t="shared" si="50"/>
        <v>1000000</v>
      </c>
      <c r="G610" s="20">
        <v>30</v>
      </c>
      <c r="H610" s="75">
        <f t="shared" si="48"/>
        <v>2053525.0264571463</v>
      </c>
      <c r="J610" s="77">
        <f t="shared" si="51"/>
        <v>1000</v>
      </c>
      <c r="K610" s="20">
        <f t="shared" si="52"/>
        <v>30</v>
      </c>
      <c r="L610" s="78">
        <f t="shared" si="49"/>
        <v>1433.012570236963</v>
      </c>
    </row>
    <row r="611" spans="6:12" x14ac:dyDescent="0.2">
      <c r="F611" s="77">
        <f t="shared" si="50"/>
        <v>1000000</v>
      </c>
      <c r="G611" s="20">
        <v>31</v>
      </c>
      <c r="H611" s="75">
        <f t="shared" si="48"/>
        <v>2103374.8010870335</v>
      </c>
      <c r="J611" s="77">
        <f t="shared" si="51"/>
        <v>1000</v>
      </c>
      <c r="K611" s="20">
        <f t="shared" si="52"/>
        <v>31</v>
      </c>
      <c r="L611" s="78">
        <f t="shared" si="49"/>
        <v>1450.3016241758241</v>
      </c>
    </row>
    <row r="612" spans="6:12" x14ac:dyDescent="0.2">
      <c r="F612" s="77">
        <f t="shared" si="50"/>
        <v>1000000</v>
      </c>
      <c r="G612" s="20">
        <v>32</v>
      </c>
      <c r="H612" s="75">
        <f t="shared" si="48"/>
        <v>2154434.6900318838</v>
      </c>
      <c r="J612" s="77">
        <f t="shared" si="51"/>
        <v>1000</v>
      </c>
      <c r="K612" s="20">
        <f t="shared" si="52"/>
        <v>32</v>
      </c>
      <c r="L612" s="78">
        <f t="shared" si="49"/>
        <v>1467.7992676220697</v>
      </c>
    </row>
    <row r="613" spans="6:12" x14ac:dyDescent="0.2">
      <c r="F613" s="77">
        <f t="shared" si="50"/>
        <v>1000000</v>
      </c>
      <c r="G613" s="20">
        <v>33</v>
      </c>
      <c r="H613" s="75">
        <f t="shared" si="48"/>
        <v>2206734.0690845898</v>
      </c>
      <c r="J613" s="77">
        <f t="shared" si="51"/>
        <v>1000</v>
      </c>
      <c r="K613" s="20">
        <f t="shared" si="52"/>
        <v>33</v>
      </c>
      <c r="L613" s="78">
        <f t="shared" si="49"/>
        <v>1485.508017172775</v>
      </c>
    </row>
    <row r="614" spans="6:12" x14ac:dyDescent="0.2">
      <c r="F614" s="77">
        <f t="shared" si="50"/>
        <v>1000000</v>
      </c>
      <c r="G614" s="20">
        <v>34</v>
      </c>
      <c r="H614" s="75">
        <f t="shared" si="48"/>
        <v>2260303.0271419203</v>
      </c>
      <c r="J614" s="77">
        <f t="shared" si="51"/>
        <v>1000</v>
      </c>
      <c r="K614" s="20">
        <f t="shared" si="52"/>
        <v>34</v>
      </c>
      <c r="L614" s="78">
        <f t="shared" si="49"/>
        <v>1503.4304197873344</v>
      </c>
    </row>
    <row r="615" spans="6:12" x14ac:dyDescent="0.2">
      <c r="F615" s="77">
        <f t="shared" si="50"/>
        <v>1000000</v>
      </c>
      <c r="G615" s="20">
        <v>35</v>
      </c>
      <c r="H615" s="75">
        <f t="shared" si="48"/>
        <v>2315172.3835152732</v>
      </c>
      <c r="J615" s="77">
        <f t="shared" si="51"/>
        <v>1000</v>
      </c>
      <c r="K615" s="20">
        <f t="shared" si="52"/>
        <v>35</v>
      </c>
      <c r="L615" s="78">
        <f t="shared" si="49"/>
        <v>1521.5690531537743</v>
      </c>
    </row>
    <row r="616" spans="6:12" x14ac:dyDescent="0.2">
      <c r="F616" s="77">
        <f t="shared" si="50"/>
        <v>1000000</v>
      </c>
      <c r="G616" s="20">
        <v>36</v>
      </c>
      <c r="H616" s="75">
        <f t="shared" si="48"/>
        <v>2371373.7056616554</v>
      </c>
      <c r="J616" s="77">
        <f t="shared" si="51"/>
        <v>1000</v>
      </c>
      <c r="K616" s="20">
        <f t="shared" si="52"/>
        <v>36</v>
      </c>
      <c r="L616" s="78">
        <f t="shared" si="49"/>
        <v>1539.9265260594921</v>
      </c>
    </row>
    <row r="617" spans="6:12" x14ac:dyDescent="0.2">
      <c r="F617" s="77">
        <f t="shared" si="50"/>
        <v>1000000</v>
      </c>
      <c r="G617" s="20">
        <v>37</v>
      </c>
      <c r="H617" s="75">
        <f t="shared" si="48"/>
        <v>2428939.3273450793</v>
      </c>
      <c r="J617" s="77">
        <f t="shared" si="51"/>
        <v>1000</v>
      </c>
      <c r="K617" s="20">
        <f t="shared" si="52"/>
        <v>37</v>
      </c>
      <c r="L617" s="78">
        <f t="shared" si="49"/>
        <v>1558.5054787664621</v>
      </c>
    </row>
    <row r="618" spans="6:12" x14ac:dyDescent="0.2">
      <c r="F618" s="77">
        <f t="shared" si="50"/>
        <v>1000000</v>
      </c>
      <c r="G618" s="20">
        <v>38</v>
      </c>
      <c r="H618" s="75">
        <f t="shared" si="48"/>
        <v>2487902.3672388364</v>
      </c>
      <c r="J618" s="77">
        <f t="shared" si="51"/>
        <v>1000</v>
      </c>
      <c r="K618" s="20">
        <f t="shared" si="52"/>
        <v>38</v>
      </c>
      <c r="L618" s="78">
        <f t="shared" si="49"/>
        <v>1577.3085833909727</v>
      </c>
    </row>
    <row r="619" spans="6:12" x14ac:dyDescent="0.2">
      <c r="F619" s="77">
        <f t="shared" si="50"/>
        <v>1000000</v>
      </c>
      <c r="G619" s="20">
        <v>39</v>
      </c>
      <c r="H619" s="75">
        <f t="shared" si="48"/>
        <v>2548296.7479793471</v>
      </c>
      <c r="J619" s="77">
        <f t="shared" si="51"/>
        <v>1000</v>
      </c>
      <c r="K619" s="20">
        <f t="shared" si="52"/>
        <v>39</v>
      </c>
      <c r="L619" s="78">
        <f t="shared" si="49"/>
        <v>1596.3385442879423</v>
      </c>
    </row>
    <row r="620" spans="6:12" x14ac:dyDescent="0.2">
      <c r="F620" s="77">
        <f t="shared" si="50"/>
        <v>1000000</v>
      </c>
      <c r="G620" s="20">
        <v>40</v>
      </c>
      <c r="H620" s="75">
        <f t="shared" si="48"/>
        <v>2610157.2156825373</v>
      </c>
      <c r="J620" s="77">
        <f t="shared" si="51"/>
        <v>1000</v>
      </c>
      <c r="K620" s="20">
        <f t="shared" si="52"/>
        <v>40</v>
      </c>
      <c r="L620" s="78">
        <f t="shared" si="49"/>
        <v>1615.5980984398741</v>
      </c>
    </row>
    <row r="621" spans="6:12" x14ac:dyDescent="0.2">
      <c r="F621" s="77">
        <f t="shared" si="50"/>
        <v>1000000</v>
      </c>
      <c r="G621" s="20">
        <v>41</v>
      </c>
      <c r="H621" s="75">
        <f t="shared" si="48"/>
        <v>2673519.359933991</v>
      </c>
      <c r="J621" s="77">
        <f t="shared" si="51"/>
        <v>1000</v>
      </c>
      <c r="K621" s="20">
        <f t="shared" si="52"/>
        <v>41</v>
      </c>
      <c r="L621" s="78">
        <f t="shared" si="49"/>
        <v>1635.0900158505008</v>
      </c>
    </row>
    <row r="622" spans="6:12" x14ac:dyDescent="0.2">
      <c r="F622" s="77">
        <f t="shared" si="50"/>
        <v>1000000</v>
      </c>
      <c r="G622" s="20">
        <v>42</v>
      </c>
      <c r="H622" s="75">
        <f t="shared" si="48"/>
        <v>2738419.6342643616</v>
      </c>
      <c r="J622" s="77">
        <f t="shared" si="51"/>
        <v>1000</v>
      </c>
      <c r="K622" s="20">
        <f t="shared" si="52"/>
        <v>42</v>
      </c>
      <c r="L622" s="78">
        <f t="shared" si="49"/>
        <v>1654.8170999431816</v>
      </c>
    </row>
    <row r="623" spans="6:12" x14ac:dyDescent="0.2">
      <c r="F623" s="77">
        <f t="shared" si="50"/>
        <v>1000000</v>
      </c>
      <c r="G623" s="20">
        <v>43</v>
      </c>
      <c r="H623" s="75">
        <f t="shared" si="48"/>
        <v>2804895.377121828</v>
      </c>
      <c r="J623" s="77">
        <f t="shared" si="51"/>
        <v>1000</v>
      </c>
      <c r="K623" s="20">
        <f t="shared" si="52"/>
        <v>43</v>
      </c>
      <c r="L623" s="78">
        <f t="shared" si="49"/>
        <v>1674.7821879641031</v>
      </c>
    </row>
    <row r="624" spans="6:12" x14ac:dyDescent="0.2">
      <c r="F624" s="77">
        <f t="shared" si="50"/>
        <v>1000000</v>
      </c>
      <c r="G624" s="20">
        <v>44</v>
      </c>
      <c r="H624" s="75">
        <f t="shared" si="48"/>
        <v>2872984.8333536647</v>
      </c>
      <c r="J624" s="77">
        <f t="shared" si="51"/>
        <v>1000</v>
      </c>
      <c r="K624" s="20">
        <f t="shared" si="52"/>
        <v>44</v>
      </c>
      <c r="L624" s="78">
        <f t="shared" si="49"/>
        <v>1694.9881513903467</v>
      </c>
    </row>
    <row r="625" spans="6:12" x14ac:dyDescent="0.2">
      <c r="F625" s="77">
        <f t="shared" si="50"/>
        <v>1000000</v>
      </c>
      <c r="G625" s="20">
        <v>45</v>
      </c>
      <c r="H625" s="75">
        <f t="shared" si="48"/>
        <v>2942727.1762092826</v>
      </c>
      <c r="J625" s="77">
        <f t="shared" si="51"/>
        <v>1000</v>
      </c>
      <c r="K625" s="20">
        <f t="shared" si="52"/>
        <v>45</v>
      </c>
      <c r="L625" s="78">
        <f t="shared" si="49"/>
        <v>1715.4378963428792</v>
      </c>
    </row>
    <row r="626" spans="6:12" x14ac:dyDescent="0.2">
      <c r="F626" s="77">
        <f t="shared" si="50"/>
        <v>1000000</v>
      </c>
      <c r="G626" s="20">
        <v>46</v>
      </c>
      <c r="H626" s="75">
        <f t="shared" si="48"/>
        <v>3014162.5298773907</v>
      </c>
      <c r="J626" s="77">
        <f t="shared" si="51"/>
        <v>1000</v>
      </c>
      <c r="K626" s="20">
        <f t="shared" si="52"/>
        <v>46</v>
      </c>
      <c r="L626" s="78">
        <f t="shared" si="49"/>
        <v>1736.1343640045231</v>
      </c>
    </row>
    <row r="627" spans="6:12" x14ac:dyDescent="0.2">
      <c r="F627" s="77">
        <f t="shared" si="50"/>
        <v>1000000</v>
      </c>
      <c r="G627" s="20">
        <v>47</v>
      </c>
      <c r="H627" s="75">
        <f t="shared" si="48"/>
        <v>3087331.9925702638</v>
      </c>
      <c r="J627" s="77">
        <f t="shared" si="51"/>
        <v>1000</v>
      </c>
      <c r="K627" s="20">
        <f t="shared" si="52"/>
        <v>47</v>
      </c>
      <c r="L627" s="78">
        <f t="shared" si="49"/>
        <v>1757.0805310429753</v>
      </c>
    </row>
    <row r="628" spans="6:12" x14ac:dyDescent="0.2">
      <c r="F628" s="77">
        <f t="shared" si="50"/>
        <v>1000000</v>
      </c>
      <c r="G628" s="20">
        <v>48</v>
      </c>
      <c r="H628" s="75">
        <f t="shared" si="48"/>
        <v>3162277.6601683795</v>
      </c>
      <c r="J628" s="77">
        <f t="shared" si="51"/>
        <v>1000</v>
      </c>
      <c r="K628" s="20">
        <f t="shared" si="52"/>
        <v>48</v>
      </c>
      <c r="L628" s="78">
        <f t="shared" si="49"/>
        <v>1778.2794100389231</v>
      </c>
    </row>
    <row r="629" spans="6:12" x14ac:dyDescent="0.2">
      <c r="F629" s="77">
        <f t="shared" si="50"/>
        <v>1000000</v>
      </c>
      <c r="G629" s="20">
        <v>49</v>
      </c>
      <c r="H629" s="75">
        <f t="shared" si="48"/>
        <v>3239042.6504390305</v>
      </c>
      <c r="J629" s="77">
        <f t="shared" si="51"/>
        <v>1000</v>
      </c>
      <c r="K629" s="20">
        <f t="shared" si="52"/>
        <v>49</v>
      </c>
      <c r="L629" s="78">
        <f t="shared" si="49"/>
        <v>1799.7340499193292</v>
      </c>
    </row>
    <row r="630" spans="6:12" x14ac:dyDescent="0.2">
      <c r="F630" s="77">
        <f t="shared" si="50"/>
        <v>1000000</v>
      </c>
      <c r="G630" s="20">
        <v>50</v>
      </c>
      <c r="H630" s="75">
        <f t="shared" si="48"/>
        <v>3317671.127842858</v>
      </c>
      <c r="J630" s="77">
        <f t="shared" si="51"/>
        <v>1000</v>
      </c>
      <c r="K630" s="20">
        <f t="shared" si="52"/>
        <v>50</v>
      </c>
      <c r="L630" s="78">
        <f t="shared" si="49"/>
        <v>1821.4475363959452</v>
      </c>
    </row>
    <row r="631" spans="6:12" x14ac:dyDescent="0.2">
      <c r="F631" s="77">
        <f t="shared" si="50"/>
        <v>1000000</v>
      </c>
      <c r="G631" s="20">
        <v>51</v>
      </c>
      <c r="H631" s="75">
        <f t="shared" si="48"/>
        <v>3398208.3289425592</v>
      </c>
      <c r="J631" s="77">
        <f t="shared" si="51"/>
        <v>1000</v>
      </c>
      <c r="K631" s="20">
        <f t="shared" si="52"/>
        <v>51</v>
      </c>
      <c r="L631" s="78">
        <f t="shared" si="49"/>
        <v>1843.4229924091105</v>
      </c>
    </row>
    <row r="632" spans="6:12" x14ac:dyDescent="0.2">
      <c r="F632" s="77">
        <f t="shared" si="50"/>
        <v>1000000</v>
      </c>
      <c r="G632" s="20">
        <v>52</v>
      </c>
      <c r="H632" s="75">
        <f t="shared" si="48"/>
        <v>3480700.5884284107</v>
      </c>
      <c r="J632" s="77">
        <f t="shared" si="51"/>
        <v>1000</v>
      </c>
      <c r="K632" s="20">
        <f t="shared" si="52"/>
        <v>52</v>
      </c>
      <c r="L632" s="78">
        <f t="shared" si="49"/>
        <v>1865.6635785769122</v>
      </c>
    </row>
    <row r="633" spans="6:12" x14ac:dyDescent="0.2">
      <c r="F633" s="77">
        <f t="shared" si="50"/>
        <v>1000000</v>
      </c>
      <c r="G633" s="20">
        <v>53</v>
      </c>
      <c r="H633" s="75">
        <f t="shared" si="48"/>
        <v>3565195.3657755493</v>
      </c>
      <c r="J633" s="77">
        <f t="shared" si="51"/>
        <v>1000</v>
      </c>
      <c r="K633" s="20">
        <f t="shared" si="52"/>
        <v>53</v>
      </c>
      <c r="L633" s="78">
        <f t="shared" si="49"/>
        <v>1888.172493649759</v>
      </c>
    </row>
    <row r="634" spans="6:12" x14ac:dyDescent="0.2">
      <c r="F634" s="77">
        <f t="shared" si="50"/>
        <v>1000000</v>
      </c>
      <c r="G634" s="20">
        <v>54</v>
      </c>
      <c r="H634" s="75">
        <f t="shared" si="48"/>
        <v>3651741.2725483775</v>
      </c>
      <c r="J634" s="77">
        <f t="shared" si="51"/>
        <v>1000</v>
      </c>
      <c r="K634" s="20">
        <f t="shared" si="52"/>
        <v>54</v>
      </c>
      <c r="L634" s="78">
        <f t="shared" si="49"/>
        <v>1910.9529749704407</v>
      </c>
    </row>
    <row r="635" spans="6:12" x14ac:dyDescent="0.2">
      <c r="F635" s="77">
        <f t="shared" si="50"/>
        <v>1000000</v>
      </c>
      <c r="G635" s="20">
        <v>55</v>
      </c>
      <c r="H635" s="75">
        <f t="shared" si="48"/>
        <v>3740388.1003677859</v>
      </c>
      <c r="J635" s="77">
        <f t="shared" si="51"/>
        <v>1000</v>
      </c>
      <c r="K635" s="20">
        <f t="shared" si="52"/>
        <v>55</v>
      </c>
      <c r="L635" s="78">
        <f t="shared" si="49"/>
        <v>1934.0082989397397</v>
      </c>
    </row>
    <row r="636" spans="6:12" x14ac:dyDescent="0.2">
      <c r="F636" s="77">
        <f t="shared" si="50"/>
        <v>1000000</v>
      </c>
      <c r="G636" s="20">
        <v>56</v>
      </c>
      <c r="H636" s="75">
        <f t="shared" si="48"/>
        <v>3831186.8495572885</v>
      </c>
      <c r="J636" s="77">
        <f t="shared" si="51"/>
        <v>1000</v>
      </c>
      <c r="K636" s="20">
        <f t="shared" si="52"/>
        <v>56</v>
      </c>
      <c r="L636" s="78">
        <f t="shared" si="49"/>
        <v>1957.3417814876605</v>
      </c>
    </row>
    <row r="637" spans="6:12" x14ac:dyDescent="0.2">
      <c r="F637" s="77">
        <f t="shared" si="50"/>
        <v>1000000</v>
      </c>
      <c r="G637" s="20">
        <v>57</v>
      </c>
      <c r="H637" s="75">
        <f t="shared" si="48"/>
        <v>3924189.7584845363</v>
      </c>
      <c r="J637" s="77">
        <f t="shared" si="51"/>
        <v>1000</v>
      </c>
      <c r="K637" s="20">
        <f t="shared" si="52"/>
        <v>57</v>
      </c>
      <c r="L637" s="78">
        <f t="shared" si="49"/>
        <v>1980.9567785503389</v>
      </c>
    </row>
    <row r="638" spans="6:12" x14ac:dyDescent="0.2">
      <c r="F638" s="77">
        <f t="shared" si="50"/>
        <v>1000000</v>
      </c>
      <c r="G638" s="20">
        <v>58</v>
      </c>
      <c r="H638" s="75">
        <f t="shared" si="48"/>
        <v>4019450.3336151256</v>
      </c>
      <c r="J638" s="77">
        <f t="shared" si="51"/>
        <v>1000</v>
      </c>
      <c r="K638" s="20">
        <f t="shared" si="52"/>
        <v>58</v>
      </c>
      <c r="L638" s="78">
        <f t="shared" si="49"/>
        <v>2004.8566865527137</v>
      </c>
    </row>
    <row r="639" spans="6:12" x14ac:dyDescent="0.2">
      <c r="F639" s="77">
        <f t="shared" si="50"/>
        <v>1000000</v>
      </c>
      <c r="G639" s="20">
        <v>59</v>
      </c>
      <c r="H639" s="75">
        <f t="shared" si="48"/>
        <v>4117023.3802959481</v>
      </c>
      <c r="J639" s="77">
        <f t="shared" si="51"/>
        <v>1000</v>
      </c>
      <c r="K639" s="20">
        <f t="shared" si="52"/>
        <v>59</v>
      </c>
      <c r="L639" s="78">
        <f t="shared" si="49"/>
        <v>2029.0449428970146</v>
      </c>
    </row>
    <row r="640" spans="6:12" x14ac:dyDescent="0.2">
      <c r="F640" s="77">
        <f t="shared" si="50"/>
        <v>1000000</v>
      </c>
      <c r="G640" s="20">
        <v>60</v>
      </c>
      <c r="H640" s="75">
        <f t="shared" si="48"/>
        <v>4216965.0342858229</v>
      </c>
      <c r="J640" s="77">
        <f t="shared" si="51"/>
        <v>1000</v>
      </c>
      <c r="K640" s="20">
        <f t="shared" si="52"/>
        <v>60</v>
      </c>
      <c r="L640" s="78">
        <f t="shared" si="49"/>
        <v>2053.5250264571464</v>
      </c>
    </row>
    <row r="641" spans="6:12" x14ac:dyDescent="0.2">
      <c r="F641" s="77">
        <f t="shared" si="50"/>
        <v>1000000</v>
      </c>
      <c r="G641" s="20">
        <v>61</v>
      </c>
      <c r="H641" s="75">
        <f t="shared" si="48"/>
        <v>4319332.7940515447</v>
      </c>
      <c r="J641" s="77">
        <f t="shared" si="51"/>
        <v>1000</v>
      </c>
      <c r="K641" s="20">
        <f t="shared" si="52"/>
        <v>61</v>
      </c>
      <c r="L641" s="78">
        <f t="shared" si="49"/>
        <v>2078.3004580790393</v>
      </c>
    </row>
    <row r="642" spans="6:12" x14ac:dyDescent="0.2">
      <c r="F642" s="77">
        <f t="shared" si="50"/>
        <v>1000000</v>
      </c>
      <c r="G642" s="20">
        <v>62</v>
      </c>
      <c r="H642" s="75">
        <f t="shared" si="48"/>
        <v>4424185.5538479183</v>
      </c>
      <c r="J642" s="77">
        <f t="shared" si="51"/>
        <v>1000</v>
      </c>
      <c r="K642" s="20">
        <f t="shared" si="52"/>
        <v>62</v>
      </c>
      <c r="L642" s="78">
        <f t="shared" si="49"/>
        <v>2103.3748010870336</v>
      </c>
    </row>
    <row r="643" spans="6:12" x14ac:dyDescent="0.2">
      <c r="F643" s="77">
        <f t="shared" si="50"/>
        <v>1000000</v>
      </c>
      <c r="G643" s="20">
        <v>63</v>
      </c>
      <c r="H643" s="75">
        <f t="shared" si="48"/>
        <v>4531583.6376008186</v>
      </c>
      <c r="J643" s="77">
        <f t="shared" si="51"/>
        <v>1000</v>
      </c>
      <c r="K643" s="20">
        <f t="shared" si="52"/>
        <v>63</v>
      </c>
      <c r="L643" s="78">
        <f t="shared" si="49"/>
        <v>2128.7516617963724</v>
      </c>
    </row>
    <row r="644" spans="6:12" x14ac:dyDescent="0.2">
      <c r="F644" s="77">
        <f t="shared" si="50"/>
        <v>1000000</v>
      </c>
      <c r="G644" s="20">
        <v>64</v>
      </c>
      <c r="H644" s="75">
        <f t="shared" ref="H644:H676" si="53">F644*10^(G644/96)</f>
        <v>4641588.8336127792</v>
      </c>
      <c r="J644" s="77">
        <f t="shared" si="51"/>
        <v>1000</v>
      </c>
      <c r="K644" s="20">
        <f t="shared" si="52"/>
        <v>64</v>
      </c>
      <c r="L644" s="78">
        <f t="shared" si="49"/>
        <v>2154.4346900318837</v>
      </c>
    </row>
    <row r="645" spans="6:12" x14ac:dyDescent="0.2">
      <c r="F645" s="77">
        <f t="shared" si="50"/>
        <v>1000000</v>
      </c>
      <c r="G645" s="20">
        <v>65</v>
      </c>
      <c r="H645" s="75">
        <f t="shared" si="53"/>
        <v>4754264.4301110571</v>
      </c>
      <c r="J645" s="77">
        <f t="shared" si="51"/>
        <v>1000</v>
      </c>
      <c r="K645" s="20">
        <f t="shared" si="52"/>
        <v>65</v>
      </c>
      <c r="L645" s="78">
        <f t="shared" ref="L645:L708" si="54">J645*10^(K645/192)</f>
        <v>2180.4275796529123</v>
      </c>
    </row>
    <row r="646" spans="6:12" x14ac:dyDescent="0.2">
      <c r="F646" s="77">
        <f t="shared" ref="F646:F676" si="55">F550*10</f>
        <v>1000000</v>
      </c>
      <c r="G646" s="20">
        <v>66</v>
      </c>
      <c r="H646" s="75">
        <f t="shared" si="53"/>
        <v>4869675.2516586315</v>
      </c>
      <c r="J646" s="77">
        <f t="shared" ref="J646:J709" si="56">J454*10</f>
        <v>1000</v>
      </c>
      <c r="K646" s="20">
        <f t="shared" ref="K646:K709" si="57">K645+1</f>
        <v>66</v>
      </c>
      <c r="L646" s="78">
        <f t="shared" si="54"/>
        <v>2206.7340690845899</v>
      </c>
    </row>
    <row r="647" spans="6:12" x14ac:dyDescent="0.2">
      <c r="F647" s="77">
        <f t="shared" si="55"/>
        <v>1000000</v>
      </c>
      <c r="G647" s="20">
        <v>67</v>
      </c>
      <c r="H647" s="75">
        <f t="shared" si="53"/>
        <v>4987887.6964491066</v>
      </c>
      <c r="J647" s="77">
        <f t="shared" si="56"/>
        <v>1000</v>
      </c>
      <c r="K647" s="20">
        <f t="shared" si="57"/>
        <v>67</v>
      </c>
      <c r="L647" s="78">
        <f t="shared" si="54"/>
        <v>2233.3579418555159</v>
      </c>
    </row>
    <row r="648" spans="6:12" x14ac:dyDescent="0.2">
      <c r="F648" s="77">
        <f t="shared" si="55"/>
        <v>1000000</v>
      </c>
      <c r="G648" s="20">
        <v>68</v>
      </c>
      <c r="H648" s="75">
        <f t="shared" si="53"/>
        <v>5108969.7745069293</v>
      </c>
      <c r="J648" s="77">
        <f t="shared" si="56"/>
        <v>1000</v>
      </c>
      <c r="K648" s="20">
        <f t="shared" si="57"/>
        <v>68</v>
      </c>
      <c r="L648" s="78">
        <f t="shared" si="54"/>
        <v>2260.3030271419202</v>
      </c>
    </row>
    <row r="649" spans="6:12" x14ac:dyDescent="0.2">
      <c r="F649" s="77">
        <f t="shared" si="55"/>
        <v>1000000</v>
      </c>
      <c r="G649" s="20">
        <v>69</v>
      </c>
      <c r="H649" s="75">
        <f t="shared" si="53"/>
        <v>5232991.1468149479</v>
      </c>
      <c r="J649" s="77">
        <f t="shared" si="56"/>
        <v>1000</v>
      </c>
      <c r="K649" s="20">
        <f t="shared" si="57"/>
        <v>69</v>
      </c>
      <c r="L649" s="78">
        <f t="shared" si="54"/>
        <v>2287.5732003183962</v>
      </c>
    </row>
    <row r="650" spans="6:12" x14ac:dyDescent="0.2">
      <c r="F650" s="77">
        <f t="shared" si="55"/>
        <v>1000000</v>
      </c>
      <c r="G650" s="20">
        <v>70</v>
      </c>
      <c r="H650" s="75">
        <f t="shared" si="53"/>
        <v>5360023.1653917916</v>
      </c>
      <c r="J650" s="77">
        <f t="shared" si="56"/>
        <v>1000</v>
      </c>
      <c r="K650" s="20">
        <f t="shared" si="57"/>
        <v>70</v>
      </c>
      <c r="L650" s="78">
        <f t="shared" si="54"/>
        <v>2315.1723835152734</v>
      </c>
    </row>
    <row r="651" spans="6:12" x14ac:dyDescent="0.2">
      <c r="F651" s="77">
        <f t="shared" si="55"/>
        <v>1000000</v>
      </c>
      <c r="G651" s="20">
        <v>71</v>
      </c>
      <c r="H651" s="75">
        <f t="shared" si="53"/>
        <v>5490138.9143421417</v>
      </c>
      <c r="J651" s="77">
        <f t="shared" si="56"/>
        <v>1000</v>
      </c>
      <c r="K651" s="20">
        <f t="shared" si="57"/>
        <v>71</v>
      </c>
      <c r="L651" s="78">
        <f t="shared" si="54"/>
        <v>2343.1045461827225</v>
      </c>
    </row>
    <row r="652" spans="6:12" x14ac:dyDescent="0.2">
      <c r="F652" s="77">
        <f t="shared" si="55"/>
        <v>1000000</v>
      </c>
      <c r="G652" s="20">
        <v>72</v>
      </c>
      <c r="H652" s="75">
        <f t="shared" si="53"/>
        <v>5623413.251903492</v>
      </c>
      <c r="J652" s="77">
        <f t="shared" si="56"/>
        <v>1000</v>
      </c>
      <c r="K652" s="20">
        <f t="shared" si="57"/>
        <v>72</v>
      </c>
      <c r="L652" s="78">
        <f t="shared" si="54"/>
        <v>2371.3737056616555</v>
      </c>
    </row>
    <row r="653" spans="6:12" x14ac:dyDescent="0.2">
      <c r="F653" s="77">
        <f t="shared" si="55"/>
        <v>1000000</v>
      </c>
      <c r="G653" s="20">
        <v>73</v>
      </c>
      <c r="H653" s="75">
        <f t="shared" si="53"/>
        <v>5759922.8535136282</v>
      </c>
      <c r="J653" s="77">
        <f t="shared" si="56"/>
        <v>1000</v>
      </c>
      <c r="K653" s="20">
        <f t="shared" si="57"/>
        <v>73</v>
      </c>
      <c r="L653" s="78">
        <f t="shared" si="54"/>
        <v>2399.9839277615233</v>
      </c>
    </row>
    <row r="654" spans="6:12" x14ac:dyDescent="0.2">
      <c r="F654" s="77">
        <f t="shared" si="55"/>
        <v>1000000</v>
      </c>
      <c r="G654" s="20">
        <v>74</v>
      </c>
      <c r="H654" s="75">
        <f t="shared" si="53"/>
        <v>5899746.2559235655</v>
      </c>
      <c r="J654" s="77">
        <f t="shared" si="56"/>
        <v>1000</v>
      </c>
      <c r="K654" s="20">
        <f t="shared" si="57"/>
        <v>74</v>
      </c>
      <c r="L654" s="78">
        <f t="shared" si="54"/>
        <v>2428.9393273450792</v>
      </c>
    </row>
    <row r="655" spans="6:12" x14ac:dyDescent="0.2">
      <c r="F655" s="77">
        <f t="shared" si="55"/>
        <v>1000000</v>
      </c>
      <c r="G655" s="20">
        <v>75</v>
      </c>
      <c r="H655" s="75">
        <f t="shared" si="53"/>
        <v>6042963.9023813289</v>
      </c>
      <c r="J655" s="77">
        <f t="shared" si="56"/>
        <v>1000</v>
      </c>
      <c r="K655" s="20">
        <f t="shared" si="57"/>
        <v>75</v>
      </c>
      <c r="L655" s="78">
        <f t="shared" si="54"/>
        <v>2458.2440689201976</v>
      </c>
    </row>
    <row r="656" spans="6:12" x14ac:dyDescent="0.2">
      <c r="F656" s="77">
        <f t="shared" si="55"/>
        <v>1000000</v>
      </c>
      <c r="G656" s="20">
        <v>76</v>
      </c>
      <c r="H656" s="75">
        <f t="shared" si="53"/>
        <v>6189658.1889126059</v>
      </c>
      <c r="J656" s="77">
        <f t="shared" si="56"/>
        <v>1000</v>
      </c>
      <c r="K656" s="20">
        <f t="shared" si="57"/>
        <v>76</v>
      </c>
      <c r="L656" s="78">
        <f t="shared" si="54"/>
        <v>2487.9023672388362</v>
      </c>
    </row>
    <row r="657" spans="6:12" x14ac:dyDescent="0.2">
      <c r="F657" s="77">
        <f t="shared" si="55"/>
        <v>1000000</v>
      </c>
      <c r="G657" s="20">
        <v>77</v>
      </c>
      <c r="H657" s="75">
        <f t="shared" si="53"/>
        <v>6339913.5117248455</v>
      </c>
      <c r="J657" s="77">
        <f t="shared" si="56"/>
        <v>1000</v>
      </c>
      <c r="K657" s="20">
        <f t="shared" si="57"/>
        <v>77</v>
      </c>
      <c r="L657" s="78">
        <f t="shared" si="54"/>
        <v>2517.9184879032218</v>
      </c>
    </row>
    <row r="658" spans="6:12" x14ac:dyDescent="0.2">
      <c r="F658" s="77">
        <f t="shared" si="55"/>
        <v>1000000</v>
      </c>
      <c r="G658" s="20">
        <v>78</v>
      </c>
      <c r="H658" s="75">
        <f t="shared" si="53"/>
        <v>6493816.3157621147</v>
      </c>
      <c r="J658" s="77">
        <f t="shared" si="56"/>
        <v>1000</v>
      </c>
      <c r="K658" s="20">
        <f t="shared" si="57"/>
        <v>78</v>
      </c>
      <c r="L658" s="78">
        <f t="shared" si="54"/>
        <v>2548.2967479793469</v>
      </c>
    </row>
    <row r="659" spans="6:12" x14ac:dyDescent="0.2">
      <c r="F659" s="77">
        <f t="shared" si="55"/>
        <v>1000000</v>
      </c>
      <c r="G659" s="20">
        <v>79</v>
      </c>
      <c r="H659" s="75">
        <f t="shared" si="53"/>
        <v>6651455.1444386337</v>
      </c>
      <c r="J659" s="77">
        <f t="shared" si="56"/>
        <v>1000</v>
      </c>
      <c r="K659" s="20">
        <f t="shared" si="57"/>
        <v>79</v>
      </c>
      <c r="L659" s="78">
        <f t="shared" si="54"/>
        <v>2579.0415166178764</v>
      </c>
    </row>
    <row r="660" spans="6:12" x14ac:dyDescent="0.2">
      <c r="F660" s="77">
        <f t="shared" si="55"/>
        <v>1000000</v>
      </c>
      <c r="G660" s="20">
        <v>80</v>
      </c>
      <c r="H660" s="75">
        <f t="shared" si="53"/>
        <v>6812920.6905796137</v>
      </c>
      <c r="J660" s="77">
        <f t="shared" si="56"/>
        <v>1000</v>
      </c>
      <c r="K660" s="20">
        <f t="shared" si="57"/>
        <v>80</v>
      </c>
      <c r="L660" s="78">
        <f t="shared" si="54"/>
        <v>2610.1572156825373</v>
      </c>
    </row>
    <row r="661" spans="6:12" x14ac:dyDescent="0.2">
      <c r="F661" s="77">
        <f t="shared" si="55"/>
        <v>1000000</v>
      </c>
      <c r="G661" s="20">
        <v>81</v>
      </c>
      <c r="H661" s="75">
        <f t="shared" si="53"/>
        <v>6978305.8485986646</v>
      </c>
      <c r="J661" s="77">
        <f t="shared" si="56"/>
        <v>1000</v>
      </c>
      <c r="K661" s="20">
        <f t="shared" si="57"/>
        <v>81</v>
      </c>
      <c r="L661" s="78">
        <f t="shared" si="54"/>
        <v>2641.6483203860926</v>
      </c>
    </row>
    <row r="662" spans="6:12" x14ac:dyDescent="0.2">
      <c r="F662" s="77">
        <f t="shared" si="55"/>
        <v>1000000</v>
      </c>
      <c r="G662" s="20">
        <v>82</v>
      </c>
      <c r="H662" s="75">
        <f t="shared" si="53"/>
        <v>7147705.7679418568</v>
      </c>
      <c r="J662" s="77">
        <f t="shared" si="56"/>
        <v>1000</v>
      </c>
      <c r="K662" s="20">
        <f t="shared" si="57"/>
        <v>82</v>
      </c>
      <c r="L662" s="78">
        <f t="shared" si="54"/>
        <v>2673.5193599339909</v>
      </c>
    </row>
    <row r="663" spans="6:12" x14ac:dyDescent="0.2">
      <c r="F663" s="77">
        <f t="shared" si="55"/>
        <v>1000000</v>
      </c>
      <c r="G663" s="20">
        <v>83</v>
      </c>
      <c r="H663" s="75">
        <f t="shared" si="53"/>
        <v>7321217.907829131</v>
      </c>
      <c r="J663" s="77">
        <f t="shared" si="56"/>
        <v>1000</v>
      </c>
      <c r="K663" s="20">
        <f t="shared" si="57"/>
        <v>83</v>
      </c>
      <c r="L663" s="78">
        <f t="shared" si="54"/>
        <v>2705.7749181757767</v>
      </c>
    </row>
    <row r="664" spans="6:12" x14ac:dyDescent="0.2">
      <c r="F664" s="77">
        <f t="shared" si="55"/>
        <v>1000000</v>
      </c>
      <c r="G664" s="20">
        <v>84</v>
      </c>
      <c r="H664" s="75">
        <f t="shared" si="53"/>
        <v>7498942.0933245588</v>
      </c>
      <c r="J664" s="77">
        <f t="shared" si="56"/>
        <v>1000</v>
      </c>
      <c r="K664" s="20">
        <f t="shared" si="57"/>
        <v>84</v>
      </c>
      <c r="L664" s="78">
        <f t="shared" si="54"/>
        <v>2738.4196342643613</v>
      </c>
    </row>
    <row r="665" spans="6:12" x14ac:dyDescent="0.2">
      <c r="F665" s="77">
        <f t="shared" si="55"/>
        <v>1000000</v>
      </c>
      <c r="G665" s="20">
        <v>85</v>
      </c>
      <c r="H665" s="75">
        <f t="shared" si="53"/>
        <v>7680980.572767755</v>
      </c>
      <c r="J665" s="77">
        <f t="shared" si="56"/>
        <v>1000</v>
      </c>
      <c r="K665" s="20">
        <f t="shared" si="57"/>
        <v>85</v>
      </c>
      <c r="L665" s="78">
        <f t="shared" si="54"/>
        <v>2771.4582033232532</v>
      </c>
    </row>
    <row r="666" spans="6:12" x14ac:dyDescent="0.2">
      <c r="F666" s="77">
        <f t="shared" si="55"/>
        <v>1000000</v>
      </c>
      <c r="G666" s="20">
        <v>86</v>
      </c>
      <c r="H666" s="75">
        <f t="shared" si="53"/>
        <v>7867438.0765994033</v>
      </c>
      <c r="J666" s="77">
        <f t="shared" si="56"/>
        <v>1000</v>
      </c>
      <c r="K666" s="20">
        <f t="shared" si="57"/>
        <v>86</v>
      </c>
      <c r="L666" s="78">
        <f t="shared" si="54"/>
        <v>2804.895377121828</v>
      </c>
    </row>
    <row r="667" spans="6:12" x14ac:dyDescent="0.2">
      <c r="F667" s="77">
        <f t="shared" si="55"/>
        <v>1000000</v>
      </c>
      <c r="G667" s="20">
        <v>87</v>
      </c>
      <c r="H667" s="75">
        <f t="shared" si="53"/>
        <v>8058421.8776148194</v>
      </c>
      <c r="J667" s="77">
        <f t="shared" si="56"/>
        <v>1000</v>
      </c>
      <c r="K667" s="20">
        <f t="shared" si="57"/>
        <v>87</v>
      </c>
      <c r="L667" s="78">
        <f t="shared" si="54"/>
        <v>2838.735964758755</v>
      </c>
    </row>
    <row r="668" spans="6:12" x14ac:dyDescent="0.2">
      <c r="F668" s="77">
        <f t="shared" si="55"/>
        <v>1000000</v>
      </c>
      <c r="G668" s="20">
        <v>88</v>
      </c>
      <c r="H668" s="75">
        <f t="shared" si="53"/>
        <v>8254041.852680183</v>
      </c>
      <c r="J668" s="77">
        <f t="shared" si="56"/>
        <v>1000</v>
      </c>
      <c r="K668" s="20">
        <f t="shared" si="57"/>
        <v>88</v>
      </c>
      <c r="L668" s="78">
        <f t="shared" si="54"/>
        <v>2872.9848333536647</v>
      </c>
    </row>
    <row r="669" spans="6:12" x14ac:dyDescent="0.2">
      <c r="F669" s="77">
        <f t="shared" si="55"/>
        <v>1000000</v>
      </c>
      <c r="G669" s="20">
        <v>89</v>
      </c>
      <c r="H669" s="75">
        <f t="shared" si="53"/>
        <v>8454410.545946924</v>
      </c>
      <c r="J669" s="77">
        <f t="shared" si="56"/>
        <v>1000</v>
      </c>
      <c r="K669" s="20">
        <f t="shared" si="57"/>
        <v>89</v>
      </c>
      <c r="L669" s="78">
        <f t="shared" si="54"/>
        <v>2907.6469087471619</v>
      </c>
    </row>
    <row r="670" spans="6:12" x14ac:dyDescent="0.2">
      <c r="F670" s="77">
        <f t="shared" si="55"/>
        <v>1000000</v>
      </c>
      <c r="G670" s="20">
        <v>90</v>
      </c>
      <c r="H670" s="75">
        <f t="shared" si="53"/>
        <v>8659643.2336006556</v>
      </c>
      <c r="J670" s="77">
        <f t="shared" si="56"/>
        <v>1000</v>
      </c>
      <c r="K670" s="20">
        <f t="shared" si="57"/>
        <v>90</v>
      </c>
      <c r="L670" s="78">
        <f t="shared" si="54"/>
        <v>2942.7271762092823</v>
      </c>
    </row>
    <row r="671" spans="6:12" x14ac:dyDescent="0.2">
      <c r="F671" s="77">
        <f t="shared" si="55"/>
        <v>1000000</v>
      </c>
      <c r="G671" s="20">
        <v>91</v>
      </c>
      <c r="H671" s="75">
        <f t="shared" si="53"/>
        <v>8869857.9901819192</v>
      </c>
      <c r="J671" s="77">
        <f t="shared" si="56"/>
        <v>1000</v>
      </c>
      <c r="K671" s="20">
        <f t="shared" si="57"/>
        <v>91</v>
      </c>
      <c r="L671" s="78">
        <f t="shared" si="54"/>
        <v>2978.2306811565013</v>
      </c>
    </row>
    <row r="672" spans="6:12" x14ac:dyDescent="0.2">
      <c r="F672" s="77">
        <f t="shared" si="55"/>
        <v>1000000</v>
      </c>
      <c r="G672" s="20">
        <v>92</v>
      </c>
      <c r="H672" s="75">
        <f t="shared" si="53"/>
        <v>9085175.7565168701</v>
      </c>
      <c r="J672" s="77">
        <f t="shared" si="56"/>
        <v>1000</v>
      </c>
      <c r="K672" s="20">
        <f t="shared" si="57"/>
        <v>92</v>
      </c>
      <c r="L672" s="78">
        <f t="shared" si="54"/>
        <v>3014.1625298773906</v>
      </c>
    </row>
    <row r="673" spans="6:12" x14ac:dyDescent="0.2">
      <c r="F673" s="77">
        <f t="shared" si="55"/>
        <v>1000000</v>
      </c>
      <c r="G673" s="20">
        <v>93</v>
      </c>
      <c r="H673" s="75">
        <f t="shared" si="53"/>
        <v>9305720.4092969894</v>
      </c>
      <c r="J673" s="77">
        <f t="shared" si="56"/>
        <v>1000</v>
      </c>
      <c r="K673" s="20">
        <f t="shared" si="57"/>
        <v>93</v>
      </c>
      <c r="L673" s="78">
        <f t="shared" si="54"/>
        <v>3050.5278902670257</v>
      </c>
    </row>
    <row r="674" spans="6:12" x14ac:dyDescent="0.2">
      <c r="F674" s="77">
        <f t="shared" si="55"/>
        <v>1000000</v>
      </c>
      <c r="G674" s="20">
        <v>94</v>
      </c>
      <c r="H674" s="75">
        <f t="shared" si="53"/>
        <v>9531618.8323478773</v>
      </c>
      <c r="J674" s="77">
        <f t="shared" si="56"/>
        <v>1000</v>
      </c>
      <c r="K674" s="20">
        <f t="shared" si="57"/>
        <v>94</v>
      </c>
      <c r="L674" s="78">
        <f t="shared" si="54"/>
        <v>3087.331992570264</v>
      </c>
    </row>
    <row r="675" spans="6:12" x14ac:dyDescent="0.2">
      <c r="F675" s="77">
        <f t="shared" si="55"/>
        <v>1000000</v>
      </c>
      <c r="G675" s="20">
        <v>95</v>
      </c>
      <c r="H675" s="75">
        <f t="shared" si="53"/>
        <v>9763000.9896280784</v>
      </c>
      <c r="J675" s="77">
        <f t="shared" si="56"/>
        <v>1000</v>
      </c>
      <c r="K675" s="20">
        <f t="shared" si="57"/>
        <v>95</v>
      </c>
      <c r="L675" s="78">
        <f t="shared" si="54"/>
        <v>3124.5801301339798</v>
      </c>
    </row>
    <row r="676" spans="6:12" x14ac:dyDescent="0.2">
      <c r="F676" s="77">
        <f t="shared" si="55"/>
        <v>1000000</v>
      </c>
      <c r="G676" s="20">
        <v>96</v>
      </c>
      <c r="H676" s="75">
        <f t="shared" si="53"/>
        <v>10000000</v>
      </c>
      <c r="J676" s="77">
        <f t="shared" si="56"/>
        <v>1000</v>
      </c>
      <c r="K676" s="20">
        <f t="shared" si="57"/>
        <v>96</v>
      </c>
      <c r="L676" s="78">
        <f t="shared" si="54"/>
        <v>3162.2776601683795</v>
      </c>
    </row>
    <row r="677" spans="6:12" x14ac:dyDescent="0.2">
      <c r="J677" s="77">
        <f t="shared" si="56"/>
        <v>1000</v>
      </c>
      <c r="K677" s="20">
        <f t="shared" si="57"/>
        <v>97</v>
      </c>
      <c r="L677" s="78">
        <f t="shared" si="54"/>
        <v>3200.4300045175069</v>
      </c>
    </row>
    <row r="678" spans="6:12" x14ac:dyDescent="0.2">
      <c r="J678" s="77">
        <f t="shared" si="56"/>
        <v>1000</v>
      </c>
      <c r="K678" s="20">
        <f t="shared" si="57"/>
        <v>98</v>
      </c>
      <c r="L678" s="78">
        <f t="shared" si="54"/>
        <v>3239.0426504390307</v>
      </c>
    </row>
    <row r="679" spans="6:12" x14ac:dyDescent="0.2">
      <c r="J679" s="77">
        <f t="shared" si="56"/>
        <v>1000</v>
      </c>
      <c r="K679" s="20">
        <f t="shared" si="57"/>
        <v>99</v>
      </c>
      <c r="L679" s="78">
        <f t="shared" si="54"/>
        <v>3278.1211513934591</v>
      </c>
    </row>
    <row r="680" spans="6:12" x14ac:dyDescent="0.2">
      <c r="J680" s="77">
        <f t="shared" si="56"/>
        <v>1000</v>
      </c>
      <c r="K680" s="20">
        <f t="shared" si="57"/>
        <v>100</v>
      </c>
      <c r="L680" s="78">
        <f t="shared" si="54"/>
        <v>3317.6711278428579</v>
      </c>
    </row>
    <row r="681" spans="6:12" x14ac:dyDescent="0.2">
      <c r="J681" s="77">
        <f t="shared" si="56"/>
        <v>1000</v>
      </c>
      <c r="K681" s="20">
        <f t="shared" si="57"/>
        <v>101</v>
      </c>
      <c r="L681" s="78">
        <f t="shared" si="54"/>
        <v>3357.698268059215</v>
      </c>
    </row>
    <row r="682" spans="6:12" x14ac:dyDescent="0.2">
      <c r="J682" s="77">
        <f t="shared" si="56"/>
        <v>1000</v>
      </c>
      <c r="K682" s="20">
        <f t="shared" si="57"/>
        <v>102</v>
      </c>
      <c r="L682" s="78">
        <f t="shared" si="54"/>
        <v>3398.2083289425591</v>
      </c>
    </row>
    <row r="683" spans="6:12" x14ac:dyDescent="0.2">
      <c r="J683" s="77">
        <f t="shared" si="56"/>
        <v>1000</v>
      </c>
      <c r="K683" s="20">
        <f t="shared" si="57"/>
        <v>103</v>
      </c>
      <c r="L683" s="78">
        <f t="shared" si="54"/>
        <v>3439.2071368489414</v>
      </c>
    </row>
    <row r="684" spans="6:12" x14ac:dyDescent="0.2">
      <c r="J684" s="77">
        <f t="shared" si="56"/>
        <v>1000</v>
      </c>
      <c r="K684" s="20">
        <f t="shared" si="57"/>
        <v>104</v>
      </c>
      <c r="L684" s="78">
        <f t="shared" si="54"/>
        <v>3480.7005884284104</v>
      </c>
    </row>
    <row r="685" spans="6:12" x14ac:dyDescent="0.2">
      <c r="J685" s="77">
        <f t="shared" si="56"/>
        <v>1000</v>
      </c>
      <c r="K685" s="20">
        <f t="shared" si="57"/>
        <v>105</v>
      </c>
      <c r="L685" s="78">
        <f t="shared" si="54"/>
        <v>3522.6946514731017</v>
      </c>
    </row>
    <row r="686" spans="6:12" x14ac:dyDescent="0.2">
      <c r="J686" s="77">
        <f t="shared" si="56"/>
        <v>1000</v>
      </c>
      <c r="K686" s="20">
        <f t="shared" si="57"/>
        <v>106</v>
      </c>
      <c r="L686" s="78">
        <f t="shared" si="54"/>
        <v>3565.1953657755494</v>
      </c>
    </row>
    <row r="687" spans="6:12" x14ac:dyDescent="0.2">
      <c r="J687" s="77">
        <f t="shared" si="56"/>
        <v>1000</v>
      </c>
      <c r="K687" s="20">
        <f t="shared" si="57"/>
        <v>107</v>
      </c>
      <c r="L687" s="78">
        <f t="shared" si="54"/>
        <v>3608.2088439973622</v>
      </c>
    </row>
    <row r="688" spans="6:12" x14ac:dyDescent="0.2">
      <c r="J688" s="77">
        <f t="shared" si="56"/>
        <v>1000</v>
      </c>
      <c r="K688" s="20">
        <f t="shared" si="57"/>
        <v>108</v>
      </c>
      <c r="L688" s="78">
        <f t="shared" si="54"/>
        <v>3651.7412725483778</v>
      </c>
    </row>
    <row r="689" spans="10:12" x14ac:dyDescent="0.2">
      <c r="J689" s="77">
        <f t="shared" si="56"/>
        <v>1000</v>
      </c>
      <c r="K689" s="20">
        <f t="shared" si="57"/>
        <v>109</v>
      </c>
      <c r="L689" s="78">
        <f t="shared" si="54"/>
        <v>3695.7989124764181</v>
      </c>
    </row>
    <row r="690" spans="10:12" x14ac:dyDescent="0.2">
      <c r="J690" s="77">
        <f t="shared" si="56"/>
        <v>1000</v>
      </c>
      <c r="K690" s="20">
        <f t="shared" si="57"/>
        <v>110</v>
      </c>
      <c r="L690" s="78">
        <f t="shared" si="54"/>
        <v>3740.3881003677857</v>
      </c>
    </row>
    <row r="691" spans="10:12" x14ac:dyDescent="0.2">
      <c r="J691" s="77">
        <f t="shared" si="56"/>
        <v>1000</v>
      </c>
      <c r="K691" s="20">
        <f t="shared" si="57"/>
        <v>111</v>
      </c>
      <c r="L691" s="78">
        <f t="shared" si="54"/>
        <v>3785.5152492586299</v>
      </c>
    </row>
    <row r="692" spans="10:12" x14ac:dyDescent="0.2">
      <c r="J692" s="77">
        <f t="shared" si="56"/>
        <v>1000</v>
      </c>
      <c r="K692" s="20">
        <f t="shared" si="57"/>
        <v>112</v>
      </c>
      <c r="L692" s="78">
        <f t="shared" si="54"/>
        <v>3831.1868495572885</v>
      </c>
    </row>
    <row r="693" spans="10:12" x14ac:dyDescent="0.2">
      <c r="J693" s="77">
        <f t="shared" si="56"/>
        <v>1000</v>
      </c>
      <c r="K693" s="20">
        <f t="shared" si="57"/>
        <v>113</v>
      </c>
      <c r="L693" s="78">
        <f t="shared" si="54"/>
        <v>3877.409469977777</v>
      </c>
    </row>
    <row r="694" spans="10:12" x14ac:dyDescent="0.2">
      <c r="J694" s="77">
        <f t="shared" si="56"/>
        <v>1000</v>
      </c>
      <c r="K694" s="20">
        <f t="shared" si="57"/>
        <v>114</v>
      </c>
      <c r="L694" s="78">
        <f t="shared" si="54"/>
        <v>3924.189758484536</v>
      </c>
    </row>
    <row r="695" spans="10:12" x14ac:dyDescent="0.2">
      <c r="J695" s="77">
        <f t="shared" si="56"/>
        <v>1000</v>
      </c>
      <c r="K695" s="20">
        <f t="shared" si="57"/>
        <v>115</v>
      </c>
      <c r="L695" s="78">
        <f t="shared" si="54"/>
        <v>3971.5344432485704</v>
      </c>
    </row>
    <row r="696" spans="10:12" x14ac:dyDescent="0.2">
      <c r="J696" s="77">
        <f t="shared" si="56"/>
        <v>1000</v>
      </c>
      <c r="K696" s="20">
        <f t="shared" si="57"/>
        <v>116</v>
      </c>
      <c r="L696" s="78">
        <f t="shared" si="54"/>
        <v>4019.4503336151256</v>
      </c>
    </row>
    <row r="697" spans="10:12" x14ac:dyDescent="0.2">
      <c r="J697" s="77">
        <f t="shared" si="56"/>
        <v>1000</v>
      </c>
      <c r="K697" s="20">
        <f t="shared" si="57"/>
        <v>117</v>
      </c>
      <c r="L697" s="78">
        <f t="shared" si="54"/>
        <v>4067.9443210830477</v>
      </c>
    </row>
    <row r="698" spans="10:12" x14ac:dyDescent="0.2">
      <c r="J698" s="77">
        <f t="shared" si="56"/>
        <v>1000</v>
      </c>
      <c r="K698" s="20">
        <f t="shared" si="57"/>
        <v>118</v>
      </c>
      <c r="L698" s="78">
        <f t="shared" si="54"/>
        <v>4117.0233802959483</v>
      </c>
    </row>
    <row r="699" spans="10:12" x14ac:dyDescent="0.2">
      <c r="J699" s="77">
        <f t="shared" si="56"/>
        <v>1000</v>
      </c>
      <c r="K699" s="20">
        <f t="shared" si="57"/>
        <v>119</v>
      </c>
      <c r="L699" s="78">
        <f t="shared" si="54"/>
        <v>4166.6945700453298</v>
      </c>
    </row>
    <row r="700" spans="10:12" x14ac:dyDescent="0.2">
      <c r="J700" s="77">
        <f t="shared" si="56"/>
        <v>1000</v>
      </c>
      <c r="K700" s="20">
        <f t="shared" si="57"/>
        <v>120</v>
      </c>
      <c r="L700" s="78">
        <f t="shared" si="54"/>
        <v>4216.9650342858231</v>
      </c>
    </row>
    <row r="701" spans="10:12" x14ac:dyDescent="0.2">
      <c r="J701" s="77">
        <f t="shared" si="56"/>
        <v>1000</v>
      </c>
      <c r="K701" s="20">
        <f t="shared" si="57"/>
        <v>121</v>
      </c>
      <c r="L701" s="78">
        <f t="shared" si="54"/>
        <v>4267.8420031626583</v>
      </c>
    </row>
    <row r="702" spans="10:12" x14ac:dyDescent="0.2">
      <c r="J702" s="77">
        <f t="shared" si="56"/>
        <v>1000</v>
      </c>
      <c r="K702" s="20">
        <f t="shared" si="57"/>
        <v>122</v>
      </c>
      <c r="L702" s="78">
        <f t="shared" si="54"/>
        <v>4319.3327940515446</v>
      </c>
    </row>
    <row r="703" spans="10:12" x14ac:dyDescent="0.2">
      <c r="J703" s="77">
        <f t="shared" si="56"/>
        <v>1000</v>
      </c>
      <c r="K703" s="20">
        <f t="shared" si="57"/>
        <v>123</v>
      </c>
      <c r="L703" s="78">
        <f t="shared" si="54"/>
        <v>4371.4448126110901</v>
      </c>
    </row>
    <row r="704" spans="10:12" x14ac:dyDescent="0.2">
      <c r="J704" s="77">
        <f t="shared" si="56"/>
        <v>1000</v>
      </c>
      <c r="K704" s="20">
        <f t="shared" si="57"/>
        <v>124</v>
      </c>
      <c r="L704" s="78">
        <f t="shared" si="54"/>
        <v>4424.1855538479185</v>
      </c>
    </row>
    <row r="705" spans="10:12" x14ac:dyDescent="0.2">
      <c r="J705" s="77">
        <f t="shared" si="56"/>
        <v>1000</v>
      </c>
      <c r="K705" s="20">
        <f t="shared" si="57"/>
        <v>125</v>
      </c>
      <c r="L705" s="78">
        <f t="shared" si="54"/>
        <v>4477.5626031946367</v>
      </c>
    </row>
    <row r="706" spans="10:12" x14ac:dyDescent="0.2">
      <c r="J706" s="77">
        <f t="shared" si="56"/>
        <v>1000</v>
      </c>
      <c r="K706" s="20">
        <f t="shared" si="57"/>
        <v>126</v>
      </c>
      <c r="L706" s="78">
        <f t="shared" si="54"/>
        <v>4531.5836376008183</v>
      </c>
    </row>
    <row r="707" spans="10:12" x14ac:dyDescent="0.2">
      <c r="J707" s="77">
        <f t="shared" si="56"/>
        <v>1000</v>
      </c>
      <c r="K707" s="20">
        <f t="shared" si="57"/>
        <v>127</v>
      </c>
      <c r="L707" s="78">
        <f t="shared" si="54"/>
        <v>4586.2564266371264</v>
      </c>
    </row>
    <row r="708" spans="10:12" x14ac:dyDescent="0.2">
      <c r="J708" s="77">
        <f t="shared" si="56"/>
        <v>1000</v>
      </c>
      <c r="K708" s="20">
        <f t="shared" si="57"/>
        <v>128</v>
      </c>
      <c r="L708" s="78">
        <f t="shared" si="54"/>
        <v>4641.5888336127791</v>
      </c>
    </row>
    <row r="709" spans="10:12" x14ac:dyDescent="0.2">
      <c r="J709" s="77">
        <f t="shared" si="56"/>
        <v>1000</v>
      </c>
      <c r="K709" s="20">
        <f t="shared" si="57"/>
        <v>129</v>
      </c>
      <c r="L709" s="78">
        <f t="shared" ref="L709:L772" si="58">J709*10^(K709/192)</f>
        <v>4697.5888167064932</v>
      </c>
    </row>
    <row r="710" spans="10:12" x14ac:dyDescent="0.2">
      <c r="J710" s="77">
        <f t="shared" ref="J710:J773" si="59">J518*10</f>
        <v>1000</v>
      </c>
      <c r="K710" s="20">
        <f t="shared" ref="K710:K755" si="60">K709+1</f>
        <v>130</v>
      </c>
      <c r="L710" s="78">
        <f t="shared" si="58"/>
        <v>4754.2644301110568</v>
      </c>
    </row>
    <row r="711" spans="10:12" x14ac:dyDescent="0.2">
      <c r="J711" s="77">
        <f t="shared" si="59"/>
        <v>1000</v>
      </c>
      <c r="K711" s="20">
        <f t="shared" si="60"/>
        <v>131</v>
      </c>
      <c r="L711" s="78">
        <f t="shared" si="58"/>
        <v>4811.6238251917339</v>
      </c>
    </row>
    <row r="712" spans="10:12" x14ac:dyDescent="0.2">
      <c r="J712" s="77">
        <f t="shared" si="59"/>
        <v>1000</v>
      </c>
      <c r="K712" s="20">
        <f t="shared" si="60"/>
        <v>132</v>
      </c>
      <c r="L712" s="78">
        <f t="shared" si="58"/>
        <v>4869.6752516586321</v>
      </c>
    </row>
    <row r="713" spans="10:12" x14ac:dyDescent="0.2">
      <c r="J713" s="77">
        <f t="shared" si="59"/>
        <v>1000</v>
      </c>
      <c r="K713" s="20">
        <f t="shared" si="60"/>
        <v>133</v>
      </c>
      <c r="L713" s="78">
        <f t="shared" si="58"/>
        <v>4928.4270587532073</v>
      </c>
    </row>
    <row r="714" spans="10:12" x14ac:dyDescent="0.2">
      <c r="J714" s="77">
        <f t="shared" si="59"/>
        <v>1000</v>
      </c>
      <c r="K714" s="20">
        <f t="shared" si="60"/>
        <v>134</v>
      </c>
      <c r="L714" s="78">
        <f t="shared" si="58"/>
        <v>4987.8876964491064</v>
      </c>
    </row>
    <row r="715" spans="10:12" x14ac:dyDescent="0.2">
      <c r="J715" s="77">
        <f t="shared" si="59"/>
        <v>1000</v>
      </c>
      <c r="K715" s="20">
        <f t="shared" si="60"/>
        <v>135</v>
      </c>
      <c r="L715" s="78">
        <f t="shared" si="58"/>
        <v>5048.065716667471</v>
      </c>
    </row>
    <row r="716" spans="10:12" x14ac:dyDescent="0.2">
      <c r="J716" s="77">
        <f t="shared" si="59"/>
        <v>1000</v>
      </c>
      <c r="K716" s="20">
        <f t="shared" si="60"/>
        <v>136</v>
      </c>
      <c r="L716" s="78">
        <f t="shared" si="58"/>
        <v>5108.9697745069288</v>
      </c>
    </row>
    <row r="717" spans="10:12" x14ac:dyDescent="0.2">
      <c r="J717" s="77">
        <f t="shared" si="59"/>
        <v>1000</v>
      </c>
      <c r="K717" s="20">
        <f t="shared" si="60"/>
        <v>137</v>
      </c>
      <c r="L717" s="78">
        <f t="shared" si="58"/>
        <v>5170.6086294884008</v>
      </c>
    </row>
    <row r="718" spans="10:12" x14ac:dyDescent="0.2">
      <c r="J718" s="77">
        <f t="shared" si="59"/>
        <v>1000</v>
      </c>
      <c r="K718" s="20">
        <f t="shared" si="60"/>
        <v>138</v>
      </c>
      <c r="L718" s="78">
        <f t="shared" si="58"/>
        <v>5232.9911468149476</v>
      </c>
    </row>
    <row r="719" spans="10:12" x14ac:dyDescent="0.2">
      <c r="J719" s="77">
        <f t="shared" si="59"/>
        <v>1000</v>
      </c>
      <c r="K719" s="20">
        <f t="shared" si="60"/>
        <v>139</v>
      </c>
      <c r="L719" s="78">
        <f t="shared" si="58"/>
        <v>5296.1262986468046</v>
      </c>
    </row>
    <row r="720" spans="10:12" x14ac:dyDescent="0.2">
      <c r="J720" s="77">
        <f t="shared" si="59"/>
        <v>1000</v>
      </c>
      <c r="K720" s="20">
        <f t="shared" si="60"/>
        <v>140</v>
      </c>
      <c r="L720" s="78">
        <f t="shared" si="58"/>
        <v>5360.0231653917917</v>
      </c>
    </row>
    <row r="721" spans="10:12" x14ac:dyDescent="0.2">
      <c r="J721" s="77">
        <f t="shared" si="59"/>
        <v>1000</v>
      </c>
      <c r="K721" s="20">
        <f t="shared" si="60"/>
        <v>141</v>
      </c>
      <c r="L721" s="78">
        <f t="shared" si="58"/>
        <v>5424.6909370113262</v>
      </c>
    </row>
    <row r="722" spans="10:12" x14ac:dyDescent="0.2">
      <c r="J722" s="77">
        <f t="shared" si="59"/>
        <v>1000</v>
      </c>
      <c r="K722" s="20">
        <f t="shared" si="60"/>
        <v>142</v>
      </c>
      <c r="L722" s="78">
        <f t="shared" si="58"/>
        <v>5490.1389143421411</v>
      </c>
    </row>
    <row r="723" spans="10:12" x14ac:dyDescent="0.2">
      <c r="J723" s="77">
        <f t="shared" si="59"/>
        <v>1000</v>
      </c>
      <c r="K723" s="20">
        <f t="shared" si="60"/>
        <v>143</v>
      </c>
      <c r="L723" s="78">
        <f t="shared" si="58"/>
        <v>5556.3765104339927</v>
      </c>
    </row>
    <row r="724" spans="10:12" x14ac:dyDescent="0.2">
      <c r="J724" s="77">
        <f t="shared" si="59"/>
        <v>1000</v>
      </c>
      <c r="K724" s="20">
        <f t="shared" si="60"/>
        <v>144</v>
      </c>
      <c r="L724" s="78">
        <f t="shared" si="58"/>
        <v>5623.413251903492</v>
      </c>
    </row>
    <row r="725" spans="10:12" x14ac:dyDescent="0.2">
      <c r="J725" s="77">
        <f t="shared" si="59"/>
        <v>1000</v>
      </c>
      <c r="K725" s="20">
        <f t="shared" si="60"/>
        <v>145</v>
      </c>
      <c r="L725" s="78">
        <f t="shared" si="58"/>
        <v>5691.2587803042588</v>
      </c>
    </row>
    <row r="726" spans="10:12" x14ac:dyDescent="0.2">
      <c r="J726" s="77">
        <f t="shared" si="59"/>
        <v>1000</v>
      </c>
      <c r="K726" s="20">
        <f t="shared" si="60"/>
        <v>146</v>
      </c>
      <c r="L726" s="78">
        <f t="shared" si="58"/>
        <v>5759.9228535136281</v>
      </c>
    </row>
    <row r="727" spans="10:12" x14ac:dyDescent="0.2">
      <c r="J727" s="77">
        <f t="shared" si="59"/>
        <v>1000</v>
      </c>
      <c r="K727" s="20">
        <f t="shared" si="60"/>
        <v>147</v>
      </c>
      <c r="L727" s="78">
        <f t="shared" si="58"/>
        <v>5829.4153471360751</v>
      </c>
    </row>
    <row r="728" spans="10:12" x14ac:dyDescent="0.2">
      <c r="J728" s="77">
        <f t="shared" si="59"/>
        <v>1000</v>
      </c>
      <c r="K728" s="20">
        <f t="shared" si="60"/>
        <v>148</v>
      </c>
      <c r="L728" s="78">
        <f t="shared" si="58"/>
        <v>5899.7462559235655</v>
      </c>
    </row>
    <row r="729" spans="10:12" x14ac:dyDescent="0.2">
      <c r="J729" s="77">
        <f t="shared" si="59"/>
        <v>1000</v>
      </c>
      <c r="K729" s="20">
        <f t="shared" si="60"/>
        <v>149</v>
      </c>
      <c r="L729" s="78">
        <f t="shared" si="58"/>
        <v>5970.9256952130536</v>
      </c>
    </row>
    <row r="730" spans="10:12" x14ac:dyDescent="0.2">
      <c r="J730" s="77">
        <f t="shared" si="59"/>
        <v>1000</v>
      </c>
      <c r="K730" s="20">
        <f t="shared" si="60"/>
        <v>150</v>
      </c>
      <c r="L730" s="78">
        <f t="shared" si="58"/>
        <v>6042.9639023813288</v>
      </c>
    </row>
    <row r="731" spans="10:12" x14ac:dyDescent="0.2">
      <c r="J731" s="77">
        <f t="shared" si="59"/>
        <v>1000</v>
      </c>
      <c r="K731" s="20">
        <f t="shared" si="60"/>
        <v>151</v>
      </c>
      <c r="L731" s="78">
        <f t="shared" si="58"/>
        <v>6115.8712383173888</v>
      </c>
    </row>
    <row r="732" spans="10:12" x14ac:dyDescent="0.2">
      <c r="J732" s="77">
        <f t="shared" si="59"/>
        <v>1000</v>
      </c>
      <c r="K732" s="20">
        <f t="shared" si="60"/>
        <v>152</v>
      </c>
      <c r="L732" s="78">
        <f t="shared" si="58"/>
        <v>6189.6581889126064</v>
      </c>
    </row>
    <row r="733" spans="10:12" x14ac:dyDescent="0.2">
      <c r="J733" s="77">
        <f t="shared" si="59"/>
        <v>1000</v>
      </c>
      <c r="K733" s="20">
        <f t="shared" si="60"/>
        <v>153</v>
      </c>
      <c r="L733" s="78">
        <f t="shared" si="58"/>
        <v>6264.3353665688574</v>
      </c>
    </row>
    <row r="734" spans="10:12" x14ac:dyDescent="0.2">
      <c r="J734" s="77">
        <f t="shared" si="59"/>
        <v>1000</v>
      </c>
      <c r="K734" s="20">
        <f t="shared" si="60"/>
        <v>154</v>
      </c>
      <c r="L734" s="78">
        <f t="shared" si="58"/>
        <v>6339.9135117248461</v>
      </c>
    </row>
    <row r="735" spans="10:12" x14ac:dyDescent="0.2">
      <c r="J735" s="77">
        <f t="shared" si="59"/>
        <v>1000</v>
      </c>
      <c r="K735" s="20">
        <f t="shared" si="60"/>
        <v>155</v>
      </c>
      <c r="L735" s="78">
        <f t="shared" si="58"/>
        <v>6416.4034944008536</v>
      </c>
    </row>
    <row r="736" spans="10:12" x14ac:dyDescent="0.2">
      <c r="J736" s="77">
        <f t="shared" si="59"/>
        <v>1000</v>
      </c>
      <c r="K736" s="20">
        <f t="shared" si="60"/>
        <v>156</v>
      </c>
      <c r="L736" s="78">
        <f t="shared" si="58"/>
        <v>6493.8163157621148</v>
      </c>
    </row>
    <row r="737" spans="10:12" x14ac:dyDescent="0.2">
      <c r="J737" s="77">
        <f t="shared" si="59"/>
        <v>1000</v>
      </c>
      <c r="K737" s="20">
        <f t="shared" si="60"/>
        <v>157</v>
      </c>
      <c r="L737" s="78">
        <f t="shared" si="58"/>
        <v>6572.1631097010577</v>
      </c>
    </row>
    <row r="738" spans="10:12" x14ac:dyDescent="0.2">
      <c r="J738" s="77">
        <f t="shared" si="59"/>
        <v>1000</v>
      </c>
      <c r="K738" s="20">
        <f t="shared" si="60"/>
        <v>158</v>
      </c>
      <c r="L738" s="78">
        <f t="shared" si="58"/>
        <v>6651.4551444386334</v>
      </c>
    </row>
    <row r="739" spans="10:12" x14ac:dyDescent="0.2">
      <c r="J739" s="77">
        <f t="shared" si="59"/>
        <v>1000</v>
      </c>
      <c r="K739" s="20">
        <f t="shared" si="60"/>
        <v>159</v>
      </c>
      <c r="L739" s="78">
        <f t="shared" si="58"/>
        <v>6731.7038241449827</v>
      </c>
    </row>
    <row r="740" spans="10:12" x14ac:dyDescent="0.2">
      <c r="J740" s="77">
        <f t="shared" si="59"/>
        <v>1000</v>
      </c>
      <c r="K740" s="20">
        <f t="shared" si="60"/>
        <v>160</v>
      </c>
      <c r="L740" s="78">
        <f t="shared" si="58"/>
        <v>6812.9206905796136</v>
      </c>
    </row>
    <row r="741" spans="10:12" x14ac:dyDescent="0.2">
      <c r="J741" s="77">
        <f t="shared" si="59"/>
        <v>1000</v>
      </c>
      <c r="K741" s="20">
        <f t="shared" si="60"/>
        <v>161</v>
      </c>
      <c r="L741" s="78">
        <f t="shared" si="58"/>
        <v>6895.1174247514136</v>
      </c>
    </row>
    <row r="742" spans="10:12" x14ac:dyDescent="0.2">
      <c r="J742" s="77">
        <f t="shared" si="59"/>
        <v>1000</v>
      </c>
      <c r="K742" s="20">
        <f t="shared" si="60"/>
        <v>162</v>
      </c>
      <c r="L742" s="78">
        <f t="shared" si="58"/>
        <v>6978.3058485986649</v>
      </c>
    </row>
    <row r="743" spans="10:12" x14ac:dyDescent="0.2">
      <c r="J743" s="77">
        <f t="shared" si="59"/>
        <v>1000</v>
      </c>
      <c r="K743" s="20">
        <f t="shared" si="60"/>
        <v>163</v>
      </c>
      <c r="L743" s="78">
        <f t="shared" si="58"/>
        <v>7062.4979266893297</v>
      </c>
    </row>
    <row r="744" spans="10:12" x14ac:dyDescent="0.2">
      <c r="J744" s="77">
        <f t="shared" si="59"/>
        <v>1000</v>
      </c>
      <c r="K744" s="20">
        <f t="shared" si="60"/>
        <v>164</v>
      </c>
      <c r="L744" s="78">
        <f t="shared" si="58"/>
        <v>7147.7057679418567</v>
      </c>
    </row>
    <row r="745" spans="10:12" x14ac:dyDescent="0.2">
      <c r="J745" s="77">
        <f t="shared" si="59"/>
        <v>1000</v>
      </c>
      <c r="K745" s="20">
        <f t="shared" si="60"/>
        <v>165</v>
      </c>
      <c r="L745" s="78">
        <f t="shared" si="58"/>
        <v>7233.9416273667493</v>
      </c>
    </row>
    <row r="746" spans="10:12" x14ac:dyDescent="0.2">
      <c r="J746" s="77">
        <f t="shared" si="59"/>
        <v>1000</v>
      </c>
      <c r="K746" s="20">
        <f t="shared" si="60"/>
        <v>166</v>
      </c>
      <c r="L746" s="78">
        <f t="shared" si="58"/>
        <v>7321.217907829131</v>
      </c>
    </row>
    <row r="747" spans="10:12" x14ac:dyDescent="0.2">
      <c r="J747" s="77">
        <f t="shared" si="59"/>
        <v>1000</v>
      </c>
      <c r="K747" s="20">
        <f t="shared" si="60"/>
        <v>167</v>
      </c>
      <c r="L747" s="78">
        <f t="shared" si="58"/>
        <v>7409.547161832591</v>
      </c>
    </row>
    <row r="748" spans="10:12" x14ac:dyDescent="0.2">
      <c r="J748" s="77">
        <f t="shared" si="59"/>
        <v>1000</v>
      </c>
      <c r="K748" s="20">
        <f t="shared" si="60"/>
        <v>168</v>
      </c>
      <c r="L748" s="78">
        <f t="shared" si="58"/>
        <v>7498.9420933245592</v>
      </c>
    </row>
    <row r="749" spans="10:12" x14ac:dyDescent="0.2">
      <c r="J749" s="77">
        <f t="shared" si="59"/>
        <v>1000</v>
      </c>
      <c r="K749" s="20">
        <f t="shared" si="60"/>
        <v>169</v>
      </c>
      <c r="L749" s="78">
        <f t="shared" si="58"/>
        <v>7589.415559523427</v>
      </c>
    </row>
    <row r="750" spans="10:12" x14ac:dyDescent="0.2">
      <c r="J750" s="77">
        <f t="shared" si="59"/>
        <v>1000</v>
      </c>
      <c r="K750" s="20">
        <f t="shared" si="60"/>
        <v>170</v>
      </c>
      <c r="L750" s="78">
        <f t="shared" si="58"/>
        <v>7680.9805727677549</v>
      </c>
    </row>
    <row r="751" spans="10:12" x14ac:dyDescent="0.2">
      <c r="J751" s="77">
        <f t="shared" si="59"/>
        <v>1000</v>
      </c>
      <c r="K751" s="20">
        <f t="shared" si="60"/>
        <v>171</v>
      </c>
      <c r="L751" s="78">
        <f t="shared" si="58"/>
        <v>7773.6503023877613</v>
      </c>
    </row>
    <row r="752" spans="10:12" x14ac:dyDescent="0.2">
      <c r="J752" s="77">
        <f t="shared" si="59"/>
        <v>1000</v>
      </c>
      <c r="K752" s="20">
        <f t="shared" si="60"/>
        <v>172</v>
      </c>
      <c r="L752" s="78">
        <f t="shared" si="58"/>
        <v>7867.4380765994028</v>
      </c>
    </row>
    <row r="753" spans="10:12" x14ac:dyDescent="0.2">
      <c r="J753" s="77">
        <f t="shared" si="59"/>
        <v>1000</v>
      </c>
      <c r="K753" s="20">
        <f t="shared" si="60"/>
        <v>173</v>
      </c>
      <c r="L753" s="78">
        <f t="shared" si="58"/>
        <v>7962.3573844213033</v>
      </c>
    </row>
    <row r="754" spans="10:12" x14ac:dyDescent="0.2">
      <c r="J754" s="77">
        <f t="shared" si="59"/>
        <v>1000</v>
      </c>
      <c r="K754" s="20">
        <f t="shared" si="60"/>
        <v>174</v>
      </c>
      <c r="L754" s="78">
        <f t="shared" si="58"/>
        <v>8058.4218776148191</v>
      </c>
    </row>
    <row r="755" spans="10:12" x14ac:dyDescent="0.2">
      <c r="J755" s="77">
        <f t="shared" si="59"/>
        <v>1000</v>
      </c>
      <c r="K755" s="20">
        <f t="shared" si="60"/>
        <v>175</v>
      </c>
      <c r="L755" s="78">
        <f t="shared" si="58"/>
        <v>8155.6453726474874</v>
      </c>
    </row>
    <row r="756" spans="10:12" x14ac:dyDescent="0.2">
      <c r="J756" s="77">
        <f t="shared" si="59"/>
        <v>1000</v>
      </c>
      <c r="K756" s="20">
        <f>K755+1</f>
        <v>176</v>
      </c>
      <c r="L756" s="78">
        <f t="shared" si="58"/>
        <v>8254.0418526801841</v>
      </c>
    </row>
    <row r="757" spans="10:12" x14ac:dyDescent="0.2">
      <c r="J757" s="77">
        <f t="shared" si="59"/>
        <v>1000</v>
      </c>
      <c r="K757" s="20">
        <f t="shared" ref="K757:K772" si="61">K756+1</f>
        <v>177</v>
      </c>
      <c r="L757" s="78">
        <f t="shared" si="58"/>
        <v>8353.6254695782609</v>
      </c>
    </row>
    <row r="758" spans="10:12" x14ac:dyDescent="0.2">
      <c r="J758" s="77">
        <f t="shared" si="59"/>
        <v>1000</v>
      </c>
      <c r="K758" s="20">
        <f t="shared" si="61"/>
        <v>178</v>
      </c>
      <c r="L758" s="78">
        <f t="shared" si="58"/>
        <v>8454.4105459469247</v>
      </c>
    </row>
    <row r="759" spans="10:12" x14ac:dyDescent="0.2">
      <c r="J759" s="77">
        <f t="shared" si="59"/>
        <v>1000</v>
      </c>
      <c r="K759" s="20">
        <f t="shared" si="61"/>
        <v>179</v>
      </c>
      <c r="L759" s="78">
        <f t="shared" si="58"/>
        <v>8556.4115771911838</v>
      </c>
    </row>
    <row r="760" spans="10:12" x14ac:dyDescent="0.2">
      <c r="J760" s="77">
        <f t="shared" si="59"/>
        <v>1000</v>
      </c>
      <c r="K760" s="20">
        <f t="shared" si="61"/>
        <v>180</v>
      </c>
      <c r="L760" s="78">
        <f t="shared" si="58"/>
        <v>8659.6432336006565</v>
      </c>
    </row>
    <row r="761" spans="10:12" x14ac:dyDescent="0.2">
      <c r="J761" s="77">
        <f t="shared" si="59"/>
        <v>1000</v>
      </c>
      <c r="K761" s="20">
        <f t="shared" si="61"/>
        <v>181</v>
      </c>
      <c r="L761" s="78">
        <f t="shared" si="58"/>
        <v>8764.12036245952</v>
      </c>
    </row>
    <row r="762" spans="10:12" x14ac:dyDescent="0.2">
      <c r="J762" s="77">
        <f t="shared" si="59"/>
        <v>1000</v>
      </c>
      <c r="K762" s="20">
        <f t="shared" si="61"/>
        <v>182</v>
      </c>
      <c r="L762" s="78">
        <f t="shared" si="58"/>
        <v>8869.8579901819176</v>
      </c>
    </row>
    <row r="763" spans="10:12" x14ac:dyDescent="0.2">
      <c r="J763" s="77">
        <f t="shared" si="59"/>
        <v>1000</v>
      </c>
      <c r="K763" s="20">
        <f t="shared" si="61"/>
        <v>183</v>
      </c>
      <c r="L763" s="78">
        <f t="shared" si="58"/>
        <v>8976.8713244731443</v>
      </c>
    </row>
    <row r="764" spans="10:12" x14ac:dyDescent="0.2">
      <c r="J764" s="77">
        <f t="shared" si="59"/>
        <v>1000</v>
      </c>
      <c r="K764" s="20">
        <f t="shared" si="61"/>
        <v>184</v>
      </c>
      <c r="L764" s="78">
        <f t="shared" si="58"/>
        <v>9085.17575651687</v>
      </c>
    </row>
    <row r="765" spans="10:12" x14ac:dyDescent="0.2">
      <c r="J765" s="77">
        <f t="shared" si="59"/>
        <v>1000</v>
      </c>
      <c r="K765" s="20">
        <f t="shared" si="61"/>
        <v>185</v>
      </c>
      <c r="L765" s="78">
        <f t="shared" si="58"/>
        <v>9194.7868631887941</v>
      </c>
    </row>
    <row r="766" spans="10:12" x14ac:dyDescent="0.2">
      <c r="J766" s="77">
        <f t="shared" si="59"/>
        <v>1000</v>
      </c>
      <c r="K766" s="20">
        <f t="shared" si="61"/>
        <v>186</v>
      </c>
      <c r="L766" s="78">
        <f t="shared" si="58"/>
        <v>9305.7204092969896</v>
      </c>
    </row>
    <row r="767" spans="10:12" x14ac:dyDescent="0.2">
      <c r="J767" s="77">
        <f t="shared" si="59"/>
        <v>1000</v>
      </c>
      <c r="K767" s="20">
        <f t="shared" si="61"/>
        <v>187</v>
      </c>
      <c r="L767" s="78">
        <f t="shared" si="58"/>
        <v>9417.9923498492608</v>
      </c>
    </row>
    <row r="768" spans="10:12" x14ac:dyDescent="0.2">
      <c r="J768" s="77">
        <f t="shared" si="59"/>
        <v>1000</v>
      </c>
      <c r="K768" s="20">
        <f t="shared" si="61"/>
        <v>188</v>
      </c>
      <c r="L768" s="78">
        <f t="shared" si="58"/>
        <v>9531.6188323478782</v>
      </c>
    </row>
    <row r="769" spans="10:12" x14ac:dyDescent="0.2">
      <c r="J769" s="77">
        <f t="shared" si="59"/>
        <v>1000</v>
      </c>
      <c r="K769" s="20">
        <f t="shared" si="61"/>
        <v>189</v>
      </c>
      <c r="L769" s="78">
        <f t="shared" si="58"/>
        <v>9646.6161991119952</v>
      </c>
    </row>
    <row r="770" spans="10:12" x14ac:dyDescent="0.2">
      <c r="J770" s="77">
        <f t="shared" si="59"/>
        <v>1000</v>
      </c>
      <c r="K770" s="20">
        <f t="shared" si="61"/>
        <v>190</v>
      </c>
      <c r="L770" s="78">
        <f t="shared" si="58"/>
        <v>9763.000989628079</v>
      </c>
    </row>
    <row r="771" spans="10:12" x14ac:dyDescent="0.2">
      <c r="J771" s="77">
        <f t="shared" si="59"/>
        <v>1000</v>
      </c>
      <c r="K771" s="20">
        <f t="shared" si="61"/>
        <v>191</v>
      </c>
      <c r="L771" s="78">
        <f t="shared" si="58"/>
        <v>9880.7899429286917</v>
      </c>
    </row>
    <row r="772" spans="10:12" x14ac:dyDescent="0.2">
      <c r="J772" s="77">
        <f t="shared" si="59"/>
        <v>1000</v>
      </c>
      <c r="K772" s="20">
        <f t="shared" si="61"/>
        <v>192</v>
      </c>
      <c r="L772" s="78">
        <f t="shared" si="58"/>
        <v>10000</v>
      </c>
    </row>
    <row r="773" spans="10:12" x14ac:dyDescent="0.2">
      <c r="J773" s="77">
        <f t="shared" si="59"/>
        <v>10000</v>
      </c>
      <c r="K773" s="20">
        <v>1</v>
      </c>
      <c r="L773" s="78">
        <f t="shared" ref="L773:L836" si="62">J773*10^(K773/192)</f>
        <v>10120.648306218294</v>
      </c>
    </row>
    <row r="774" spans="10:12" x14ac:dyDescent="0.2">
      <c r="J774" s="77">
        <f t="shared" ref="J774:J837" si="63">J582*10</f>
        <v>10000</v>
      </c>
      <c r="K774" s="20">
        <f t="shared" ref="K774:K837" si="64">K773+1</f>
        <v>2</v>
      </c>
      <c r="L774" s="78">
        <f t="shared" si="62"/>
        <v>10242.752213815922</v>
      </c>
    </row>
    <row r="775" spans="10:12" x14ac:dyDescent="0.2">
      <c r="J775" s="77">
        <f t="shared" si="63"/>
        <v>10000</v>
      </c>
      <c r="K775" s="20">
        <f t="shared" si="64"/>
        <v>3</v>
      </c>
      <c r="L775" s="78">
        <f t="shared" si="62"/>
        <v>10366.329284376981</v>
      </c>
    </row>
    <row r="776" spans="10:12" x14ac:dyDescent="0.2">
      <c r="J776" s="77">
        <f t="shared" si="63"/>
        <v>10000</v>
      </c>
      <c r="K776" s="20">
        <f t="shared" si="64"/>
        <v>4</v>
      </c>
      <c r="L776" s="78">
        <f t="shared" si="62"/>
        <v>10491.397291363099</v>
      </c>
    </row>
    <row r="777" spans="10:12" x14ac:dyDescent="0.2">
      <c r="J777" s="77">
        <f t="shared" si="63"/>
        <v>10000</v>
      </c>
      <c r="K777" s="20">
        <f t="shared" si="64"/>
        <v>5</v>
      </c>
      <c r="L777" s="78">
        <f t="shared" si="62"/>
        <v>10617.974222669714</v>
      </c>
    </row>
    <row r="778" spans="10:12" x14ac:dyDescent="0.2">
      <c r="J778" s="77">
        <f t="shared" si="63"/>
        <v>10000</v>
      </c>
      <c r="K778" s="20">
        <f t="shared" si="64"/>
        <v>6</v>
      </c>
      <c r="L778" s="78">
        <f t="shared" si="62"/>
        <v>10746.078283213174</v>
      </c>
    </row>
    <row r="779" spans="10:12" x14ac:dyDescent="0.2">
      <c r="J779" s="77">
        <f t="shared" si="63"/>
        <v>10000</v>
      </c>
      <c r="K779" s="20">
        <f t="shared" si="64"/>
        <v>7</v>
      </c>
      <c r="L779" s="78">
        <f t="shared" si="62"/>
        <v>10875.727897549061</v>
      </c>
    </row>
    <row r="780" spans="10:12" x14ac:dyDescent="0.2">
      <c r="J780" s="77">
        <f t="shared" si="63"/>
        <v>10000</v>
      </c>
      <c r="K780" s="20">
        <f t="shared" si="64"/>
        <v>8</v>
      </c>
      <c r="L780" s="78">
        <f t="shared" si="62"/>
        <v>11006.941712522095</v>
      </c>
    </row>
    <row r="781" spans="10:12" x14ac:dyDescent="0.2">
      <c r="J781" s="77">
        <f t="shared" si="63"/>
        <v>10000</v>
      </c>
      <c r="K781" s="20">
        <f t="shared" si="64"/>
        <v>9</v>
      </c>
      <c r="L781" s="78">
        <f t="shared" si="62"/>
        <v>11139.738599948023</v>
      </c>
    </row>
    <row r="782" spans="10:12" x14ac:dyDescent="0.2">
      <c r="J782" s="77">
        <f t="shared" si="63"/>
        <v>10000</v>
      </c>
      <c r="K782" s="20">
        <f t="shared" si="64"/>
        <v>10</v>
      </c>
      <c r="L782" s="78">
        <f t="shared" si="62"/>
        <v>11274.137659327853</v>
      </c>
    </row>
    <row r="783" spans="10:12" x14ac:dyDescent="0.2">
      <c r="J783" s="77">
        <f t="shared" si="63"/>
        <v>10000</v>
      </c>
      <c r="K783" s="20">
        <f t="shared" si="64"/>
        <v>11</v>
      </c>
      <c r="L783" s="78">
        <f t="shared" si="62"/>
        <v>11410.158220594831</v>
      </c>
    </row>
    <row r="784" spans="10:12" x14ac:dyDescent="0.2">
      <c r="J784" s="77">
        <f t="shared" si="63"/>
        <v>10000</v>
      </c>
      <c r="K784" s="20">
        <f t="shared" si="64"/>
        <v>12</v>
      </c>
      <c r="L784" s="78">
        <f t="shared" si="62"/>
        <v>11547.819846894583</v>
      </c>
    </row>
    <row r="785" spans="10:12" x14ac:dyDescent="0.2">
      <c r="J785" s="77">
        <f t="shared" si="63"/>
        <v>10000</v>
      </c>
      <c r="K785" s="20">
        <f t="shared" si="64"/>
        <v>13</v>
      </c>
      <c r="L785" s="78">
        <f t="shared" si="62"/>
        <v>11687.142337398765</v>
      </c>
    </row>
    <row r="786" spans="10:12" x14ac:dyDescent="0.2">
      <c r="J786" s="77">
        <f t="shared" si="63"/>
        <v>10000</v>
      </c>
      <c r="K786" s="20">
        <f t="shared" si="64"/>
        <v>14</v>
      </c>
      <c r="L786" s="78">
        <f t="shared" si="62"/>
        <v>11828.145730152693</v>
      </c>
    </row>
    <row r="787" spans="10:12" x14ac:dyDescent="0.2">
      <c r="J787" s="77">
        <f t="shared" si="63"/>
        <v>10000</v>
      </c>
      <c r="K787" s="20">
        <f t="shared" si="64"/>
        <v>15</v>
      </c>
      <c r="L787" s="78">
        <f t="shared" si="62"/>
        <v>11970.850304957299</v>
      </c>
    </row>
    <row r="788" spans="10:12" x14ac:dyDescent="0.2">
      <c r="J788" s="77">
        <f t="shared" si="63"/>
        <v>10000</v>
      </c>
      <c r="K788" s="20">
        <f t="shared" si="64"/>
        <v>16</v>
      </c>
      <c r="L788" s="78">
        <f t="shared" si="62"/>
        <v>12115.276586285885</v>
      </c>
    </row>
    <row r="789" spans="10:12" x14ac:dyDescent="0.2">
      <c r="J789" s="77">
        <f t="shared" si="63"/>
        <v>10000</v>
      </c>
      <c r="K789" s="20">
        <f t="shared" si="64"/>
        <v>17</v>
      </c>
      <c r="L789" s="78">
        <f t="shared" si="62"/>
        <v>12261.44534623604</v>
      </c>
    </row>
    <row r="790" spans="10:12" x14ac:dyDescent="0.2">
      <c r="J790" s="77">
        <f t="shared" si="63"/>
        <v>10000</v>
      </c>
      <c r="K790" s="20">
        <f t="shared" si="64"/>
        <v>18</v>
      </c>
      <c r="L790" s="78">
        <f t="shared" si="62"/>
        <v>12409.377607517195</v>
      </c>
    </row>
    <row r="791" spans="10:12" x14ac:dyDescent="0.2">
      <c r="J791" s="77">
        <f t="shared" si="63"/>
        <v>10000</v>
      </c>
      <c r="K791" s="20">
        <f t="shared" si="64"/>
        <v>19</v>
      </c>
      <c r="L791" s="78">
        <f t="shared" si="62"/>
        <v>12559.094646474214</v>
      </c>
    </row>
    <row r="792" spans="10:12" x14ac:dyDescent="0.2">
      <c r="J792" s="77">
        <f t="shared" si="63"/>
        <v>10000</v>
      </c>
      <c r="K792" s="20">
        <f t="shared" si="64"/>
        <v>20</v>
      </c>
      <c r="L792" s="78">
        <f t="shared" si="62"/>
        <v>12710.617996147448</v>
      </c>
    </row>
    <row r="793" spans="10:12" x14ac:dyDescent="0.2">
      <c r="J793" s="77">
        <f t="shared" si="63"/>
        <v>10000</v>
      </c>
      <c r="K793" s="20">
        <f t="shared" si="64"/>
        <v>21</v>
      </c>
      <c r="L793" s="78">
        <f t="shared" si="62"/>
        <v>12863.969449369746</v>
      </c>
    </row>
    <row r="794" spans="10:12" x14ac:dyDescent="0.2">
      <c r="J794" s="77">
        <f t="shared" si="63"/>
        <v>10000</v>
      </c>
      <c r="K794" s="20">
        <f t="shared" si="64"/>
        <v>22</v>
      </c>
      <c r="L794" s="78">
        <f t="shared" si="62"/>
        <v>13019.171061900779</v>
      </c>
    </row>
    <row r="795" spans="10:12" x14ac:dyDescent="0.2">
      <c r="J795" s="77">
        <f t="shared" si="63"/>
        <v>10000</v>
      </c>
      <c r="K795" s="20">
        <f t="shared" si="64"/>
        <v>23</v>
      </c>
      <c r="L795" s="78">
        <f t="shared" si="62"/>
        <v>13176.245155599236</v>
      </c>
    </row>
    <row r="796" spans="10:12" x14ac:dyDescent="0.2">
      <c r="J796" s="77">
        <f t="shared" si="63"/>
        <v>10000</v>
      </c>
      <c r="K796" s="20">
        <f t="shared" si="64"/>
        <v>24</v>
      </c>
      <c r="L796" s="78">
        <f t="shared" si="62"/>
        <v>13335.214321633241</v>
      </c>
    </row>
    <row r="797" spans="10:12" x14ac:dyDescent="0.2">
      <c r="J797" s="77">
        <f t="shared" si="63"/>
        <v>10000</v>
      </c>
      <c r="K797" s="20">
        <f t="shared" si="64"/>
        <v>25</v>
      </c>
      <c r="L797" s="78">
        <f t="shared" si="62"/>
        <v>13496.10142372954</v>
      </c>
    </row>
    <row r="798" spans="10:12" x14ac:dyDescent="0.2">
      <c r="J798" s="77">
        <f t="shared" si="63"/>
        <v>10000</v>
      </c>
      <c r="K798" s="20">
        <f t="shared" si="64"/>
        <v>26</v>
      </c>
      <c r="L798" s="78">
        <f t="shared" si="62"/>
        <v>13658.929601461867</v>
      </c>
    </row>
    <row r="799" spans="10:12" x14ac:dyDescent="0.2">
      <c r="J799" s="77">
        <f t="shared" si="63"/>
        <v>10000</v>
      </c>
      <c r="K799" s="20">
        <f t="shared" si="64"/>
        <v>27</v>
      </c>
      <c r="L799" s="78">
        <f t="shared" si="62"/>
        <v>13823.722273578998</v>
      </c>
    </row>
    <row r="800" spans="10:12" x14ac:dyDescent="0.2">
      <c r="J800" s="77">
        <f t="shared" si="63"/>
        <v>10000</v>
      </c>
      <c r="K800" s="20">
        <f t="shared" si="64"/>
        <v>28</v>
      </c>
      <c r="L800" s="78">
        <f t="shared" si="62"/>
        <v>13990.503141372939</v>
      </c>
    </row>
    <row r="801" spans="10:12" x14ac:dyDescent="0.2">
      <c r="J801" s="77">
        <f t="shared" si="63"/>
        <v>10000</v>
      </c>
      <c r="K801" s="20">
        <f t="shared" si="64"/>
        <v>29</v>
      </c>
      <c r="L801" s="78">
        <f t="shared" si="62"/>
        <v>14159.296192087773</v>
      </c>
    </row>
    <row r="802" spans="10:12" x14ac:dyDescent="0.2">
      <c r="J802" s="77">
        <f t="shared" si="63"/>
        <v>10000</v>
      </c>
      <c r="K802" s="20">
        <f t="shared" si="64"/>
        <v>30</v>
      </c>
      <c r="L802" s="78">
        <f t="shared" si="62"/>
        <v>14330.125702369629</v>
      </c>
    </row>
    <row r="803" spans="10:12" x14ac:dyDescent="0.2">
      <c r="J803" s="77">
        <f t="shared" si="63"/>
        <v>10000</v>
      </c>
      <c r="K803" s="20">
        <f t="shared" si="64"/>
        <v>31</v>
      </c>
      <c r="L803" s="78">
        <f t="shared" si="62"/>
        <v>14503.016241758241</v>
      </c>
    </row>
    <row r="804" spans="10:12" x14ac:dyDescent="0.2">
      <c r="J804" s="77">
        <f t="shared" si="63"/>
        <v>10000</v>
      </c>
      <c r="K804" s="20">
        <f t="shared" si="64"/>
        <v>32</v>
      </c>
      <c r="L804" s="78">
        <f t="shared" si="62"/>
        <v>14677.992676220696</v>
      </c>
    </row>
    <row r="805" spans="10:12" x14ac:dyDescent="0.2">
      <c r="J805" s="77">
        <f t="shared" si="63"/>
        <v>10000</v>
      </c>
      <c r="K805" s="20">
        <f t="shared" si="64"/>
        <v>33</v>
      </c>
      <c r="L805" s="78">
        <f t="shared" si="62"/>
        <v>14855.08017172775</v>
      </c>
    </row>
    <row r="806" spans="10:12" x14ac:dyDescent="0.2">
      <c r="J806" s="77">
        <f t="shared" si="63"/>
        <v>10000</v>
      </c>
      <c r="K806" s="20">
        <f t="shared" si="64"/>
        <v>34</v>
      </c>
      <c r="L806" s="78">
        <f t="shared" si="62"/>
        <v>15034.304197873344</v>
      </c>
    </row>
    <row r="807" spans="10:12" x14ac:dyDescent="0.2">
      <c r="J807" s="77">
        <f t="shared" si="63"/>
        <v>10000</v>
      </c>
      <c r="K807" s="20">
        <f t="shared" si="64"/>
        <v>35</v>
      </c>
      <c r="L807" s="78">
        <f t="shared" si="62"/>
        <v>15215.690531537744</v>
      </c>
    </row>
    <row r="808" spans="10:12" x14ac:dyDescent="0.2">
      <c r="J808" s="77">
        <f t="shared" si="63"/>
        <v>10000</v>
      </c>
      <c r="K808" s="20">
        <f t="shared" si="64"/>
        <v>36</v>
      </c>
      <c r="L808" s="78">
        <f t="shared" si="62"/>
        <v>15399.265260594921</v>
      </c>
    </row>
    <row r="809" spans="10:12" x14ac:dyDescent="0.2">
      <c r="J809" s="77">
        <f t="shared" si="63"/>
        <v>10000</v>
      </c>
      <c r="K809" s="20">
        <f t="shared" si="64"/>
        <v>37</v>
      </c>
      <c r="L809" s="78">
        <f t="shared" si="62"/>
        <v>15585.054787664621</v>
      </c>
    </row>
    <row r="810" spans="10:12" x14ac:dyDescent="0.2">
      <c r="J810" s="77">
        <f t="shared" si="63"/>
        <v>10000</v>
      </c>
      <c r="K810" s="20">
        <f t="shared" si="64"/>
        <v>38</v>
      </c>
      <c r="L810" s="78">
        <f t="shared" si="62"/>
        <v>15773.085833909725</v>
      </c>
    </row>
    <row r="811" spans="10:12" x14ac:dyDescent="0.2">
      <c r="J811" s="77">
        <f t="shared" si="63"/>
        <v>10000</v>
      </c>
      <c r="K811" s="20">
        <f t="shared" si="64"/>
        <v>39</v>
      </c>
      <c r="L811" s="78">
        <f t="shared" si="62"/>
        <v>15963.385442879424</v>
      </c>
    </row>
    <row r="812" spans="10:12" x14ac:dyDescent="0.2">
      <c r="J812" s="77">
        <f t="shared" si="63"/>
        <v>10000</v>
      </c>
      <c r="K812" s="20">
        <f t="shared" si="64"/>
        <v>40</v>
      </c>
      <c r="L812" s="78">
        <f t="shared" si="62"/>
        <v>16155.98098439874</v>
      </c>
    </row>
    <row r="813" spans="10:12" x14ac:dyDescent="0.2">
      <c r="J813" s="77">
        <f t="shared" si="63"/>
        <v>10000</v>
      </c>
      <c r="K813" s="20">
        <f t="shared" si="64"/>
        <v>41</v>
      </c>
      <c r="L813" s="78">
        <f t="shared" si="62"/>
        <v>16350.900158505008</v>
      </c>
    </row>
    <row r="814" spans="10:12" x14ac:dyDescent="0.2">
      <c r="J814" s="77">
        <f t="shared" si="63"/>
        <v>10000</v>
      </c>
      <c r="K814" s="20">
        <f t="shared" si="64"/>
        <v>42</v>
      </c>
      <c r="L814" s="78">
        <f t="shared" si="62"/>
        <v>16548.170999431815</v>
      </c>
    </row>
    <row r="815" spans="10:12" x14ac:dyDescent="0.2">
      <c r="J815" s="77">
        <f t="shared" si="63"/>
        <v>10000</v>
      </c>
      <c r="K815" s="20">
        <f t="shared" si="64"/>
        <v>43</v>
      </c>
      <c r="L815" s="78">
        <f t="shared" si="62"/>
        <v>16747.821879641033</v>
      </c>
    </row>
    <row r="816" spans="10:12" x14ac:dyDescent="0.2">
      <c r="J816" s="77">
        <f t="shared" si="63"/>
        <v>10000</v>
      </c>
      <c r="K816" s="20">
        <f t="shared" si="64"/>
        <v>44</v>
      </c>
      <c r="L816" s="78">
        <f t="shared" si="62"/>
        <v>16949.881513903467</v>
      </c>
    </row>
    <row r="817" spans="10:12" x14ac:dyDescent="0.2">
      <c r="J817" s="77">
        <f t="shared" si="63"/>
        <v>10000</v>
      </c>
      <c r="K817" s="20">
        <f t="shared" si="64"/>
        <v>45</v>
      </c>
      <c r="L817" s="78">
        <f t="shared" si="62"/>
        <v>17154.37896342879</v>
      </c>
    </row>
    <row r="818" spans="10:12" x14ac:dyDescent="0.2">
      <c r="J818" s="77">
        <f t="shared" si="63"/>
        <v>10000</v>
      </c>
      <c r="K818" s="20">
        <f t="shared" si="64"/>
        <v>46</v>
      </c>
      <c r="L818" s="78">
        <f t="shared" si="62"/>
        <v>17361.343640045234</v>
      </c>
    </row>
    <row r="819" spans="10:12" x14ac:dyDescent="0.2">
      <c r="J819" s="77">
        <f t="shared" si="63"/>
        <v>10000</v>
      </c>
      <c r="K819" s="20">
        <f t="shared" si="64"/>
        <v>47</v>
      </c>
      <c r="L819" s="78">
        <f t="shared" si="62"/>
        <v>17570.805310429754</v>
      </c>
    </row>
    <row r="820" spans="10:12" x14ac:dyDescent="0.2">
      <c r="J820" s="77">
        <f t="shared" si="63"/>
        <v>10000</v>
      </c>
      <c r="K820" s="20">
        <f t="shared" si="64"/>
        <v>48</v>
      </c>
      <c r="L820" s="78">
        <f t="shared" si="62"/>
        <v>17782.79410038923</v>
      </c>
    </row>
    <row r="821" spans="10:12" x14ac:dyDescent="0.2">
      <c r="J821" s="77">
        <f t="shared" si="63"/>
        <v>10000</v>
      </c>
      <c r="K821" s="20">
        <f t="shared" si="64"/>
        <v>49</v>
      </c>
      <c r="L821" s="78">
        <f t="shared" si="62"/>
        <v>17997.340499193291</v>
      </c>
    </row>
    <row r="822" spans="10:12" x14ac:dyDescent="0.2">
      <c r="J822" s="77">
        <f t="shared" si="63"/>
        <v>10000</v>
      </c>
      <c r="K822" s="20">
        <f t="shared" si="64"/>
        <v>50</v>
      </c>
      <c r="L822" s="78">
        <f t="shared" si="62"/>
        <v>18214.475363959453</v>
      </c>
    </row>
    <row r="823" spans="10:12" x14ac:dyDescent="0.2">
      <c r="J823" s="77">
        <f t="shared" si="63"/>
        <v>10000</v>
      </c>
      <c r="K823" s="20">
        <f t="shared" si="64"/>
        <v>51</v>
      </c>
      <c r="L823" s="78">
        <f t="shared" si="62"/>
        <v>18434.229924091105</v>
      </c>
    </row>
    <row r="824" spans="10:12" x14ac:dyDescent="0.2">
      <c r="J824" s="77">
        <f t="shared" si="63"/>
        <v>10000</v>
      </c>
      <c r="K824" s="20">
        <f t="shared" si="64"/>
        <v>52</v>
      </c>
      <c r="L824" s="78">
        <f t="shared" si="62"/>
        <v>18656.635785769122</v>
      </c>
    </row>
    <row r="825" spans="10:12" x14ac:dyDescent="0.2">
      <c r="J825" s="77">
        <f t="shared" si="63"/>
        <v>10000</v>
      </c>
      <c r="K825" s="20">
        <f t="shared" si="64"/>
        <v>53</v>
      </c>
      <c r="L825" s="78">
        <f t="shared" si="62"/>
        <v>18881.724936497591</v>
      </c>
    </row>
    <row r="826" spans="10:12" x14ac:dyDescent="0.2">
      <c r="J826" s="77">
        <f t="shared" si="63"/>
        <v>10000</v>
      </c>
      <c r="K826" s="20">
        <f t="shared" si="64"/>
        <v>54</v>
      </c>
      <c r="L826" s="78">
        <f t="shared" si="62"/>
        <v>19109.529749704405</v>
      </c>
    </row>
    <row r="827" spans="10:12" x14ac:dyDescent="0.2">
      <c r="J827" s="77">
        <f t="shared" si="63"/>
        <v>10000</v>
      </c>
      <c r="K827" s="20">
        <f t="shared" si="64"/>
        <v>55</v>
      </c>
      <c r="L827" s="78">
        <f t="shared" si="62"/>
        <v>19340.082989397397</v>
      </c>
    </row>
    <row r="828" spans="10:12" x14ac:dyDescent="0.2">
      <c r="J828" s="77">
        <f t="shared" si="63"/>
        <v>10000</v>
      </c>
      <c r="K828" s="20">
        <f t="shared" si="64"/>
        <v>56</v>
      </c>
      <c r="L828" s="78">
        <f t="shared" si="62"/>
        <v>19573.417814876604</v>
      </c>
    </row>
    <row r="829" spans="10:12" x14ac:dyDescent="0.2">
      <c r="J829" s="77">
        <f t="shared" si="63"/>
        <v>10000</v>
      </c>
      <c r="K829" s="20">
        <f t="shared" si="64"/>
        <v>57</v>
      </c>
      <c r="L829" s="78">
        <f t="shared" si="62"/>
        <v>19809.567785503386</v>
      </c>
    </row>
    <row r="830" spans="10:12" x14ac:dyDescent="0.2">
      <c r="J830" s="77">
        <f t="shared" si="63"/>
        <v>10000</v>
      </c>
      <c r="K830" s="20">
        <f t="shared" si="64"/>
        <v>58</v>
      </c>
      <c r="L830" s="78">
        <f t="shared" si="62"/>
        <v>20048.566865527137</v>
      </c>
    </row>
    <row r="831" spans="10:12" x14ac:dyDescent="0.2">
      <c r="J831" s="77">
        <f t="shared" si="63"/>
        <v>10000</v>
      </c>
      <c r="K831" s="20">
        <f t="shared" si="64"/>
        <v>59</v>
      </c>
      <c r="L831" s="78">
        <f t="shared" si="62"/>
        <v>20290.449428970147</v>
      </c>
    </row>
    <row r="832" spans="10:12" x14ac:dyDescent="0.2">
      <c r="J832" s="77">
        <f t="shared" si="63"/>
        <v>10000</v>
      </c>
      <c r="K832" s="20">
        <f t="shared" si="64"/>
        <v>60</v>
      </c>
      <c r="L832" s="78">
        <f t="shared" si="62"/>
        <v>20535.250264571463</v>
      </c>
    </row>
    <row r="833" spans="10:12" x14ac:dyDescent="0.2">
      <c r="J833" s="77">
        <f t="shared" si="63"/>
        <v>10000</v>
      </c>
      <c r="K833" s="20">
        <f t="shared" si="64"/>
        <v>61</v>
      </c>
      <c r="L833" s="78">
        <f t="shared" si="62"/>
        <v>20783.004580790392</v>
      </c>
    </row>
    <row r="834" spans="10:12" x14ac:dyDescent="0.2">
      <c r="J834" s="77">
        <f t="shared" si="63"/>
        <v>10000</v>
      </c>
      <c r="K834" s="20">
        <f t="shared" si="64"/>
        <v>62</v>
      </c>
      <c r="L834" s="78">
        <f t="shared" si="62"/>
        <v>21033.748010870338</v>
      </c>
    </row>
    <row r="835" spans="10:12" x14ac:dyDescent="0.2">
      <c r="J835" s="77">
        <f t="shared" si="63"/>
        <v>10000</v>
      </c>
      <c r="K835" s="20">
        <f t="shared" si="64"/>
        <v>63</v>
      </c>
      <c r="L835" s="78">
        <f t="shared" si="62"/>
        <v>21287.516617963727</v>
      </c>
    </row>
    <row r="836" spans="10:12" x14ac:dyDescent="0.2">
      <c r="J836" s="77">
        <f t="shared" si="63"/>
        <v>10000</v>
      </c>
      <c r="K836" s="20">
        <f t="shared" si="64"/>
        <v>64</v>
      </c>
      <c r="L836" s="78">
        <f t="shared" si="62"/>
        <v>21544.346900318837</v>
      </c>
    </row>
    <row r="837" spans="10:12" x14ac:dyDescent="0.2">
      <c r="J837" s="77">
        <f t="shared" si="63"/>
        <v>10000</v>
      </c>
      <c r="K837" s="20">
        <f t="shared" si="64"/>
        <v>65</v>
      </c>
      <c r="L837" s="78">
        <f t="shared" ref="L837:L900" si="65">J837*10^(K837/192)</f>
        <v>21804.275796529124</v>
      </c>
    </row>
    <row r="838" spans="10:12" x14ac:dyDescent="0.2">
      <c r="J838" s="77">
        <f t="shared" ref="J838:J901" si="66">J646*10</f>
        <v>10000</v>
      </c>
      <c r="K838" s="20">
        <f t="shared" ref="K838:K901" si="67">K837+1</f>
        <v>66</v>
      </c>
      <c r="L838" s="78">
        <f t="shared" si="65"/>
        <v>22067.3406908459</v>
      </c>
    </row>
    <row r="839" spans="10:12" x14ac:dyDescent="0.2">
      <c r="J839" s="77">
        <f t="shared" si="66"/>
        <v>10000</v>
      </c>
      <c r="K839" s="20">
        <f t="shared" si="67"/>
        <v>67</v>
      </c>
      <c r="L839" s="78">
        <f t="shared" si="65"/>
        <v>22333.57941855516</v>
      </c>
    </row>
    <row r="840" spans="10:12" x14ac:dyDescent="0.2">
      <c r="J840" s="77">
        <f t="shared" si="66"/>
        <v>10000</v>
      </c>
      <c r="K840" s="20">
        <f t="shared" si="67"/>
        <v>68</v>
      </c>
      <c r="L840" s="78">
        <f t="shared" si="65"/>
        <v>22603.030271419204</v>
      </c>
    </row>
    <row r="841" spans="10:12" x14ac:dyDescent="0.2">
      <c r="J841" s="77">
        <f t="shared" si="66"/>
        <v>10000</v>
      </c>
      <c r="K841" s="20">
        <f t="shared" si="67"/>
        <v>69</v>
      </c>
      <c r="L841" s="78">
        <f t="shared" si="65"/>
        <v>22875.732003183963</v>
      </c>
    </row>
    <row r="842" spans="10:12" x14ac:dyDescent="0.2">
      <c r="J842" s="77">
        <f t="shared" si="66"/>
        <v>10000</v>
      </c>
      <c r="K842" s="20">
        <f t="shared" si="67"/>
        <v>70</v>
      </c>
      <c r="L842" s="78">
        <f t="shared" si="65"/>
        <v>23151.723835152734</v>
      </c>
    </row>
    <row r="843" spans="10:12" x14ac:dyDescent="0.2">
      <c r="J843" s="77">
        <f t="shared" si="66"/>
        <v>10000</v>
      </c>
      <c r="K843" s="20">
        <f t="shared" si="67"/>
        <v>71</v>
      </c>
      <c r="L843" s="78">
        <f t="shared" si="65"/>
        <v>23431.045461827223</v>
      </c>
    </row>
    <row r="844" spans="10:12" x14ac:dyDescent="0.2">
      <c r="J844" s="77">
        <f t="shared" si="66"/>
        <v>10000</v>
      </c>
      <c r="K844" s="20">
        <f t="shared" si="67"/>
        <v>72</v>
      </c>
      <c r="L844" s="78">
        <f t="shared" si="65"/>
        <v>23713.737056616555</v>
      </c>
    </row>
    <row r="845" spans="10:12" x14ac:dyDescent="0.2">
      <c r="J845" s="77">
        <f t="shared" si="66"/>
        <v>10000</v>
      </c>
      <c r="K845" s="20">
        <f t="shared" si="67"/>
        <v>73</v>
      </c>
      <c r="L845" s="78">
        <f t="shared" si="65"/>
        <v>23999.839277615232</v>
      </c>
    </row>
    <row r="846" spans="10:12" x14ac:dyDescent="0.2">
      <c r="J846" s="77">
        <f t="shared" si="66"/>
        <v>10000</v>
      </c>
      <c r="K846" s="20">
        <f t="shared" si="67"/>
        <v>74</v>
      </c>
      <c r="L846" s="78">
        <f t="shared" si="65"/>
        <v>24289.393273450791</v>
      </c>
    </row>
    <row r="847" spans="10:12" x14ac:dyDescent="0.2">
      <c r="J847" s="77">
        <f t="shared" si="66"/>
        <v>10000</v>
      </c>
      <c r="K847" s="20">
        <f t="shared" si="67"/>
        <v>75</v>
      </c>
      <c r="L847" s="78">
        <f t="shared" si="65"/>
        <v>24582.440689201976</v>
      </c>
    </row>
    <row r="848" spans="10:12" x14ac:dyDescent="0.2">
      <c r="J848" s="77">
        <f t="shared" si="66"/>
        <v>10000</v>
      </c>
      <c r="K848" s="20">
        <f t="shared" si="67"/>
        <v>76</v>
      </c>
      <c r="L848" s="78">
        <f t="shared" si="65"/>
        <v>24879.023672388365</v>
      </c>
    </row>
    <row r="849" spans="10:12" x14ac:dyDescent="0.2">
      <c r="J849" s="77">
        <f t="shared" si="66"/>
        <v>10000</v>
      </c>
      <c r="K849" s="20">
        <f t="shared" si="67"/>
        <v>77</v>
      </c>
      <c r="L849" s="78">
        <f t="shared" si="65"/>
        <v>25179.184879032218</v>
      </c>
    </row>
    <row r="850" spans="10:12" x14ac:dyDescent="0.2">
      <c r="J850" s="77">
        <f t="shared" si="66"/>
        <v>10000</v>
      </c>
      <c r="K850" s="20">
        <f t="shared" si="67"/>
        <v>78</v>
      </c>
      <c r="L850" s="78">
        <f t="shared" si="65"/>
        <v>25482.967479793471</v>
      </c>
    </row>
    <row r="851" spans="10:12" x14ac:dyDescent="0.2">
      <c r="J851" s="77">
        <f t="shared" si="66"/>
        <v>10000</v>
      </c>
      <c r="K851" s="20">
        <f t="shared" si="67"/>
        <v>79</v>
      </c>
      <c r="L851" s="78">
        <f t="shared" si="65"/>
        <v>25790.415166178762</v>
      </c>
    </row>
    <row r="852" spans="10:12" x14ac:dyDescent="0.2">
      <c r="J852" s="77">
        <f t="shared" si="66"/>
        <v>10000</v>
      </c>
      <c r="K852" s="20">
        <f t="shared" si="67"/>
        <v>80</v>
      </c>
      <c r="L852" s="78">
        <f t="shared" si="65"/>
        <v>26101.572156825372</v>
      </c>
    </row>
    <row r="853" spans="10:12" x14ac:dyDescent="0.2">
      <c r="J853" s="77">
        <f t="shared" si="66"/>
        <v>10000</v>
      </c>
      <c r="K853" s="20">
        <f t="shared" si="67"/>
        <v>81</v>
      </c>
      <c r="L853" s="78">
        <f t="shared" si="65"/>
        <v>26416.483203860927</v>
      </c>
    </row>
    <row r="854" spans="10:12" x14ac:dyDescent="0.2">
      <c r="J854" s="77">
        <f t="shared" si="66"/>
        <v>10000</v>
      </c>
      <c r="K854" s="20">
        <f t="shared" si="67"/>
        <v>82</v>
      </c>
      <c r="L854" s="78">
        <f t="shared" si="65"/>
        <v>26735.193599339909</v>
      </c>
    </row>
    <row r="855" spans="10:12" x14ac:dyDescent="0.2">
      <c r="J855" s="77">
        <f t="shared" si="66"/>
        <v>10000</v>
      </c>
      <c r="K855" s="20">
        <f t="shared" si="67"/>
        <v>83</v>
      </c>
      <c r="L855" s="78">
        <f t="shared" si="65"/>
        <v>27057.749181757765</v>
      </c>
    </row>
    <row r="856" spans="10:12" x14ac:dyDescent="0.2">
      <c r="J856" s="77">
        <f t="shared" si="66"/>
        <v>10000</v>
      </c>
      <c r="K856" s="20">
        <f t="shared" si="67"/>
        <v>84</v>
      </c>
      <c r="L856" s="78">
        <f t="shared" si="65"/>
        <v>27384.196342643616</v>
      </c>
    </row>
    <row r="857" spans="10:12" x14ac:dyDescent="0.2">
      <c r="J857" s="77">
        <f t="shared" si="66"/>
        <v>10000</v>
      </c>
      <c r="K857" s="20">
        <f t="shared" si="67"/>
        <v>85</v>
      </c>
      <c r="L857" s="78">
        <f t="shared" si="65"/>
        <v>27714.582033232535</v>
      </c>
    </row>
    <row r="858" spans="10:12" x14ac:dyDescent="0.2">
      <c r="J858" s="77">
        <f t="shared" si="66"/>
        <v>10000</v>
      </c>
      <c r="K858" s="20">
        <f t="shared" si="67"/>
        <v>86</v>
      </c>
      <c r="L858" s="78">
        <f t="shared" si="65"/>
        <v>28048.953771218283</v>
      </c>
    </row>
    <row r="859" spans="10:12" x14ac:dyDescent="0.2">
      <c r="J859" s="77">
        <f t="shared" si="66"/>
        <v>10000</v>
      </c>
      <c r="K859" s="20">
        <f t="shared" si="67"/>
        <v>87</v>
      </c>
      <c r="L859" s="78">
        <f t="shared" si="65"/>
        <v>28387.359647587549</v>
      </c>
    </row>
    <row r="860" spans="10:12" x14ac:dyDescent="0.2">
      <c r="J860" s="77">
        <f t="shared" si="66"/>
        <v>10000</v>
      </c>
      <c r="K860" s="20">
        <f t="shared" si="67"/>
        <v>88</v>
      </c>
      <c r="L860" s="78">
        <f t="shared" si="65"/>
        <v>28729.848333536644</v>
      </c>
    </row>
    <row r="861" spans="10:12" x14ac:dyDescent="0.2">
      <c r="J861" s="77">
        <f t="shared" si="66"/>
        <v>10000</v>
      </c>
      <c r="K861" s="20">
        <f t="shared" si="67"/>
        <v>89</v>
      </c>
      <c r="L861" s="78">
        <f t="shared" si="65"/>
        <v>29076.469087471618</v>
      </c>
    </row>
    <row r="862" spans="10:12" x14ac:dyDescent="0.2">
      <c r="J862" s="77">
        <f t="shared" si="66"/>
        <v>10000</v>
      </c>
      <c r="K862" s="20">
        <f t="shared" si="67"/>
        <v>90</v>
      </c>
      <c r="L862" s="78">
        <f t="shared" si="65"/>
        <v>29427.271762092823</v>
      </c>
    </row>
    <row r="863" spans="10:12" x14ac:dyDescent="0.2">
      <c r="J863" s="77">
        <f t="shared" si="66"/>
        <v>10000</v>
      </c>
      <c r="K863" s="20">
        <f t="shared" si="67"/>
        <v>91</v>
      </c>
      <c r="L863" s="78">
        <f t="shared" si="65"/>
        <v>29782.306811565013</v>
      </c>
    </row>
    <row r="864" spans="10:12" x14ac:dyDescent="0.2">
      <c r="J864" s="77">
        <f t="shared" si="66"/>
        <v>10000</v>
      </c>
      <c r="K864" s="20">
        <f t="shared" si="67"/>
        <v>92</v>
      </c>
      <c r="L864" s="78">
        <f t="shared" si="65"/>
        <v>30141.625298773906</v>
      </c>
    </row>
    <row r="865" spans="10:12" x14ac:dyDescent="0.2">
      <c r="J865" s="77">
        <f t="shared" si="66"/>
        <v>10000</v>
      </c>
      <c r="K865" s="20">
        <f t="shared" si="67"/>
        <v>93</v>
      </c>
      <c r="L865" s="78">
        <f t="shared" si="65"/>
        <v>30505.278902670256</v>
      </c>
    </row>
    <row r="866" spans="10:12" x14ac:dyDescent="0.2">
      <c r="J866" s="77">
        <f t="shared" si="66"/>
        <v>10000</v>
      </c>
      <c r="K866" s="20">
        <f t="shared" si="67"/>
        <v>94</v>
      </c>
      <c r="L866" s="78">
        <f t="shared" si="65"/>
        <v>30873.319925702639</v>
      </c>
    </row>
    <row r="867" spans="10:12" x14ac:dyDescent="0.2">
      <c r="J867" s="77">
        <f t="shared" si="66"/>
        <v>10000</v>
      </c>
      <c r="K867" s="20">
        <f t="shared" si="67"/>
        <v>95</v>
      </c>
      <c r="L867" s="78">
        <f t="shared" si="65"/>
        <v>31245.801301339801</v>
      </c>
    </row>
    <row r="868" spans="10:12" x14ac:dyDescent="0.2">
      <c r="J868" s="77">
        <f t="shared" si="66"/>
        <v>10000</v>
      </c>
      <c r="K868" s="20">
        <f t="shared" si="67"/>
        <v>96</v>
      </c>
      <c r="L868" s="78">
        <f t="shared" si="65"/>
        <v>31622.776601683796</v>
      </c>
    </row>
    <row r="869" spans="10:12" x14ac:dyDescent="0.2">
      <c r="J869" s="77">
        <f t="shared" si="66"/>
        <v>10000</v>
      </c>
      <c r="K869" s="20">
        <f t="shared" si="67"/>
        <v>97</v>
      </c>
      <c r="L869" s="78">
        <f t="shared" si="65"/>
        <v>32004.300045175067</v>
      </c>
    </row>
    <row r="870" spans="10:12" x14ac:dyDescent="0.2">
      <c r="J870" s="77">
        <f t="shared" si="66"/>
        <v>10000</v>
      </c>
      <c r="K870" s="20">
        <f t="shared" si="67"/>
        <v>98</v>
      </c>
      <c r="L870" s="78">
        <f t="shared" si="65"/>
        <v>32390.426504390307</v>
      </c>
    </row>
    <row r="871" spans="10:12" x14ac:dyDescent="0.2">
      <c r="J871" s="77">
        <f t="shared" si="66"/>
        <v>10000</v>
      </c>
      <c r="K871" s="20">
        <f t="shared" si="67"/>
        <v>99</v>
      </c>
      <c r="L871" s="78">
        <f t="shared" si="65"/>
        <v>32781.211513934591</v>
      </c>
    </row>
    <row r="872" spans="10:12" x14ac:dyDescent="0.2">
      <c r="J872" s="77">
        <f t="shared" si="66"/>
        <v>10000</v>
      </c>
      <c r="K872" s="20">
        <f t="shared" si="67"/>
        <v>100</v>
      </c>
      <c r="L872" s="78">
        <f t="shared" si="65"/>
        <v>33176.711278428578</v>
      </c>
    </row>
    <row r="873" spans="10:12" x14ac:dyDescent="0.2">
      <c r="J873" s="77">
        <f t="shared" si="66"/>
        <v>10000</v>
      </c>
      <c r="K873" s="20">
        <f t="shared" si="67"/>
        <v>101</v>
      </c>
      <c r="L873" s="78">
        <f t="shared" si="65"/>
        <v>33576.982680592148</v>
      </c>
    </row>
    <row r="874" spans="10:12" x14ac:dyDescent="0.2">
      <c r="J874" s="77">
        <f t="shared" si="66"/>
        <v>10000</v>
      </c>
      <c r="K874" s="20">
        <f t="shared" si="67"/>
        <v>102</v>
      </c>
      <c r="L874" s="78">
        <f t="shared" si="65"/>
        <v>33982.083289425595</v>
      </c>
    </row>
    <row r="875" spans="10:12" x14ac:dyDescent="0.2">
      <c r="J875" s="77">
        <f t="shared" si="66"/>
        <v>10000</v>
      </c>
      <c r="K875" s="20">
        <f t="shared" si="67"/>
        <v>103</v>
      </c>
      <c r="L875" s="78">
        <f t="shared" si="65"/>
        <v>34392.071368489414</v>
      </c>
    </row>
    <row r="876" spans="10:12" x14ac:dyDescent="0.2">
      <c r="J876" s="77">
        <f t="shared" si="66"/>
        <v>10000</v>
      </c>
      <c r="K876" s="20">
        <f t="shared" si="67"/>
        <v>104</v>
      </c>
      <c r="L876" s="78">
        <f t="shared" si="65"/>
        <v>34807.005884284103</v>
      </c>
    </row>
    <row r="877" spans="10:12" x14ac:dyDescent="0.2">
      <c r="J877" s="77">
        <f t="shared" si="66"/>
        <v>10000</v>
      </c>
      <c r="K877" s="20">
        <f t="shared" si="67"/>
        <v>105</v>
      </c>
      <c r="L877" s="78">
        <f t="shared" si="65"/>
        <v>35226.946514731018</v>
      </c>
    </row>
    <row r="878" spans="10:12" x14ac:dyDescent="0.2">
      <c r="J878" s="77">
        <f t="shared" si="66"/>
        <v>10000</v>
      </c>
      <c r="K878" s="20">
        <f t="shared" si="67"/>
        <v>106</v>
      </c>
      <c r="L878" s="78">
        <f t="shared" si="65"/>
        <v>35651.953657755497</v>
      </c>
    </row>
    <row r="879" spans="10:12" x14ac:dyDescent="0.2">
      <c r="J879" s="77">
        <f t="shared" si="66"/>
        <v>10000</v>
      </c>
      <c r="K879" s="20">
        <f t="shared" si="67"/>
        <v>107</v>
      </c>
      <c r="L879" s="78">
        <f t="shared" si="65"/>
        <v>36082.088439973624</v>
      </c>
    </row>
    <row r="880" spans="10:12" x14ac:dyDescent="0.2">
      <c r="J880" s="77">
        <f t="shared" si="66"/>
        <v>10000</v>
      </c>
      <c r="K880" s="20">
        <f t="shared" si="67"/>
        <v>108</v>
      </c>
      <c r="L880" s="78">
        <f t="shared" si="65"/>
        <v>36517.412725483773</v>
      </c>
    </row>
    <row r="881" spans="10:12" x14ac:dyDescent="0.2">
      <c r="J881" s="77">
        <f t="shared" si="66"/>
        <v>10000</v>
      </c>
      <c r="K881" s="20">
        <f t="shared" si="67"/>
        <v>109</v>
      </c>
      <c r="L881" s="78">
        <f t="shared" si="65"/>
        <v>36957.989124764179</v>
      </c>
    </row>
    <row r="882" spans="10:12" x14ac:dyDescent="0.2">
      <c r="J882" s="77">
        <f t="shared" si="66"/>
        <v>10000</v>
      </c>
      <c r="K882" s="20">
        <f t="shared" si="67"/>
        <v>110</v>
      </c>
      <c r="L882" s="78">
        <f t="shared" si="65"/>
        <v>37403.88100367786</v>
      </c>
    </row>
    <row r="883" spans="10:12" x14ac:dyDescent="0.2">
      <c r="J883" s="77">
        <f t="shared" si="66"/>
        <v>10000</v>
      </c>
      <c r="K883" s="20">
        <f t="shared" si="67"/>
        <v>111</v>
      </c>
      <c r="L883" s="78">
        <f t="shared" si="65"/>
        <v>37855.152492586298</v>
      </c>
    </row>
    <row r="884" spans="10:12" x14ac:dyDescent="0.2">
      <c r="J884" s="77">
        <f t="shared" si="66"/>
        <v>10000</v>
      </c>
      <c r="K884" s="20">
        <f t="shared" si="67"/>
        <v>112</v>
      </c>
      <c r="L884" s="78">
        <f t="shared" si="65"/>
        <v>38311.868495572882</v>
      </c>
    </row>
    <row r="885" spans="10:12" x14ac:dyDescent="0.2">
      <c r="J885" s="77">
        <f t="shared" si="66"/>
        <v>10000</v>
      </c>
      <c r="K885" s="20">
        <f t="shared" si="67"/>
        <v>113</v>
      </c>
      <c r="L885" s="78">
        <f t="shared" si="65"/>
        <v>38774.094699777765</v>
      </c>
    </row>
    <row r="886" spans="10:12" x14ac:dyDescent="0.2">
      <c r="J886" s="77">
        <f t="shared" si="66"/>
        <v>10000</v>
      </c>
      <c r="K886" s="20">
        <f t="shared" si="67"/>
        <v>114</v>
      </c>
      <c r="L886" s="78">
        <f t="shared" si="65"/>
        <v>39241.897584845363</v>
      </c>
    </row>
    <row r="887" spans="10:12" x14ac:dyDescent="0.2">
      <c r="J887" s="77">
        <f t="shared" si="66"/>
        <v>10000</v>
      </c>
      <c r="K887" s="20">
        <f t="shared" si="67"/>
        <v>115</v>
      </c>
      <c r="L887" s="78">
        <f t="shared" si="65"/>
        <v>39715.344432485705</v>
      </c>
    </row>
    <row r="888" spans="10:12" x14ac:dyDescent="0.2">
      <c r="J888" s="77">
        <f t="shared" si="66"/>
        <v>10000</v>
      </c>
      <c r="K888" s="20">
        <f t="shared" si="67"/>
        <v>116</v>
      </c>
      <c r="L888" s="78">
        <f t="shared" si="65"/>
        <v>40194.503336151254</v>
      </c>
    </row>
    <row r="889" spans="10:12" x14ac:dyDescent="0.2">
      <c r="J889" s="77">
        <f t="shared" si="66"/>
        <v>10000</v>
      </c>
      <c r="K889" s="20">
        <f t="shared" si="67"/>
        <v>117</v>
      </c>
      <c r="L889" s="78">
        <f t="shared" si="65"/>
        <v>40679.443210830483</v>
      </c>
    </row>
    <row r="890" spans="10:12" x14ac:dyDescent="0.2">
      <c r="J890" s="77">
        <f t="shared" si="66"/>
        <v>10000</v>
      </c>
      <c r="K890" s="20">
        <f t="shared" si="67"/>
        <v>118</v>
      </c>
      <c r="L890" s="78">
        <f t="shared" si="65"/>
        <v>41170.233802959483</v>
      </c>
    </row>
    <row r="891" spans="10:12" x14ac:dyDescent="0.2">
      <c r="J891" s="77">
        <f t="shared" si="66"/>
        <v>10000</v>
      </c>
      <c r="K891" s="20">
        <f t="shared" si="67"/>
        <v>119</v>
      </c>
      <c r="L891" s="78">
        <f t="shared" si="65"/>
        <v>41666.945700453296</v>
      </c>
    </row>
    <row r="892" spans="10:12" x14ac:dyDescent="0.2">
      <c r="J892" s="77">
        <f t="shared" si="66"/>
        <v>10000</v>
      </c>
      <c r="K892" s="20">
        <f t="shared" si="67"/>
        <v>120</v>
      </c>
      <c r="L892" s="78">
        <f t="shared" si="65"/>
        <v>42169.650342858229</v>
      </c>
    </row>
    <row r="893" spans="10:12" x14ac:dyDescent="0.2">
      <c r="J893" s="77">
        <f t="shared" si="66"/>
        <v>10000</v>
      </c>
      <c r="K893" s="20">
        <f t="shared" si="67"/>
        <v>121</v>
      </c>
      <c r="L893" s="78">
        <f t="shared" si="65"/>
        <v>42678.420031626585</v>
      </c>
    </row>
    <row r="894" spans="10:12" x14ac:dyDescent="0.2">
      <c r="J894" s="77">
        <f t="shared" si="66"/>
        <v>10000</v>
      </c>
      <c r="K894" s="20">
        <f t="shared" si="67"/>
        <v>122</v>
      </c>
      <c r="L894" s="78">
        <f t="shared" si="65"/>
        <v>43193.327940515446</v>
      </c>
    </row>
    <row r="895" spans="10:12" x14ac:dyDescent="0.2">
      <c r="J895" s="77">
        <f t="shared" si="66"/>
        <v>10000</v>
      </c>
      <c r="K895" s="20">
        <f t="shared" si="67"/>
        <v>123</v>
      </c>
      <c r="L895" s="78">
        <f t="shared" si="65"/>
        <v>43714.448126110896</v>
      </c>
    </row>
    <row r="896" spans="10:12" x14ac:dyDescent="0.2">
      <c r="J896" s="77">
        <f t="shared" si="66"/>
        <v>10000</v>
      </c>
      <c r="K896" s="20">
        <f t="shared" si="67"/>
        <v>124</v>
      </c>
      <c r="L896" s="78">
        <f t="shared" si="65"/>
        <v>44241.855538479183</v>
      </c>
    </row>
    <row r="897" spans="10:12" x14ac:dyDescent="0.2">
      <c r="J897" s="77">
        <f t="shared" si="66"/>
        <v>10000</v>
      </c>
      <c r="K897" s="20">
        <f t="shared" si="67"/>
        <v>125</v>
      </c>
      <c r="L897" s="78">
        <f t="shared" si="65"/>
        <v>44775.626031946369</v>
      </c>
    </row>
    <row r="898" spans="10:12" x14ac:dyDescent="0.2">
      <c r="J898" s="77">
        <f t="shared" si="66"/>
        <v>10000</v>
      </c>
      <c r="K898" s="20">
        <f t="shared" si="67"/>
        <v>126</v>
      </c>
      <c r="L898" s="78">
        <f t="shared" si="65"/>
        <v>45315.836376008185</v>
      </c>
    </row>
    <row r="899" spans="10:12" x14ac:dyDescent="0.2">
      <c r="J899" s="77">
        <f t="shared" si="66"/>
        <v>10000</v>
      </c>
      <c r="K899" s="20">
        <f t="shared" si="67"/>
        <v>127</v>
      </c>
      <c r="L899" s="78">
        <f t="shared" si="65"/>
        <v>45862.564266371264</v>
      </c>
    </row>
    <row r="900" spans="10:12" x14ac:dyDescent="0.2">
      <c r="J900" s="77">
        <f t="shared" si="66"/>
        <v>10000</v>
      </c>
      <c r="K900" s="20">
        <f t="shared" si="67"/>
        <v>128</v>
      </c>
      <c r="L900" s="78">
        <f t="shared" si="65"/>
        <v>46415.888336127791</v>
      </c>
    </row>
    <row r="901" spans="10:12" x14ac:dyDescent="0.2">
      <c r="J901" s="77">
        <f t="shared" si="66"/>
        <v>10000</v>
      </c>
      <c r="K901" s="20">
        <f t="shared" si="67"/>
        <v>129</v>
      </c>
      <c r="L901" s="78">
        <f t="shared" ref="L901:L964" si="68">J901*10^(K901/192)</f>
        <v>46975.888167064935</v>
      </c>
    </row>
    <row r="902" spans="10:12" x14ac:dyDescent="0.2">
      <c r="J902" s="77">
        <f t="shared" ref="J902:J965" si="69">J710*10</f>
        <v>10000</v>
      </c>
      <c r="K902" s="20">
        <f t="shared" ref="K902:K947" si="70">K901+1</f>
        <v>130</v>
      </c>
      <c r="L902" s="78">
        <f t="shared" si="68"/>
        <v>47542.644301110573</v>
      </c>
    </row>
    <row r="903" spans="10:12" x14ac:dyDescent="0.2">
      <c r="J903" s="77">
        <f t="shared" si="69"/>
        <v>10000</v>
      </c>
      <c r="K903" s="20">
        <f t="shared" si="70"/>
        <v>131</v>
      </c>
      <c r="L903" s="78">
        <f t="shared" si="68"/>
        <v>48116.238251917333</v>
      </c>
    </row>
    <row r="904" spans="10:12" x14ac:dyDescent="0.2">
      <c r="J904" s="77">
        <f t="shared" si="69"/>
        <v>10000</v>
      </c>
      <c r="K904" s="20">
        <f t="shared" si="70"/>
        <v>132</v>
      </c>
      <c r="L904" s="78">
        <f t="shared" si="68"/>
        <v>48696.752516586319</v>
      </c>
    </row>
    <row r="905" spans="10:12" x14ac:dyDescent="0.2">
      <c r="J905" s="77">
        <f t="shared" si="69"/>
        <v>10000</v>
      </c>
      <c r="K905" s="20">
        <f t="shared" si="70"/>
        <v>133</v>
      </c>
      <c r="L905" s="78">
        <f t="shared" si="68"/>
        <v>49284.270587532075</v>
      </c>
    </row>
    <row r="906" spans="10:12" x14ac:dyDescent="0.2">
      <c r="J906" s="77">
        <f t="shared" si="69"/>
        <v>10000</v>
      </c>
      <c r="K906" s="20">
        <f t="shared" si="70"/>
        <v>134</v>
      </c>
      <c r="L906" s="78">
        <f t="shared" si="68"/>
        <v>49878.876964491064</v>
      </c>
    </row>
    <row r="907" spans="10:12" x14ac:dyDescent="0.2">
      <c r="J907" s="77">
        <f t="shared" si="69"/>
        <v>10000</v>
      </c>
      <c r="K907" s="20">
        <f t="shared" si="70"/>
        <v>135</v>
      </c>
      <c r="L907" s="78">
        <f t="shared" si="68"/>
        <v>50480.657166674711</v>
      </c>
    </row>
    <row r="908" spans="10:12" x14ac:dyDescent="0.2">
      <c r="J908" s="77">
        <f t="shared" si="69"/>
        <v>10000</v>
      </c>
      <c r="K908" s="20">
        <f t="shared" si="70"/>
        <v>136</v>
      </c>
      <c r="L908" s="78">
        <f t="shared" si="68"/>
        <v>51089.697745069287</v>
      </c>
    </row>
    <row r="909" spans="10:12" x14ac:dyDescent="0.2">
      <c r="J909" s="77">
        <f t="shared" si="69"/>
        <v>10000</v>
      </c>
      <c r="K909" s="20">
        <f t="shared" si="70"/>
        <v>137</v>
      </c>
      <c r="L909" s="78">
        <f t="shared" si="68"/>
        <v>51706.086294884008</v>
      </c>
    </row>
    <row r="910" spans="10:12" x14ac:dyDescent="0.2">
      <c r="J910" s="77">
        <f t="shared" si="69"/>
        <v>10000</v>
      </c>
      <c r="K910" s="20">
        <f t="shared" si="70"/>
        <v>138</v>
      </c>
      <c r="L910" s="78">
        <f t="shared" si="68"/>
        <v>52329.911468149476</v>
      </c>
    </row>
    <row r="911" spans="10:12" x14ac:dyDescent="0.2">
      <c r="J911" s="77">
        <f t="shared" si="69"/>
        <v>10000</v>
      </c>
      <c r="K911" s="20">
        <f t="shared" si="70"/>
        <v>139</v>
      </c>
      <c r="L911" s="78">
        <f t="shared" si="68"/>
        <v>52961.262986468042</v>
      </c>
    </row>
    <row r="912" spans="10:12" x14ac:dyDescent="0.2">
      <c r="J912" s="77">
        <f t="shared" si="69"/>
        <v>10000</v>
      </c>
      <c r="K912" s="20">
        <f t="shared" si="70"/>
        <v>140</v>
      </c>
      <c r="L912" s="78">
        <f t="shared" si="68"/>
        <v>53600.231653917916</v>
      </c>
    </row>
    <row r="913" spans="10:12" x14ac:dyDescent="0.2">
      <c r="J913" s="77">
        <f t="shared" si="69"/>
        <v>10000</v>
      </c>
      <c r="K913" s="20">
        <f t="shared" si="70"/>
        <v>141</v>
      </c>
      <c r="L913" s="78">
        <f t="shared" si="68"/>
        <v>54246.909370113266</v>
      </c>
    </row>
    <row r="914" spans="10:12" x14ac:dyDescent="0.2">
      <c r="J914" s="77">
        <f t="shared" si="69"/>
        <v>10000</v>
      </c>
      <c r="K914" s="20">
        <f t="shared" si="70"/>
        <v>142</v>
      </c>
      <c r="L914" s="78">
        <f t="shared" si="68"/>
        <v>54901.389143421417</v>
      </c>
    </row>
    <row r="915" spans="10:12" x14ac:dyDescent="0.2">
      <c r="J915" s="77">
        <f t="shared" si="69"/>
        <v>10000</v>
      </c>
      <c r="K915" s="20">
        <f t="shared" si="70"/>
        <v>143</v>
      </c>
      <c r="L915" s="78">
        <f t="shared" si="68"/>
        <v>55563.765104339931</v>
      </c>
    </row>
    <row r="916" spans="10:12" x14ac:dyDescent="0.2">
      <c r="J916" s="77">
        <f t="shared" si="69"/>
        <v>10000</v>
      </c>
      <c r="K916" s="20">
        <f t="shared" si="70"/>
        <v>144</v>
      </c>
      <c r="L916" s="78">
        <f t="shared" si="68"/>
        <v>56234.132519034923</v>
      </c>
    </row>
    <row r="917" spans="10:12" x14ac:dyDescent="0.2">
      <c r="J917" s="77">
        <f t="shared" si="69"/>
        <v>10000</v>
      </c>
      <c r="K917" s="20">
        <f t="shared" si="70"/>
        <v>145</v>
      </c>
      <c r="L917" s="78">
        <f t="shared" si="68"/>
        <v>56912.587803042588</v>
      </c>
    </row>
    <row r="918" spans="10:12" x14ac:dyDescent="0.2">
      <c r="J918" s="77">
        <f t="shared" si="69"/>
        <v>10000</v>
      </c>
      <c r="K918" s="20">
        <f t="shared" si="70"/>
        <v>146</v>
      </c>
      <c r="L918" s="78">
        <f t="shared" si="68"/>
        <v>57599.228535136281</v>
      </c>
    </row>
    <row r="919" spans="10:12" x14ac:dyDescent="0.2">
      <c r="J919" s="77">
        <f t="shared" si="69"/>
        <v>10000</v>
      </c>
      <c r="K919" s="20">
        <f t="shared" si="70"/>
        <v>147</v>
      </c>
      <c r="L919" s="78">
        <f t="shared" si="68"/>
        <v>58294.153471360754</v>
      </c>
    </row>
    <row r="920" spans="10:12" x14ac:dyDescent="0.2">
      <c r="J920" s="77">
        <f t="shared" si="69"/>
        <v>10000</v>
      </c>
      <c r="K920" s="20">
        <f t="shared" si="70"/>
        <v>148</v>
      </c>
      <c r="L920" s="78">
        <f t="shared" si="68"/>
        <v>58997.462559235653</v>
      </c>
    </row>
    <row r="921" spans="10:12" x14ac:dyDescent="0.2">
      <c r="J921" s="77">
        <f t="shared" si="69"/>
        <v>10000</v>
      </c>
      <c r="K921" s="20">
        <f t="shared" si="70"/>
        <v>149</v>
      </c>
      <c r="L921" s="78">
        <f t="shared" si="68"/>
        <v>59709.256952130534</v>
      </c>
    </row>
    <row r="922" spans="10:12" x14ac:dyDescent="0.2">
      <c r="J922" s="77">
        <f t="shared" si="69"/>
        <v>10000</v>
      </c>
      <c r="K922" s="20">
        <f t="shared" si="70"/>
        <v>150</v>
      </c>
      <c r="L922" s="78">
        <f t="shared" si="68"/>
        <v>60429.639023813288</v>
      </c>
    </row>
    <row r="923" spans="10:12" x14ac:dyDescent="0.2">
      <c r="J923" s="77">
        <f t="shared" si="69"/>
        <v>10000</v>
      </c>
      <c r="K923" s="20">
        <f t="shared" si="70"/>
        <v>151</v>
      </c>
      <c r="L923" s="78">
        <f t="shared" si="68"/>
        <v>61158.712383173894</v>
      </c>
    </row>
    <row r="924" spans="10:12" x14ac:dyDescent="0.2">
      <c r="J924" s="77">
        <f t="shared" si="69"/>
        <v>10000</v>
      </c>
      <c r="K924" s="20">
        <f t="shared" si="70"/>
        <v>152</v>
      </c>
      <c r="L924" s="78">
        <f t="shared" si="68"/>
        <v>61896.581889126064</v>
      </c>
    </row>
    <row r="925" spans="10:12" x14ac:dyDescent="0.2">
      <c r="J925" s="77">
        <f t="shared" si="69"/>
        <v>10000</v>
      </c>
      <c r="K925" s="20">
        <f t="shared" si="70"/>
        <v>153</v>
      </c>
      <c r="L925" s="78">
        <f t="shared" si="68"/>
        <v>62643.35366568857</v>
      </c>
    </row>
    <row r="926" spans="10:12" x14ac:dyDescent="0.2">
      <c r="J926" s="77">
        <f t="shared" si="69"/>
        <v>10000</v>
      </c>
      <c r="K926" s="20">
        <f t="shared" si="70"/>
        <v>154</v>
      </c>
      <c r="L926" s="78">
        <f t="shared" si="68"/>
        <v>63399.135117248457</v>
      </c>
    </row>
    <row r="927" spans="10:12" x14ac:dyDescent="0.2">
      <c r="J927" s="77">
        <f t="shared" si="69"/>
        <v>10000</v>
      </c>
      <c r="K927" s="20">
        <f t="shared" si="70"/>
        <v>155</v>
      </c>
      <c r="L927" s="78">
        <f t="shared" si="68"/>
        <v>64164.034944008534</v>
      </c>
    </row>
    <row r="928" spans="10:12" x14ac:dyDescent="0.2">
      <c r="J928" s="77">
        <f t="shared" si="69"/>
        <v>10000</v>
      </c>
      <c r="K928" s="20">
        <f t="shared" si="70"/>
        <v>156</v>
      </c>
      <c r="L928" s="78">
        <f t="shared" si="68"/>
        <v>64938.163157621151</v>
      </c>
    </row>
    <row r="929" spans="10:12" x14ac:dyDescent="0.2">
      <c r="J929" s="77">
        <f t="shared" si="69"/>
        <v>10000</v>
      </c>
      <c r="K929" s="20">
        <f t="shared" si="70"/>
        <v>157</v>
      </c>
      <c r="L929" s="78">
        <f t="shared" si="68"/>
        <v>65721.631097010584</v>
      </c>
    </row>
    <row r="930" spans="10:12" x14ac:dyDescent="0.2">
      <c r="J930" s="77">
        <f t="shared" si="69"/>
        <v>10000</v>
      </c>
      <c r="K930" s="20">
        <f t="shared" si="70"/>
        <v>158</v>
      </c>
      <c r="L930" s="78">
        <f t="shared" si="68"/>
        <v>66514.551444386336</v>
      </c>
    </row>
    <row r="931" spans="10:12" x14ac:dyDescent="0.2">
      <c r="J931" s="77">
        <f t="shared" si="69"/>
        <v>10000</v>
      </c>
      <c r="K931" s="20">
        <f t="shared" si="70"/>
        <v>159</v>
      </c>
      <c r="L931" s="78">
        <f t="shared" si="68"/>
        <v>67317.038241449831</v>
      </c>
    </row>
    <row r="932" spans="10:12" x14ac:dyDescent="0.2">
      <c r="J932" s="77">
        <f t="shared" si="69"/>
        <v>10000</v>
      </c>
      <c r="K932" s="20">
        <f t="shared" si="70"/>
        <v>160</v>
      </c>
      <c r="L932" s="78">
        <f t="shared" si="68"/>
        <v>68129.206905796134</v>
      </c>
    </row>
    <row r="933" spans="10:12" x14ac:dyDescent="0.2">
      <c r="J933" s="77">
        <f t="shared" si="69"/>
        <v>10000</v>
      </c>
      <c r="K933" s="20">
        <f t="shared" si="70"/>
        <v>161</v>
      </c>
      <c r="L933" s="78">
        <f t="shared" si="68"/>
        <v>68951.174247514136</v>
      </c>
    </row>
    <row r="934" spans="10:12" x14ac:dyDescent="0.2">
      <c r="J934" s="77">
        <f t="shared" si="69"/>
        <v>10000</v>
      </c>
      <c r="K934" s="20">
        <f t="shared" si="70"/>
        <v>162</v>
      </c>
      <c r="L934" s="78">
        <f t="shared" si="68"/>
        <v>69783.05848598665</v>
      </c>
    </row>
    <row r="935" spans="10:12" x14ac:dyDescent="0.2">
      <c r="J935" s="77">
        <f t="shared" si="69"/>
        <v>10000</v>
      </c>
      <c r="K935" s="20">
        <f t="shared" si="70"/>
        <v>163</v>
      </c>
      <c r="L935" s="78">
        <f t="shared" si="68"/>
        <v>70624.979266893293</v>
      </c>
    </row>
    <row r="936" spans="10:12" x14ac:dyDescent="0.2">
      <c r="J936" s="77">
        <f t="shared" si="69"/>
        <v>10000</v>
      </c>
      <c r="K936" s="20">
        <f t="shared" si="70"/>
        <v>164</v>
      </c>
      <c r="L936" s="78">
        <f t="shared" si="68"/>
        <v>71477.057679418576</v>
      </c>
    </row>
    <row r="937" spans="10:12" x14ac:dyDescent="0.2">
      <c r="J937" s="77">
        <f t="shared" si="69"/>
        <v>10000</v>
      </c>
      <c r="K937" s="20">
        <f t="shared" si="70"/>
        <v>165</v>
      </c>
      <c r="L937" s="78">
        <f t="shared" si="68"/>
        <v>72339.416273667492</v>
      </c>
    </row>
    <row r="938" spans="10:12" x14ac:dyDescent="0.2">
      <c r="J938" s="77">
        <f t="shared" si="69"/>
        <v>10000</v>
      </c>
      <c r="K938" s="20">
        <f t="shared" si="70"/>
        <v>166</v>
      </c>
      <c r="L938" s="78">
        <f t="shared" si="68"/>
        <v>73212.179078291301</v>
      </c>
    </row>
    <row r="939" spans="10:12" x14ac:dyDescent="0.2">
      <c r="J939" s="77">
        <f t="shared" si="69"/>
        <v>10000</v>
      </c>
      <c r="K939" s="20">
        <f t="shared" si="70"/>
        <v>167</v>
      </c>
      <c r="L939" s="78">
        <f t="shared" si="68"/>
        <v>74095.471618325901</v>
      </c>
    </row>
    <row r="940" spans="10:12" x14ac:dyDescent="0.2">
      <c r="J940" s="77">
        <f t="shared" si="69"/>
        <v>10000</v>
      </c>
      <c r="K940" s="20">
        <f t="shared" si="70"/>
        <v>168</v>
      </c>
      <c r="L940" s="78">
        <f t="shared" si="68"/>
        <v>74989.420933245594</v>
      </c>
    </row>
    <row r="941" spans="10:12" x14ac:dyDescent="0.2">
      <c r="J941" s="77">
        <f t="shared" si="69"/>
        <v>10000</v>
      </c>
      <c r="K941" s="20">
        <f t="shared" si="70"/>
        <v>169</v>
      </c>
      <c r="L941" s="78">
        <f t="shared" si="68"/>
        <v>75894.155595234275</v>
      </c>
    </row>
    <row r="942" spans="10:12" x14ac:dyDescent="0.2">
      <c r="J942" s="77">
        <f t="shared" si="69"/>
        <v>10000</v>
      </c>
      <c r="K942" s="20">
        <f t="shared" si="70"/>
        <v>170</v>
      </c>
      <c r="L942" s="78">
        <f t="shared" si="68"/>
        <v>76809.805727677551</v>
      </c>
    </row>
    <row r="943" spans="10:12" x14ac:dyDescent="0.2">
      <c r="J943" s="77">
        <f t="shared" si="69"/>
        <v>10000</v>
      </c>
      <c r="K943" s="20">
        <f t="shared" si="70"/>
        <v>171</v>
      </c>
      <c r="L943" s="78">
        <f t="shared" si="68"/>
        <v>77736.503023877609</v>
      </c>
    </row>
    <row r="944" spans="10:12" x14ac:dyDescent="0.2">
      <c r="J944" s="77">
        <f t="shared" si="69"/>
        <v>10000</v>
      </c>
      <c r="K944" s="20">
        <f t="shared" si="70"/>
        <v>172</v>
      </c>
      <c r="L944" s="78">
        <f t="shared" si="68"/>
        <v>78674.380765994036</v>
      </c>
    </row>
    <row r="945" spans="10:12" x14ac:dyDescent="0.2">
      <c r="J945" s="77">
        <f t="shared" si="69"/>
        <v>10000</v>
      </c>
      <c r="K945" s="20">
        <f t="shared" si="70"/>
        <v>173</v>
      </c>
      <c r="L945" s="78">
        <f t="shared" si="68"/>
        <v>79623.573844213039</v>
      </c>
    </row>
    <row r="946" spans="10:12" x14ac:dyDescent="0.2">
      <c r="J946" s="77">
        <f t="shared" si="69"/>
        <v>10000</v>
      </c>
      <c r="K946" s="20">
        <f t="shared" si="70"/>
        <v>174</v>
      </c>
      <c r="L946" s="78">
        <f t="shared" si="68"/>
        <v>80584.218776148191</v>
      </c>
    </row>
    <row r="947" spans="10:12" x14ac:dyDescent="0.2">
      <c r="J947" s="77">
        <f t="shared" si="69"/>
        <v>10000</v>
      </c>
      <c r="K947" s="20">
        <f t="shared" si="70"/>
        <v>175</v>
      </c>
      <c r="L947" s="78">
        <f t="shared" si="68"/>
        <v>81556.45372647488</v>
      </c>
    </row>
    <row r="948" spans="10:12" x14ac:dyDescent="0.2">
      <c r="J948" s="77">
        <f t="shared" si="69"/>
        <v>10000</v>
      </c>
      <c r="K948" s="20">
        <f>K947+1</f>
        <v>176</v>
      </c>
      <c r="L948" s="78">
        <f t="shared" si="68"/>
        <v>82540.418526801834</v>
      </c>
    </row>
    <row r="949" spans="10:12" x14ac:dyDescent="0.2">
      <c r="J949" s="77">
        <f t="shared" si="69"/>
        <v>10000</v>
      </c>
      <c r="K949" s="20">
        <f t="shared" ref="K949:K964" si="71">K948+1</f>
        <v>177</v>
      </c>
      <c r="L949" s="78">
        <f t="shared" si="68"/>
        <v>83536.254695782613</v>
      </c>
    </row>
    <row r="950" spans="10:12" x14ac:dyDescent="0.2">
      <c r="J950" s="77">
        <f t="shared" si="69"/>
        <v>10000</v>
      </c>
      <c r="K950" s="20">
        <f t="shared" si="71"/>
        <v>178</v>
      </c>
      <c r="L950" s="78">
        <f t="shared" si="68"/>
        <v>84544.10545946924</v>
      </c>
    </row>
    <row r="951" spans="10:12" x14ac:dyDescent="0.2">
      <c r="J951" s="77">
        <f t="shared" si="69"/>
        <v>10000</v>
      </c>
      <c r="K951" s="20">
        <f t="shared" si="71"/>
        <v>179</v>
      </c>
      <c r="L951" s="78">
        <f t="shared" si="68"/>
        <v>85564.115771911849</v>
      </c>
    </row>
    <row r="952" spans="10:12" x14ac:dyDescent="0.2">
      <c r="J952" s="77">
        <f t="shared" si="69"/>
        <v>10000</v>
      </c>
      <c r="K952" s="20">
        <f t="shared" si="71"/>
        <v>180</v>
      </c>
      <c r="L952" s="78">
        <f t="shared" si="68"/>
        <v>86596.432336006561</v>
      </c>
    </row>
    <row r="953" spans="10:12" x14ac:dyDescent="0.2">
      <c r="J953" s="77">
        <f t="shared" si="69"/>
        <v>10000</v>
      </c>
      <c r="K953" s="20">
        <f t="shared" si="71"/>
        <v>181</v>
      </c>
      <c r="L953" s="78">
        <f t="shared" si="68"/>
        <v>87641.203624595204</v>
      </c>
    </row>
    <row r="954" spans="10:12" x14ac:dyDescent="0.2">
      <c r="J954" s="77">
        <f t="shared" si="69"/>
        <v>10000</v>
      </c>
      <c r="K954" s="20">
        <f t="shared" si="71"/>
        <v>182</v>
      </c>
      <c r="L954" s="78">
        <f t="shared" si="68"/>
        <v>88698.57990181919</v>
      </c>
    </row>
    <row r="955" spans="10:12" x14ac:dyDescent="0.2">
      <c r="J955" s="77">
        <f t="shared" si="69"/>
        <v>10000</v>
      </c>
      <c r="K955" s="20">
        <f t="shared" si="71"/>
        <v>183</v>
      </c>
      <c r="L955" s="78">
        <f t="shared" si="68"/>
        <v>89768.713244731451</v>
      </c>
    </row>
    <row r="956" spans="10:12" x14ac:dyDescent="0.2">
      <c r="J956" s="77">
        <f t="shared" si="69"/>
        <v>10000</v>
      </c>
      <c r="K956" s="20">
        <f t="shared" si="71"/>
        <v>184</v>
      </c>
      <c r="L956" s="78">
        <f t="shared" si="68"/>
        <v>90851.757565168708</v>
      </c>
    </row>
    <row r="957" spans="10:12" x14ac:dyDescent="0.2">
      <c r="J957" s="77">
        <f t="shared" si="69"/>
        <v>10000</v>
      </c>
      <c r="K957" s="20">
        <f t="shared" si="71"/>
        <v>185</v>
      </c>
      <c r="L957" s="78">
        <f t="shared" si="68"/>
        <v>91947.868631887934</v>
      </c>
    </row>
    <row r="958" spans="10:12" x14ac:dyDescent="0.2">
      <c r="J958" s="77">
        <f t="shared" si="69"/>
        <v>10000</v>
      </c>
      <c r="K958" s="20">
        <f t="shared" si="71"/>
        <v>186</v>
      </c>
      <c r="L958" s="78">
        <f t="shared" si="68"/>
        <v>93057.2040929699</v>
      </c>
    </row>
    <row r="959" spans="10:12" x14ac:dyDescent="0.2">
      <c r="J959" s="77">
        <f t="shared" si="69"/>
        <v>10000</v>
      </c>
      <c r="K959" s="20">
        <f t="shared" si="71"/>
        <v>187</v>
      </c>
      <c r="L959" s="78">
        <f t="shared" si="68"/>
        <v>94179.923498492601</v>
      </c>
    </row>
    <row r="960" spans="10:12" x14ac:dyDescent="0.2">
      <c r="J960" s="77">
        <f t="shared" si="69"/>
        <v>10000</v>
      </c>
      <c r="K960" s="20">
        <f t="shared" si="71"/>
        <v>188</v>
      </c>
      <c r="L960" s="78">
        <f t="shared" si="68"/>
        <v>95316.188323478782</v>
      </c>
    </row>
    <row r="961" spans="10:12" x14ac:dyDescent="0.2">
      <c r="J961" s="77">
        <f t="shared" si="69"/>
        <v>10000</v>
      </c>
      <c r="K961" s="20">
        <f t="shared" si="71"/>
        <v>189</v>
      </c>
      <c r="L961" s="78">
        <f t="shared" si="68"/>
        <v>96466.161991119967</v>
      </c>
    </row>
    <row r="962" spans="10:12" x14ac:dyDescent="0.2">
      <c r="J962" s="77">
        <f t="shared" si="69"/>
        <v>10000</v>
      </c>
      <c r="K962" s="20">
        <f t="shared" si="71"/>
        <v>190</v>
      </c>
      <c r="L962" s="78">
        <f t="shared" si="68"/>
        <v>97630.009896280782</v>
      </c>
    </row>
    <row r="963" spans="10:12" x14ac:dyDescent="0.2">
      <c r="J963" s="77">
        <f t="shared" si="69"/>
        <v>10000</v>
      </c>
      <c r="K963" s="20">
        <f t="shared" si="71"/>
        <v>191</v>
      </c>
      <c r="L963" s="78">
        <f t="shared" si="68"/>
        <v>98807.899429286917</v>
      </c>
    </row>
    <row r="964" spans="10:12" x14ac:dyDescent="0.2">
      <c r="J964" s="77">
        <f t="shared" si="69"/>
        <v>10000</v>
      </c>
      <c r="K964" s="20">
        <f t="shared" si="71"/>
        <v>192</v>
      </c>
      <c r="L964" s="78">
        <f t="shared" si="68"/>
        <v>100000</v>
      </c>
    </row>
    <row r="965" spans="10:12" x14ac:dyDescent="0.2">
      <c r="J965" s="77">
        <f t="shared" si="69"/>
        <v>100000</v>
      </c>
      <c r="K965" s="20">
        <v>1</v>
      </c>
      <c r="L965" s="78">
        <f t="shared" ref="L965:L1028" si="72">J965*10^(K965/192)</f>
        <v>101206.48306218295</v>
      </c>
    </row>
    <row r="966" spans="10:12" x14ac:dyDescent="0.2">
      <c r="J966" s="77">
        <f t="shared" ref="J966:J1029" si="73">J774*10</f>
        <v>100000</v>
      </c>
      <c r="K966" s="20">
        <f t="shared" ref="K966:K1029" si="74">K965+1</f>
        <v>2</v>
      </c>
      <c r="L966" s="78">
        <f t="shared" si="72"/>
        <v>102427.52213815923</v>
      </c>
    </row>
    <row r="967" spans="10:12" x14ac:dyDescent="0.2">
      <c r="J967" s="77">
        <f t="shared" si="73"/>
        <v>100000</v>
      </c>
      <c r="K967" s="20">
        <f t="shared" si="74"/>
        <v>3</v>
      </c>
      <c r="L967" s="78">
        <f t="shared" si="72"/>
        <v>103663.2928437698</v>
      </c>
    </row>
    <row r="968" spans="10:12" x14ac:dyDescent="0.2">
      <c r="J968" s="77">
        <f t="shared" si="73"/>
        <v>100000</v>
      </c>
      <c r="K968" s="20">
        <f t="shared" si="74"/>
        <v>4</v>
      </c>
      <c r="L968" s="78">
        <f t="shared" si="72"/>
        <v>104913.97291363098</v>
      </c>
    </row>
    <row r="969" spans="10:12" x14ac:dyDescent="0.2">
      <c r="J969" s="77">
        <f t="shared" si="73"/>
        <v>100000</v>
      </c>
      <c r="K969" s="20">
        <f t="shared" si="74"/>
        <v>5</v>
      </c>
      <c r="L969" s="78">
        <f t="shared" si="72"/>
        <v>106179.74222669716</v>
      </c>
    </row>
    <row r="970" spans="10:12" x14ac:dyDescent="0.2">
      <c r="J970" s="77">
        <f t="shared" si="73"/>
        <v>100000</v>
      </c>
      <c r="K970" s="20">
        <f t="shared" si="74"/>
        <v>6</v>
      </c>
      <c r="L970" s="78">
        <f t="shared" si="72"/>
        <v>107460.78283213174</v>
      </c>
    </row>
    <row r="971" spans="10:12" x14ac:dyDescent="0.2">
      <c r="J971" s="77">
        <f t="shared" si="73"/>
        <v>100000</v>
      </c>
      <c r="K971" s="20">
        <f t="shared" si="74"/>
        <v>7</v>
      </c>
      <c r="L971" s="78">
        <f t="shared" si="72"/>
        <v>108757.27897549061</v>
      </c>
    </row>
    <row r="972" spans="10:12" x14ac:dyDescent="0.2">
      <c r="J972" s="77">
        <f t="shared" si="73"/>
        <v>100000</v>
      </c>
      <c r="K972" s="20">
        <f t="shared" si="74"/>
        <v>8</v>
      </c>
      <c r="L972" s="78">
        <f t="shared" si="72"/>
        <v>110069.41712522096</v>
      </c>
    </row>
    <row r="973" spans="10:12" x14ac:dyDescent="0.2">
      <c r="J973" s="77">
        <f t="shared" si="73"/>
        <v>100000</v>
      </c>
      <c r="K973" s="20">
        <f t="shared" si="74"/>
        <v>9</v>
      </c>
      <c r="L973" s="78">
        <f t="shared" si="72"/>
        <v>111397.38599948023</v>
      </c>
    </row>
    <row r="974" spans="10:12" x14ac:dyDescent="0.2">
      <c r="J974" s="77">
        <f t="shared" si="73"/>
        <v>100000</v>
      </c>
      <c r="K974" s="20">
        <f t="shared" si="74"/>
        <v>10</v>
      </c>
      <c r="L974" s="78">
        <f t="shared" si="72"/>
        <v>112741.37659327852</v>
      </c>
    </row>
    <row r="975" spans="10:12" x14ac:dyDescent="0.2">
      <c r="J975" s="77">
        <f t="shared" si="73"/>
        <v>100000</v>
      </c>
      <c r="K975" s="20">
        <f t="shared" si="74"/>
        <v>11</v>
      </c>
      <c r="L975" s="78">
        <f t="shared" si="72"/>
        <v>114101.5822059483</v>
      </c>
    </row>
    <row r="976" spans="10:12" x14ac:dyDescent="0.2">
      <c r="J976" s="77">
        <f t="shared" si="73"/>
        <v>100000</v>
      </c>
      <c r="K976" s="20">
        <f t="shared" si="74"/>
        <v>12</v>
      </c>
      <c r="L976" s="78">
        <f t="shared" si="72"/>
        <v>115478.19846894582</v>
      </c>
    </row>
    <row r="977" spans="10:12" x14ac:dyDescent="0.2">
      <c r="J977" s="77">
        <f t="shared" si="73"/>
        <v>100000</v>
      </c>
      <c r="K977" s="20">
        <f t="shared" si="74"/>
        <v>13</v>
      </c>
      <c r="L977" s="78">
        <f t="shared" si="72"/>
        <v>116871.42337398767</v>
      </c>
    </row>
    <row r="978" spans="10:12" x14ac:dyDescent="0.2">
      <c r="J978" s="77">
        <f t="shared" si="73"/>
        <v>100000</v>
      </c>
      <c r="K978" s="20">
        <f t="shared" si="74"/>
        <v>14</v>
      </c>
      <c r="L978" s="78">
        <f t="shared" si="72"/>
        <v>118281.45730152693</v>
      </c>
    </row>
    <row r="979" spans="10:12" x14ac:dyDescent="0.2">
      <c r="J979" s="77">
        <f t="shared" si="73"/>
        <v>100000</v>
      </c>
      <c r="K979" s="20">
        <f t="shared" si="74"/>
        <v>15</v>
      </c>
      <c r="L979" s="78">
        <f t="shared" si="72"/>
        <v>119708.50304957299</v>
      </c>
    </row>
    <row r="980" spans="10:12" x14ac:dyDescent="0.2">
      <c r="J980" s="77">
        <f t="shared" si="73"/>
        <v>100000</v>
      </c>
      <c r="K980" s="20">
        <f t="shared" si="74"/>
        <v>16</v>
      </c>
      <c r="L980" s="78">
        <f t="shared" si="72"/>
        <v>121152.76586285885</v>
      </c>
    </row>
    <row r="981" spans="10:12" x14ac:dyDescent="0.2">
      <c r="J981" s="77">
        <f t="shared" si="73"/>
        <v>100000</v>
      </c>
      <c r="K981" s="20">
        <f t="shared" si="74"/>
        <v>17</v>
      </c>
      <c r="L981" s="78">
        <f t="shared" si="72"/>
        <v>122614.4534623604</v>
      </c>
    </row>
    <row r="982" spans="10:12" x14ac:dyDescent="0.2">
      <c r="J982" s="77">
        <f t="shared" si="73"/>
        <v>100000</v>
      </c>
      <c r="K982" s="20">
        <f t="shared" si="74"/>
        <v>18</v>
      </c>
      <c r="L982" s="78">
        <f t="shared" si="72"/>
        <v>124093.77607517196</v>
      </c>
    </row>
    <row r="983" spans="10:12" x14ac:dyDescent="0.2">
      <c r="J983" s="77">
        <f t="shared" si="73"/>
        <v>100000</v>
      </c>
      <c r="K983" s="20">
        <f t="shared" si="74"/>
        <v>19</v>
      </c>
      <c r="L983" s="78">
        <f t="shared" si="72"/>
        <v>125590.94646474214</v>
      </c>
    </row>
    <row r="984" spans="10:12" x14ac:dyDescent="0.2">
      <c r="J984" s="77">
        <f t="shared" si="73"/>
        <v>100000</v>
      </c>
      <c r="K984" s="20">
        <f t="shared" si="74"/>
        <v>20</v>
      </c>
      <c r="L984" s="78">
        <f t="shared" si="72"/>
        <v>127106.17996147448</v>
      </c>
    </row>
    <row r="985" spans="10:12" x14ac:dyDescent="0.2">
      <c r="J985" s="77">
        <f t="shared" si="73"/>
        <v>100000</v>
      </c>
      <c r="K985" s="20">
        <f t="shared" si="74"/>
        <v>21</v>
      </c>
      <c r="L985" s="78">
        <f t="shared" si="72"/>
        <v>128639.69449369745</v>
      </c>
    </row>
    <row r="986" spans="10:12" x14ac:dyDescent="0.2">
      <c r="J986" s="77">
        <f t="shared" si="73"/>
        <v>100000</v>
      </c>
      <c r="K986" s="20">
        <f t="shared" si="74"/>
        <v>22</v>
      </c>
      <c r="L986" s="78">
        <f t="shared" si="72"/>
        <v>130191.71061900779</v>
      </c>
    </row>
    <row r="987" spans="10:12" x14ac:dyDescent="0.2">
      <c r="J987" s="77">
        <f t="shared" si="73"/>
        <v>100000</v>
      </c>
      <c r="K987" s="20">
        <f t="shared" si="74"/>
        <v>23</v>
      </c>
      <c r="L987" s="78">
        <f t="shared" si="72"/>
        <v>131762.45155599236</v>
      </c>
    </row>
    <row r="988" spans="10:12" x14ac:dyDescent="0.2">
      <c r="J988" s="77">
        <f t="shared" si="73"/>
        <v>100000</v>
      </c>
      <c r="K988" s="20">
        <f t="shared" si="74"/>
        <v>24</v>
      </c>
      <c r="L988" s="78">
        <f t="shared" si="72"/>
        <v>133352.14321633239</v>
      </c>
    </row>
    <row r="989" spans="10:12" x14ac:dyDescent="0.2">
      <c r="J989" s="77">
        <f t="shared" si="73"/>
        <v>100000</v>
      </c>
      <c r="K989" s="20">
        <f t="shared" si="74"/>
        <v>25</v>
      </c>
      <c r="L989" s="78">
        <f t="shared" si="72"/>
        <v>134961.0142372954</v>
      </c>
    </row>
    <row r="990" spans="10:12" x14ac:dyDescent="0.2">
      <c r="J990" s="77">
        <f t="shared" si="73"/>
        <v>100000</v>
      </c>
      <c r="K990" s="20">
        <f t="shared" si="74"/>
        <v>26</v>
      </c>
      <c r="L990" s="78">
        <f t="shared" si="72"/>
        <v>136589.29601461865</v>
      </c>
    </row>
    <row r="991" spans="10:12" x14ac:dyDescent="0.2">
      <c r="J991" s="77">
        <f t="shared" si="73"/>
        <v>100000</v>
      </c>
      <c r="K991" s="20">
        <f t="shared" si="74"/>
        <v>27</v>
      </c>
      <c r="L991" s="78">
        <f t="shared" si="72"/>
        <v>138237.22273578998</v>
      </c>
    </row>
    <row r="992" spans="10:12" x14ac:dyDescent="0.2">
      <c r="J992" s="77">
        <f t="shared" si="73"/>
        <v>100000</v>
      </c>
      <c r="K992" s="20">
        <f t="shared" si="74"/>
        <v>28</v>
      </c>
      <c r="L992" s="78">
        <f t="shared" si="72"/>
        <v>139905.03141372939</v>
      </c>
    </row>
    <row r="993" spans="10:12" x14ac:dyDescent="0.2">
      <c r="J993" s="77">
        <f t="shared" si="73"/>
        <v>100000</v>
      </c>
      <c r="K993" s="20">
        <f t="shared" si="74"/>
        <v>29</v>
      </c>
      <c r="L993" s="78">
        <f t="shared" si="72"/>
        <v>141592.96192087774</v>
      </c>
    </row>
    <row r="994" spans="10:12" x14ac:dyDescent="0.2">
      <c r="J994" s="77">
        <f t="shared" si="73"/>
        <v>100000</v>
      </c>
      <c r="K994" s="20">
        <f t="shared" si="74"/>
        <v>30</v>
      </c>
      <c r="L994" s="78">
        <f t="shared" si="72"/>
        <v>143301.25702369629</v>
      </c>
    </row>
    <row r="995" spans="10:12" x14ac:dyDescent="0.2">
      <c r="J995" s="77">
        <f t="shared" si="73"/>
        <v>100000</v>
      </c>
      <c r="K995" s="20">
        <f t="shared" si="74"/>
        <v>31</v>
      </c>
      <c r="L995" s="78">
        <f t="shared" si="72"/>
        <v>145030.16241758241</v>
      </c>
    </row>
    <row r="996" spans="10:12" x14ac:dyDescent="0.2">
      <c r="J996" s="77">
        <f t="shared" si="73"/>
        <v>100000</v>
      </c>
      <c r="K996" s="20">
        <f t="shared" si="74"/>
        <v>32</v>
      </c>
      <c r="L996" s="78">
        <f t="shared" si="72"/>
        <v>146779.92676220697</v>
      </c>
    </row>
    <row r="997" spans="10:12" x14ac:dyDescent="0.2">
      <c r="J997" s="77">
        <f t="shared" si="73"/>
        <v>100000</v>
      </c>
      <c r="K997" s="20">
        <f t="shared" si="74"/>
        <v>33</v>
      </c>
      <c r="L997" s="78">
        <f t="shared" si="72"/>
        <v>148550.8017172775</v>
      </c>
    </row>
    <row r="998" spans="10:12" x14ac:dyDescent="0.2">
      <c r="J998" s="77">
        <f t="shared" si="73"/>
        <v>100000</v>
      </c>
      <c r="K998" s="20">
        <f t="shared" si="74"/>
        <v>34</v>
      </c>
      <c r="L998" s="78">
        <f t="shared" si="72"/>
        <v>150343.04197873344</v>
      </c>
    </row>
    <row r="999" spans="10:12" x14ac:dyDescent="0.2">
      <c r="J999" s="77">
        <f t="shared" si="73"/>
        <v>100000</v>
      </c>
      <c r="K999" s="20">
        <f t="shared" si="74"/>
        <v>35</v>
      </c>
      <c r="L999" s="78">
        <f t="shared" si="72"/>
        <v>152156.90531537746</v>
      </c>
    </row>
    <row r="1000" spans="10:12" x14ac:dyDescent="0.2">
      <c r="J1000" s="77">
        <f t="shared" si="73"/>
        <v>100000</v>
      </c>
      <c r="K1000" s="20">
        <f t="shared" si="74"/>
        <v>36</v>
      </c>
      <c r="L1000" s="78">
        <f t="shared" si="72"/>
        <v>153992.6526059492</v>
      </c>
    </row>
    <row r="1001" spans="10:12" x14ac:dyDescent="0.2">
      <c r="J1001" s="77">
        <f t="shared" si="73"/>
        <v>100000</v>
      </c>
      <c r="K1001" s="20">
        <f t="shared" si="74"/>
        <v>37</v>
      </c>
      <c r="L1001" s="78">
        <f t="shared" si="72"/>
        <v>155850.54787664622</v>
      </c>
    </row>
    <row r="1002" spans="10:12" x14ac:dyDescent="0.2">
      <c r="J1002" s="77">
        <f t="shared" si="73"/>
        <v>100000</v>
      </c>
      <c r="K1002" s="20">
        <f t="shared" si="74"/>
        <v>38</v>
      </c>
      <c r="L1002" s="78">
        <f t="shared" si="72"/>
        <v>157730.85833909726</v>
      </c>
    </row>
    <row r="1003" spans="10:12" x14ac:dyDescent="0.2">
      <c r="J1003" s="77">
        <f t="shared" si="73"/>
        <v>100000</v>
      </c>
      <c r="K1003" s="20">
        <f t="shared" si="74"/>
        <v>39</v>
      </c>
      <c r="L1003" s="78">
        <f t="shared" si="72"/>
        <v>159633.85442879423</v>
      </c>
    </row>
    <row r="1004" spans="10:12" x14ac:dyDescent="0.2">
      <c r="J1004" s="77">
        <f t="shared" si="73"/>
        <v>100000</v>
      </c>
      <c r="K1004" s="20">
        <f t="shared" si="74"/>
        <v>40</v>
      </c>
      <c r="L1004" s="78">
        <f t="shared" si="72"/>
        <v>161559.8098439874</v>
      </c>
    </row>
    <row r="1005" spans="10:12" x14ac:dyDescent="0.2">
      <c r="J1005" s="77">
        <f t="shared" si="73"/>
        <v>100000</v>
      </c>
      <c r="K1005" s="20">
        <f t="shared" si="74"/>
        <v>41</v>
      </c>
      <c r="L1005" s="78">
        <f t="shared" si="72"/>
        <v>163509.00158505008</v>
      </c>
    </row>
    <row r="1006" spans="10:12" x14ac:dyDescent="0.2">
      <c r="J1006" s="77">
        <f t="shared" si="73"/>
        <v>100000</v>
      </c>
      <c r="K1006" s="20">
        <f t="shared" si="74"/>
        <v>42</v>
      </c>
      <c r="L1006" s="78">
        <f t="shared" si="72"/>
        <v>165481.70999431814</v>
      </c>
    </row>
    <row r="1007" spans="10:12" x14ac:dyDescent="0.2">
      <c r="J1007" s="77">
        <f t="shared" si="73"/>
        <v>100000</v>
      </c>
      <c r="K1007" s="20">
        <f t="shared" si="74"/>
        <v>43</v>
      </c>
      <c r="L1007" s="78">
        <f t="shared" si="72"/>
        <v>167478.21879641031</v>
      </c>
    </row>
    <row r="1008" spans="10:12" x14ac:dyDescent="0.2">
      <c r="J1008" s="77">
        <f t="shared" si="73"/>
        <v>100000</v>
      </c>
      <c r="K1008" s="20">
        <f t="shared" si="74"/>
        <v>44</v>
      </c>
      <c r="L1008" s="78">
        <f t="shared" si="72"/>
        <v>169498.81513903468</v>
      </c>
    </row>
    <row r="1009" spans="10:12" x14ac:dyDescent="0.2">
      <c r="J1009" s="77">
        <f t="shared" si="73"/>
        <v>100000</v>
      </c>
      <c r="K1009" s="20">
        <f t="shared" si="74"/>
        <v>45</v>
      </c>
      <c r="L1009" s="78">
        <f t="shared" si="72"/>
        <v>171543.78963428791</v>
      </c>
    </row>
    <row r="1010" spans="10:12" x14ac:dyDescent="0.2">
      <c r="J1010" s="77">
        <f t="shared" si="73"/>
        <v>100000</v>
      </c>
      <c r="K1010" s="20">
        <f t="shared" si="74"/>
        <v>46</v>
      </c>
      <c r="L1010" s="78">
        <f t="shared" si="72"/>
        <v>173613.43640045234</v>
      </c>
    </row>
    <row r="1011" spans="10:12" x14ac:dyDescent="0.2">
      <c r="J1011" s="77">
        <f t="shared" si="73"/>
        <v>100000</v>
      </c>
      <c r="K1011" s="20">
        <f t="shared" si="74"/>
        <v>47</v>
      </c>
      <c r="L1011" s="78">
        <f t="shared" si="72"/>
        <v>175708.05310429755</v>
      </c>
    </row>
    <row r="1012" spans="10:12" x14ac:dyDescent="0.2">
      <c r="J1012" s="77">
        <f t="shared" si="73"/>
        <v>100000</v>
      </c>
      <c r="K1012" s="20">
        <f t="shared" si="74"/>
        <v>48</v>
      </c>
      <c r="L1012" s="78">
        <f t="shared" si="72"/>
        <v>177827.94100389231</v>
      </c>
    </row>
    <row r="1013" spans="10:12" x14ac:dyDescent="0.2">
      <c r="J1013" s="77">
        <f t="shared" si="73"/>
        <v>100000</v>
      </c>
      <c r="K1013" s="20">
        <f t="shared" si="74"/>
        <v>49</v>
      </c>
      <c r="L1013" s="78">
        <f t="shared" si="72"/>
        <v>179973.40499193294</v>
      </c>
    </row>
    <row r="1014" spans="10:12" x14ac:dyDescent="0.2">
      <c r="J1014" s="77">
        <f t="shared" si="73"/>
        <v>100000</v>
      </c>
      <c r="K1014" s="20">
        <f t="shared" si="74"/>
        <v>50</v>
      </c>
      <c r="L1014" s="78">
        <f t="shared" si="72"/>
        <v>182144.75363959454</v>
      </c>
    </row>
    <row r="1015" spans="10:12" x14ac:dyDescent="0.2">
      <c r="J1015" s="77">
        <f t="shared" si="73"/>
        <v>100000</v>
      </c>
      <c r="K1015" s="20">
        <f t="shared" si="74"/>
        <v>51</v>
      </c>
      <c r="L1015" s="78">
        <f t="shared" si="72"/>
        <v>184342.29924091106</v>
      </c>
    </row>
    <row r="1016" spans="10:12" x14ac:dyDescent="0.2">
      <c r="J1016" s="77">
        <f t="shared" si="73"/>
        <v>100000</v>
      </c>
      <c r="K1016" s="20">
        <f t="shared" si="74"/>
        <v>52</v>
      </c>
      <c r="L1016" s="78">
        <f t="shared" si="72"/>
        <v>186566.35785769121</v>
      </c>
    </row>
    <row r="1017" spans="10:12" x14ac:dyDescent="0.2">
      <c r="J1017" s="77">
        <f t="shared" si="73"/>
        <v>100000</v>
      </c>
      <c r="K1017" s="20">
        <f t="shared" si="74"/>
        <v>53</v>
      </c>
      <c r="L1017" s="78">
        <f t="shared" si="72"/>
        <v>188817.2493649759</v>
      </c>
    </row>
    <row r="1018" spans="10:12" x14ac:dyDescent="0.2">
      <c r="J1018" s="77">
        <f t="shared" si="73"/>
        <v>100000</v>
      </c>
      <c r="K1018" s="20">
        <f t="shared" si="74"/>
        <v>54</v>
      </c>
      <c r="L1018" s="78">
        <f t="shared" si="72"/>
        <v>191095.29749704406</v>
      </c>
    </row>
    <row r="1019" spans="10:12" x14ac:dyDescent="0.2">
      <c r="J1019" s="77">
        <f t="shared" si="73"/>
        <v>100000</v>
      </c>
      <c r="K1019" s="20">
        <f t="shared" si="74"/>
        <v>55</v>
      </c>
      <c r="L1019" s="78">
        <f t="shared" si="72"/>
        <v>193400.82989397398</v>
      </c>
    </row>
    <row r="1020" spans="10:12" x14ac:dyDescent="0.2">
      <c r="J1020" s="77">
        <f t="shared" si="73"/>
        <v>100000</v>
      </c>
      <c r="K1020" s="20">
        <f t="shared" si="74"/>
        <v>56</v>
      </c>
      <c r="L1020" s="78">
        <f t="shared" si="72"/>
        <v>195734.17814876605</v>
      </c>
    </row>
    <row r="1021" spans="10:12" x14ac:dyDescent="0.2">
      <c r="J1021" s="77">
        <f t="shared" si="73"/>
        <v>100000</v>
      </c>
      <c r="K1021" s="20">
        <f t="shared" si="74"/>
        <v>57</v>
      </c>
      <c r="L1021" s="78">
        <f t="shared" si="72"/>
        <v>198095.67785503389</v>
      </c>
    </row>
    <row r="1022" spans="10:12" x14ac:dyDescent="0.2">
      <c r="J1022" s="77">
        <f t="shared" si="73"/>
        <v>100000</v>
      </c>
      <c r="K1022" s="20">
        <f t="shared" si="74"/>
        <v>58</v>
      </c>
      <c r="L1022" s="78">
        <f t="shared" si="72"/>
        <v>200485.66865527135</v>
      </c>
    </row>
    <row r="1023" spans="10:12" x14ac:dyDescent="0.2">
      <c r="J1023" s="77">
        <f t="shared" si="73"/>
        <v>100000</v>
      </c>
      <c r="K1023" s="20">
        <f t="shared" si="74"/>
        <v>59</v>
      </c>
      <c r="L1023" s="78">
        <f t="shared" si="72"/>
        <v>202904.49428970146</v>
      </c>
    </row>
    <row r="1024" spans="10:12" x14ac:dyDescent="0.2">
      <c r="J1024" s="77">
        <f t="shared" si="73"/>
        <v>100000</v>
      </c>
      <c r="K1024" s="20">
        <f t="shared" si="74"/>
        <v>60</v>
      </c>
      <c r="L1024" s="78">
        <f t="shared" si="72"/>
        <v>205352.50264571462</v>
      </c>
    </row>
    <row r="1025" spans="10:12" x14ac:dyDescent="0.2">
      <c r="J1025" s="77">
        <f t="shared" si="73"/>
        <v>100000</v>
      </c>
      <c r="K1025" s="20">
        <f t="shared" si="74"/>
        <v>61</v>
      </c>
      <c r="L1025" s="78">
        <f t="shared" si="72"/>
        <v>207830.04580790392</v>
      </c>
    </row>
    <row r="1026" spans="10:12" x14ac:dyDescent="0.2">
      <c r="J1026" s="77">
        <f t="shared" si="73"/>
        <v>100000</v>
      </c>
      <c r="K1026" s="20">
        <f t="shared" si="74"/>
        <v>62</v>
      </c>
      <c r="L1026" s="78">
        <f t="shared" si="72"/>
        <v>210337.48010870337</v>
      </c>
    </row>
    <row r="1027" spans="10:12" x14ac:dyDescent="0.2">
      <c r="J1027" s="77">
        <f t="shared" si="73"/>
        <v>100000</v>
      </c>
      <c r="K1027" s="20">
        <f t="shared" si="74"/>
        <v>63</v>
      </c>
      <c r="L1027" s="78">
        <f t="shared" si="72"/>
        <v>212875.16617963728</v>
      </c>
    </row>
    <row r="1028" spans="10:12" x14ac:dyDescent="0.2">
      <c r="J1028" s="77">
        <f t="shared" si="73"/>
        <v>100000</v>
      </c>
      <c r="K1028" s="20">
        <f t="shared" si="74"/>
        <v>64</v>
      </c>
      <c r="L1028" s="78">
        <f t="shared" si="72"/>
        <v>215443.46900318839</v>
      </c>
    </row>
    <row r="1029" spans="10:12" x14ac:dyDescent="0.2">
      <c r="J1029" s="77">
        <f t="shared" si="73"/>
        <v>100000</v>
      </c>
      <c r="K1029" s="20">
        <f t="shared" si="74"/>
        <v>65</v>
      </c>
      <c r="L1029" s="78">
        <f t="shared" ref="L1029:L1092" si="75">J1029*10^(K1029/192)</f>
        <v>218042.75796529121</v>
      </c>
    </row>
    <row r="1030" spans="10:12" x14ac:dyDescent="0.2">
      <c r="J1030" s="77">
        <f t="shared" ref="J1030:J1093" si="76">J838*10</f>
        <v>100000</v>
      </c>
      <c r="K1030" s="20">
        <f t="shared" ref="K1030:K1093" si="77">K1029+1</f>
        <v>66</v>
      </c>
      <c r="L1030" s="78">
        <f t="shared" si="75"/>
        <v>220673.406908459</v>
      </c>
    </row>
    <row r="1031" spans="10:12" x14ac:dyDescent="0.2">
      <c r="J1031" s="77">
        <f t="shared" si="76"/>
        <v>100000</v>
      </c>
      <c r="K1031" s="20">
        <f t="shared" si="77"/>
        <v>67</v>
      </c>
      <c r="L1031" s="78">
        <f t="shared" si="75"/>
        <v>223335.79418555161</v>
      </c>
    </row>
    <row r="1032" spans="10:12" x14ac:dyDescent="0.2">
      <c r="J1032" s="77">
        <f t="shared" si="76"/>
        <v>100000</v>
      </c>
      <c r="K1032" s="20">
        <f t="shared" si="77"/>
        <v>68</v>
      </c>
      <c r="L1032" s="78">
        <f t="shared" si="75"/>
        <v>226030.30271419202</v>
      </c>
    </row>
    <row r="1033" spans="10:12" x14ac:dyDescent="0.2">
      <c r="J1033" s="77">
        <f t="shared" si="76"/>
        <v>100000</v>
      </c>
      <c r="K1033" s="20">
        <f t="shared" si="77"/>
        <v>69</v>
      </c>
      <c r="L1033" s="78">
        <f t="shared" si="75"/>
        <v>228757.32003183963</v>
      </c>
    </row>
    <row r="1034" spans="10:12" x14ac:dyDescent="0.2">
      <c r="J1034" s="77">
        <f t="shared" si="76"/>
        <v>100000</v>
      </c>
      <c r="K1034" s="20">
        <f t="shared" si="77"/>
        <v>70</v>
      </c>
      <c r="L1034" s="78">
        <f t="shared" si="75"/>
        <v>231517.23835152734</v>
      </c>
    </row>
    <row r="1035" spans="10:12" x14ac:dyDescent="0.2">
      <c r="J1035" s="77">
        <f t="shared" si="76"/>
        <v>100000</v>
      </c>
      <c r="K1035" s="20">
        <f t="shared" si="77"/>
        <v>71</v>
      </c>
      <c r="L1035" s="78">
        <f t="shared" si="75"/>
        <v>234310.45461827226</v>
      </c>
    </row>
    <row r="1036" spans="10:12" x14ac:dyDescent="0.2">
      <c r="J1036" s="77">
        <f t="shared" si="76"/>
        <v>100000</v>
      </c>
      <c r="K1036" s="20">
        <f t="shared" si="77"/>
        <v>72</v>
      </c>
      <c r="L1036" s="78">
        <f t="shared" si="75"/>
        <v>237137.37056616554</v>
      </c>
    </row>
    <row r="1037" spans="10:12" x14ac:dyDescent="0.2">
      <c r="J1037" s="77">
        <f t="shared" si="76"/>
        <v>100000</v>
      </c>
      <c r="K1037" s="20">
        <f t="shared" si="77"/>
        <v>73</v>
      </c>
      <c r="L1037" s="78">
        <f t="shared" si="75"/>
        <v>239998.39277615232</v>
      </c>
    </row>
    <row r="1038" spans="10:12" x14ac:dyDescent="0.2">
      <c r="J1038" s="77">
        <f t="shared" si="76"/>
        <v>100000</v>
      </c>
      <c r="K1038" s="20">
        <f t="shared" si="77"/>
        <v>74</v>
      </c>
      <c r="L1038" s="78">
        <f t="shared" si="75"/>
        <v>242893.93273450792</v>
      </c>
    </row>
    <row r="1039" spans="10:12" x14ac:dyDescent="0.2">
      <c r="J1039" s="77">
        <f t="shared" si="76"/>
        <v>100000</v>
      </c>
      <c r="K1039" s="20">
        <f t="shared" si="77"/>
        <v>75</v>
      </c>
      <c r="L1039" s="78">
        <f t="shared" si="75"/>
        <v>245824.40689201976</v>
      </c>
    </row>
    <row r="1040" spans="10:12" x14ac:dyDescent="0.2">
      <c r="J1040" s="77">
        <f t="shared" si="76"/>
        <v>100000</v>
      </c>
      <c r="K1040" s="20">
        <f t="shared" si="77"/>
        <v>76</v>
      </c>
      <c r="L1040" s="78">
        <f t="shared" si="75"/>
        <v>248790.23672388363</v>
      </c>
    </row>
    <row r="1041" spans="10:12" x14ac:dyDescent="0.2">
      <c r="J1041" s="77">
        <f t="shared" si="76"/>
        <v>100000</v>
      </c>
      <c r="K1041" s="20">
        <f t="shared" si="77"/>
        <v>77</v>
      </c>
      <c r="L1041" s="78">
        <f t="shared" si="75"/>
        <v>251791.84879032217</v>
      </c>
    </row>
    <row r="1042" spans="10:12" x14ac:dyDescent="0.2">
      <c r="J1042" s="77">
        <f t="shared" si="76"/>
        <v>100000</v>
      </c>
      <c r="K1042" s="20">
        <f t="shared" si="77"/>
        <v>78</v>
      </c>
      <c r="L1042" s="78">
        <f t="shared" si="75"/>
        <v>254829.67479793471</v>
      </c>
    </row>
    <row r="1043" spans="10:12" x14ac:dyDescent="0.2">
      <c r="J1043" s="77">
        <f t="shared" si="76"/>
        <v>100000</v>
      </c>
      <c r="K1043" s="20">
        <f t="shared" si="77"/>
        <v>79</v>
      </c>
      <c r="L1043" s="78">
        <f t="shared" si="75"/>
        <v>257904.15166178762</v>
      </c>
    </row>
    <row r="1044" spans="10:12" x14ac:dyDescent="0.2">
      <c r="J1044" s="77">
        <f t="shared" si="76"/>
        <v>100000</v>
      </c>
      <c r="K1044" s="20">
        <f t="shared" si="77"/>
        <v>80</v>
      </c>
      <c r="L1044" s="78">
        <f t="shared" si="75"/>
        <v>261015.72156825374</v>
      </c>
    </row>
    <row r="1045" spans="10:12" x14ac:dyDescent="0.2">
      <c r="J1045" s="77">
        <f t="shared" si="76"/>
        <v>100000</v>
      </c>
      <c r="K1045" s="20">
        <f t="shared" si="77"/>
        <v>81</v>
      </c>
      <c r="L1045" s="78">
        <f t="shared" si="75"/>
        <v>264164.83203860925</v>
      </c>
    </row>
    <row r="1046" spans="10:12" x14ac:dyDescent="0.2">
      <c r="J1046" s="77">
        <f t="shared" si="76"/>
        <v>100000</v>
      </c>
      <c r="K1046" s="20">
        <f t="shared" si="77"/>
        <v>82</v>
      </c>
      <c r="L1046" s="78">
        <f t="shared" si="75"/>
        <v>267351.93599339906</v>
      </c>
    </row>
    <row r="1047" spans="10:12" x14ac:dyDescent="0.2">
      <c r="J1047" s="77">
        <f t="shared" si="76"/>
        <v>100000</v>
      </c>
      <c r="K1047" s="20">
        <f t="shared" si="77"/>
        <v>83</v>
      </c>
      <c r="L1047" s="78">
        <f t="shared" si="75"/>
        <v>270577.49181757768</v>
      </c>
    </row>
    <row r="1048" spans="10:12" x14ac:dyDescent="0.2">
      <c r="J1048" s="77">
        <f t="shared" si="76"/>
        <v>100000</v>
      </c>
      <c r="K1048" s="20">
        <f t="shared" si="77"/>
        <v>84</v>
      </c>
      <c r="L1048" s="78">
        <f t="shared" si="75"/>
        <v>273841.96342643612</v>
      </c>
    </row>
    <row r="1049" spans="10:12" x14ac:dyDescent="0.2">
      <c r="J1049" s="77">
        <f t="shared" si="76"/>
        <v>100000</v>
      </c>
      <c r="K1049" s="20">
        <f t="shared" si="77"/>
        <v>85</v>
      </c>
      <c r="L1049" s="78">
        <f t="shared" si="75"/>
        <v>277145.82033232535</v>
      </c>
    </row>
    <row r="1050" spans="10:12" x14ac:dyDescent="0.2">
      <c r="J1050" s="77">
        <f t="shared" si="76"/>
        <v>100000</v>
      </c>
      <c r="K1050" s="20">
        <f t="shared" si="77"/>
        <v>86</v>
      </c>
      <c r="L1050" s="78">
        <f t="shared" si="75"/>
        <v>280489.53771218279</v>
      </c>
    </row>
    <row r="1051" spans="10:12" x14ac:dyDescent="0.2">
      <c r="J1051" s="77">
        <f t="shared" si="76"/>
        <v>100000</v>
      </c>
      <c r="K1051" s="20">
        <f t="shared" si="77"/>
        <v>87</v>
      </c>
      <c r="L1051" s="78">
        <f t="shared" si="75"/>
        <v>283873.59647587547</v>
      </c>
    </row>
    <row r="1052" spans="10:12" x14ac:dyDescent="0.2">
      <c r="J1052" s="77">
        <f t="shared" si="76"/>
        <v>100000</v>
      </c>
      <c r="K1052" s="20">
        <f t="shared" si="77"/>
        <v>88</v>
      </c>
      <c r="L1052" s="78">
        <f t="shared" si="75"/>
        <v>287298.48333536647</v>
      </c>
    </row>
    <row r="1053" spans="10:12" x14ac:dyDescent="0.2">
      <c r="J1053" s="77">
        <f t="shared" si="76"/>
        <v>100000</v>
      </c>
      <c r="K1053" s="20">
        <f t="shared" si="77"/>
        <v>89</v>
      </c>
      <c r="L1053" s="78">
        <f t="shared" si="75"/>
        <v>290764.69087471615</v>
      </c>
    </row>
    <row r="1054" spans="10:12" x14ac:dyDescent="0.2">
      <c r="J1054" s="77">
        <f t="shared" si="76"/>
        <v>100000</v>
      </c>
      <c r="K1054" s="20">
        <f t="shared" si="77"/>
        <v>90</v>
      </c>
      <c r="L1054" s="78">
        <f t="shared" si="75"/>
        <v>294272.71762092825</v>
      </c>
    </row>
    <row r="1055" spans="10:12" x14ac:dyDescent="0.2">
      <c r="J1055" s="77">
        <f t="shared" si="76"/>
        <v>100000</v>
      </c>
      <c r="K1055" s="20">
        <f t="shared" si="77"/>
        <v>91</v>
      </c>
      <c r="L1055" s="78">
        <f t="shared" si="75"/>
        <v>297823.06811565015</v>
      </c>
    </row>
    <row r="1056" spans="10:12" x14ac:dyDescent="0.2">
      <c r="J1056" s="77">
        <f t="shared" si="76"/>
        <v>100000</v>
      </c>
      <c r="K1056" s="20">
        <f t="shared" si="77"/>
        <v>92</v>
      </c>
      <c r="L1056" s="78">
        <f t="shared" si="75"/>
        <v>301416.25298773905</v>
      </c>
    </row>
    <row r="1057" spans="10:12" x14ac:dyDescent="0.2">
      <c r="J1057" s="77">
        <f t="shared" si="76"/>
        <v>100000</v>
      </c>
      <c r="K1057" s="20">
        <f t="shared" si="77"/>
        <v>93</v>
      </c>
      <c r="L1057" s="78">
        <f t="shared" si="75"/>
        <v>305052.78902670258</v>
      </c>
    </row>
    <row r="1058" spans="10:12" x14ac:dyDescent="0.2">
      <c r="J1058" s="77">
        <f t="shared" si="76"/>
        <v>100000</v>
      </c>
      <c r="K1058" s="20">
        <f t="shared" si="77"/>
        <v>94</v>
      </c>
      <c r="L1058" s="78">
        <f t="shared" si="75"/>
        <v>308733.19925702643</v>
      </c>
    </row>
    <row r="1059" spans="10:12" x14ac:dyDescent="0.2">
      <c r="J1059" s="77">
        <f t="shared" si="76"/>
        <v>100000</v>
      </c>
      <c r="K1059" s="20">
        <f t="shared" si="77"/>
        <v>95</v>
      </c>
      <c r="L1059" s="78">
        <f t="shared" si="75"/>
        <v>312458.01301339798</v>
      </c>
    </row>
    <row r="1060" spans="10:12" x14ac:dyDescent="0.2">
      <c r="J1060" s="77">
        <f t="shared" si="76"/>
        <v>100000</v>
      </c>
      <c r="K1060" s="20">
        <f t="shared" si="77"/>
        <v>96</v>
      </c>
      <c r="L1060" s="78">
        <f t="shared" si="75"/>
        <v>316227.76601683797</v>
      </c>
    </row>
    <row r="1061" spans="10:12" x14ac:dyDescent="0.2">
      <c r="J1061" s="77">
        <f t="shared" si="76"/>
        <v>100000</v>
      </c>
      <c r="K1061" s="20">
        <f t="shared" si="77"/>
        <v>97</v>
      </c>
      <c r="L1061" s="78">
        <f t="shared" si="75"/>
        <v>320043.00045175065</v>
      </c>
    </row>
    <row r="1062" spans="10:12" x14ac:dyDescent="0.2">
      <c r="J1062" s="77">
        <f t="shared" si="76"/>
        <v>100000</v>
      </c>
      <c r="K1062" s="20">
        <f t="shared" si="77"/>
        <v>98</v>
      </c>
      <c r="L1062" s="78">
        <f t="shared" si="75"/>
        <v>323904.26504390308</v>
      </c>
    </row>
    <row r="1063" spans="10:12" x14ac:dyDescent="0.2">
      <c r="J1063" s="77">
        <f t="shared" si="76"/>
        <v>100000</v>
      </c>
      <c r="K1063" s="20">
        <f t="shared" si="77"/>
        <v>99</v>
      </c>
      <c r="L1063" s="78">
        <f t="shared" si="75"/>
        <v>327812.11513934593</v>
      </c>
    </row>
    <row r="1064" spans="10:12" x14ac:dyDescent="0.2">
      <c r="J1064" s="77">
        <f t="shared" si="76"/>
        <v>100000</v>
      </c>
      <c r="K1064" s="20">
        <f t="shared" si="77"/>
        <v>100</v>
      </c>
      <c r="L1064" s="78">
        <f t="shared" si="75"/>
        <v>331767.1127842858</v>
      </c>
    </row>
    <row r="1065" spans="10:12" x14ac:dyDescent="0.2">
      <c r="J1065" s="77">
        <f t="shared" si="76"/>
        <v>100000</v>
      </c>
      <c r="K1065" s="20">
        <f t="shared" si="77"/>
        <v>101</v>
      </c>
      <c r="L1065" s="78">
        <f t="shared" si="75"/>
        <v>335769.8268059215</v>
      </c>
    </row>
    <row r="1066" spans="10:12" x14ac:dyDescent="0.2">
      <c r="J1066" s="77">
        <f t="shared" si="76"/>
        <v>100000</v>
      </c>
      <c r="K1066" s="20">
        <f t="shared" si="77"/>
        <v>102</v>
      </c>
      <c r="L1066" s="78">
        <f t="shared" si="75"/>
        <v>339820.83289425593</v>
      </c>
    </row>
    <row r="1067" spans="10:12" x14ac:dyDescent="0.2">
      <c r="J1067" s="77">
        <f t="shared" si="76"/>
        <v>100000</v>
      </c>
      <c r="K1067" s="20">
        <f t="shared" si="77"/>
        <v>103</v>
      </c>
      <c r="L1067" s="78">
        <f t="shared" si="75"/>
        <v>343920.71368489414</v>
      </c>
    </row>
    <row r="1068" spans="10:12" x14ac:dyDescent="0.2">
      <c r="J1068" s="77">
        <f t="shared" si="76"/>
        <v>100000</v>
      </c>
      <c r="K1068" s="20">
        <f t="shared" si="77"/>
        <v>104</v>
      </c>
      <c r="L1068" s="78">
        <f t="shared" si="75"/>
        <v>348070.05884284107</v>
      </c>
    </row>
    <row r="1069" spans="10:12" x14ac:dyDescent="0.2">
      <c r="J1069" s="77">
        <f t="shared" si="76"/>
        <v>100000</v>
      </c>
      <c r="K1069" s="20">
        <f t="shared" si="77"/>
        <v>105</v>
      </c>
      <c r="L1069" s="78">
        <f t="shared" si="75"/>
        <v>352269.46514731017</v>
      </c>
    </row>
    <row r="1070" spans="10:12" x14ac:dyDescent="0.2">
      <c r="J1070" s="77">
        <f t="shared" si="76"/>
        <v>100000</v>
      </c>
      <c r="K1070" s="20">
        <f t="shared" si="77"/>
        <v>106</v>
      </c>
      <c r="L1070" s="78">
        <f t="shared" si="75"/>
        <v>356519.53657755494</v>
      </c>
    </row>
    <row r="1071" spans="10:12" x14ac:dyDescent="0.2">
      <c r="J1071" s="77">
        <f t="shared" si="76"/>
        <v>100000</v>
      </c>
      <c r="K1071" s="20">
        <f t="shared" si="77"/>
        <v>107</v>
      </c>
      <c r="L1071" s="78">
        <f t="shared" si="75"/>
        <v>360820.88439973618</v>
      </c>
    </row>
    <row r="1072" spans="10:12" x14ac:dyDescent="0.2">
      <c r="J1072" s="77">
        <f t="shared" si="76"/>
        <v>100000</v>
      </c>
      <c r="K1072" s="20">
        <f t="shared" si="77"/>
        <v>108</v>
      </c>
      <c r="L1072" s="78">
        <f t="shared" si="75"/>
        <v>365174.12725483777</v>
      </c>
    </row>
    <row r="1073" spans="10:12" x14ac:dyDescent="0.2">
      <c r="J1073" s="77">
        <f t="shared" si="76"/>
        <v>100000</v>
      </c>
      <c r="K1073" s="20">
        <f t="shared" si="77"/>
        <v>109</v>
      </c>
      <c r="L1073" s="78">
        <f t="shared" si="75"/>
        <v>369579.89124764176</v>
      </c>
    </row>
    <row r="1074" spans="10:12" x14ac:dyDescent="0.2">
      <c r="J1074" s="77">
        <f t="shared" si="76"/>
        <v>100000</v>
      </c>
      <c r="K1074" s="20">
        <f t="shared" si="77"/>
        <v>110</v>
      </c>
      <c r="L1074" s="78">
        <f t="shared" si="75"/>
        <v>374038.81003677857</v>
      </c>
    </row>
    <row r="1075" spans="10:12" x14ac:dyDescent="0.2">
      <c r="J1075" s="77">
        <f t="shared" si="76"/>
        <v>100000</v>
      </c>
      <c r="K1075" s="20">
        <f t="shared" si="77"/>
        <v>111</v>
      </c>
      <c r="L1075" s="78">
        <f t="shared" si="75"/>
        <v>378551.52492586302</v>
      </c>
    </row>
    <row r="1076" spans="10:12" x14ac:dyDescent="0.2">
      <c r="J1076" s="77">
        <f t="shared" si="76"/>
        <v>100000</v>
      </c>
      <c r="K1076" s="20">
        <f t="shared" si="77"/>
        <v>112</v>
      </c>
      <c r="L1076" s="78">
        <f t="shared" si="75"/>
        <v>383118.68495572882</v>
      </c>
    </row>
    <row r="1077" spans="10:12" x14ac:dyDescent="0.2">
      <c r="J1077" s="77">
        <f t="shared" si="76"/>
        <v>100000</v>
      </c>
      <c r="K1077" s="20">
        <f t="shared" si="77"/>
        <v>113</v>
      </c>
      <c r="L1077" s="78">
        <f t="shared" si="75"/>
        <v>387740.94699777768</v>
      </c>
    </row>
    <row r="1078" spans="10:12" x14ac:dyDescent="0.2">
      <c r="J1078" s="77">
        <f t="shared" si="76"/>
        <v>100000</v>
      </c>
      <c r="K1078" s="20">
        <f t="shared" si="77"/>
        <v>114</v>
      </c>
      <c r="L1078" s="78">
        <f t="shared" si="75"/>
        <v>392418.97584845364</v>
      </c>
    </row>
    <row r="1079" spans="10:12" x14ac:dyDescent="0.2">
      <c r="J1079" s="77">
        <f t="shared" si="76"/>
        <v>100000</v>
      </c>
      <c r="K1079" s="20">
        <f t="shared" si="77"/>
        <v>115</v>
      </c>
      <c r="L1079" s="78">
        <f t="shared" si="75"/>
        <v>397153.44432485703</v>
      </c>
    </row>
    <row r="1080" spans="10:12" x14ac:dyDescent="0.2">
      <c r="J1080" s="77">
        <f t="shared" si="76"/>
        <v>100000</v>
      </c>
      <c r="K1080" s="20">
        <f t="shared" si="77"/>
        <v>116</v>
      </c>
      <c r="L1080" s="78">
        <f t="shared" si="75"/>
        <v>401945.03336151259</v>
      </c>
    </row>
    <row r="1081" spans="10:12" x14ac:dyDescent="0.2">
      <c r="J1081" s="77">
        <f t="shared" si="76"/>
        <v>100000</v>
      </c>
      <c r="K1081" s="20">
        <f t="shared" si="77"/>
        <v>117</v>
      </c>
      <c r="L1081" s="78">
        <f t="shared" si="75"/>
        <v>406794.43210830481</v>
      </c>
    </row>
    <row r="1082" spans="10:12" x14ac:dyDescent="0.2">
      <c r="J1082" s="77">
        <f t="shared" si="76"/>
        <v>100000</v>
      </c>
      <c r="K1082" s="20">
        <f t="shared" si="77"/>
        <v>118</v>
      </c>
      <c r="L1082" s="78">
        <f t="shared" si="75"/>
        <v>411702.3380295948</v>
      </c>
    </row>
    <row r="1083" spans="10:12" x14ac:dyDescent="0.2">
      <c r="J1083" s="77">
        <f t="shared" si="76"/>
        <v>100000</v>
      </c>
      <c r="K1083" s="20">
        <f t="shared" si="77"/>
        <v>119</v>
      </c>
      <c r="L1083" s="78">
        <f t="shared" si="75"/>
        <v>416669.45700453297</v>
      </c>
    </row>
    <row r="1084" spans="10:12" x14ac:dyDescent="0.2">
      <c r="J1084" s="77">
        <f t="shared" si="76"/>
        <v>100000</v>
      </c>
      <c r="K1084" s="20">
        <f t="shared" si="77"/>
        <v>120</v>
      </c>
      <c r="L1084" s="78">
        <f t="shared" si="75"/>
        <v>421696.50342858233</v>
      </c>
    </row>
    <row r="1085" spans="10:12" x14ac:dyDescent="0.2">
      <c r="J1085" s="77">
        <f t="shared" si="76"/>
        <v>100000</v>
      </c>
      <c r="K1085" s="20">
        <f t="shared" si="77"/>
        <v>121</v>
      </c>
      <c r="L1085" s="78">
        <f t="shared" si="75"/>
        <v>426784.20031626587</v>
      </c>
    </row>
    <row r="1086" spans="10:12" x14ac:dyDescent="0.2">
      <c r="J1086" s="77">
        <f t="shared" si="76"/>
        <v>100000</v>
      </c>
      <c r="K1086" s="20">
        <f t="shared" si="77"/>
        <v>122</v>
      </c>
      <c r="L1086" s="78">
        <f t="shared" si="75"/>
        <v>431933.27940515446</v>
      </c>
    </row>
    <row r="1087" spans="10:12" x14ac:dyDescent="0.2">
      <c r="J1087" s="77">
        <f t="shared" si="76"/>
        <v>100000</v>
      </c>
      <c r="K1087" s="20">
        <f t="shared" si="77"/>
        <v>123</v>
      </c>
      <c r="L1087" s="78">
        <f t="shared" si="75"/>
        <v>437144.481261109</v>
      </c>
    </row>
    <row r="1088" spans="10:12" x14ac:dyDescent="0.2">
      <c r="J1088" s="77">
        <f t="shared" si="76"/>
        <v>100000</v>
      </c>
      <c r="K1088" s="20">
        <f t="shared" si="77"/>
        <v>124</v>
      </c>
      <c r="L1088" s="78">
        <f t="shared" si="75"/>
        <v>442418.55538479181</v>
      </c>
    </row>
    <row r="1089" spans="10:12" x14ac:dyDescent="0.2">
      <c r="J1089" s="77">
        <f t="shared" si="76"/>
        <v>100000</v>
      </c>
      <c r="K1089" s="20">
        <f t="shared" si="77"/>
        <v>125</v>
      </c>
      <c r="L1089" s="78">
        <f t="shared" si="75"/>
        <v>447756.26031946373</v>
      </c>
    </row>
    <row r="1090" spans="10:12" x14ac:dyDescent="0.2">
      <c r="J1090" s="77">
        <f t="shared" si="76"/>
        <v>100000</v>
      </c>
      <c r="K1090" s="20">
        <f t="shared" si="77"/>
        <v>126</v>
      </c>
      <c r="L1090" s="78">
        <f t="shared" si="75"/>
        <v>453158.36376008188</v>
      </c>
    </row>
    <row r="1091" spans="10:12" x14ac:dyDescent="0.2">
      <c r="J1091" s="77">
        <f t="shared" si="76"/>
        <v>100000</v>
      </c>
      <c r="K1091" s="20">
        <f t="shared" si="77"/>
        <v>127</v>
      </c>
      <c r="L1091" s="78">
        <f t="shared" si="75"/>
        <v>458625.64266371261</v>
      </c>
    </row>
    <row r="1092" spans="10:12" x14ac:dyDescent="0.2">
      <c r="J1092" s="77">
        <f t="shared" si="76"/>
        <v>100000</v>
      </c>
      <c r="K1092" s="20">
        <f t="shared" si="77"/>
        <v>128</v>
      </c>
      <c r="L1092" s="78">
        <f t="shared" si="75"/>
        <v>464158.88336127793</v>
      </c>
    </row>
    <row r="1093" spans="10:12" x14ac:dyDescent="0.2">
      <c r="J1093" s="77">
        <f t="shared" si="76"/>
        <v>100000</v>
      </c>
      <c r="K1093" s="20">
        <f t="shared" si="77"/>
        <v>129</v>
      </c>
      <c r="L1093" s="78">
        <f t="shared" ref="L1093:L1156" si="78">J1093*10^(K1093/192)</f>
        <v>469758.88167064934</v>
      </c>
    </row>
    <row r="1094" spans="10:12" x14ac:dyDescent="0.2">
      <c r="J1094" s="77">
        <f t="shared" ref="J1094:J1157" si="79">J902*10</f>
        <v>100000</v>
      </c>
      <c r="K1094" s="20">
        <f t="shared" ref="K1094:K1139" si="80">K1093+1</f>
        <v>130</v>
      </c>
      <c r="L1094" s="78">
        <f t="shared" si="78"/>
        <v>475426.4430111057</v>
      </c>
    </row>
    <row r="1095" spans="10:12" x14ac:dyDescent="0.2">
      <c r="J1095" s="77">
        <f t="shared" si="79"/>
        <v>100000</v>
      </c>
      <c r="K1095" s="20">
        <f t="shared" si="80"/>
        <v>131</v>
      </c>
      <c r="L1095" s="78">
        <f t="shared" si="78"/>
        <v>481162.38251917338</v>
      </c>
    </row>
    <row r="1096" spans="10:12" x14ac:dyDescent="0.2">
      <c r="J1096" s="77">
        <f t="shared" si="79"/>
        <v>100000</v>
      </c>
      <c r="K1096" s="20">
        <f t="shared" si="80"/>
        <v>132</v>
      </c>
      <c r="L1096" s="78">
        <f t="shared" si="78"/>
        <v>486967.52516586316</v>
      </c>
    </row>
    <row r="1097" spans="10:12" x14ac:dyDescent="0.2">
      <c r="J1097" s="77">
        <f t="shared" si="79"/>
        <v>100000</v>
      </c>
      <c r="K1097" s="20">
        <f t="shared" si="80"/>
        <v>133</v>
      </c>
      <c r="L1097" s="78">
        <f t="shared" si="78"/>
        <v>492842.70587532077</v>
      </c>
    </row>
    <row r="1098" spans="10:12" x14ac:dyDescent="0.2">
      <c r="J1098" s="77">
        <f t="shared" si="79"/>
        <v>100000</v>
      </c>
      <c r="K1098" s="20">
        <f t="shared" si="80"/>
        <v>134</v>
      </c>
      <c r="L1098" s="78">
        <f t="shared" si="78"/>
        <v>498788.76964491059</v>
      </c>
    </row>
    <row r="1099" spans="10:12" x14ac:dyDescent="0.2">
      <c r="J1099" s="77">
        <f t="shared" si="79"/>
        <v>100000</v>
      </c>
      <c r="K1099" s="20">
        <f t="shared" si="80"/>
        <v>135</v>
      </c>
      <c r="L1099" s="78">
        <f t="shared" si="78"/>
        <v>504806.57166674716</v>
      </c>
    </row>
    <row r="1100" spans="10:12" x14ac:dyDescent="0.2">
      <c r="J1100" s="77">
        <f t="shared" si="79"/>
        <v>100000</v>
      </c>
      <c r="K1100" s="20">
        <f t="shared" si="80"/>
        <v>136</v>
      </c>
      <c r="L1100" s="78">
        <f t="shared" si="78"/>
        <v>510896.97745069291</v>
      </c>
    </row>
    <row r="1101" spans="10:12" x14ac:dyDescent="0.2">
      <c r="J1101" s="77">
        <f t="shared" si="79"/>
        <v>100000</v>
      </c>
      <c r="K1101" s="20">
        <f t="shared" si="80"/>
        <v>137</v>
      </c>
      <c r="L1101" s="78">
        <f t="shared" si="78"/>
        <v>517060.86294884008</v>
      </c>
    </row>
    <row r="1102" spans="10:12" x14ac:dyDescent="0.2">
      <c r="J1102" s="77">
        <f t="shared" si="79"/>
        <v>100000</v>
      </c>
      <c r="K1102" s="20">
        <f t="shared" si="80"/>
        <v>138</v>
      </c>
      <c r="L1102" s="78">
        <f t="shared" si="78"/>
        <v>523299.11468149477</v>
      </c>
    </row>
    <row r="1103" spans="10:12" x14ac:dyDescent="0.2">
      <c r="J1103" s="77">
        <f t="shared" si="79"/>
        <v>100000</v>
      </c>
      <c r="K1103" s="20">
        <f t="shared" si="80"/>
        <v>139</v>
      </c>
      <c r="L1103" s="78">
        <f t="shared" si="78"/>
        <v>529612.62986468046</v>
      </c>
    </row>
    <row r="1104" spans="10:12" x14ac:dyDescent="0.2">
      <c r="J1104" s="77">
        <f t="shared" si="79"/>
        <v>100000</v>
      </c>
      <c r="K1104" s="20">
        <f t="shared" si="80"/>
        <v>140</v>
      </c>
      <c r="L1104" s="78">
        <f t="shared" si="78"/>
        <v>536002.31653917918</v>
      </c>
    </row>
    <row r="1105" spans="10:12" x14ac:dyDescent="0.2">
      <c r="J1105" s="77">
        <f t="shared" si="79"/>
        <v>100000</v>
      </c>
      <c r="K1105" s="20">
        <f t="shared" si="80"/>
        <v>141</v>
      </c>
      <c r="L1105" s="78">
        <f t="shared" si="78"/>
        <v>542469.09370113269</v>
      </c>
    </row>
    <row r="1106" spans="10:12" x14ac:dyDescent="0.2">
      <c r="J1106" s="77">
        <f t="shared" si="79"/>
        <v>100000</v>
      </c>
      <c r="K1106" s="20">
        <f t="shared" si="80"/>
        <v>142</v>
      </c>
      <c r="L1106" s="78">
        <f t="shared" si="78"/>
        <v>549013.89143421419</v>
      </c>
    </row>
    <row r="1107" spans="10:12" x14ac:dyDescent="0.2">
      <c r="J1107" s="77">
        <f t="shared" si="79"/>
        <v>100000</v>
      </c>
      <c r="K1107" s="20">
        <f t="shared" si="80"/>
        <v>143</v>
      </c>
      <c r="L1107" s="78">
        <f t="shared" si="78"/>
        <v>555637.65104339935</v>
      </c>
    </row>
    <row r="1108" spans="10:12" x14ac:dyDescent="0.2">
      <c r="J1108" s="77">
        <f t="shared" si="79"/>
        <v>100000</v>
      </c>
      <c r="K1108" s="20">
        <f t="shared" si="80"/>
        <v>144</v>
      </c>
      <c r="L1108" s="78">
        <f t="shared" si="78"/>
        <v>562341.32519034925</v>
      </c>
    </row>
    <row r="1109" spans="10:12" x14ac:dyDescent="0.2">
      <c r="J1109" s="77">
        <f t="shared" si="79"/>
        <v>100000</v>
      </c>
      <c r="K1109" s="20">
        <f t="shared" si="80"/>
        <v>145</v>
      </c>
      <c r="L1109" s="78">
        <f t="shared" si="78"/>
        <v>569125.87803042587</v>
      </c>
    </row>
    <row r="1110" spans="10:12" x14ac:dyDescent="0.2">
      <c r="J1110" s="77">
        <f t="shared" si="79"/>
        <v>100000</v>
      </c>
      <c r="K1110" s="20">
        <f t="shared" si="80"/>
        <v>146</v>
      </c>
      <c r="L1110" s="78">
        <f t="shared" si="78"/>
        <v>575992.28535136278</v>
      </c>
    </row>
    <row r="1111" spans="10:12" x14ac:dyDescent="0.2">
      <c r="J1111" s="77">
        <f t="shared" si="79"/>
        <v>100000</v>
      </c>
      <c r="K1111" s="20">
        <f t="shared" si="80"/>
        <v>147</v>
      </c>
      <c r="L1111" s="78">
        <f t="shared" si="78"/>
        <v>582941.53471360751</v>
      </c>
    </row>
    <row r="1112" spans="10:12" x14ac:dyDescent="0.2">
      <c r="J1112" s="77">
        <f t="shared" si="79"/>
        <v>100000</v>
      </c>
      <c r="K1112" s="20">
        <f t="shared" si="80"/>
        <v>148</v>
      </c>
      <c r="L1112" s="78">
        <f t="shared" si="78"/>
        <v>589974.62559235655</v>
      </c>
    </row>
    <row r="1113" spans="10:12" x14ac:dyDescent="0.2">
      <c r="J1113" s="77">
        <f t="shared" si="79"/>
        <v>100000</v>
      </c>
      <c r="K1113" s="20">
        <f t="shared" si="80"/>
        <v>149</v>
      </c>
      <c r="L1113" s="78">
        <f t="shared" si="78"/>
        <v>597092.56952130538</v>
      </c>
    </row>
    <row r="1114" spans="10:12" x14ac:dyDescent="0.2">
      <c r="J1114" s="77">
        <f t="shared" si="79"/>
        <v>100000</v>
      </c>
      <c r="K1114" s="20">
        <f t="shared" si="80"/>
        <v>150</v>
      </c>
      <c r="L1114" s="78">
        <f t="shared" si="78"/>
        <v>604296.39023813291</v>
      </c>
    </row>
    <row r="1115" spans="10:12" x14ac:dyDescent="0.2">
      <c r="J1115" s="77">
        <f t="shared" si="79"/>
        <v>100000</v>
      </c>
      <c r="K1115" s="20">
        <f t="shared" si="80"/>
        <v>151</v>
      </c>
      <c r="L1115" s="78">
        <f t="shared" si="78"/>
        <v>611587.12383173895</v>
      </c>
    </row>
    <row r="1116" spans="10:12" x14ac:dyDescent="0.2">
      <c r="J1116" s="77">
        <f t="shared" si="79"/>
        <v>100000</v>
      </c>
      <c r="K1116" s="20">
        <f t="shared" si="80"/>
        <v>152</v>
      </c>
      <c r="L1116" s="78">
        <f t="shared" si="78"/>
        <v>618965.81889126066</v>
      </c>
    </row>
    <row r="1117" spans="10:12" x14ac:dyDescent="0.2">
      <c r="J1117" s="77">
        <f t="shared" si="79"/>
        <v>100000</v>
      </c>
      <c r="K1117" s="20">
        <f t="shared" si="80"/>
        <v>153</v>
      </c>
      <c r="L1117" s="78">
        <f t="shared" si="78"/>
        <v>626433.53665688576</v>
      </c>
    </row>
    <row r="1118" spans="10:12" x14ac:dyDescent="0.2">
      <c r="J1118" s="77">
        <f t="shared" si="79"/>
        <v>100000</v>
      </c>
      <c r="K1118" s="20">
        <f t="shared" si="80"/>
        <v>154</v>
      </c>
      <c r="L1118" s="78">
        <f t="shared" si="78"/>
        <v>633991.35117248457</v>
      </c>
    </row>
    <row r="1119" spans="10:12" x14ac:dyDescent="0.2">
      <c r="J1119" s="77">
        <f t="shared" si="79"/>
        <v>100000</v>
      </c>
      <c r="K1119" s="20">
        <f t="shared" si="80"/>
        <v>155</v>
      </c>
      <c r="L1119" s="78">
        <f t="shared" si="78"/>
        <v>641640.34944008535</v>
      </c>
    </row>
    <row r="1120" spans="10:12" x14ac:dyDescent="0.2">
      <c r="J1120" s="77">
        <f t="shared" si="79"/>
        <v>100000</v>
      </c>
      <c r="K1120" s="20">
        <f t="shared" si="80"/>
        <v>156</v>
      </c>
      <c r="L1120" s="78">
        <f t="shared" si="78"/>
        <v>649381.63157621154</v>
      </c>
    </row>
    <row r="1121" spans="10:12" x14ac:dyDescent="0.2">
      <c r="J1121" s="77">
        <f t="shared" si="79"/>
        <v>100000</v>
      </c>
      <c r="K1121" s="20">
        <f t="shared" si="80"/>
        <v>157</v>
      </c>
      <c r="L1121" s="78">
        <f t="shared" si="78"/>
        <v>657216.31097010581</v>
      </c>
    </row>
    <row r="1122" spans="10:12" x14ac:dyDescent="0.2">
      <c r="J1122" s="77">
        <f t="shared" si="79"/>
        <v>100000</v>
      </c>
      <c r="K1122" s="20">
        <f t="shared" si="80"/>
        <v>158</v>
      </c>
      <c r="L1122" s="78">
        <f t="shared" si="78"/>
        <v>665145.51444386342</v>
      </c>
    </row>
    <row r="1123" spans="10:12" x14ac:dyDescent="0.2">
      <c r="J1123" s="77">
        <f t="shared" si="79"/>
        <v>100000</v>
      </c>
      <c r="K1123" s="20">
        <f t="shared" si="80"/>
        <v>159</v>
      </c>
      <c r="L1123" s="78">
        <f t="shared" si="78"/>
        <v>673170.38241449825</v>
      </c>
    </row>
    <row r="1124" spans="10:12" x14ac:dyDescent="0.2">
      <c r="J1124" s="77">
        <f t="shared" si="79"/>
        <v>100000</v>
      </c>
      <c r="K1124" s="20">
        <f t="shared" si="80"/>
        <v>160</v>
      </c>
      <c r="L1124" s="78">
        <f t="shared" si="78"/>
        <v>681292.06905796146</v>
      </c>
    </row>
    <row r="1125" spans="10:12" x14ac:dyDescent="0.2">
      <c r="J1125" s="77">
        <f t="shared" si="79"/>
        <v>100000</v>
      </c>
      <c r="K1125" s="20">
        <f t="shared" si="80"/>
        <v>161</v>
      </c>
      <c r="L1125" s="78">
        <f t="shared" si="78"/>
        <v>689511.74247514131</v>
      </c>
    </row>
    <row r="1126" spans="10:12" x14ac:dyDescent="0.2">
      <c r="J1126" s="77">
        <f t="shared" si="79"/>
        <v>100000</v>
      </c>
      <c r="K1126" s="20">
        <f t="shared" si="80"/>
        <v>162</v>
      </c>
      <c r="L1126" s="78">
        <f t="shared" si="78"/>
        <v>697830.58485986653</v>
      </c>
    </row>
    <row r="1127" spans="10:12" x14ac:dyDescent="0.2">
      <c r="J1127" s="77">
        <f t="shared" si="79"/>
        <v>100000</v>
      </c>
      <c r="K1127" s="20">
        <f t="shared" si="80"/>
        <v>163</v>
      </c>
      <c r="L1127" s="78">
        <f t="shared" si="78"/>
        <v>706249.79266893293</v>
      </c>
    </row>
    <row r="1128" spans="10:12" x14ac:dyDescent="0.2">
      <c r="J1128" s="77">
        <f t="shared" si="79"/>
        <v>100000</v>
      </c>
      <c r="K1128" s="20">
        <f t="shared" si="80"/>
        <v>164</v>
      </c>
      <c r="L1128" s="78">
        <f t="shared" si="78"/>
        <v>714770.57679418568</v>
      </c>
    </row>
    <row r="1129" spans="10:12" x14ac:dyDescent="0.2">
      <c r="J1129" s="77">
        <f t="shared" si="79"/>
        <v>100000</v>
      </c>
      <c r="K1129" s="20">
        <f t="shared" si="80"/>
        <v>165</v>
      </c>
      <c r="L1129" s="78">
        <f t="shared" si="78"/>
        <v>723394.16273667489</v>
      </c>
    </row>
    <row r="1130" spans="10:12" x14ac:dyDescent="0.2">
      <c r="J1130" s="77">
        <f t="shared" si="79"/>
        <v>100000</v>
      </c>
      <c r="K1130" s="20">
        <f t="shared" si="80"/>
        <v>166</v>
      </c>
      <c r="L1130" s="78">
        <f t="shared" si="78"/>
        <v>732121.7907829131</v>
      </c>
    </row>
    <row r="1131" spans="10:12" x14ac:dyDescent="0.2">
      <c r="J1131" s="77">
        <f t="shared" si="79"/>
        <v>100000</v>
      </c>
      <c r="K1131" s="20">
        <f t="shared" si="80"/>
        <v>167</v>
      </c>
      <c r="L1131" s="78">
        <f t="shared" si="78"/>
        <v>740954.71618325904</v>
      </c>
    </row>
    <row r="1132" spans="10:12" x14ac:dyDescent="0.2">
      <c r="J1132" s="77">
        <f t="shared" si="79"/>
        <v>100000</v>
      </c>
      <c r="K1132" s="20">
        <f t="shared" si="80"/>
        <v>168</v>
      </c>
      <c r="L1132" s="78">
        <f t="shared" si="78"/>
        <v>749894.20933245588</v>
      </c>
    </row>
    <row r="1133" spans="10:12" x14ac:dyDescent="0.2">
      <c r="J1133" s="77">
        <f t="shared" si="79"/>
        <v>100000</v>
      </c>
      <c r="K1133" s="20">
        <f t="shared" si="80"/>
        <v>169</v>
      </c>
      <c r="L1133" s="78">
        <f t="shared" si="78"/>
        <v>758941.55595234269</v>
      </c>
    </row>
    <row r="1134" spans="10:12" x14ac:dyDescent="0.2">
      <c r="J1134" s="77">
        <f t="shared" si="79"/>
        <v>100000</v>
      </c>
      <c r="K1134" s="20">
        <f t="shared" si="80"/>
        <v>170</v>
      </c>
      <c r="L1134" s="78">
        <f t="shared" si="78"/>
        <v>768098.05727677548</v>
      </c>
    </row>
    <row r="1135" spans="10:12" x14ac:dyDescent="0.2">
      <c r="J1135" s="77">
        <f t="shared" si="79"/>
        <v>100000</v>
      </c>
      <c r="K1135" s="20">
        <f t="shared" si="80"/>
        <v>171</v>
      </c>
      <c r="L1135" s="78">
        <f t="shared" si="78"/>
        <v>777365.03023877612</v>
      </c>
    </row>
    <row r="1136" spans="10:12" x14ac:dyDescent="0.2">
      <c r="J1136" s="77">
        <f t="shared" si="79"/>
        <v>100000</v>
      </c>
      <c r="K1136" s="20">
        <f t="shared" si="80"/>
        <v>172</v>
      </c>
      <c r="L1136" s="78">
        <f t="shared" si="78"/>
        <v>786743.80765994033</v>
      </c>
    </row>
    <row r="1137" spans="10:12" x14ac:dyDescent="0.2">
      <c r="J1137" s="77">
        <f t="shared" si="79"/>
        <v>100000</v>
      </c>
      <c r="K1137" s="20">
        <f t="shared" si="80"/>
        <v>173</v>
      </c>
      <c r="L1137" s="78">
        <f t="shared" si="78"/>
        <v>796235.73844213039</v>
      </c>
    </row>
    <row r="1138" spans="10:12" x14ac:dyDescent="0.2">
      <c r="J1138" s="77">
        <f t="shared" si="79"/>
        <v>100000</v>
      </c>
      <c r="K1138" s="20">
        <f t="shared" si="80"/>
        <v>174</v>
      </c>
      <c r="L1138" s="78">
        <f t="shared" si="78"/>
        <v>805842.18776148185</v>
      </c>
    </row>
    <row r="1139" spans="10:12" x14ac:dyDescent="0.2">
      <c r="J1139" s="77">
        <f t="shared" si="79"/>
        <v>100000</v>
      </c>
      <c r="K1139" s="20">
        <f t="shared" si="80"/>
        <v>175</v>
      </c>
      <c r="L1139" s="78">
        <f t="shared" si="78"/>
        <v>815564.53726474883</v>
      </c>
    </row>
    <row r="1140" spans="10:12" x14ac:dyDescent="0.2">
      <c r="J1140" s="77">
        <f t="shared" si="79"/>
        <v>100000</v>
      </c>
      <c r="K1140" s="20">
        <f>K1139+1</f>
        <v>176</v>
      </c>
      <c r="L1140" s="78">
        <f t="shared" si="78"/>
        <v>825404.18526801828</v>
      </c>
    </row>
    <row r="1141" spans="10:12" x14ac:dyDescent="0.2">
      <c r="J1141" s="77">
        <f t="shared" si="79"/>
        <v>100000</v>
      </c>
      <c r="K1141" s="20">
        <f t="shared" ref="K1141:K1156" si="81">K1140+1</f>
        <v>177</v>
      </c>
      <c r="L1141" s="78">
        <f t="shared" si="78"/>
        <v>835362.54695782613</v>
      </c>
    </row>
    <row r="1142" spans="10:12" x14ac:dyDescent="0.2">
      <c r="J1142" s="77">
        <f t="shared" si="79"/>
        <v>100000</v>
      </c>
      <c r="K1142" s="20">
        <f t="shared" si="81"/>
        <v>178</v>
      </c>
      <c r="L1142" s="78">
        <f t="shared" si="78"/>
        <v>845441.05459469242</v>
      </c>
    </row>
    <row r="1143" spans="10:12" x14ac:dyDescent="0.2">
      <c r="J1143" s="77">
        <f t="shared" si="79"/>
        <v>100000</v>
      </c>
      <c r="K1143" s="20">
        <f t="shared" si="81"/>
        <v>179</v>
      </c>
      <c r="L1143" s="78">
        <f t="shared" si="78"/>
        <v>855641.1577191184</v>
      </c>
    </row>
    <row r="1144" spans="10:12" x14ac:dyDescent="0.2">
      <c r="J1144" s="77">
        <f t="shared" si="79"/>
        <v>100000</v>
      </c>
      <c r="K1144" s="20">
        <f t="shared" si="81"/>
        <v>180</v>
      </c>
      <c r="L1144" s="78">
        <f t="shared" si="78"/>
        <v>865964.32336006558</v>
      </c>
    </row>
    <row r="1145" spans="10:12" x14ac:dyDescent="0.2">
      <c r="J1145" s="77">
        <f t="shared" si="79"/>
        <v>100000</v>
      </c>
      <c r="K1145" s="20">
        <f t="shared" si="81"/>
        <v>181</v>
      </c>
      <c r="L1145" s="78">
        <f t="shared" si="78"/>
        <v>876412.03624595201</v>
      </c>
    </row>
    <row r="1146" spans="10:12" x14ac:dyDescent="0.2">
      <c r="J1146" s="77">
        <f t="shared" si="79"/>
        <v>100000</v>
      </c>
      <c r="K1146" s="20">
        <f t="shared" si="81"/>
        <v>182</v>
      </c>
      <c r="L1146" s="78">
        <f t="shared" si="78"/>
        <v>886985.79901819187</v>
      </c>
    </row>
    <row r="1147" spans="10:12" x14ac:dyDescent="0.2">
      <c r="J1147" s="77">
        <f t="shared" si="79"/>
        <v>100000</v>
      </c>
      <c r="K1147" s="20">
        <f t="shared" si="81"/>
        <v>183</v>
      </c>
      <c r="L1147" s="78">
        <f t="shared" si="78"/>
        <v>897687.13244731445</v>
      </c>
    </row>
    <row r="1148" spans="10:12" x14ac:dyDescent="0.2">
      <c r="J1148" s="77">
        <f t="shared" si="79"/>
        <v>100000</v>
      </c>
      <c r="K1148" s="20">
        <f t="shared" si="81"/>
        <v>184</v>
      </c>
      <c r="L1148" s="78">
        <f t="shared" si="78"/>
        <v>908517.57565168699</v>
      </c>
    </row>
    <row r="1149" spans="10:12" x14ac:dyDescent="0.2">
      <c r="J1149" s="77">
        <f t="shared" si="79"/>
        <v>100000</v>
      </c>
      <c r="K1149" s="20">
        <f t="shared" si="81"/>
        <v>185</v>
      </c>
      <c r="L1149" s="78">
        <f t="shared" si="78"/>
        <v>919478.68631887936</v>
      </c>
    </row>
    <row r="1150" spans="10:12" x14ac:dyDescent="0.2">
      <c r="J1150" s="77">
        <f t="shared" si="79"/>
        <v>100000</v>
      </c>
      <c r="K1150" s="20">
        <f t="shared" si="81"/>
        <v>186</v>
      </c>
      <c r="L1150" s="78">
        <f t="shared" si="78"/>
        <v>930572.04092969897</v>
      </c>
    </row>
    <row r="1151" spans="10:12" x14ac:dyDescent="0.2">
      <c r="J1151" s="77">
        <f t="shared" si="79"/>
        <v>100000</v>
      </c>
      <c r="K1151" s="20">
        <f t="shared" si="81"/>
        <v>187</v>
      </c>
      <c r="L1151" s="78">
        <f t="shared" si="78"/>
        <v>941799.23498492606</v>
      </c>
    </row>
    <row r="1152" spans="10:12" x14ac:dyDescent="0.2">
      <c r="J1152" s="77">
        <f t="shared" si="79"/>
        <v>100000</v>
      </c>
      <c r="K1152" s="20">
        <f t="shared" si="81"/>
        <v>188</v>
      </c>
      <c r="L1152" s="78">
        <f t="shared" si="78"/>
        <v>953161.88323478773</v>
      </c>
    </row>
    <row r="1153" spans="10:12" x14ac:dyDescent="0.2">
      <c r="J1153" s="77">
        <f t="shared" si="79"/>
        <v>100000</v>
      </c>
      <c r="K1153" s="20">
        <f t="shared" si="81"/>
        <v>189</v>
      </c>
      <c r="L1153" s="78">
        <f t="shared" si="78"/>
        <v>964661.61991119955</v>
      </c>
    </row>
    <row r="1154" spans="10:12" x14ac:dyDescent="0.2">
      <c r="J1154" s="77">
        <f t="shared" si="79"/>
        <v>100000</v>
      </c>
      <c r="K1154" s="20">
        <f t="shared" si="81"/>
        <v>190</v>
      </c>
      <c r="L1154" s="78">
        <f t="shared" si="78"/>
        <v>976300.09896280791</v>
      </c>
    </row>
    <row r="1155" spans="10:12" x14ac:dyDescent="0.2">
      <c r="J1155" s="77">
        <f t="shared" si="79"/>
        <v>100000</v>
      </c>
      <c r="K1155" s="20">
        <f t="shared" si="81"/>
        <v>191</v>
      </c>
      <c r="L1155" s="78">
        <f t="shared" si="78"/>
        <v>988078.99429286912</v>
      </c>
    </row>
    <row r="1156" spans="10:12" x14ac:dyDescent="0.2">
      <c r="J1156" s="77">
        <f t="shared" si="79"/>
        <v>100000</v>
      </c>
      <c r="K1156" s="20">
        <f t="shared" si="81"/>
        <v>192</v>
      </c>
      <c r="L1156" s="78">
        <f t="shared" si="78"/>
        <v>1000000</v>
      </c>
    </row>
    <row r="1157" spans="10:12" x14ac:dyDescent="0.2">
      <c r="J1157" s="77">
        <f t="shared" si="79"/>
        <v>1000000</v>
      </c>
      <c r="K1157" s="20">
        <v>1</v>
      </c>
      <c r="L1157" s="78">
        <f t="shared" ref="L1157:L1220" si="82">J1157*10^(K1157/192)</f>
        <v>1012064.8306218294</v>
      </c>
    </row>
    <row r="1158" spans="10:12" x14ac:dyDescent="0.2">
      <c r="J1158" s="77">
        <f t="shared" ref="J1158:J1221" si="83">J966*10</f>
        <v>1000000</v>
      </c>
      <c r="K1158" s="20">
        <f t="shared" ref="K1158:K1221" si="84">K1157+1</f>
        <v>2</v>
      </c>
      <c r="L1158" s="78">
        <f t="shared" si="82"/>
        <v>1024275.2213815922</v>
      </c>
    </row>
    <row r="1159" spans="10:12" x14ac:dyDescent="0.2">
      <c r="J1159" s="77">
        <f t="shared" si="83"/>
        <v>1000000</v>
      </c>
      <c r="K1159" s="20">
        <f t="shared" si="84"/>
        <v>3</v>
      </c>
      <c r="L1159" s="78">
        <f t="shared" si="82"/>
        <v>1036632.9284376981</v>
      </c>
    </row>
    <row r="1160" spans="10:12" x14ac:dyDescent="0.2">
      <c r="J1160" s="77">
        <f t="shared" si="83"/>
        <v>1000000</v>
      </c>
      <c r="K1160" s="20">
        <f t="shared" si="84"/>
        <v>4</v>
      </c>
      <c r="L1160" s="78">
        <f t="shared" si="82"/>
        <v>1049139.7291363098</v>
      </c>
    </row>
    <row r="1161" spans="10:12" x14ac:dyDescent="0.2">
      <c r="J1161" s="77">
        <f t="shared" si="83"/>
        <v>1000000</v>
      </c>
      <c r="K1161" s="20">
        <f t="shared" si="84"/>
        <v>5</v>
      </c>
      <c r="L1161" s="78">
        <f t="shared" si="82"/>
        <v>1061797.4222669716</v>
      </c>
    </row>
    <row r="1162" spans="10:12" x14ac:dyDescent="0.2">
      <c r="J1162" s="77">
        <f t="shared" si="83"/>
        <v>1000000</v>
      </c>
      <c r="K1162" s="20">
        <f t="shared" si="84"/>
        <v>6</v>
      </c>
      <c r="L1162" s="78">
        <f t="shared" si="82"/>
        <v>1074607.8283213174</v>
      </c>
    </row>
    <row r="1163" spans="10:12" x14ac:dyDescent="0.2">
      <c r="J1163" s="77">
        <f t="shared" si="83"/>
        <v>1000000</v>
      </c>
      <c r="K1163" s="20">
        <f t="shared" si="84"/>
        <v>7</v>
      </c>
      <c r="L1163" s="78">
        <f t="shared" si="82"/>
        <v>1087572.7897549062</v>
      </c>
    </row>
    <row r="1164" spans="10:12" x14ac:dyDescent="0.2">
      <c r="J1164" s="77">
        <f t="shared" si="83"/>
        <v>1000000</v>
      </c>
      <c r="K1164" s="20">
        <f t="shared" si="84"/>
        <v>8</v>
      </c>
      <c r="L1164" s="78">
        <f t="shared" si="82"/>
        <v>1100694.1712522097</v>
      </c>
    </row>
    <row r="1165" spans="10:12" x14ac:dyDescent="0.2">
      <c r="J1165" s="77">
        <f t="shared" si="83"/>
        <v>1000000</v>
      </c>
      <c r="K1165" s="20">
        <f t="shared" si="84"/>
        <v>9</v>
      </c>
      <c r="L1165" s="78">
        <f t="shared" si="82"/>
        <v>1113973.8599948024</v>
      </c>
    </row>
    <row r="1166" spans="10:12" x14ac:dyDescent="0.2">
      <c r="J1166" s="77">
        <f t="shared" si="83"/>
        <v>1000000</v>
      </c>
      <c r="K1166" s="20">
        <f t="shared" si="84"/>
        <v>10</v>
      </c>
      <c r="L1166" s="78">
        <f t="shared" si="82"/>
        <v>1127413.7659327851</v>
      </c>
    </row>
    <row r="1167" spans="10:12" x14ac:dyDescent="0.2">
      <c r="J1167" s="77">
        <f t="shared" si="83"/>
        <v>1000000</v>
      </c>
      <c r="K1167" s="20">
        <f t="shared" si="84"/>
        <v>11</v>
      </c>
      <c r="L1167" s="78">
        <f t="shared" si="82"/>
        <v>1141015.822059483</v>
      </c>
    </row>
    <row r="1168" spans="10:12" x14ac:dyDescent="0.2">
      <c r="J1168" s="77">
        <f t="shared" si="83"/>
        <v>1000000</v>
      </c>
      <c r="K1168" s="20">
        <f t="shared" si="84"/>
        <v>12</v>
      </c>
      <c r="L1168" s="78">
        <f t="shared" si="82"/>
        <v>1154781.9846894583</v>
      </c>
    </row>
    <row r="1169" spans="10:12" x14ac:dyDescent="0.2">
      <c r="J1169" s="77">
        <f t="shared" si="83"/>
        <v>1000000</v>
      </c>
      <c r="K1169" s="20">
        <f t="shared" si="84"/>
        <v>13</v>
      </c>
      <c r="L1169" s="78">
        <f t="shared" si="82"/>
        <v>1168714.2337398767</v>
      </c>
    </row>
    <row r="1170" spans="10:12" x14ac:dyDescent="0.2">
      <c r="J1170" s="77">
        <f t="shared" si="83"/>
        <v>1000000</v>
      </c>
      <c r="K1170" s="20">
        <f t="shared" si="84"/>
        <v>14</v>
      </c>
      <c r="L1170" s="78">
        <f t="shared" si="82"/>
        <v>1182814.5730152694</v>
      </c>
    </row>
    <row r="1171" spans="10:12" x14ac:dyDescent="0.2">
      <c r="J1171" s="77">
        <f t="shared" si="83"/>
        <v>1000000</v>
      </c>
      <c r="K1171" s="20">
        <f t="shared" si="84"/>
        <v>15</v>
      </c>
      <c r="L1171" s="78">
        <f t="shared" si="82"/>
        <v>1197085.03049573</v>
      </c>
    </row>
    <row r="1172" spans="10:12" x14ac:dyDescent="0.2">
      <c r="J1172" s="77">
        <f t="shared" si="83"/>
        <v>1000000</v>
      </c>
      <c r="K1172" s="20">
        <f t="shared" si="84"/>
        <v>16</v>
      </c>
      <c r="L1172" s="78">
        <f t="shared" si="82"/>
        <v>1211527.6586285885</v>
      </c>
    </row>
    <row r="1173" spans="10:12" x14ac:dyDescent="0.2">
      <c r="J1173" s="77">
        <f t="shared" si="83"/>
        <v>1000000</v>
      </c>
      <c r="K1173" s="20">
        <f t="shared" si="84"/>
        <v>17</v>
      </c>
      <c r="L1173" s="78">
        <f t="shared" si="82"/>
        <v>1226144.534623604</v>
      </c>
    </row>
    <row r="1174" spans="10:12" x14ac:dyDescent="0.2">
      <c r="J1174" s="77">
        <f t="shared" si="83"/>
        <v>1000000</v>
      </c>
      <c r="K1174" s="20">
        <f t="shared" si="84"/>
        <v>18</v>
      </c>
      <c r="L1174" s="78">
        <f t="shared" si="82"/>
        <v>1240937.7607517196</v>
      </c>
    </row>
    <row r="1175" spans="10:12" x14ac:dyDescent="0.2">
      <c r="J1175" s="77">
        <f t="shared" si="83"/>
        <v>1000000</v>
      </c>
      <c r="K1175" s="20">
        <f t="shared" si="84"/>
        <v>19</v>
      </c>
      <c r="L1175" s="78">
        <f t="shared" si="82"/>
        <v>1255909.4646474214</v>
      </c>
    </row>
    <row r="1176" spans="10:12" x14ac:dyDescent="0.2">
      <c r="J1176" s="77">
        <f t="shared" si="83"/>
        <v>1000000</v>
      </c>
      <c r="K1176" s="20">
        <f t="shared" si="84"/>
        <v>20</v>
      </c>
      <c r="L1176" s="78">
        <f t="shared" si="82"/>
        <v>1271061.799614745</v>
      </c>
    </row>
    <row r="1177" spans="10:12" x14ac:dyDescent="0.2">
      <c r="J1177" s="77">
        <f t="shared" si="83"/>
        <v>1000000</v>
      </c>
      <c r="K1177" s="20">
        <f t="shared" si="84"/>
        <v>21</v>
      </c>
      <c r="L1177" s="78">
        <f t="shared" si="82"/>
        <v>1286396.9449369744</v>
      </c>
    </row>
    <row r="1178" spans="10:12" x14ac:dyDescent="0.2">
      <c r="J1178" s="77">
        <f t="shared" si="83"/>
        <v>1000000</v>
      </c>
      <c r="K1178" s="20">
        <f t="shared" si="84"/>
        <v>22</v>
      </c>
      <c r="L1178" s="78">
        <f t="shared" si="82"/>
        <v>1301917.1061900777</v>
      </c>
    </row>
    <row r="1179" spans="10:12" x14ac:dyDescent="0.2">
      <c r="J1179" s="77">
        <f t="shared" si="83"/>
        <v>1000000</v>
      </c>
      <c r="K1179" s="20">
        <f t="shared" si="84"/>
        <v>23</v>
      </c>
      <c r="L1179" s="78">
        <f t="shared" si="82"/>
        <v>1317624.5155599236</v>
      </c>
    </row>
    <row r="1180" spans="10:12" x14ac:dyDescent="0.2">
      <c r="J1180" s="77">
        <f t="shared" si="83"/>
        <v>1000000</v>
      </c>
      <c r="K1180" s="20">
        <f t="shared" si="84"/>
        <v>24</v>
      </c>
      <c r="L1180" s="78">
        <f t="shared" si="82"/>
        <v>1333521.432163324</v>
      </c>
    </row>
    <row r="1181" spans="10:12" x14ac:dyDescent="0.2">
      <c r="J1181" s="77">
        <f t="shared" si="83"/>
        <v>1000000</v>
      </c>
      <c r="K1181" s="20">
        <f t="shared" si="84"/>
        <v>25</v>
      </c>
      <c r="L1181" s="78">
        <f t="shared" si="82"/>
        <v>1349610.1423729542</v>
      </c>
    </row>
    <row r="1182" spans="10:12" x14ac:dyDescent="0.2">
      <c r="J1182" s="77">
        <f t="shared" si="83"/>
        <v>1000000</v>
      </c>
      <c r="K1182" s="20">
        <f t="shared" si="84"/>
        <v>26</v>
      </c>
      <c r="L1182" s="78">
        <f t="shared" si="82"/>
        <v>1365892.9601461866</v>
      </c>
    </row>
    <row r="1183" spans="10:12" x14ac:dyDescent="0.2">
      <c r="J1183" s="77">
        <f t="shared" si="83"/>
        <v>1000000</v>
      </c>
      <c r="K1183" s="20">
        <f t="shared" si="84"/>
        <v>27</v>
      </c>
      <c r="L1183" s="78">
        <f t="shared" si="82"/>
        <v>1382372.2273578998</v>
      </c>
    </row>
    <row r="1184" spans="10:12" x14ac:dyDescent="0.2">
      <c r="J1184" s="77">
        <f t="shared" si="83"/>
        <v>1000000</v>
      </c>
      <c r="K1184" s="20">
        <f t="shared" si="84"/>
        <v>28</v>
      </c>
      <c r="L1184" s="78">
        <f t="shared" si="82"/>
        <v>1399050.314137294</v>
      </c>
    </row>
    <row r="1185" spans="10:12" x14ac:dyDescent="0.2">
      <c r="J1185" s="77">
        <f t="shared" si="83"/>
        <v>1000000</v>
      </c>
      <c r="K1185" s="20">
        <f t="shared" si="84"/>
        <v>29</v>
      </c>
      <c r="L1185" s="78">
        <f t="shared" si="82"/>
        <v>1415929.6192087773</v>
      </c>
    </row>
    <row r="1186" spans="10:12" x14ac:dyDescent="0.2">
      <c r="J1186" s="77">
        <f t="shared" si="83"/>
        <v>1000000</v>
      </c>
      <c r="K1186" s="20">
        <f t="shared" si="84"/>
        <v>30</v>
      </c>
      <c r="L1186" s="78">
        <f t="shared" si="82"/>
        <v>1433012.570236963</v>
      </c>
    </row>
    <row r="1187" spans="10:12" x14ac:dyDescent="0.2">
      <c r="J1187" s="77">
        <f t="shared" si="83"/>
        <v>1000000</v>
      </c>
      <c r="K1187" s="20">
        <f t="shared" si="84"/>
        <v>31</v>
      </c>
      <c r="L1187" s="78">
        <f t="shared" si="82"/>
        <v>1450301.6241758242</v>
      </c>
    </row>
    <row r="1188" spans="10:12" x14ac:dyDescent="0.2">
      <c r="J1188" s="77">
        <f t="shared" si="83"/>
        <v>1000000</v>
      </c>
      <c r="K1188" s="20">
        <f t="shared" si="84"/>
        <v>32</v>
      </c>
      <c r="L1188" s="78">
        <f t="shared" si="82"/>
        <v>1467799.2676220697</v>
      </c>
    </row>
    <row r="1189" spans="10:12" x14ac:dyDescent="0.2">
      <c r="J1189" s="77">
        <f t="shared" si="83"/>
        <v>1000000</v>
      </c>
      <c r="K1189" s="20">
        <f t="shared" si="84"/>
        <v>33</v>
      </c>
      <c r="L1189" s="78">
        <f t="shared" si="82"/>
        <v>1485508.017172775</v>
      </c>
    </row>
    <row r="1190" spans="10:12" x14ac:dyDescent="0.2">
      <c r="J1190" s="77">
        <f t="shared" si="83"/>
        <v>1000000</v>
      </c>
      <c r="K1190" s="20">
        <f t="shared" si="84"/>
        <v>34</v>
      </c>
      <c r="L1190" s="78">
        <f t="shared" si="82"/>
        <v>1503430.4197873343</v>
      </c>
    </row>
    <row r="1191" spans="10:12" x14ac:dyDescent="0.2">
      <c r="J1191" s="77">
        <f t="shared" si="83"/>
        <v>1000000</v>
      </c>
      <c r="K1191" s="20">
        <f t="shared" si="84"/>
        <v>35</v>
      </c>
      <c r="L1191" s="78">
        <f t="shared" si="82"/>
        <v>1521569.0531537745</v>
      </c>
    </row>
    <row r="1192" spans="10:12" x14ac:dyDescent="0.2">
      <c r="J1192" s="77">
        <f t="shared" si="83"/>
        <v>1000000</v>
      </c>
      <c r="K1192" s="20">
        <f t="shared" si="84"/>
        <v>36</v>
      </c>
      <c r="L1192" s="78">
        <f t="shared" si="82"/>
        <v>1539926.526059492</v>
      </c>
    </row>
    <row r="1193" spans="10:12" x14ac:dyDescent="0.2">
      <c r="J1193" s="77">
        <f t="shared" si="83"/>
        <v>1000000</v>
      </c>
      <c r="K1193" s="20">
        <f t="shared" si="84"/>
        <v>37</v>
      </c>
      <c r="L1193" s="78">
        <f t="shared" si="82"/>
        <v>1558505.4787664621</v>
      </c>
    </row>
    <row r="1194" spans="10:12" x14ac:dyDescent="0.2">
      <c r="J1194" s="77">
        <f t="shared" si="83"/>
        <v>1000000</v>
      </c>
      <c r="K1194" s="20">
        <f t="shared" si="84"/>
        <v>38</v>
      </c>
      <c r="L1194" s="78">
        <f t="shared" si="82"/>
        <v>1577308.5833909726</v>
      </c>
    </row>
    <row r="1195" spans="10:12" x14ac:dyDescent="0.2">
      <c r="J1195" s="77">
        <f t="shared" si="83"/>
        <v>1000000</v>
      </c>
      <c r="K1195" s="20">
        <f t="shared" si="84"/>
        <v>39</v>
      </c>
      <c r="L1195" s="78">
        <f t="shared" si="82"/>
        <v>1596338.5442879423</v>
      </c>
    </row>
    <row r="1196" spans="10:12" x14ac:dyDescent="0.2">
      <c r="J1196" s="77">
        <f t="shared" si="83"/>
        <v>1000000</v>
      </c>
      <c r="K1196" s="20">
        <f t="shared" si="84"/>
        <v>40</v>
      </c>
      <c r="L1196" s="78">
        <f t="shared" si="82"/>
        <v>1615598.0984398741</v>
      </c>
    </row>
    <row r="1197" spans="10:12" x14ac:dyDescent="0.2">
      <c r="J1197" s="77">
        <f t="shared" si="83"/>
        <v>1000000</v>
      </c>
      <c r="K1197" s="20">
        <f t="shared" si="84"/>
        <v>41</v>
      </c>
      <c r="L1197" s="78">
        <f t="shared" si="82"/>
        <v>1635090.0158505009</v>
      </c>
    </row>
    <row r="1198" spans="10:12" x14ac:dyDescent="0.2">
      <c r="J1198" s="77">
        <f t="shared" si="83"/>
        <v>1000000</v>
      </c>
      <c r="K1198" s="20">
        <f t="shared" si="84"/>
        <v>42</v>
      </c>
      <c r="L1198" s="78">
        <f t="shared" si="82"/>
        <v>1654817.0999431815</v>
      </c>
    </row>
    <row r="1199" spans="10:12" x14ac:dyDescent="0.2">
      <c r="J1199" s="77">
        <f t="shared" si="83"/>
        <v>1000000</v>
      </c>
      <c r="K1199" s="20">
        <f t="shared" si="84"/>
        <v>43</v>
      </c>
      <c r="L1199" s="78">
        <f t="shared" si="82"/>
        <v>1674782.1879641032</v>
      </c>
    </row>
    <row r="1200" spans="10:12" x14ac:dyDescent="0.2">
      <c r="J1200" s="77">
        <f t="shared" si="83"/>
        <v>1000000</v>
      </c>
      <c r="K1200" s="20">
        <f t="shared" si="84"/>
        <v>44</v>
      </c>
      <c r="L1200" s="78">
        <f t="shared" si="82"/>
        <v>1694988.1513903467</v>
      </c>
    </row>
    <row r="1201" spans="10:12" x14ac:dyDescent="0.2">
      <c r="J1201" s="77">
        <f t="shared" si="83"/>
        <v>1000000</v>
      </c>
      <c r="K1201" s="20">
        <f t="shared" si="84"/>
        <v>45</v>
      </c>
      <c r="L1201" s="78">
        <f t="shared" si="82"/>
        <v>1715437.8963428792</v>
      </c>
    </row>
    <row r="1202" spans="10:12" x14ac:dyDescent="0.2">
      <c r="J1202" s="77">
        <f t="shared" si="83"/>
        <v>1000000</v>
      </c>
      <c r="K1202" s="20">
        <f t="shared" si="84"/>
        <v>46</v>
      </c>
      <c r="L1202" s="78">
        <f t="shared" si="82"/>
        <v>1736134.3640045233</v>
      </c>
    </row>
    <row r="1203" spans="10:12" x14ac:dyDescent="0.2">
      <c r="J1203" s="77">
        <f t="shared" si="83"/>
        <v>1000000</v>
      </c>
      <c r="K1203" s="20">
        <f t="shared" si="84"/>
        <v>47</v>
      </c>
      <c r="L1203" s="78">
        <f t="shared" si="82"/>
        <v>1757080.5310429754</v>
      </c>
    </row>
    <row r="1204" spans="10:12" x14ac:dyDescent="0.2">
      <c r="J1204" s="77">
        <f t="shared" si="83"/>
        <v>1000000</v>
      </c>
      <c r="K1204" s="20">
        <f t="shared" si="84"/>
        <v>48</v>
      </c>
      <c r="L1204" s="78">
        <f t="shared" si="82"/>
        <v>1778279.4100389229</v>
      </c>
    </row>
    <row r="1205" spans="10:12" x14ac:dyDescent="0.2">
      <c r="J1205" s="77">
        <f t="shared" si="83"/>
        <v>1000000</v>
      </c>
      <c r="K1205" s="20">
        <f t="shared" si="84"/>
        <v>49</v>
      </c>
      <c r="L1205" s="78">
        <f t="shared" si="82"/>
        <v>1799734.0499193294</v>
      </c>
    </row>
    <row r="1206" spans="10:12" x14ac:dyDescent="0.2">
      <c r="J1206" s="77">
        <f t="shared" si="83"/>
        <v>1000000</v>
      </c>
      <c r="K1206" s="20">
        <f t="shared" si="84"/>
        <v>50</v>
      </c>
      <c r="L1206" s="78">
        <f t="shared" si="82"/>
        <v>1821447.5363959454</v>
      </c>
    </row>
    <row r="1207" spans="10:12" x14ac:dyDescent="0.2">
      <c r="J1207" s="77">
        <f t="shared" si="83"/>
        <v>1000000</v>
      </c>
      <c r="K1207" s="20">
        <f t="shared" si="84"/>
        <v>51</v>
      </c>
      <c r="L1207" s="78">
        <f t="shared" si="82"/>
        <v>1843422.9924091105</v>
      </c>
    </row>
    <row r="1208" spans="10:12" x14ac:dyDescent="0.2">
      <c r="J1208" s="77">
        <f t="shared" si="83"/>
        <v>1000000</v>
      </c>
      <c r="K1208" s="20">
        <f t="shared" si="84"/>
        <v>52</v>
      </c>
      <c r="L1208" s="78">
        <f t="shared" si="82"/>
        <v>1865663.5785769122</v>
      </c>
    </row>
    <row r="1209" spans="10:12" x14ac:dyDescent="0.2">
      <c r="J1209" s="77">
        <f t="shared" si="83"/>
        <v>1000000</v>
      </c>
      <c r="K1209" s="20">
        <f t="shared" si="84"/>
        <v>53</v>
      </c>
      <c r="L1209" s="78">
        <f t="shared" si="82"/>
        <v>1888172.4936497591</v>
      </c>
    </row>
    <row r="1210" spans="10:12" x14ac:dyDescent="0.2">
      <c r="J1210" s="77">
        <f t="shared" si="83"/>
        <v>1000000</v>
      </c>
      <c r="K1210" s="20">
        <f t="shared" si="84"/>
        <v>54</v>
      </c>
      <c r="L1210" s="78">
        <f t="shared" si="82"/>
        <v>1910952.9749704406</v>
      </c>
    </row>
    <row r="1211" spans="10:12" x14ac:dyDescent="0.2">
      <c r="J1211" s="77">
        <f t="shared" si="83"/>
        <v>1000000</v>
      </c>
      <c r="K1211" s="20">
        <f t="shared" si="84"/>
        <v>55</v>
      </c>
      <c r="L1211" s="78">
        <f t="shared" si="82"/>
        <v>1934008.2989397398</v>
      </c>
    </row>
    <row r="1212" spans="10:12" x14ac:dyDescent="0.2">
      <c r="J1212" s="77">
        <f t="shared" si="83"/>
        <v>1000000</v>
      </c>
      <c r="K1212" s="20">
        <f t="shared" si="84"/>
        <v>56</v>
      </c>
      <c r="L1212" s="78">
        <f t="shared" si="82"/>
        <v>1957341.7814876602</v>
      </c>
    </row>
    <row r="1213" spans="10:12" x14ac:dyDescent="0.2">
      <c r="J1213" s="77">
        <f t="shared" si="83"/>
        <v>1000000</v>
      </c>
      <c r="K1213" s="20">
        <f t="shared" si="84"/>
        <v>57</v>
      </c>
      <c r="L1213" s="78">
        <f t="shared" si="82"/>
        <v>1980956.7785503387</v>
      </c>
    </row>
    <row r="1214" spans="10:12" x14ac:dyDescent="0.2">
      <c r="J1214" s="77">
        <f t="shared" si="83"/>
        <v>1000000</v>
      </c>
      <c r="K1214" s="20">
        <f t="shared" si="84"/>
        <v>58</v>
      </c>
      <c r="L1214" s="78">
        <f t="shared" si="82"/>
        <v>2004856.6865527136</v>
      </c>
    </row>
    <row r="1215" spans="10:12" x14ac:dyDescent="0.2">
      <c r="J1215" s="77">
        <f t="shared" si="83"/>
        <v>1000000</v>
      </c>
      <c r="K1215" s="20">
        <f t="shared" si="84"/>
        <v>59</v>
      </c>
      <c r="L1215" s="78">
        <f t="shared" si="82"/>
        <v>2029044.9428970146</v>
      </c>
    </row>
    <row r="1216" spans="10:12" x14ac:dyDescent="0.2">
      <c r="J1216" s="77">
        <f t="shared" si="83"/>
        <v>1000000</v>
      </c>
      <c r="K1216" s="20">
        <f t="shared" si="84"/>
        <v>60</v>
      </c>
      <c r="L1216" s="78">
        <f t="shared" si="82"/>
        <v>2053525.0264571463</v>
      </c>
    </row>
    <row r="1217" spans="10:12" x14ac:dyDescent="0.2">
      <c r="J1217" s="77">
        <f t="shared" si="83"/>
        <v>1000000</v>
      </c>
      <c r="K1217" s="20">
        <f t="shared" si="84"/>
        <v>61</v>
      </c>
      <c r="L1217" s="78">
        <f t="shared" si="82"/>
        <v>2078300.4580790391</v>
      </c>
    </row>
    <row r="1218" spans="10:12" x14ac:dyDescent="0.2">
      <c r="J1218" s="77">
        <f t="shared" si="83"/>
        <v>1000000</v>
      </c>
      <c r="K1218" s="20">
        <f t="shared" si="84"/>
        <v>62</v>
      </c>
      <c r="L1218" s="78">
        <f t="shared" si="82"/>
        <v>2103374.8010870335</v>
      </c>
    </row>
    <row r="1219" spans="10:12" x14ac:dyDescent="0.2">
      <c r="J1219" s="77">
        <f t="shared" si="83"/>
        <v>1000000</v>
      </c>
      <c r="K1219" s="20">
        <f t="shared" si="84"/>
        <v>63</v>
      </c>
      <c r="L1219" s="78">
        <f t="shared" si="82"/>
        <v>2128751.6617963728</v>
      </c>
    </row>
    <row r="1220" spans="10:12" x14ac:dyDescent="0.2">
      <c r="J1220" s="77">
        <f t="shared" si="83"/>
        <v>1000000</v>
      </c>
      <c r="K1220" s="20">
        <f t="shared" si="84"/>
        <v>64</v>
      </c>
      <c r="L1220" s="78">
        <f t="shared" si="82"/>
        <v>2154434.6900318838</v>
      </c>
    </row>
    <row r="1221" spans="10:12" x14ac:dyDescent="0.2">
      <c r="J1221" s="77">
        <f t="shared" si="83"/>
        <v>1000000</v>
      </c>
      <c r="K1221" s="20">
        <f t="shared" si="84"/>
        <v>65</v>
      </c>
      <c r="L1221" s="78">
        <f t="shared" ref="L1221:L1284" si="85">J1221*10^(K1221/192)</f>
        <v>2180427.5796529124</v>
      </c>
    </row>
    <row r="1222" spans="10:12" x14ac:dyDescent="0.2">
      <c r="J1222" s="77">
        <f t="shared" ref="J1222:J1285" si="86">J1030*10</f>
        <v>1000000</v>
      </c>
      <c r="K1222" s="20">
        <f t="shared" ref="K1222:K1285" si="87">K1221+1</f>
        <v>66</v>
      </c>
      <c r="L1222" s="78">
        <f t="shared" si="85"/>
        <v>2206734.0690845898</v>
      </c>
    </row>
    <row r="1223" spans="10:12" x14ac:dyDescent="0.2">
      <c r="J1223" s="77">
        <f t="shared" si="86"/>
        <v>1000000</v>
      </c>
      <c r="K1223" s="20">
        <f t="shared" si="87"/>
        <v>67</v>
      </c>
      <c r="L1223" s="78">
        <f t="shared" si="85"/>
        <v>2233357.9418555163</v>
      </c>
    </row>
    <row r="1224" spans="10:12" x14ac:dyDescent="0.2">
      <c r="J1224" s="77">
        <f t="shared" si="86"/>
        <v>1000000</v>
      </c>
      <c r="K1224" s="20">
        <f t="shared" si="87"/>
        <v>68</v>
      </c>
      <c r="L1224" s="78">
        <f t="shared" si="85"/>
        <v>2260303.0271419203</v>
      </c>
    </row>
    <row r="1225" spans="10:12" x14ac:dyDescent="0.2">
      <c r="J1225" s="77">
        <f t="shared" si="86"/>
        <v>1000000</v>
      </c>
      <c r="K1225" s="20">
        <f t="shared" si="87"/>
        <v>69</v>
      </c>
      <c r="L1225" s="78">
        <f t="shared" si="85"/>
        <v>2287573.2003183961</v>
      </c>
    </row>
    <row r="1226" spans="10:12" x14ac:dyDescent="0.2">
      <c r="J1226" s="77">
        <f t="shared" si="86"/>
        <v>1000000</v>
      </c>
      <c r="K1226" s="20">
        <f t="shared" si="87"/>
        <v>70</v>
      </c>
      <c r="L1226" s="78">
        <f t="shared" si="85"/>
        <v>2315172.3835152732</v>
      </c>
    </row>
    <row r="1227" spans="10:12" x14ac:dyDescent="0.2">
      <c r="J1227" s="77">
        <f t="shared" si="86"/>
        <v>1000000</v>
      </c>
      <c r="K1227" s="20">
        <f t="shared" si="87"/>
        <v>71</v>
      </c>
      <c r="L1227" s="78">
        <f t="shared" si="85"/>
        <v>2343104.5461827223</v>
      </c>
    </row>
    <row r="1228" spans="10:12" x14ac:dyDescent="0.2">
      <c r="J1228" s="77">
        <f t="shared" si="86"/>
        <v>1000000</v>
      </c>
      <c r="K1228" s="20">
        <f t="shared" si="87"/>
        <v>72</v>
      </c>
      <c r="L1228" s="78">
        <f t="shared" si="85"/>
        <v>2371373.7056616554</v>
      </c>
    </row>
    <row r="1229" spans="10:12" x14ac:dyDescent="0.2">
      <c r="J1229" s="77">
        <f t="shared" si="86"/>
        <v>1000000</v>
      </c>
      <c r="K1229" s="20">
        <f t="shared" si="87"/>
        <v>73</v>
      </c>
      <c r="L1229" s="78">
        <f t="shared" si="85"/>
        <v>2399983.9277615235</v>
      </c>
    </row>
    <row r="1230" spans="10:12" x14ac:dyDescent="0.2">
      <c r="J1230" s="77">
        <f t="shared" si="86"/>
        <v>1000000</v>
      </c>
      <c r="K1230" s="20">
        <f t="shared" si="87"/>
        <v>74</v>
      </c>
      <c r="L1230" s="78">
        <f t="shared" si="85"/>
        <v>2428939.3273450793</v>
      </c>
    </row>
    <row r="1231" spans="10:12" x14ac:dyDescent="0.2">
      <c r="J1231" s="77">
        <f t="shared" si="86"/>
        <v>1000000</v>
      </c>
      <c r="K1231" s="20">
        <f t="shared" si="87"/>
        <v>75</v>
      </c>
      <c r="L1231" s="78">
        <f t="shared" si="85"/>
        <v>2458244.0689201974</v>
      </c>
    </row>
    <row r="1232" spans="10:12" x14ac:dyDescent="0.2">
      <c r="J1232" s="77">
        <f t="shared" si="86"/>
        <v>1000000</v>
      </c>
      <c r="K1232" s="20">
        <f t="shared" si="87"/>
        <v>76</v>
      </c>
      <c r="L1232" s="78">
        <f t="shared" si="85"/>
        <v>2487902.3672388364</v>
      </c>
    </row>
    <row r="1233" spans="10:12" x14ac:dyDescent="0.2">
      <c r="J1233" s="77">
        <f t="shared" si="86"/>
        <v>1000000</v>
      </c>
      <c r="K1233" s="20">
        <f t="shared" si="87"/>
        <v>77</v>
      </c>
      <c r="L1233" s="78">
        <f t="shared" si="85"/>
        <v>2517918.4879032215</v>
      </c>
    </row>
    <row r="1234" spans="10:12" x14ac:dyDescent="0.2">
      <c r="J1234" s="77">
        <f t="shared" si="86"/>
        <v>1000000</v>
      </c>
      <c r="K1234" s="20">
        <f t="shared" si="87"/>
        <v>78</v>
      </c>
      <c r="L1234" s="78">
        <f t="shared" si="85"/>
        <v>2548296.7479793471</v>
      </c>
    </row>
    <row r="1235" spans="10:12" x14ac:dyDescent="0.2">
      <c r="J1235" s="77">
        <f t="shared" si="86"/>
        <v>1000000</v>
      </c>
      <c r="K1235" s="20">
        <f t="shared" si="87"/>
        <v>79</v>
      </c>
      <c r="L1235" s="78">
        <f t="shared" si="85"/>
        <v>2579041.516617876</v>
      </c>
    </row>
    <row r="1236" spans="10:12" x14ac:dyDescent="0.2">
      <c r="J1236" s="77">
        <f t="shared" si="86"/>
        <v>1000000</v>
      </c>
      <c r="K1236" s="20">
        <f t="shared" si="87"/>
        <v>80</v>
      </c>
      <c r="L1236" s="78">
        <f t="shared" si="85"/>
        <v>2610157.2156825373</v>
      </c>
    </row>
    <row r="1237" spans="10:12" x14ac:dyDescent="0.2">
      <c r="J1237" s="77">
        <f t="shared" si="86"/>
        <v>1000000</v>
      </c>
      <c r="K1237" s="20">
        <f t="shared" si="87"/>
        <v>81</v>
      </c>
      <c r="L1237" s="78">
        <f t="shared" si="85"/>
        <v>2641648.3203860926</v>
      </c>
    </row>
    <row r="1238" spans="10:12" x14ac:dyDescent="0.2">
      <c r="J1238" s="77">
        <f t="shared" si="86"/>
        <v>1000000</v>
      </c>
      <c r="K1238" s="20">
        <f t="shared" si="87"/>
        <v>82</v>
      </c>
      <c r="L1238" s="78">
        <f t="shared" si="85"/>
        <v>2673519.359933991</v>
      </c>
    </row>
    <row r="1239" spans="10:12" x14ac:dyDescent="0.2">
      <c r="J1239" s="77">
        <f t="shared" si="86"/>
        <v>1000000</v>
      </c>
      <c r="K1239" s="20">
        <f t="shared" si="87"/>
        <v>83</v>
      </c>
      <c r="L1239" s="78">
        <f t="shared" si="85"/>
        <v>2705774.9181757765</v>
      </c>
    </row>
    <row r="1240" spans="10:12" x14ac:dyDescent="0.2">
      <c r="J1240" s="77">
        <f t="shared" si="86"/>
        <v>1000000</v>
      </c>
      <c r="K1240" s="20">
        <f t="shared" si="87"/>
        <v>84</v>
      </c>
      <c r="L1240" s="78">
        <f t="shared" si="85"/>
        <v>2738419.6342643616</v>
      </c>
    </row>
    <row r="1241" spans="10:12" x14ac:dyDescent="0.2">
      <c r="J1241" s="77">
        <f t="shared" si="86"/>
        <v>1000000</v>
      </c>
      <c r="K1241" s="20">
        <f t="shared" si="87"/>
        <v>85</v>
      </c>
      <c r="L1241" s="78">
        <f t="shared" si="85"/>
        <v>2771458.2033232534</v>
      </c>
    </row>
    <row r="1242" spans="10:12" x14ac:dyDescent="0.2">
      <c r="J1242" s="77">
        <f t="shared" si="86"/>
        <v>1000000</v>
      </c>
      <c r="K1242" s="20">
        <f t="shared" si="87"/>
        <v>86</v>
      </c>
      <c r="L1242" s="78">
        <f t="shared" si="85"/>
        <v>2804895.377121828</v>
      </c>
    </row>
    <row r="1243" spans="10:12" x14ac:dyDescent="0.2">
      <c r="J1243" s="77">
        <f t="shared" si="86"/>
        <v>1000000</v>
      </c>
      <c r="K1243" s="20">
        <f t="shared" si="87"/>
        <v>87</v>
      </c>
      <c r="L1243" s="78">
        <f t="shared" si="85"/>
        <v>2838735.9647587547</v>
      </c>
    </row>
    <row r="1244" spans="10:12" x14ac:dyDescent="0.2">
      <c r="J1244" s="77">
        <f t="shared" si="86"/>
        <v>1000000</v>
      </c>
      <c r="K1244" s="20">
        <f t="shared" si="87"/>
        <v>88</v>
      </c>
      <c r="L1244" s="78">
        <f t="shared" si="85"/>
        <v>2872984.8333536647</v>
      </c>
    </row>
    <row r="1245" spans="10:12" x14ac:dyDescent="0.2">
      <c r="J1245" s="77">
        <f t="shared" si="86"/>
        <v>1000000</v>
      </c>
      <c r="K1245" s="20">
        <f t="shared" si="87"/>
        <v>89</v>
      </c>
      <c r="L1245" s="78">
        <f t="shared" si="85"/>
        <v>2907646.9087471617</v>
      </c>
    </row>
    <row r="1246" spans="10:12" x14ac:dyDescent="0.2">
      <c r="J1246" s="77">
        <f t="shared" si="86"/>
        <v>1000000</v>
      </c>
      <c r="K1246" s="20">
        <f t="shared" si="87"/>
        <v>90</v>
      </c>
      <c r="L1246" s="78">
        <f t="shared" si="85"/>
        <v>2942727.1762092826</v>
      </c>
    </row>
    <row r="1247" spans="10:12" x14ac:dyDescent="0.2">
      <c r="J1247" s="77">
        <f t="shared" si="86"/>
        <v>1000000</v>
      </c>
      <c r="K1247" s="20">
        <f t="shared" si="87"/>
        <v>91</v>
      </c>
      <c r="L1247" s="78">
        <f t="shared" si="85"/>
        <v>2978230.6811565012</v>
      </c>
    </row>
    <row r="1248" spans="10:12" x14ac:dyDescent="0.2">
      <c r="J1248" s="77">
        <f t="shared" si="86"/>
        <v>1000000</v>
      </c>
      <c r="K1248" s="20">
        <f t="shared" si="87"/>
        <v>92</v>
      </c>
      <c r="L1248" s="78">
        <f t="shared" si="85"/>
        <v>3014162.5298773907</v>
      </c>
    </row>
    <row r="1249" spans="10:12" x14ac:dyDescent="0.2">
      <c r="J1249" s="77">
        <f t="shared" si="86"/>
        <v>1000000</v>
      </c>
      <c r="K1249" s="20">
        <f t="shared" si="87"/>
        <v>93</v>
      </c>
      <c r="L1249" s="78">
        <f t="shared" si="85"/>
        <v>3050527.8902670257</v>
      </c>
    </row>
    <row r="1250" spans="10:12" x14ac:dyDescent="0.2">
      <c r="J1250" s="77">
        <f t="shared" si="86"/>
        <v>1000000</v>
      </c>
      <c r="K1250" s="20">
        <f t="shared" si="87"/>
        <v>94</v>
      </c>
      <c r="L1250" s="78">
        <f t="shared" si="85"/>
        <v>3087331.9925702638</v>
      </c>
    </row>
    <row r="1251" spans="10:12" x14ac:dyDescent="0.2">
      <c r="J1251" s="77">
        <f t="shared" si="86"/>
        <v>1000000</v>
      </c>
      <c r="K1251" s="20">
        <f t="shared" si="87"/>
        <v>95</v>
      </c>
      <c r="L1251" s="78">
        <f t="shared" si="85"/>
        <v>3124580.13013398</v>
      </c>
    </row>
    <row r="1252" spans="10:12" x14ac:dyDescent="0.2">
      <c r="J1252" s="77">
        <f t="shared" si="86"/>
        <v>1000000</v>
      </c>
      <c r="K1252" s="20">
        <f t="shared" si="87"/>
        <v>96</v>
      </c>
      <c r="L1252" s="78">
        <f t="shared" si="85"/>
        <v>3162277.6601683795</v>
      </c>
    </row>
    <row r="1253" spans="10:12" x14ac:dyDescent="0.2">
      <c r="J1253" s="77">
        <f t="shared" si="86"/>
        <v>1000000</v>
      </c>
      <c r="K1253" s="20">
        <f t="shared" si="87"/>
        <v>97</v>
      </c>
      <c r="L1253" s="78">
        <f t="shared" si="85"/>
        <v>3200430.0045175068</v>
      </c>
    </row>
    <row r="1254" spans="10:12" x14ac:dyDescent="0.2">
      <c r="J1254" s="77">
        <f t="shared" si="86"/>
        <v>1000000</v>
      </c>
      <c r="K1254" s="20">
        <f t="shared" si="87"/>
        <v>98</v>
      </c>
      <c r="L1254" s="78">
        <f t="shared" si="85"/>
        <v>3239042.6504390305</v>
      </c>
    </row>
    <row r="1255" spans="10:12" x14ac:dyDescent="0.2">
      <c r="J1255" s="77">
        <f t="shared" si="86"/>
        <v>1000000</v>
      </c>
      <c r="K1255" s="20">
        <f t="shared" si="87"/>
        <v>99</v>
      </c>
      <c r="L1255" s="78">
        <f t="shared" si="85"/>
        <v>3278121.1513934592</v>
      </c>
    </row>
    <row r="1256" spans="10:12" x14ac:dyDescent="0.2">
      <c r="J1256" s="77">
        <f t="shared" si="86"/>
        <v>1000000</v>
      </c>
      <c r="K1256" s="20">
        <f t="shared" si="87"/>
        <v>100</v>
      </c>
      <c r="L1256" s="78">
        <f t="shared" si="85"/>
        <v>3317671.127842858</v>
      </c>
    </row>
    <row r="1257" spans="10:12" x14ac:dyDescent="0.2">
      <c r="J1257" s="77">
        <f t="shared" si="86"/>
        <v>1000000</v>
      </c>
      <c r="K1257" s="20">
        <f t="shared" si="87"/>
        <v>101</v>
      </c>
      <c r="L1257" s="78">
        <f t="shared" si="85"/>
        <v>3357698.268059215</v>
      </c>
    </row>
    <row r="1258" spans="10:12" x14ac:dyDescent="0.2">
      <c r="J1258" s="77">
        <f t="shared" si="86"/>
        <v>1000000</v>
      </c>
      <c r="K1258" s="20">
        <f t="shared" si="87"/>
        <v>102</v>
      </c>
      <c r="L1258" s="78">
        <f t="shared" si="85"/>
        <v>3398208.3289425592</v>
      </c>
    </row>
    <row r="1259" spans="10:12" x14ac:dyDescent="0.2">
      <c r="J1259" s="77">
        <f t="shared" si="86"/>
        <v>1000000</v>
      </c>
      <c r="K1259" s="20">
        <f t="shared" si="87"/>
        <v>103</v>
      </c>
      <c r="L1259" s="78">
        <f t="shared" si="85"/>
        <v>3439207.1368489414</v>
      </c>
    </row>
    <row r="1260" spans="10:12" x14ac:dyDescent="0.2">
      <c r="J1260" s="77">
        <f t="shared" si="86"/>
        <v>1000000</v>
      </c>
      <c r="K1260" s="20">
        <f t="shared" si="87"/>
        <v>104</v>
      </c>
      <c r="L1260" s="78">
        <f t="shared" si="85"/>
        <v>3480700.5884284107</v>
      </c>
    </row>
    <row r="1261" spans="10:12" x14ac:dyDescent="0.2">
      <c r="J1261" s="77">
        <f t="shared" si="86"/>
        <v>1000000</v>
      </c>
      <c r="K1261" s="20">
        <f t="shared" si="87"/>
        <v>105</v>
      </c>
      <c r="L1261" s="78">
        <f t="shared" si="85"/>
        <v>3522694.6514731017</v>
      </c>
    </row>
    <row r="1262" spans="10:12" x14ac:dyDescent="0.2">
      <c r="J1262" s="77">
        <f t="shared" si="86"/>
        <v>1000000</v>
      </c>
      <c r="K1262" s="20">
        <f t="shared" si="87"/>
        <v>106</v>
      </c>
      <c r="L1262" s="78">
        <f t="shared" si="85"/>
        <v>3565195.3657755493</v>
      </c>
    </row>
    <row r="1263" spans="10:12" x14ac:dyDescent="0.2">
      <c r="J1263" s="77">
        <f t="shared" si="86"/>
        <v>1000000</v>
      </c>
      <c r="K1263" s="20">
        <f t="shared" si="87"/>
        <v>107</v>
      </c>
      <c r="L1263" s="78">
        <f t="shared" si="85"/>
        <v>3608208.8439973621</v>
      </c>
    </row>
    <row r="1264" spans="10:12" x14ac:dyDescent="0.2">
      <c r="J1264" s="77">
        <f t="shared" si="86"/>
        <v>1000000</v>
      </c>
      <c r="K1264" s="20">
        <f t="shared" si="87"/>
        <v>108</v>
      </c>
      <c r="L1264" s="78">
        <f t="shared" si="85"/>
        <v>3651741.2725483775</v>
      </c>
    </row>
    <row r="1265" spans="10:12" x14ac:dyDescent="0.2">
      <c r="J1265" s="77">
        <f t="shared" si="86"/>
        <v>1000000</v>
      </c>
      <c r="K1265" s="20">
        <f t="shared" si="87"/>
        <v>109</v>
      </c>
      <c r="L1265" s="78">
        <f t="shared" si="85"/>
        <v>3695798.9124764181</v>
      </c>
    </row>
    <row r="1266" spans="10:12" x14ac:dyDescent="0.2">
      <c r="J1266" s="77">
        <f t="shared" si="86"/>
        <v>1000000</v>
      </c>
      <c r="K1266" s="20">
        <f t="shared" si="87"/>
        <v>110</v>
      </c>
      <c r="L1266" s="78">
        <f t="shared" si="85"/>
        <v>3740388.1003677859</v>
      </c>
    </row>
    <row r="1267" spans="10:12" x14ac:dyDescent="0.2">
      <c r="J1267" s="77">
        <f t="shared" si="86"/>
        <v>1000000</v>
      </c>
      <c r="K1267" s="20">
        <f t="shared" si="87"/>
        <v>111</v>
      </c>
      <c r="L1267" s="78">
        <f t="shared" si="85"/>
        <v>3785515.24925863</v>
      </c>
    </row>
    <row r="1268" spans="10:12" x14ac:dyDescent="0.2">
      <c r="J1268" s="77">
        <f t="shared" si="86"/>
        <v>1000000</v>
      </c>
      <c r="K1268" s="20">
        <f t="shared" si="87"/>
        <v>112</v>
      </c>
      <c r="L1268" s="78">
        <f t="shared" si="85"/>
        <v>3831186.8495572885</v>
      </c>
    </row>
    <row r="1269" spans="10:12" x14ac:dyDescent="0.2">
      <c r="J1269" s="77">
        <f t="shared" si="86"/>
        <v>1000000</v>
      </c>
      <c r="K1269" s="20">
        <f t="shared" si="87"/>
        <v>113</v>
      </c>
      <c r="L1269" s="78">
        <f t="shared" si="85"/>
        <v>3877409.469977777</v>
      </c>
    </row>
    <row r="1270" spans="10:12" x14ac:dyDescent="0.2">
      <c r="J1270" s="77">
        <f t="shared" si="86"/>
        <v>1000000</v>
      </c>
      <c r="K1270" s="20">
        <f t="shared" si="87"/>
        <v>114</v>
      </c>
      <c r="L1270" s="78">
        <f t="shared" si="85"/>
        <v>3924189.7584845363</v>
      </c>
    </row>
    <row r="1271" spans="10:12" x14ac:dyDescent="0.2">
      <c r="J1271" s="77">
        <f t="shared" si="86"/>
        <v>1000000</v>
      </c>
      <c r="K1271" s="20">
        <f t="shared" si="87"/>
        <v>115</v>
      </c>
      <c r="L1271" s="78">
        <f t="shared" si="85"/>
        <v>3971534.4432485704</v>
      </c>
    </row>
    <row r="1272" spans="10:12" x14ac:dyDescent="0.2">
      <c r="J1272" s="77">
        <f t="shared" si="86"/>
        <v>1000000</v>
      </c>
      <c r="K1272" s="20">
        <f t="shared" si="87"/>
        <v>116</v>
      </c>
      <c r="L1272" s="78">
        <f t="shared" si="85"/>
        <v>4019450.3336151256</v>
      </c>
    </row>
    <row r="1273" spans="10:12" x14ac:dyDescent="0.2">
      <c r="J1273" s="77">
        <f t="shared" si="86"/>
        <v>1000000</v>
      </c>
      <c r="K1273" s="20">
        <f t="shared" si="87"/>
        <v>117</v>
      </c>
      <c r="L1273" s="78">
        <f t="shared" si="85"/>
        <v>4067944.3210830479</v>
      </c>
    </row>
    <row r="1274" spans="10:12" x14ac:dyDescent="0.2">
      <c r="J1274" s="77">
        <f t="shared" si="86"/>
        <v>1000000</v>
      </c>
      <c r="K1274" s="20">
        <f t="shared" si="87"/>
        <v>118</v>
      </c>
      <c r="L1274" s="78">
        <f t="shared" si="85"/>
        <v>4117023.3802959481</v>
      </c>
    </row>
    <row r="1275" spans="10:12" x14ac:dyDescent="0.2">
      <c r="J1275" s="77">
        <f t="shared" si="86"/>
        <v>1000000</v>
      </c>
      <c r="K1275" s="20">
        <f t="shared" si="87"/>
        <v>119</v>
      </c>
      <c r="L1275" s="78">
        <f t="shared" si="85"/>
        <v>4166694.5700453296</v>
      </c>
    </row>
    <row r="1276" spans="10:12" x14ac:dyDescent="0.2">
      <c r="J1276" s="77">
        <f t="shared" si="86"/>
        <v>1000000</v>
      </c>
      <c r="K1276" s="20">
        <f t="shared" si="87"/>
        <v>120</v>
      </c>
      <c r="L1276" s="78">
        <f t="shared" si="85"/>
        <v>4216965.0342858229</v>
      </c>
    </row>
    <row r="1277" spans="10:12" x14ac:dyDescent="0.2">
      <c r="J1277" s="77">
        <f t="shared" si="86"/>
        <v>1000000</v>
      </c>
      <c r="K1277" s="20">
        <f t="shared" si="87"/>
        <v>121</v>
      </c>
      <c r="L1277" s="78">
        <f t="shared" si="85"/>
        <v>4267842.0031626588</v>
      </c>
    </row>
    <row r="1278" spans="10:12" x14ac:dyDescent="0.2">
      <c r="J1278" s="77">
        <f t="shared" si="86"/>
        <v>1000000</v>
      </c>
      <c r="K1278" s="20">
        <f t="shared" si="87"/>
        <v>122</v>
      </c>
      <c r="L1278" s="78">
        <f t="shared" si="85"/>
        <v>4319332.7940515447</v>
      </c>
    </row>
    <row r="1279" spans="10:12" x14ac:dyDescent="0.2">
      <c r="J1279" s="77">
        <f t="shared" si="86"/>
        <v>1000000</v>
      </c>
      <c r="K1279" s="20">
        <f t="shared" si="87"/>
        <v>123</v>
      </c>
      <c r="L1279" s="78">
        <f t="shared" si="85"/>
        <v>4371444.81261109</v>
      </c>
    </row>
    <row r="1280" spans="10:12" x14ac:dyDescent="0.2">
      <c r="J1280" s="77">
        <f t="shared" si="86"/>
        <v>1000000</v>
      </c>
      <c r="K1280" s="20">
        <f t="shared" si="87"/>
        <v>124</v>
      </c>
      <c r="L1280" s="78">
        <f t="shared" si="85"/>
        <v>4424185.5538479183</v>
      </c>
    </row>
    <row r="1281" spans="10:12" x14ac:dyDescent="0.2">
      <c r="J1281" s="77">
        <f t="shared" si="86"/>
        <v>1000000</v>
      </c>
      <c r="K1281" s="20">
        <f t="shared" si="87"/>
        <v>125</v>
      </c>
      <c r="L1281" s="78">
        <f t="shared" si="85"/>
        <v>4477562.6031946372</v>
      </c>
    </row>
    <row r="1282" spans="10:12" x14ac:dyDescent="0.2">
      <c r="J1282" s="77">
        <f t="shared" si="86"/>
        <v>1000000</v>
      </c>
      <c r="K1282" s="20">
        <f t="shared" si="87"/>
        <v>126</v>
      </c>
      <c r="L1282" s="78">
        <f t="shared" si="85"/>
        <v>4531583.6376008186</v>
      </c>
    </row>
    <row r="1283" spans="10:12" x14ac:dyDescent="0.2">
      <c r="J1283" s="77">
        <f t="shared" si="86"/>
        <v>1000000</v>
      </c>
      <c r="K1283" s="20">
        <f t="shared" si="87"/>
        <v>127</v>
      </c>
      <c r="L1283" s="78">
        <f t="shared" si="85"/>
        <v>4586256.4266371261</v>
      </c>
    </row>
    <row r="1284" spans="10:12" x14ac:dyDescent="0.2">
      <c r="J1284" s="77">
        <f t="shared" si="86"/>
        <v>1000000</v>
      </c>
      <c r="K1284" s="20">
        <f t="shared" si="87"/>
        <v>128</v>
      </c>
      <c r="L1284" s="78">
        <f t="shared" si="85"/>
        <v>4641588.8336127792</v>
      </c>
    </row>
    <row r="1285" spans="10:12" x14ac:dyDescent="0.2">
      <c r="J1285" s="77">
        <f t="shared" si="86"/>
        <v>1000000</v>
      </c>
      <c r="K1285" s="20">
        <f t="shared" si="87"/>
        <v>129</v>
      </c>
      <c r="L1285" s="78">
        <f t="shared" ref="L1285:L1348" si="88">J1285*10^(K1285/192)</f>
        <v>4697588.8167064935</v>
      </c>
    </row>
    <row r="1286" spans="10:12" x14ac:dyDescent="0.2">
      <c r="J1286" s="77">
        <f t="shared" ref="J1286:J1348" si="89">J1094*10</f>
        <v>1000000</v>
      </c>
      <c r="K1286" s="20">
        <f t="shared" ref="K1286:K1331" si="90">K1285+1</f>
        <v>130</v>
      </c>
      <c r="L1286" s="78">
        <f t="shared" si="88"/>
        <v>4754264.4301110571</v>
      </c>
    </row>
    <row r="1287" spans="10:12" x14ac:dyDescent="0.2">
      <c r="J1287" s="77">
        <f t="shared" si="89"/>
        <v>1000000</v>
      </c>
      <c r="K1287" s="20">
        <f t="shared" si="90"/>
        <v>131</v>
      </c>
      <c r="L1287" s="78">
        <f t="shared" si="88"/>
        <v>4811623.8251917334</v>
      </c>
    </row>
    <row r="1288" spans="10:12" x14ac:dyDescent="0.2">
      <c r="J1288" s="77">
        <f t="shared" si="89"/>
        <v>1000000</v>
      </c>
      <c r="K1288" s="20">
        <f t="shared" si="90"/>
        <v>132</v>
      </c>
      <c r="L1288" s="78">
        <f t="shared" si="88"/>
        <v>4869675.2516586315</v>
      </c>
    </row>
    <row r="1289" spans="10:12" x14ac:dyDescent="0.2">
      <c r="J1289" s="77">
        <f t="shared" si="89"/>
        <v>1000000</v>
      </c>
      <c r="K1289" s="20">
        <f t="shared" si="90"/>
        <v>133</v>
      </c>
      <c r="L1289" s="78">
        <f t="shared" si="88"/>
        <v>4928427.0587532073</v>
      </c>
    </row>
    <row r="1290" spans="10:12" x14ac:dyDescent="0.2">
      <c r="J1290" s="77">
        <f t="shared" si="89"/>
        <v>1000000</v>
      </c>
      <c r="K1290" s="20">
        <f t="shared" si="90"/>
        <v>134</v>
      </c>
      <c r="L1290" s="78">
        <f t="shared" si="88"/>
        <v>4987887.6964491066</v>
      </c>
    </row>
    <row r="1291" spans="10:12" x14ac:dyDescent="0.2">
      <c r="J1291" s="77">
        <f t="shared" si="89"/>
        <v>1000000</v>
      </c>
      <c r="K1291" s="20">
        <f t="shared" si="90"/>
        <v>135</v>
      </c>
      <c r="L1291" s="78">
        <f t="shared" si="88"/>
        <v>5048065.7166674715</v>
      </c>
    </row>
    <row r="1292" spans="10:12" x14ac:dyDescent="0.2">
      <c r="J1292" s="77">
        <f t="shared" si="89"/>
        <v>1000000</v>
      </c>
      <c r="K1292" s="20">
        <f t="shared" si="90"/>
        <v>136</v>
      </c>
      <c r="L1292" s="78">
        <f t="shared" si="88"/>
        <v>5108969.7745069293</v>
      </c>
    </row>
    <row r="1293" spans="10:12" x14ac:dyDescent="0.2">
      <c r="J1293" s="77">
        <f t="shared" si="89"/>
        <v>1000000</v>
      </c>
      <c r="K1293" s="20">
        <f t="shared" si="90"/>
        <v>137</v>
      </c>
      <c r="L1293" s="78">
        <f t="shared" si="88"/>
        <v>5170608.6294884002</v>
      </c>
    </row>
    <row r="1294" spans="10:12" x14ac:dyDescent="0.2">
      <c r="J1294" s="77">
        <f t="shared" si="89"/>
        <v>1000000</v>
      </c>
      <c r="K1294" s="20">
        <f t="shared" si="90"/>
        <v>138</v>
      </c>
      <c r="L1294" s="78">
        <f t="shared" si="88"/>
        <v>5232991.1468149479</v>
      </c>
    </row>
    <row r="1295" spans="10:12" x14ac:dyDescent="0.2">
      <c r="J1295" s="77">
        <f t="shared" si="89"/>
        <v>1000000</v>
      </c>
      <c r="K1295" s="20">
        <f t="shared" si="90"/>
        <v>139</v>
      </c>
      <c r="L1295" s="78">
        <f t="shared" si="88"/>
        <v>5296126.2986468039</v>
      </c>
    </row>
    <row r="1296" spans="10:12" x14ac:dyDescent="0.2">
      <c r="J1296" s="77">
        <f t="shared" si="89"/>
        <v>1000000</v>
      </c>
      <c r="K1296" s="20">
        <f t="shared" si="90"/>
        <v>140</v>
      </c>
      <c r="L1296" s="78">
        <f t="shared" si="88"/>
        <v>5360023.1653917916</v>
      </c>
    </row>
    <row r="1297" spans="10:12" x14ac:dyDescent="0.2">
      <c r="J1297" s="77">
        <f t="shared" si="89"/>
        <v>1000000</v>
      </c>
      <c r="K1297" s="20">
        <f t="shared" si="90"/>
        <v>141</v>
      </c>
      <c r="L1297" s="78">
        <f t="shared" si="88"/>
        <v>5424690.9370113267</v>
      </c>
    </row>
    <row r="1298" spans="10:12" x14ac:dyDescent="0.2">
      <c r="J1298" s="77">
        <f t="shared" si="89"/>
        <v>1000000</v>
      </c>
      <c r="K1298" s="20">
        <f t="shared" si="90"/>
        <v>142</v>
      </c>
      <c r="L1298" s="78">
        <f t="shared" si="88"/>
        <v>5490138.9143421417</v>
      </c>
    </row>
    <row r="1299" spans="10:12" x14ac:dyDescent="0.2">
      <c r="J1299" s="77">
        <f t="shared" si="89"/>
        <v>1000000</v>
      </c>
      <c r="K1299" s="20">
        <f t="shared" si="90"/>
        <v>143</v>
      </c>
      <c r="L1299" s="78">
        <f t="shared" si="88"/>
        <v>5556376.5104339933</v>
      </c>
    </row>
    <row r="1300" spans="10:12" x14ac:dyDescent="0.2">
      <c r="J1300" s="77">
        <f t="shared" si="89"/>
        <v>1000000</v>
      </c>
      <c r="K1300" s="20">
        <f t="shared" si="90"/>
        <v>144</v>
      </c>
      <c r="L1300" s="78">
        <f t="shared" si="88"/>
        <v>5623413.251903492</v>
      </c>
    </row>
    <row r="1301" spans="10:12" x14ac:dyDescent="0.2">
      <c r="J1301" s="77">
        <f t="shared" si="89"/>
        <v>1000000</v>
      </c>
      <c r="K1301" s="20">
        <f t="shared" si="90"/>
        <v>145</v>
      </c>
      <c r="L1301" s="78">
        <f t="shared" si="88"/>
        <v>5691258.7803042587</v>
      </c>
    </row>
    <row r="1302" spans="10:12" x14ac:dyDescent="0.2">
      <c r="J1302" s="77">
        <f t="shared" si="89"/>
        <v>1000000</v>
      </c>
      <c r="K1302" s="20">
        <f t="shared" si="90"/>
        <v>146</v>
      </c>
      <c r="L1302" s="78">
        <f t="shared" si="88"/>
        <v>5759922.8535136282</v>
      </c>
    </row>
    <row r="1303" spans="10:12" x14ac:dyDescent="0.2">
      <c r="J1303" s="77">
        <f t="shared" si="89"/>
        <v>1000000</v>
      </c>
      <c r="K1303" s="20">
        <f t="shared" si="90"/>
        <v>147</v>
      </c>
      <c r="L1303" s="78">
        <f t="shared" si="88"/>
        <v>5829415.3471360756</v>
      </c>
    </row>
    <row r="1304" spans="10:12" x14ac:dyDescent="0.2">
      <c r="J1304" s="77">
        <f t="shared" si="89"/>
        <v>1000000</v>
      </c>
      <c r="K1304" s="20">
        <f t="shared" si="90"/>
        <v>148</v>
      </c>
      <c r="L1304" s="78">
        <f t="shared" si="88"/>
        <v>5899746.2559235655</v>
      </c>
    </row>
    <row r="1305" spans="10:12" x14ac:dyDescent="0.2">
      <c r="J1305" s="77">
        <f t="shared" si="89"/>
        <v>1000000</v>
      </c>
      <c r="K1305" s="20">
        <f t="shared" si="90"/>
        <v>149</v>
      </c>
      <c r="L1305" s="78">
        <f t="shared" si="88"/>
        <v>5970925.6952130534</v>
      </c>
    </row>
    <row r="1306" spans="10:12" x14ac:dyDescent="0.2">
      <c r="J1306" s="77">
        <f t="shared" si="89"/>
        <v>1000000</v>
      </c>
      <c r="K1306" s="20">
        <f t="shared" si="90"/>
        <v>150</v>
      </c>
      <c r="L1306" s="78">
        <f t="shared" si="88"/>
        <v>6042963.9023813289</v>
      </c>
    </row>
    <row r="1307" spans="10:12" x14ac:dyDescent="0.2">
      <c r="J1307" s="77">
        <f t="shared" si="89"/>
        <v>1000000</v>
      </c>
      <c r="K1307" s="20">
        <f t="shared" si="90"/>
        <v>151</v>
      </c>
      <c r="L1307" s="78">
        <f t="shared" si="88"/>
        <v>6115871.238317389</v>
      </c>
    </row>
    <row r="1308" spans="10:12" x14ac:dyDescent="0.2">
      <c r="J1308" s="77">
        <f t="shared" si="89"/>
        <v>1000000</v>
      </c>
      <c r="K1308" s="20">
        <f t="shared" si="90"/>
        <v>152</v>
      </c>
      <c r="L1308" s="78">
        <f t="shared" si="88"/>
        <v>6189658.1889126059</v>
      </c>
    </row>
    <row r="1309" spans="10:12" x14ac:dyDescent="0.2">
      <c r="J1309" s="77">
        <f t="shared" si="89"/>
        <v>1000000</v>
      </c>
      <c r="K1309" s="20">
        <f t="shared" si="90"/>
        <v>153</v>
      </c>
      <c r="L1309" s="78">
        <f t="shared" si="88"/>
        <v>6264335.3665688569</v>
      </c>
    </row>
    <row r="1310" spans="10:12" x14ac:dyDescent="0.2">
      <c r="J1310" s="77">
        <f t="shared" si="89"/>
        <v>1000000</v>
      </c>
      <c r="K1310" s="20">
        <f t="shared" si="90"/>
        <v>154</v>
      </c>
      <c r="L1310" s="78">
        <f t="shared" si="88"/>
        <v>6339913.5117248455</v>
      </c>
    </row>
    <row r="1311" spans="10:12" x14ac:dyDescent="0.2">
      <c r="J1311" s="77">
        <f t="shared" si="89"/>
        <v>1000000</v>
      </c>
      <c r="K1311" s="20">
        <f t="shared" si="90"/>
        <v>155</v>
      </c>
      <c r="L1311" s="78">
        <f t="shared" si="88"/>
        <v>6416403.4944008533</v>
      </c>
    </row>
    <row r="1312" spans="10:12" x14ac:dyDescent="0.2">
      <c r="J1312" s="77">
        <f t="shared" si="89"/>
        <v>1000000</v>
      </c>
      <c r="K1312" s="20">
        <f t="shared" si="90"/>
        <v>156</v>
      </c>
      <c r="L1312" s="78">
        <f t="shared" si="88"/>
        <v>6493816.3157621147</v>
      </c>
    </row>
    <row r="1313" spans="10:12" x14ac:dyDescent="0.2">
      <c r="J1313" s="77">
        <f t="shared" si="89"/>
        <v>1000000</v>
      </c>
      <c r="K1313" s="20">
        <f t="shared" si="90"/>
        <v>157</v>
      </c>
      <c r="L1313" s="78">
        <f t="shared" si="88"/>
        <v>6572163.1097010579</v>
      </c>
    </row>
    <row r="1314" spans="10:12" x14ac:dyDescent="0.2">
      <c r="J1314" s="77">
        <f t="shared" si="89"/>
        <v>1000000</v>
      </c>
      <c r="K1314" s="20">
        <f t="shared" si="90"/>
        <v>158</v>
      </c>
      <c r="L1314" s="78">
        <f t="shared" si="88"/>
        <v>6651455.1444386337</v>
      </c>
    </row>
    <row r="1315" spans="10:12" x14ac:dyDescent="0.2">
      <c r="J1315" s="77">
        <f t="shared" si="89"/>
        <v>1000000</v>
      </c>
      <c r="K1315" s="20">
        <f t="shared" si="90"/>
        <v>159</v>
      </c>
      <c r="L1315" s="78">
        <f t="shared" si="88"/>
        <v>6731703.8241449827</v>
      </c>
    </row>
    <row r="1316" spans="10:12" x14ac:dyDescent="0.2">
      <c r="J1316" s="77">
        <f t="shared" si="89"/>
        <v>1000000</v>
      </c>
      <c r="K1316" s="20">
        <f t="shared" si="90"/>
        <v>160</v>
      </c>
      <c r="L1316" s="78">
        <f t="shared" si="88"/>
        <v>6812920.6905796137</v>
      </c>
    </row>
    <row r="1317" spans="10:12" x14ac:dyDescent="0.2">
      <c r="J1317" s="77">
        <f t="shared" si="89"/>
        <v>1000000</v>
      </c>
      <c r="K1317" s="20">
        <f t="shared" si="90"/>
        <v>161</v>
      </c>
      <c r="L1317" s="78">
        <f t="shared" si="88"/>
        <v>6895117.424751414</v>
      </c>
    </row>
    <row r="1318" spans="10:12" x14ac:dyDescent="0.2">
      <c r="J1318" s="77">
        <f t="shared" si="89"/>
        <v>1000000</v>
      </c>
      <c r="K1318" s="20">
        <f t="shared" si="90"/>
        <v>162</v>
      </c>
      <c r="L1318" s="78">
        <f t="shared" si="88"/>
        <v>6978305.8485986646</v>
      </c>
    </row>
    <row r="1319" spans="10:12" x14ac:dyDescent="0.2">
      <c r="J1319" s="77">
        <f t="shared" si="89"/>
        <v>1000000</v>
      </c>
      <c r="K1319" s="20">
        <f t="shared" si="90"/>
        <v>163</v>
      </c>
      <c r="L1319" s="78">
        <f t="shared" si="88"/>
        <v>7062497.9266893296</v>
      </c>
    </row>
    <row r="1320" spans="10:12" x14ac:dyDescent="0.2">
      <c r="J1320" s="77">
        <f t="shared" si="89"/>
        <v>1000000</v>
      </c>
      <c r="K1320" s="20">
        <f t="shared" si="90"/>
        <v>164</v>
      </c>
      <c r="L1320" s="78">
        <f t="shared" si="88"/>
        <v>7147705.7679418568</v>
      </c>
    </row>
    <row r="1321" spans="10:12" x14ac:dyDescent="0.2">
      <c r="J1321" s="77">
        <f t="shared" si="89"/>
        <v>1000000</v>
      </c>
      <c r="K1321" s="20">
        <f t="shared" si="90"/>
        <v>165</v>
      </c>
      <c r="L1321" s="78">
        <f t="shared" si="88"/>
        <v>7233941.6273667496</v>
      </c>
    </row>
    <row r="1322" spans="10:12" x14ac:dyDescent="0.2">
      <c r="J1322" s="77">
        <f t="shared" si="89"/>
        <v>1000000</v>
      </c>
      <c r="K1322" s="20">
        <f t="shared" si="90"/>
        <v>166</v>
      </c>
      <c r="L1322" s="78">
        <f t="shared" si="88"/>
        <v>7321217.907829131</v>
      </c>
    </row>
    <row r="1323" spans="10:12" x14ac:dyDescent="0.2">
      <c r="J1323" s="77">
        <f t="shared" si="89"/>
        <v>1000000</v>
      </c>
      <c r="K1323" s="20">
        <f t="shared" si="90"/>
        <v>167</v>
      </c>
      <c r="L1323" s="78">
        <f t="shared" si="88"/>
        <v>7409547.1618325906</v>
      </c>
    </row>
    <row r="1324" spans="10:12" x14ac:dyDescent="0.2">
      <c r="J1324" s="77">
        <f t="shared" si="89"/>
        <v>1000000</v>
      </c>
      <c r="K1324" s="20">
        <f t="shared" si="90"/>
        <v>168</v>
      </c>
      <c r="L1324" s="78">
        <f t="shared" si="88"/>
        <v>7498942.0933245588</v>
      </c>
    </row>
    <row r="1325" spans="10:12" x14ac:dyDescent="0.2">
      <c r="J1325" s="77">
        <f t="shared" si="89"/>
        <v>1000000</v>
      </c>
      <c r="K1325" s="20">
        <f t="shared" si="90"/>
        <v>169</v>
      </c>
      <c r="L1325" s="78">
        <f t="shared" si="88"/>
        <v>7589415.5595234269</v>
      </c>
    </row>
    <row r="1326" spans="10:12" x14ac:dyDescent="0.2">
      <c r="J1326" s="77">
        <f t="shared" si="89"/>
        <v>1000000</v>
      </c>
      <c r="K1326" s="20">
        <f t="shared" si="90"/>
        <v>170</v>
      </c>
      <c r="L1326" s="78">
        <f t="shared" si="88"/>
        <v>7680980.572767755</v>
      </c>
    </row>
    <row r="1327" spans="10:12" x14ac:dyDescent="0.2">
      <c r="J1327" s="77">
        <f t="shared" si="89"/>
        <v>1000000</v>
      </c>
      <c r="K1327" s="20">
        <f t="shared" si="90"/>
        <v>171</v>
      </c>
      <c r="L1327" s="78">
        <f t="shared" si="88"/>
        <v>7773650.302387761</v>
      </c>
    </row>
    <row r="1328" spans="10:12" x14ac:dyDescent="0.2">
      <c r="J1328" s="77">
        <f t="shared" si="89"/>
        <v>1000000</v>
      </c>
      <c r="K1328" s="20">
        <f t="shared" si="90"/>
        <v>172</v>
      </c>
      <c r="L1328" s="78">
        <f t="shared" si="88"/>
        <v>7867438.0765994033</v>
      </c>
    </row>
    <row r="1329" spans="10:12" x14ac:dyDescent="0.2">
      <c r="J1329" s="77">
        <f t="shared" si="89"/>
        <v>1000000</v>
      </c>
      <c r="K1329" s="20">
        <f t="shared" si="90"/>
        <v>173</v>
      </c>
      <c r="L1329" s="78">
        <f t="shared" si="88"/>
        <v>7962357.3844213039</v>
      </c>
    </row>
    <row r="1330" spans="10:12" x14ac:dyDescent="0.2">
      <c r="J1330" s="77">
        <f t="shared" si="89"/>
        <v>1000000</v>
      </c>
      <c r="K1330" s="20">
        <f t="shared" si="90"/>
        <v>174</v>
      </c>
      <c r="L1330" s="78">
        <f t="shared" si="88"/>
        <v>8058421.8776148194</v>
      </c>
    </row>
    <row r="1331" spans="10:12" x14ac:dyDescent="0.2">
      <c r="J1331" s="77">
        <f t="shared" si="89"/>
        <v>1000000</v>
      </c>
      <c r="K1331" s="20">
        <f t="shared" si="90"/>
        <v>175</v>
      </c>
      <c r="L1331" s="78">
        <f t="shared" si="88"/>
        <v>8155645.3726474876</v>
      </c>
    </row>
    <row r="1332" spans="10:12" x14ac:dyDescent="0.2">
      <c r="J1332" s="77">
        <f t="shared" si="89"/>
        <v>1000000</v>
      </c>
      <c r="K1332" s="20">
        <f>K1331+1</f>
        <v>176</v>
      </c>
      <c r="L1332" s="78">
        <f t="shared" si="88"/>
        <v>8254041.852680183</v>
      </c>
    </row>
    <row r="1333" spans="10:12" x14ac:dyDescent="0.2">
      <c r="J1333" s="77">
        <f t="shared" si="89"/>
        <v>1000000</v>
      </c>
      <c r="K1333" s="20">
        <f t="shared" ref="K1333:K1348" si="91">K1332+1</f>
        <v>177</v>
      </c>
      <c r="L1333" s="78">
        <f t="shared" si="88"/>
        <v>8353625.4695782615</v>
      </c>
    </row>
    <row r="1334" spans="10:12" x14ac:dyDescent="0.2">
      <c r="J1334" s="77">
        <f t="shared" si="89"/>
        <v>1000000</v>
      </c>
      <c r="K1334" s="20">
        <f t="shared" si="91"/>
        <v>178</v>
      </c>
      <c r="L1334" s="78">
        <f t="shared" si="88"/>
        <v>8454410.545946924</v>
      </c>
    </row>
    <row r="1335" spans="10:12" x14ac:dyDescent="0.2">
      <c r="J1335" s="77">
        <f t="shared" si="89"/>
        <v>1000000</v>
      </c>
      <c r="K1335" s="20">
        <f t="shared" si="91"/>
        <v>179</v>
      </c>
      <c r="L1335" s="78">
        <f t="shared" si="88"/>
        <v>8556411.5771911852</v>
      </c>
    </row>
    <row r="1336" spans="10:12" x14ac:dyDescent="0.2">
      <c r="J1336" s="77">
        <f t="shared" si="89"/>
        <v>1000000</v>
      </c>
      <c r="K1336" s="20">
        <f t="shared" si="91"/>
        <v>180</v>
      </c>
      <c r="L1336" s="78">
        <f t="shared" si="88"/>
        <v>8659643.2336006556</v>
      </c>
    </row>
    <row r="1337" spans="10:12" x14ac:dyDescent="0.2">
      <c r="J1337" s="77">
        <f t="shared" si="89"/>
        <v>1000000</v>
      </c>
      <c r="K1337" s="20">
        <f t="shared" si="91"/>
        <v>181</v>
      </c>
      <c r="L1337" s="78">
        <f t="shared" si="88"/>
        <v>8764120.3624595199</v>
      </c>
    </row>
    <row r="1338" spans="10:12" x14ac:dyDescent="0.2">
      <c r="J1338" s="77">
        <f t="shared" si="89"/>
        <v>1000000</v>
      </c>
      <c r="K1338" s="20">
        <f t="shared" si="91"/>
        <v>182</v>
      </c>
      <c r="L1338" s="78">
        <f t="shared" si="88"/>
        <v>8869857.9901819192</v>
      </c>
    </row>
    <row r="1339" spans="10:12" x14ac:dyDescent="0.2">
      <c r="J1339" s="77">
        <f t="shared" si="89"/>
        <v>1000000</v>
      </c>
      <c r="K1339" s="20">
        <f t="shared" si="91"/>
        <v>183</v>
      </c>
      <c r="L1339" s="78">
        <f t="shared" si="88"/>
        <v>8976871.3244731445</v>
      </c>
    </row>
    <row r="1340" spans="10:12" x14ac:dyDescent="0.2">
      <c r="J1340" s="77">
        <f t="shared" si="89"/>
        <v>1000000</v>
      </c>
      <c r="K1340" s="20">
        <f t="shared" si="91"/>
        <v>184</v>
      </c>
      <c r="L1340" s="78">
        <f t="shared" si="88"/>
        <v>9085175.7565168701</v>
      </c>
    </row>
    <row r="1341" spans="10:12" x14ac:dyDescent="0.2">
      <c r="J1341" s="77">
        <f t="shared" si="89"/>
        <v>1000000</v>
      </c>
      <c r="K1341" s="20">
        <f t="shared" si="91"/>
        <v>185</v>
      </c>
      <c r="L1341" s="78">
        <f t="shared" si="88"/>
        <v>9194786.8631887939</v>
      </c>
    </row>
    <row r="1342" spans="10:12" x14ac:dyDescent="0.2">
      <c r="J1342" s="77">
        <f t="shared" si="89"/>
        <v>1000000</v>
      </c>
      <c r="K1342" s="20">
        <f t="shared" si="91"/>
        <v>186</v>
      </c>
      <c r="L1342" s="78">
        <f t="shared" si="88"/>
        <v>9305720.4092969894</v>
      </c>
    </row>
    <row r="1343" spans="10:12" x14ac:dyDescent="0.2">
      <c r="J1343" s="77">
        <f t="shared" si="89"/>
        <v>1000000</v>
      </c>
      <c r="K1343" s="20">
        <f t="shared" si="91"/>
        <v>187</v>
      </c>
      <c r="L1343" s="78">
        <f t="shared" si="88"/>
        <v>9417992.3498492613</v>
      </c>
    </row>
    <row r="1344" spans="10:12" x14ac:dyDescent="0.2">
      <c r="J1344" s="77">
        <f t="shared" si="89"/>
        <v>1000000</v>
      </c>
      <c r="K1344" s="20">
        <f t="shared" si="91"/>
        <v>188</v>
      </c>
      <c r="L1344" s="78">
        <f t="shared" si="88"/>
        <v>9531618.8323478773</v>
      </c>
    </row>
    <row r="1345" spans="10:12" x14ac:dyDescent="0.2">
      <c r="J1345" s="77">
        <f t="shared" si="89"/>
        <v>1000000</v>
      </c>
      <c r="K1345" s="20">
        <f t="shared" si="91"/>
        <v>189</v>
      </c>
      <c r="L1345" s="78">
        <f t="shared" si="88"/>
        <v>9646616.1991119962</v>
      </c>
    </row>
    <row r="1346" spans="10:12" x14ac:dyDescent="0.2">
      <c r="J1346" s="77">
        <f t="shared" si="89"/>
        <v>1000000</v>
      </c>
      <c r="K1346" s="20">
        <f t="shared" si="91"/>
        <v>190</v>
      </c>
      <c r="L1346" s="78">
        <f t="shared" si="88"/>
        <v>9763000.9896280784</v>
      </c>
    </row>
    <row r="1347" spans="10:12" x14ac:dyDescent="0.2">
      <c r="J1347" s="77">
        <f t="shared" si="89"/>
        <v>1000000</v>
      </c>
      <c r="K1347" s="20">
        <f t="shared" si="91"/>
        <v>191</v>
      </c>
      <c r="L1347" s="78">
        <f t="shared" si="88"/>
        <v>9880789.9429286923</v>
      </c>
    </row>
    <row r="1348" spans="10:12" x14ac:dyDescent="0.2">
      <c r="J1348" s="77">
        <f t="shared" si="89"/>
        <v>1000000</v>
      </c>
      <c r="K1348" s="20">
        <f t="shared" si="91"/>
        <v>192</v>
      </c>
      <c r="L1348" s="83">
        <f t="shared" si="88"/>
        <v>10000000</v>
      </c>
    </row>
  </sheetData>
  <sheetProtection selectLockedCells="1"/>
  <mergeCells count="3">
    <mergeCell ref="B2:D2"/>
    <mergeCell ref="F2:H2"/>
    <mergeCell ref="J2:L2"/>
  </mergeCells>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4BDB0366CFF449BFF6BB5BED1ACE66" ma:contentTypeVersion="" ma:contentTypeDescription="Create a new document." ma:contentTypeScope="" ma:versionID="d6deed8e886971231d8a52858db1230f">
  <xsd:schema xmlns:xsd="http://www.w3.org/2001/XMLSchema" xmlns:xs="http://www.w3.org/2001/XMLSchema" xmlns:p="http://schemas.microsoft.com/office/2006/metadata/properties" xmlns:ns2="http://schemas.microsoft.com/sharepoint/v3/fields" xmlns:ns3="81cbb912-a41f-478e-bff8-56a8cfd8785b" targetNamespace="http://schemas.microsoft.com/office/2006/metadata/properties" ma:root="true" ma:fieldsID="35711bc7b8ec5538d72420f9697b25d9" ns2:_="" ns3:_="">
    <xsd:import namespace="http://schemas.microsoft.com/sharepoint/v3/fields"/>
    <xsd:import namespace="81cbb912-a41f-478e-bff8-56a8cfd8785b"/>
    <xsd:element name="properties">
      <xsd:complexType>
        <xsd:sequence>
          <xsd:element name="documentManagement">
            <xsd:complexType>
              <xsd:all>
                <xsd:element ref="ns2:_Version" minOccurs="0"/>
                <xsd:element ref="ns2:_Revision" minOccurs="0"/>
                <xsd:element ref="ns2:_DCDateModifie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element name="_Revision" ma:index="3" nillable="true" ma:displayName="Revision" ma:internalName="_Revision">
      <xsd:simpleType>
        <xsd:restriction base="dms:Text"/>
      </xsd:simpleType>
    </xsd:element>
    <xsd:element name="_DCDateModified" ma:index="4"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1cbb912-a41f-478e-bff8-56a8cfd8785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_Revision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B7965-ECC4-40BA-A9B4-25C37263A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1cbb912-a41f-478e-bff8-56a8cfd878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CC7B43-647D-4A74-9DF7-FAFE925EC295}">
  <ds:schemaRefs>
    <ds:schemaRef ds:uri="http://schemas.microsoft.com/office/2006/metadata/properties"/>
    <ds:schemaRef ds:uri="http://schemas.microsoft.com/office/infopath/2007/PartnerControls"/>
    <ds:schemaRef ds:uri="http://schemas.microsoft.com/sharepoint/v3/fields"/>
  </ds:schemaRefs>
</ds:datastoreItem>
</file>

<file path=customXml/itemProps3.xml><?xml version="1.0" encoding="utf-8"?>
<ds:datastoreItem xmlns:ds="http://schemas.openxmlformats.org/officeDocument/2006/customXml" ds:itemID="{53A97B69-E84A-425E-BFBB-CF0AE5890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259</vt:i4>
      </vt:variant>
    </vt:vector>
  </HeadingPairs>
  <TitlesOfParts>
    <vt:vector size="262" baseType="lpstr">
      <vt:lpstr>BQ2575X Design Calculator</vt:lpstr>
      <vt:lpstr>Thermistor Qualification</vt:lpstr>
      <vt:lpstr>StdResVals</vt:lpstr>
      <vt:lpstr>ACOV_D</vt:lpstr>
      <vt:lpstr>ACUV_D</vt:lpstr>
      <vt:lpstr>Buck_Boost</vt:lpstr>
      <vt:lpstr>Buck_Only</vt:lpstr>
      <vt:lpstr>C_MOSFET_S_gFS_H_BO</vt:lpstr>
      <vt:lpstr>C_MOSFET_S_gFS_H_BU</vt:lpstr>
      <vt:lpstr>C_MOSFET_S_gFS_L_BO</vt:lpstr>
      <vt:lpstr>C_MOSFET_S_gFS_L_BU</vt:lpstr>
      <vt:lpstr>C_MOSFET_S_QG_H_BO</vt:lpstr>
      <vt:lpstr>C_MOSFET_S_QG_H_BU</vt:lpstr>
      <vt:lpstr>C_MOSFET_S_QG_L_BO</vt:lpstr>
      <vt:lpstr>C_MOSFET_S_QG_L_BU</vt:lpstr>
      <vt:lpstr>C_MOSFET_S_QGD_H_BO</vt:lpstr>
      <vt:lpstr>C_MOSFET_S_QGD_H_BU</vt:lpstr>
      <vt:lpstr>C_MOSFET_S_QGD_L_BO</vt:lpstr>
      <vt:lpstr>C_MOSFET_S_QGD_L_BU</vt:lpstr>
      <vt:lpstr>C_MOSFET_S_QGS_H_BO</vt:lpstr>
      <vt:lpstr>C_MOSFET_S_QGS_H_BU</vt:lpstr>
      <vt:lpstr>C_MOSFET_S_QGS_L_BO</vt:lpstr>
      <vt:lpstr>C_MOSFET_S_QGS_L_BU</vt:lpstr>
      <vt:lpstr>C_MOSFET_S_QOSS_H_BO</vt:lpstr>
      <vt:lpstr>C_MOSFET_S_QOSS_H_BU</vt:lpstr>
      <vt:lpstr>C_MOSFET_S_QOSS_L_BO</vt:lpstr>
      <vt:lpstr>C_MOSFET_S_QOSS_L_BU</vt:lpstr>
      <vt:lpstr>C_MOSFET_S_QRR_H_BO</vt:lpstr>
      <vt:lpstr>C_MOSFET_S_QRR_L_BU</vt:lpstr>
      <vt:lpstr>C_MOSFET_S_RDSON_H_BO</vt:lpstr>
      <vt:lpstr>C_MOSFET_S_RDSON_H_BU</vt:lpstr>
      <vt:lpstr>C_MOSFET_S_RDSON_L_BO</vt:lpstr>
      <vt:lpstr>C_MOSFET_S_RDSON_L_BU</vt:lpstr>
      <vt:lpstr>C_MOSFET_S_VSD_H_BO</vt:lpstr>
      <vt:lpstr>C_MOSFET_S_VSD_H_BU</vt:lpstr>
      <vt:lpstr>C_MOSFET_S_VSD_L_BO</vt:lpstr>
      <vt:lpstr>C_MOSFET_S_VSD_L_BU</vt:lpstr>
      <vt:lpstr>C_MOSFET_S_VTH_H_BO</vt:lpstr>
      <vt:lpstr>C_MOSFET_S_VTH_H_BU</vt:lpstr>
      <vt:lpstr>C_MOSFET_S_VTH_L_BO</vt:lpstr>
      <vt:lpstr>C_MOSFET_S_VTH_L_BU</vt:lpstr>
      <vt:lpstr>C_OUT</vt:lpstr>
      <vt:lpstr>C_QG_10_H_BO</vt:lpstr>
      <vt:lpstr>C_QG_10_H_BU</vt:lpstr>
      <vt:lpstr>C_QG_10_L_BO</vt:lpstr>
      <vt:lpstr>C_QG_10_L_BU</vt:lpstr>
      <vt:lpstr>C_QG_4P5_H_BO</vt:lpstr>
      <vt:lpstr>C_QG_4P5_H_BU</vt:lpstr>
      <vt:lpstr>C_QG_4P5_L_BO</vt:lpstr>
      <vt:lpstr>C_QG_4P5_L_BU</vt:lpstr>
      <vt:lpstr>C_QG_C_H_BO</vt:lpstr>
      <vt:lpstr>C_QG_C_H_BU</vt:lpstr>
      <vt:lpstr>C_QG_C_L_BO</vt:lpstr>
      <vt:lpstr>C_QG_C_L_BU</vt:lpstr>
      <vt:lpstr>C_QGD_H_BO</vt:lpstr>
      <vt:lpstr>C_QGD_H_BU</vt:lpstr>
      <vt:lpstr>C_QGD_L_BO</vt:lpstr>
      <vt:lpstr>C_QGD_L_BU</vt:lpstr>
      <vt:lpstr>C_RDS_10_H_BO</vt:lpstr>
      <vt:lpstr>C_RDS_10_H_BU</vt:lpstr>
      <vt:lpstr>C_RDS_10_L_BO</vt:lpstr>
      <vt:lpstr>C_RDS_10_L_BU</vt:lpstr>
      <vt:lpstr>C_RDS_4P5_H_BO</vt:lpstr>
      <vt:lpstr>C_RDS_4P5_H_BU</vt:lpstr>
      <vt:lpstr>C_RDS_4P5_L_BO</vt:lpstr>
      <vt:lpstr>C_RDS_4P5_L_BU</vt:lpstr>
      <vt:lpstr>C_RDS_C_H_BO</vt:lpstr>
      <vt:lpstr>C_RDS_C_H_BU</vt:lpstr>
      <vt:lpstr>C_RDS_C_L_BO</vt:lpstr>
      <vt:lpstr>C_RDS_C_L_BU</vt:lpstr>
      <vt:lpstr>CLR_Save</vt:lpstr>
      <vt:lpstr>Compare_MOSFET</vt:lpstr>
      <vt:lpstr>COUT_ESR</vt:lpstr>
      <vt:lpstr>Custom_MOSFET</vt:lpstr>
      <vt:lpstr>Desired_Fsw</vt:lpstr>
      <vt:lpstr>Desired_Operation</vt:lpstr>
      <vt:lpstr>Fsw</vt:lpstr>
      <vt:lpstr>ILmax</vt:lpstr>
      <vt:lpstr>Ioutmax</vt:lpstr>
      <vt:lpstr>Ipkpk_VACnom</vt:lpstr>
      <vt:lpstr>Isat</vt:lpstr>
      <vt:lpstr>L_DRC</vt:lpstr>
      <vt:lpstr>MOSFET_S</vt:lpstr>
      <vt:lpstr>R_FB_BOT</vt:lpstr>
      <vt:lpstr>R_FB_BOT_Ideal</vt:lpstr>
      <vt:lpstr>R_FB_TOP</vt:lpstr>
      <vt:lpstr>R_FBG</vt:lpstr>
      <vt:lpstr>RAC_SNS</vt:lpstr>
      <vt:lpstr>RAC1_R</vt:lpstr>
      <vt:lpstr>RAC1_S</vt:lpstr>
      <vt:lpstr>RAC2_R</vt:lpstr>
      <vt:lpstr>RAC2_S</vt:lpstr>
      <vt:lpstr>RAC3_R</vt:lpstr>
      <vt:lpstr>RAC3_S</vt:lpstr>
      <vt:lpstr>RBAT_SNS</vt:lpstr>
      <vt:lpstr>RFB_BOT_R</vt:lpstr>
      <vt:lpstr>RFB_TOP_R</vt:lpstr>
      <vt:lpstr>RIIN</vt:lpstr>
      <vt:lpstr>RIOUT</vt:lpstr>
      <vt:lpstr>RT1_Ideal_TH</vt:lpstr>
      <vt:lpstr>RT1_R</vt:lpstr>
      <vt:lpstr>RT1_TH_S</vt:lpstr>
      <vt:lpstr>RT1_TH_S_MAX</vt:lpstr>
      <vt:lpstr>RT1_TH_S_MIN</vt:lpstr>
      <vt:lpstr>RT2_Ideal_TH</vt:lpstr>
      <vt:lpstr>RT2_R</vt:lpstr>
      <vt:lpstr>RT2_TH_MIN</vt:lpstr>
      <vt:lpstr>RT2_TH_S</vt:lpstr>
      <vt:lpstr>RT2_TH_S_MAX</vt:lpstr>
      <vt:lpstr>RTHCOLD</vt:lpstr>
      <vt:lpstr>RTHCOLD_TH</vt:lpstr>
      <vt:lpstr>RTHHOT</vt:lpstr>
      <vt:lpstr>RTHHOT_TH</vt:lpstr>
      <vt:lpstr>Save</vt:lpstr>
      <vt:lpstr>Save_Sel</vt:lpstr>
      <vt:lpstr>T_50_P</vt:lpstr>
      <vt:lpstr>T_60</vt:lpstr>
      <vt:lpstr>T_600</vt:lpstr>
      <vt:lpstr>T_65</vt:lpstr>
      <vt:lpstr>T1_0</vt:lpstr>
      <vt:lpstr>T1_0_P</vt:lpstr>
      <vt:lpstr>T1_0_PERCENT</vt:lpstr>
      <vt:lpstr>T1_0_TEMP</vt:lpstr>
      <vt:lpstr>T1_5</vt:lpstr>
      <vt:lpstr>T1_5_P</vt:lpstr>
      <vt:lpstr>T1_5_PERCENT</vt:lpstr>
      <vt:lpstr>T1_5_TEMP</vt:lpstr>
      <vt:lpstr>T1_N_TEMP</vt:lpstr>
      <vt:lpstr>T1_N10</vt:lpstr>
      <vt:lpstr>T1_N10_P</vt:lpstr>
      <vt:lpstr>T1_N10_PERCENT</vt:lpstr>
      <vt:lpstr>T1_N10_TEMP</vt:lpstr>
      <vt:lpstr>T1_N5</vt:lpstr>
      <vt:lpstr>T1_N5_P</vt:lpstr>
      <vt:lpstr>T1_N5_PERCENT</vt:lpstr>
      <vt:lpstr>T1_P_Select</vt:lpstr>
      <vt:lpstr>T1_S</vt:lpstr>
      <vt:lpstr>T1_T_N10</vt:lpstr>
      <vt:lpstr>T1_TE</vt:lpstr>
      <vt:lpstr>T1_TEMP</vt:lpstr>
      <vt:lpstr>T1_TEMP__10</vt:lpstr>
      <vt:lpstr>T1_TEMP_0</vt:lpstr>
      <vt:lpstr>T1_TEMP_N10</vt:lpstr>
      <vt:lpstr>T1_TEMP_Neg_5</vt:lpstr>
      <vt:lpstr>T2_10_PERCENT</vt:lpstr>
      <vt:lpstr>T2_10_TEMP</vt:lpstr>
      <vt:lpstr>T2_15_PERCENT</vt:lpstr>
      <vt:lpstr>T2_15_TEMP</vt:lpstr>
      <vt:lpstr>T2_20_PERCENT</vt:lpstr>
      <vt:lpstr>T2_20_TEMP</vt:lpstr>
      <vt:lpstr>T2_5_PERCENT</vt:lpstr>
      <vt:lpstr>T2_5_TEMP</vt:lpstr>
      <vt:lpstr>T2_S</vt:lpstr>
      <vt:lpstr>T3_40_PERCENT</vt:lpstr>
      <vt:lpstr>T3_40_TEMP</vt:lpstr>
      <vt:lpstr>T3_45_PERCENT</vt:lpstr>
      <vt:lpstr>T3_45_TEMP</vt:lpstr>
      <vt:lpstr>T3_50_PERCENT</vt:lpstr>
      <vt:lpstr>T3_50_TEMP</vt:lpstr>
      <vt:lpstr>T3_55_PERCENT</vt:lpstr>
      <vt:lpstr>T3_55_TEMP</vt:lpstr>
      <vt:lpstr>T3_S</vt:lpstr>
      <vt:lpstr>T5_50</vt:lpstr>
      <vt:lpstr>T5_50_PERCENT</vt:lpstr>
      <vt:lpstr>T5_50_TEMP</vt:lpstr>
      <vt:lpstr>T5_55</vt:lpstr>
      <vt:lpstr>T5_55_P</vt:lpstr>
      <vt:lpstr>T5_55_PERCENT</vt:lpstr>
      <vt:lpstr>T5_55_TEMP</vt:lpstr>
      <vt:lpstr>T5_60</vt:lpstr>
      <vt:lpstr>T5_60_P</vt:lpstr>
      <vt:lpstr>T5_60_PERCENT</vt:lpstr>
      <vt:lpstr>T5_60_TEMP</vt:lpstr>
      <vt:lpstr>T5_65</vt:lpstr>
      <vt:lpstr>T5_65_P</vt:lpstr>
      <vt:lpstr>T5_65_PERCENT</vt:lpstr>
      <vt:lpstr>T5_65_TEMP</vt:lpstr>
      <vt:lpstr>T5_P_Select</vt:lpstr>
      <vt:lpstr>T5_S</vt:lpstr>
      <vt:lpstr>TCOLD</vt:lpstr>
      <vt:lpstr>THOT</vt:lpstr>
      <vt:lpstr>TI_MOSFET</vt:lpstr>
      <vt:lpstr>TI_MOSFET_S_gFS_H_BO</vt:lpstr>
      <vt:lpstr>TI_MOSFET_S_gFS_H_BU</vt:lpstr>
      <vt:lpstr>TI_MOSFET_S_gFS_L_BO</vt:lpstr>
      <vt:lpstr>TI_MOSFET_S_gFS_L_BU</vt:lpstr>
      <vt:lpstr>TI_MOSFET_S_QG_H_BO</vt:lpstr>
      <vt:lpstr>TI_MOSFET_S_QG_H_BU</vt:lpstr>
      <vt:lpstr>TI_MOSFET_S_QG_L_BO</vt:lpstr>
      <vt:lpstr>TI_MOSFET_S_QG_L_BU</vt:lpstr>
      <vt:lpstr>TI_MOSFET_S_QGD_H_BO</vt:lpstr>
      <vt:lpstr>TI_MOSFET_S_QGD_H_BU</vt:lpstr>
      <vt:lpstr>TI_MOSFET_S_QGD_L_BO</vt:lpstr>
      <vt:lpstr>TI_MOSFET_S_QGD_L_BU</vt:lpstr>
      <vt:lpstr>TI_MOSFET_S_QGS_H_BO</vt:lpstr>
      <vt:lpstr>TI_MOSFET_S_QGS_H_BU</vt:lpstr>
      <vt:lpstr>TI_MOSFET_S_QGS_L_BO</vt:lpstr>
      <vt:lpstr>TI_MOSFET_S_QGS_L_BU</vt:lpstr>
      <vt:lpstr>TI_MOSFET_S_QOSS_H_BO</vt:lpstr>
      <vt:lpstr>TI_MOSFET_S_QOSS_H_BU</vt:lpstr>
      <vt:lpstr>TI_MOSFET_S_QOSS_L_BO</vt:lpstr>
      <vt:lpstr>TI_MOSFET_S_QOSS_L_BU</vt:lpstr>
      <vt:lpstr>TI_MOSFET_S_QRR_H_BO</vt:lpstr>
      <vt:lpstr>TI_MOSFET_S_QRR_L_BU</vt:lpstr>
      <vt:lpstr>TI_MOSFET_S_RDSON_H_BO</vt:lpstr>
      <vt:lpstr>TI_MOSFET_S_RDSON_H_BU</vt:lpstr>
      <vt:lpstr>TI_MOSFET_S_RDSON_L_BO</vt:lpstr>
      <vt:lpstr>TI_MOSFET_S_RDSON_L_BU</vt:lpstr>
      <vt:lpstr>TI_MOSFET_S_VSD_H_BO</vt:lpstr>
      <vt:lpstr>TI_MOSFET_S_VSD_H_BU</vt:lpstr>
      <vt:lpstr>TI_MOSFET_S_VSD_L_BO</vt:lpstr>
      <vt:lpstr>TI_MOSFET_S_VSD_L_BU</vt:lpstr>
      <vt:lpstr>TI_MOSFET_S_VTH_H_BO</vt:lpstr>
      <vt:lpstr>TI_MOSFET_S_VTH_H_BU</vt:lpstr>
      <vt:lpstr>TI_MOSFET_S_VTH_L_BO</vt:lpstr>
      <vt:lpstr>TI_MOSFET_S_VTH_L_BU</vt:lpstr>
      <vt:lpstr>TI_QG_10_H_BO</vt:lpstr>
      <vt:lpstr>TI_QG_10_H_BU</vt:lpstr>
      <vt:lpstr>TI_QG_10_L_BO</vt:lpstr>
      <vt:lpstr>TI_QG_10_L_BU</vt:lpstr>
      <vt:lpstr>TI_QG_4P5_H_BO</vt:lpstr>
      <vt:lpstr>TI_QG_4P5_H_BU</vt:lpstr>
      <vt:lpstr>TI_QG_4P5_L_BO</vt:lpstr>
      <vt:lpstr>TI_QG_4P5_L_BU</vt:lpstr>
      <vt:lpstr>TI_QG_C_H_BO</vt:lpstr>
      <vt:lpstr>TI_QG_C_H_BU</vt:lpstr>
      <vt:lpstr>TI_QG_C_L_BO</vt:lpstr>
      <vt:lpstr>TI_QG_C_L_BU</vt:lpstr>
      <vt:lpstr>TI_QGD_H_BO</vt:lpstr>
      <vt:lpstr>TI_QGD_H_BU</vt:lpstr>
      <vt:lpstr>TI_QGD_L_BO</vt:lpstr>
      <vt:lpstr>TI_QGD_L_BU</vt:lpstr>
      <vt:lpstr>TI_RDS_10_H_BO</vt:lpstr>
      <vt:lpstr>TI_RDS_10_H_BU</vt:lpstr>
      <vt:lpstr>TI_RDS_10_L_BO</vt:lpstr>
      <vt:lpstr>TI_RDS_10_L_BU</vt:lpstr>
      <vt:lpstr>TI_RDS_4P5_H_BO</vt:lpstr>
      <vt:lpstr>TI_RDS_4P5_H_BU</vt:lpstr>
      <vt:lpstr>TI_RDS_4P5_L_BO</vt:lpstr>
      <vt:lpstr>TI_RDS_4P5_L_BU</vt:lpstr>
      <vt:lpstr>TI_RDS_C_H_BO</vt:lpstr>
      <vt:lpstr>TI_RDS_C_H_BU</vt:lpstr>
      <vt:lpstr>TI_RDS_C_L_BO</vt:lpstr>
      <vt:lpstr>TI_RDS_C_L_BU</vt:lpstr>
      <vt:lpstr>V_FB_CEILING</vt:lpstr>
      <vt:lpstr>V_FB_FLOOR</vt:lpstr>
      <vt:lpstr>V_FB_Ideal</vt:lpstr>
      <vt:lpstr>V_FB_Step</vt:lpstr>
      <vt:lpstr>VACmax</vt:lpstr>
      <vt:lpstr>VACmin</vt:lpstr>
      <vt:lpstr>VACnom</vt:lpstr>
      <vt:lpstr>Vbat</vt:lpstr>
      <vt:lpstr>VBATREG</vt:lpstr>
      <vt:lpstr>VBATREG_CEILING</vt:lpstr>
      <vt:lpstr>VBATREG_D</vt:lpstr>
      <vt:lpstr>VBATREG_FLOOR</vt:lpstr>
      <vt:lpstr>VFB_Default</vt:lpstr>
      <vt:lpstr>VFB_S</vt:lpstr>
      <vt:lpstr>Vgs_10</vt:lpstr>
      <vt:lpstr>Vgs_4P5</vt:lpstr>
      <vt:lpstr>Vgs_C</vt:lpstr>
      <vt:lpstr>VGS_S</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Rook, Jacob</dc:creator>
  <cp:lastModifiedBy>Théo Pierre Jean Heng</cp:lastModifiedBy>
  <dcterms:created xsi:type="dcterms:W3CDTF">2023-06-07T12:11:18Z</dcterms:created>
  <dcterms:modified xsi:type="dcterms:W3CDTF">2025-01-25T16:19:37Z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0x010100694BDB0366CFF449BFF6BB5BED1ACE66</vt:lpwstr>
  </property>
</Properties>
</file>